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ubhfs-my.sharepoint.com/personal/nils_leger_iubh_de/Documents/Leger_Nils_Master's_Thesis/"/>
    </mc:Choice>
  </mc:AlternateContent>
  <xr:revisionPtr revIDLastSave="9366" documentId="8_{0ECEA7C1-37AE-4132-8867-4A7D3C3AD0F0}" xr6:coauthVersionLast="47" xr6:coauthVersionMax="47" xr10:uidLastSave="{62BB4E7F-612C-42FC-9B61-59429180E8C1}"/>
  <bookViews>
    <workbookView xWindow="15528" yWindow="0" windowWidth="30492" windowHeight="16680" xr2:uid="{96202986-2AB1-47FD-A0F7-AD78EB060524}"/>
  </bookViews>
  <sheets>
    <sheet name="IaC Tools" sheetId="9" r:id="rId1"/>
    <sheet name="IaC Categories" sheetId="12" r:id="rId2"/>
    <sheet name="IaC Tools (Skipped)" sheetId="2" r:id="rId3"/>
    <sheet name="Iac Tools Charts" sheetId="7" r:id="rId4"/>
    <sheet name="SICA" sheetId="3" r:id="rId5"/>
    <sheet name="SICA Categories" sheetId="13" r:id="rId6"/>
    <sheet name="SICA (Skipped)" sheetId="10" r:id="rId7"/>
    <sheet name="SICA Charts" sheetId="11" r:id="rId8"/>
    <sheet name="SICA Characteristics" sheetId="14" r:id="rId9"/>
  </sheets>
  <definedNames>
    <definedName name="_xlchart.v1.0" hidden="1">'Iac Tools Charts'!$B$187:$B$382</definedName>
    <definedName name="citation" localSheetId="4">SICA!$C$28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52" i="7" l="1"/>
  <c r="AB51" i="7"/>
  <c r="W55" i="11" a="1"/>
  <c r="W55" i="11" s="1"/>
  <c r="F59" i="11"/>
  <c r="F58" i="11"/>
  <c r="M32" i="11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34" i="3" l="1"/>
  <c r="C59" i="11"/>
  <c r="C58" i="11"/>
  <c r="FE135" i="3"/>
  <c r="FF135" i="3"/>
  <c r="AS52" i="7"/>
  <c r="K240" i="9"/>
  <c r="K239" i="9"/>
  <c r="K238" i="9"/>
  <c r="AS53" i="7"/>
  <c r="M31" i="11"/>
  <c r="W29" i="11"/>
  <c r="W26" i="11"/>
  <c r="W28" i="11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Z135" i="3"/>
  <c r="AA135" i="3"/>
  <c r="AB135" i="3"/>
  <c r="AC135" i="3"/>
  <c r="AD135" i="3"/>
  <c r="AE135" i="3"/>
  <c r="AF135" i="3"/>
  <c r="AG135" i="3"/>
  <c r="AH135" i="3"/>
  <c r="AI135" i="3"/>
  <c r="AJ135" i="3"/>
  <c r="AK135" i="3"/>
  <c r="AL135" i="3"/>
  <c r="AM135" i="3"/>
  <c r="AN135" i="3"/>
  <c r="AO135" i="3"/>
  <c r="AP135" i="3"/>
  <c r="AQ135" i="3"/>
  <c r="AR135" i="3"/>
  <c r="AS135" i="3"/>
  <c r="AT135" i="3"/>
  <c r="AU135" i="3"/>
  <c r="AV135" i="3"/>
  <c r="AW135" i="3"/>
  <c r="AX135" i="3"/>
  <c r="AY135" i="3"/>
  <c r="AZ135" i="3"/>
  <c r="BA135" i="3"/>
  <c r="BB135" i="3"/>
  <c r="BC135" i="3"/>
  <c r="BD135" i="3"/>
  <c r="BE135" i="3"/>
  <c r="BF135" i="3"/>
  <c r="BG135" i="3"/>
  <c r="BH135" i="3"/>
  <c r="BI135" i="3"/>
  <c r="BJ135" i="3"/>
  <c r="BK135" i="3"/>
  <c r="BL135" i="3"/>
  <c r="BM135" i="3"/>
  <c r="BN135" i="3"/>
  <c r="BO135" i="3"/>
  <c r="BP135" i="3"/>
  <c r="BQ135" i="3"/>
  <c r="BR135" i="3"/>
  <c r="BS135" i="3"/>
  <c r="BT135" i="3"/>
  <c r="BU135" i="3"/>
  <c r="BV135" i="3"/>
  <c r="BW135" i="3"/>
  <c r="BX135" i="3"/>
  <c r="BY135" i="3"/>
  <c r="BZ135" i="3"/>
  <c r="CA135" i="3"/>
  <c r="CB135" i="3"/>
  <c r="CC135" i="3"/>
  <c r="CD135" i="3"/>
  <c r="CE135" i="3"/>
  <c r="CF135" i="3"/>
  <c r="CG135" i="3"/>
  <c r="CH135" i="3"/>
  <c r="CI135" i="3"/>
  <c r="CJ135" i="3"/>
  <c r="CK135" i="3"/>
  <c r="CL135" i="3"/>
  <c r="CM135" i="3"/>
  <c r="CN135" i="3"/>
  <c r="CO135" i="3"/>
  <c r="CP135" i="3"/>
  <c r="CQ135" i="3"/>
  <c r="CR135" i="3"/>
  <c r="CS135" i="3"/>
  <c r="CT135" i="3"/>
  <c r="CU135" i="3"/>
  <c r="CV135" i="3"/>
  <c r="CW135" i="3"/>
  <c r="CX135" i="3"/>
  <c r="CY135" i="3"/>
  <c r="CZ135" i="3"/>
  <c r="DA135" i="3"/>
  <c r="DB135" i="3"/>
  <c r="DC135" i="3"/>
  <c r="DD135" i="3"/>
  <c r="DE135" i="3"/>
  <c r="DF135" i="3"/>
  <c r="DG135" i="3"/>
  <c r="DH135" i="3"/>
  <c r="DI135" i="3"/>
  <c r="DJ135" i="3"/>
  <c r="DK135" i="3"/>
  <c r="DL135" i="3"/>
  <c r="DM135" i="3"/>
  <c r="DN135" i="3"/>
  <c r="DO135" i="3"/>
  <c r="DP135" i="3"/>
  <c r="DQ135" i="3"/>
  <c r="DR135" i="3"/>
  <c r="DS135" i="3"/>
  <c r="DT135" i="3"/>
  <c r="DU135" i="3"/>
  <c r="DV135" i="3"/>
  <c r="DW135" i="3"/>
  <c r="DX135" i="3"/>
  <c r="DY135" i="3"/>
  <c r="DZ135" i="3"/>
  <c r="EA135" i="3"/>
  <c r="EB135" i="3"/>
  <c r="EC135" i="3"/>
  <c r="ED135" i="3"/>
  <c r="EE135" i="3"/>
  <c r="EF135" i="3"/>
  <c r="EG135" i="3"/>
  <c r="EH135" i="3"/>
  <c r="EI135" i="3"/>
  <c r="EJ135" i="3"/>
  <c r="EK135" i="3"/>
  <c r="EL135" i="3"/>
  <c r="EM135" i="3"/>
  <c r="EN135" i="3"/>
  <c r="EO135" i="3"/>
  <c r="EP135" i="3"/>
  <c r="EQ135" i="3"/>
  <c r="ER135" i="3"/>
  <c r="ES135" i="3"/>
  <c r="ET135" i="3"/>
  <c r="EU135" i="3"/>
  <c r="EV135" i="3"/>
  <c r="EW135" i="3"/>
  <c r="EX135" i="3"/>
  <c r="EY135" i="3"/>
  <c r="EZ135" i="3"/>
  <c r="FA135" i="3"/>
  <c r="FB135" i="3"/>
  <c r="FC135" i="3"/>
  <c r="FD135" i="3"/>
  <c r="I132" i="3"/>
  <c r="I133" i="3"/>
  <c r="I130" i="3"/>
  <c r="I131" i="3"/>
  <c r="I129" i="3"/>
  <c r="I127" i="3"/>
  <c r="I128" i="3"/>
  <c r="W32" i="11"/>
  <c r="W31" i="11"/>
  <c r="I126" i="3"/>
  <c r="W27" i="11"/>
  <c r="W30" i="11"/>
  <c r="M30" i="11"/>
  <c r="P28" i="11"/>
  <c r="M29" i="11"/>
  <c r="P27" i="11"/>
  <c r="P26" i="11"/>
  <c r="M28" i="11"/>
  <c r="M27" i="11"/>
  <c r="M26" i="11"/>
  <c r="C27" i="11"/>
  <c r="C29" i="11"/>
  <c r="C28" i="11"/>
  <c r="C35" i="11"/>
  <c r="C34" i="11"/>
  <c r="C33" i="11"/>
  <c r="C32" i="11"/>
  <c r="C31" i="11"/>
  <c r="C30" i="11"/>
  <c r="C26" i="11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40" i="3"/>
  <c r="I41" i="3"/>
  <c r="I42" i="3"/>
  <c r="I43" i="3"/>
  <c r="I44" i="3"/>
  <c r="I45" i="3"/>
  <c r="I46" i="3"/>
  <c r="I47" i="3"/>
  <c r="I48" i="3"/>
  <c r="I49" i="3"/>
  <c r="I50" i="3"/>
  <c r="I33" i="3"/>
  <c r="I34" i="3"/>
  <c r="I35" i="3"/>
  <c r="I36" i="3"/>
  <c r="I37" i="3"/>
  <c r="I38" i="3"/>
  <c r="I39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M57" i="7"/>
  <c r="V57" i="7"/>
  <c r="V56" i="7"/>
  <c r="V55" i="7"/>
  <c r="V54" i="7"/>
  <c r="V53" i="7"/>
  <c r="V51" i="7"/>
  <c r="M56" i="7"/>
  <c r="M55" i="7"/>
  <c r="M54" i="7"/>
  <c r="M53" i="7"/>
  <c r="M52" i="7"/>
  <c r="M51" i="7"/>
  <c r="C53" i="7"/>
  <c r="C54" i="7"/>
  <c r="C55" i="7"/>
  <c r="C56" i="7"/>
  <c r="C57" i="7"/>
  <c r="C58" i="7"/>
  <c r="C52" i="7"/>
  <c r="C51" i="7"/>
  <c r="C50" i="7"/>
  <c r="C49" i="7"/>
  <c r="C48" i="7"/>
  <c r="GY241" i="9"/>
  <c r="GX241" i="9"/>
  <c r="GW241" i="9"/>
  <c r="GV241" i="9"/>
  <c r="GU241" i="9"/>
  <c r="GT241" i="9"/>
  <c r="GS241" i="9"/>
  <c r="GR241" i="9"/>
  <c r="GQ241" i="9"/>
  <c r="GP241" i="9"/>
  <c r="GO241" i="9"/>
  <c r="GN241" i="9"/>
  <c r="GM241" i="9"/>
  <c r="GL241" i="9"/>
  <c r="GK241" i="9"/>
  <c r="GJ241" i="9"/>
  <c r="GI241" i="9"/>
  <c r="GH241" i="9"/>
  <c r="GG241" i="9"/>
  <c r="GF241" i="9"/>
  <c r="GE241" i="9"/>
  <c r="GD241" i="9"/>
  <c r="GC241" i="9"/>
  <c r="GB241" i="9"/>
  <c r="GA241" i="9"/>
  <c r="FZ241" i="9"/>
  <c r="FY241" i="9"/>
  <c r="FX241" i="9"/>
  <c r="FW241" i="9"/>
  <c r="FV241" i="9"/>
  <c r="FU241" i="9"/>
  <c r="FT241" i="9"/>
  <c r="FS241" i="9"/>
  <c r="FR241" i="9"/>
  <c r="FQ241" i="9"/>
  <c r="FP241" i="9"/>
  <c r="FO241" i="9"/>
  <c r="FN241" i="9"/>
  <c r="FM241" i="9"/>
  <c r="FL241" i="9"/>
  <c r="FK241" i="9"/>
  <c r="FJ241" i="9"/>
  <c r="FI241" i="9"/>
  <c r="FH241" i="9"/>
  <c r="FG241" i="9"/>
  <c r="FF241" i="9"/>
  <c r="FE241" i="9"/>
  <c r="FD241" i="9"/>
  <c r="FC241" i="9"/>
  <c r="FB241" i="9"/>
  <c r="FA241" i="9"/>
  <c r="EZ241" i="9"/>
  <c r="EY241" i="9"/>
  <c r="EX241" i="9"/>
  <c r="EW241" i="9"/>
  <c r="EV241" i="9"/>
  <c r="EU241" i="9"/>
  <c r="ET241" i="9"/>
  <c r="ES241" i="9"/>
  <c r="ER241" i="9"/>
  <c r="EQ241" i="9"/>
  <c r="EP241" i="9"/>
  <c r="EO241" i="9"/>
  <c r="EN241" i="9"/>
  <c r="EM241" i="9"/>
  <c r="EL241" i="9"/>
  <c r="EK241" i="9"/>
  <c r="EJ241" i="9"/>
  <c r="EI241" i="9"/>
  <c r="EH241" i="9"/>
  <c r="EG241" i="9"/>
  <c r="EF241" i="9"/>
  <c r="EE241" i="9"/>
  <c r="ED241" i="9"/>
  <c r="EC241" i="9"/>
  <c r="EB241" i="9"/>
  <c r="EA241" i="9"/>
  <c r="DZ241" i="9"/>
  <c r="DY241" i="9"/>
  <c r="DX241" i="9"/>
  <c r="DW241" i="9"/>
  <c r="DV241" i="9"/>
  <c r="DU241" i="9"/>
  <c r="DT241" i="9"/>
  <c r="DS241" i="9"/>
  <c r="DR241" i="9"/>
  <c r="DQ241" i="9"/>
  <c r="DP241" i="9"/>
  <c r="DO241" i="9"/>
  <c r="DN241" i="9"/>
  <c r="DM241" i="9"/>
  <c r="DL241" i="9"/>
  <c r="DK241" i="9"/>
  <c r="DJ241" i="9"/>
  <c r="DI241" i="9"/>
  <c r="DH241" i="9"/>
  <c r="DG241" i="9"/>
  <c r="DF241" i="9"/>
  <c r="DE241" i="9"/>
  <c r="DD241" i="9"/>
  <c r="DC241" i="9"/>
  <c r="DB241" i="9"/>
  <c r="DA241" i="9"/>
  <c r="CZ241" i="9"/>
  <c r="CY241" i="9"/>
  <c r="CX241" i="9"/>
  <c r="CW241" i="9"/>
  <c r="CV241" i="9"/>
  <c r="CU241" i="9"/>
  <c r="CT241" i="9"/>
  <c r="CS241" i="9"/>
  <c r="CR241" i="9"/>
  <c r="CQ241" i="9"/>
  <c r="BK241" i="9"/>
  <c r="BJ241" i="9"/>
  <c r="AB55" i="7" s="1"/>
  <c r="CE241" i="9"/>
  <c r="CD241" i="9"/>
  <c r="BI241" i="9"/>
  <c r="CP241" i="9"/>
  <c r="CO241" i="9"/>
  <c r="CN241" i="9"/>
  <c r="CM241" i="9"/>
  <c r="CL241" i="9"/>
  <c r="CK241" i="9"/>
  <c r="BH241" i="9"/>
  <c r="BG241" i="9"/>
  <c r="BF241" i="9"/>
  <c r="BE241" i="9"/>
  <c r="BD241" i="9"/>
  <c r="BC241" i="9"/>
  <c r="CF241" i="9"/>
  <c r="BB241" i="9"/>
  <c r="CG241" i="9"/>
  <c r="BA241" i="9"/>
  <c r="CJ241" i="9"/>
  <c r="CI241" i="9"/>
  <c r="CH241" i="9"/>
  <c r="AZ241" i="9"/>
  <c r="AY241" i="9"/>
  <c r="AX241" i="9"/>
  <c r="AW241" i="9"/>
  <c r="AV241" i="9"/>
  <c r="AU241" i="9"/>
  <c r="AT241" i="9"/>
  <c r="AS241" i="9"/>
  <c r="AR241" i="9"/>
  <c r="AQ241" i="9"/>
  <c r="CC241" i="9"/>
  <c r="AP241" i="9"/>
  <c r="CB241" i="9"/>
  <c r="CA241" i="9"/>
  <c r="AO241" i="9"/>
  <c r="AN241" i="9"/>
  <c r="AM241" i="9"/>
  <c r="AL241" i="9"/>
  <c r="BZ241" i="9"/>
  <c r="BY241" i="9"/>
  <c r="BX241" i="9"/>
  <c r="AK241" i="9"/>
  <c r="BW241" i="9"/>
  <c r="AJ241" i="9"/>
  <c r="BV241" i="9"/>
  <c r="AI241" i="9"/>
  <c r="BT241" i="9"/>
  <c r="AH241" i="9"/>
  <c r="BU241" i="9"/>
  <c r="AG241" i="9"/>
  <c r="AF241" i="9"/>
  <c r="BS241" i="9"/>
  <c r="AE241" i="9"/>
  <c r="AD241" i="9"/>
  <c r="BR241" i="9"/>
  <c r="BQ241" i="9"/>
  <c r="AC241" i="9"/>
  <c r="BP241" i="9"/>
  <c r="AB241" i="9"/>
  <c r="BL241" i="9"/>
  <c r="AA241" i="9"/>
  <c r="Z241" i="9"/>
  <c r="Y241" i="9"/>
  <c r="X241" i="9"/>
  <c r="W241" i="9"/>
  <c r="BO241" i="9"/>
  <c r="V241" i="9"/>
  <c r="U241" i="9"/>
  <c r="T241" i="9"/>
  <c r="S241" i="9"/>
  <c r="R241" i="9"/>
  <c r="BN241" i="9"/>
  <c r="BM241" i="9"/>
  <c r="Q241" i="9"/>
  <c r="P241" i="9"/>
  <c r="O241" i="9"/>
  <c r="N241" i="9"/>
  <c r="M241" i="9"/>
  <c r="L241" i="9"/>
  <c r="K237" i="9"/>
  <c r="K236" i="9"/>
  <c r="K235" i="9"/>
  <c r="K234" i="9"/>
  <c r="K233" i="9"/>
  <c r="K232" i="9"/>
  <c r="K231" i="9"/>
  <c r="K230" i="9"/>
  <c r="K229" i="9"/>
  <c r="K228" i="9"/>
  <c r="K227" i="9"/>
  <c r="K226" i="9"/>
  <c r="K225" i="9"/>
  <c r="K224" i="9"/>
  <c r="K223" i="9"/>
  <c r="K222" i="9"/>
  <c r="K221" i="9"/>
  <c r="K220" i="9"/>
  <c r="K219" i="9"/>
  <c r="K218" i="9"/>
  <c r="K217" i="9"/>
  <c r="K216" i="9"/>
  <c r="K215" i="9"/>
  <c r="K214" i="9"/>
  <c r="K213" i="9"/>
  <c r="K212" i="9"/>
  <c r="K211" i="9"/>
  <c r="K210" i="9"/>
  <c r="K209" i="9"/>
  <c r="K208" i="9"/>
  <c r="K207" i="9"/>
  <c r="K206" i="9"/>
  <c r="K205" i="9"/>
  <c r="K204" i="9"/>
  <c r="K203" i="9"/>
  <c r="K202" i="9"/>
  <c r="K201" i="9"/>
  <c r="K200" i="9"/>
  <c r="K199" i="9"/>
  <c r="K198" i="9"/>
  <c r="K197" i="9"/>
  <c r="K196" i="9"/>
  <c r="K195" i="9"/>
  <c r="K194" i="9"/>
  <c r="K193" i="9"/>
  <c r="K192" i="9"/>
  <c r="K191" i="9"/>
  <c r="K190" i="9"/>
  <c r="K189" i="9"/>
  <c r="K188" i="9"/>
  <c r="K187" i="9"/>
  <c r="K186" i="9"/>
  <c r="K185" i="9"/>
  <c r="K184" i="9"/>
  <c r="K183" i="9"/>
  <c r="K182" i="9"/>
  <c r="K181" i="9"/>
  <c r="K180" i="9"/>
  <c r="K179" i="9"/>
  <c r="K178" i="9"/>
  <c r="K177" i="9"/>
  <c r="K176" i="9"/>
  <c r="K175" i="9"/>
  <c r="K174" i="9"/>
  <c r="K173" i="9"/>
  <c r="K172" i="9"/>
  <c r="K171" i="9"/>
  <c r="K170" i="9"/>
  <c r="K169" i="9"/>
  <c r="K168" i="9"/>
  <c r="K167" i="9"/>
  <c r="K166" i="9"/>
  <c r="K165" i="9"/>
  <c r="K164" i="9"/>
  <c r="K163" i="9"/>
  <c r="K162" i="9"/>
  <c r="K161" i="9"/>
  <c r="K160" i="9"/>
  <c r="K159" i="9"/>
  <c r="K158" i="9"/>
  <c r="K157" i="9"/>
  <c r="K156" i="9"/>
  <c r="K155" i="9"/>
  <c r="K154" i="9"/>
  <c r="K153" i="9"/>
  <c r="K152" i="9"/>
  <c r="K151" i="9"/>
  <c r="K150" i="9"/>
  <c r="K149" i="9"/>
  <c r="K148" i="9"/>
  <c r="K147" i="9"/>
  <c r="K146" i="9"/>
  <c r="K145" i="9"/>
  <c r="K144" i="9"/>
  <c r="K143" i="9"/>
  <c r="K142" i="9"/>
  <c r="K141" i="9"/>
  <c r="K140" i="9"/>
  <c r="K139" i="9"/>
  <c r="K138" i="9"/>
  <c r="K137" i="9"/>
  <c r="K136" i="9"/>
  <c r="K135" i="9"/>
  <c r="K134" i="9"/>
  <c r="K133" i="9"/>
  <c r="K132" i="9"/>
  <c r="K131" i="9"/>
  <c r="K130" i="9"/>
  <c r="K129" i="9"/>
  <c r="K128" i="9"/>
  <c r="K127" i="9"/>
  <c r="K126" i="9"/>
  <c r="K125" i="9"/>
  <c r="K124" i="9"/>
  <c r="K123" i="9"/>
  <c r="K122" i="9"/>
  <c r="K121" i="9"/>
  <c r="K120" i="9"/>
  <c r="K119" i="9"/>
  <c r="K118" i="9"/>
  <c r="K117" i="9"/>
  <c r="K116" i="9"/>
  <c r="K115" i="9"/>
  <c r="K114" i="9"/>
  <c r="K113" i="9"/>
  <c r="K112" i="9"/>
  <c r="K111" i="9"/>
  <c r="K110" i="9"/>
  <c r="K109" i="9"/>
  <c r="K108" i="9"/>
  <c r="K107" i="9"/>
  <c r="K106" i="9"/>
  <c r="K105" i="9"/>
  <c r="K104" i="9"/>
  <c r="K103" i="9"/>
  <c r="K102" i="9"/>
  <c r="K101" i="9"/>
  <c r="K100" i="9"/>
  <c r="K99" i="9"/>
  <c r="K98" i="9"/>
  <c r="K97" i="9"/>
  <c r="K96" i="9"/>
  <c r="K95" i="9"/>
  <c r="K94" i="9"/>
  <c r="K93" i="9"/>
  <c r="K92" i="9"/>
  <c r="K91" i="9"/>
  <c r="K90" i="9"/>
  <c r="K89" i="9"/>
  <c r="K88" i="9"/>
  <c r="K87" i="9"/>
  <c r="K86" i="9"/>
  <c r="K85" i="9"/>
  <c r="K84" i="9"/>
  <c r="K83" i="9"/>
  <c r="K82" i="9"/>
  <c r="K81" i="9"/>
  <c r="K80" i="9"/>
  <c r="K79" i="9"/>
  <c r="K78" i="9"/>
  <c r="K77" i="9"/>
  <c r="K76" i="9"/>
  <c r="K75" i="9"/>
  <c r="K74" i="9"/>
  <c r="K73" i="9"/>
  <c r="K72" i="9"/>
  <c r="K71" i="9"/>
  <c r="K70" i="9"/>
  <c r="K69" i="9"/>
  <c r="K68" i="9"/>
  <c r="K67" i="9"/>
  <c r="K66" i="9"/>
  <c r="K65" i="9"/>
  <c r="K64" i="9"/>
  <c r="K63" i="9"/>
  <c r="K62" i="9"/>
  <c r="K61" i="9"/>
  <c r="K60" i="9"/>
  <c r="K59" i="9"/>
  <c r="K58" i="9"/>
  <c r="K57" i="9"/>
  <c r="K56" i="9"/>
  <c r="K55" i="9"/>
  <c r="K54" i="9"/>
  <c r="K53" i="9"/>
  <c r="K52" i="9"/>
  <c r="K51" i="9"/>
  <c r="K50" i="9"/>
  <c r="K49" i="9"/>
  <c r="K48" i="9"/>
  <c r="K47" i="9"/>
  <c r="K46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10" i="9"/>
  <c r="K9" i="9"/>
  <c r="K8" i="9"/>
  <c r="K7" i="9"/>
  <c r="K6" i="9"/>
  <c r="K5" i="9"/>
  <c r="K4" i="9"/>
  <c r="K3" i="9"/>
  <c r="AI51" i="7" l="1"/>
  <c r="AI52" i="7"/>
  <c r="BB49" i="7"/>
  <c r="AB53" i="7"/>
  <c r="AI53" i="7"/>
  <c r="BB51" i="7"/>
  <c r="BB52" i="7"/>
  <c r="BB50" i="7"/>
  <c r="W33" i="11"/>
  <c r="M59" i="11"/>
  <c r="M58" i="11"/>
  <c r="I135" i="3"/>
  <c r="AS54" i="7"/>
  <c r="AS55" i="7" s="1"/>
  <c r="AB52" i="7"/>
  <c r="AB54" i="7"/>
  <c r="C60" i="11"/>
  <c r="K241" i="9"/>
  <c r="AI54" i="7" l="1"/>
  <c r="BB53" i="7"/>
  <c r="M6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<sst xmlns="http://schemas.openxmlformats.org/spreadsheetml/2006/main" count="11675" uniqueCount="2570">
  <si>
    <t>#</t>
  </si>
  <si>
    <t>Link</t>
  </si>
  <si>
    <t>Demographic info</t>
  </si>
  <si>
    <t>Year</t>
  </si>
  <si>
    <t>https://bluelight.co/blog/best-infrastructure-as-code-tools</t>
  </si>
  <si>
    <t>Best Infrastructure as Code Tools (IaC): The Top 10 for 2022</t>
  </si>
  <si>
    <t>Author</t>
  </si>
  <si>
    <t>Florian Pialoux</t>
  </si>
  <si>
    <t>https://www.nexastack.com/blog/best-iac-tools</t>
  </si>
  <si>
    <t>Navdeep Singh Gill</t>
  </si>
  <si>
    <t>Infrastructure as Code Tools to Boost Your Productivity in 2022</t>
  </si>
  <si>
    <t>https://www.computerweekly.com/de/ratgeber/Infrastructure-as-Code-Acht-beliebte-Tools-im-Vergleich</t>
  </si>
  <si>
    <t>Robert Sheldon</t>
  </si>
  <si>
    <t>Infrastructure as Code: Acht beliebte Tools im Vergleich</t>
  </si>
  <si>
    <t>Uri Shamay</t>
  </si>
  <si>
    <t>Top 10 Infrastructure as Code (IaC) Tools to Know in 2022</t>
  </si>
  <si>
    <t>https://spectralops.io/blog/top-10-infrastructure-as-code-iac-tools-to-know-in-2022/</t>
  </si>
  <si>
    <t>IAWP</t>
  </si>
  <si>
    <t>https://www.clickittech.com/devops/infrastructure-as-code-tools/</t>
  </si>
  <si>
    <t>Alfonso Valdes</t>
  </si>
  <si>
    <t>The best Infrastructure as Code tools for 2022</t>
  </si>
  <si>
    <t>Chef</t>
  </si>
  <si>
    <t>Puppet</t>
  </si>
  <si>
    <t>Ansible</t>
  </si>
  <si>
    <t>SaltStack</t>
  </si>
  <si>
    <t>Server Templating Tools</t>
  </si>
  <si>
    <t>Configuration Management Tools</t>
  </si>
  <si>
    <t>Docker</t>
  </si>
  <si>
    <t>Packer</t>
  </si>
  <si>
    <t>Vagrant</t>
  </si>
  <si>
    <t>Orchestration Tools</t>
  </si>
  <si>
    <t>Kubernetes</t>
  </si>
  <si>
    <t>Marathon/Mesos</t>
  </si>
  <si>
    <t>Amazon ECS</t>
  </si>
  <si>
    <t>Swarm</t>
  </si>
  <si>
    <t>Nomad</t>
  </si>
  <si>
    <t>Provisioning Tools</t>
  </si>
  <si>
    <t>Terraform</t>
  </si>
  <si>
    <t>CloudFormation</t>
  </si>
  <si>
    <t>Google Deployment Manager</t>
  </si>
  <si>
    <t>OpenStack Heat</t>
  </si>
  <si>
    <t>x</t>
  </si>
  <si>
    <t>Pulumi</t>
  </si>
  <si>
    <t>Crossplane</t>
  </si>
  <si>
    <t>NexaStack</t>
  </si>
  <si>
    <t>SpectralOps</t>
  </si>
  <si>
    <t>ClickIT</t>
  </si>
  <si>
    <t>https://searchconvergedinfrastructure.techtarget.com/feature/IaC-tools-comparison-shows-benefits-of-automated-deployments</t>
  </si>
  <si>
    <t>IaC tools comparison shows benefits of automated deployments</t>
  </si>
  <si>
    <t>TechTarget</t>
  </si>
  <si>
    <t>https://www.computerwoche.de/a/was-ist-infrastructure-as-code,3552400</t>
  </si>
  <si>
    <t>Computer Woche</t>
  </si>
  <si>
    <t>Scott Carey</t>
  </si>
  <si>
    <t>Was ist Infrastructure as Code?</t>
  </si>
  <si>
    <t>https://analyticsindiamag.com/top-infrastructure-as-code-tools-for-2022/</t>
  </si>
  <si>
    <t>Top Infrastructure as Code tools for 2022</t>
  </si>
  <si>
    <t>Novatech</t>
  </si>
  <si>
    <t>Infrastructure as Code (IaC) in weniger als 10 Minuten verstehen</t>
  </si>
  <si>
    <t>https://www.novatec-gmbh.de/blog/infrastructure-as-code-iac-in-weniger-als-10-minuten-verstehen/</t>
  </si>
  <si>
    <t>OpenShift</t>
  </si>
  <si>
    <t>Otter</t>
  </si>
  <si>
    <t>https://www.whitesourcesoftware.com/resources/blog/infrastructure-as-code-iac/</t>
  </si>
  <si>
    <t>WhiteSource</t>
  </si>
  <si>
    <t>Infrastructure as Code: Enabling DevOps Success</t>
  </si>
  <si>
    <t>BlueLight</t>
  </si>
  <si>
    <t>Julie Peterson</t>
  </si>
  <si>
    <t>ComputerWeekly</t>
  </si>
  <si>
    <t>Abhishree Choudhary</t>
  </si>
  <si>
    <t>Was ist Infrastructure as Code (IaC)?</t>
  </si>
  <si>
    <t>https://www.cloudcomputing-insider.de/was-ist-infrastructure-as-code-iac-a-917671/</t>
  </si>
  <si>
    <t>Cloud Computing Insider</t>
  </si>
  <si>
    <t>Dominik Pabst
Constantin Weißer</t>
  </si>
  <si>
    <t>What is Infrastructure as Code? Difference of Infrastructure as Code Tools</t>
  </si>
  <si>
    <t>Nana</t>
  </si>
  <si>
    <t>https://www.n-ix.com/infrastructure-as-code-tips/</t>
  </si>
  <si>
    <t>N-iX</t>
  </si>
  <si>
    <t>Yaroslav Ketsman </t>
  </si>
  <si>
    <t>Terragrunt</t>
  </si>
  <si>
    <t>Infrastructure as Code: tips, best practices, and top tools</t>
  </si>
  <si>
    <t>Infrastructure as Code : Best Practices, Benefits &amp; Examples</t>
  </si>
  <si>
    <t>https://spacelift.io/blog/infrastructure-as-code</t>
  </si>
  <si>
    <t>Spacelift</t>
  </si>
  <si>
    <t>Jack Roper</t>
  </si>
  <si>
    <t>Bicep</t>
  </si>
  <si>
    <t>https://apiumhub.com/tech-blog-barcelona/infrastructure-as-code-benefits-and-tools/</t>
  </si>
  <si>
    <t>Apiumhub</t>
  </si>
  <si>
    <t>Ekaterina Novoseltseva</t>
  </si>
  <si>
    <t>Xenonstack</t>
  </si>
  <si>
    <t>Gursimran Singh</t>
  </si>
  <si>
    <t>Infrastructure as Code Tools and Best Practices</t>
  </si>
  <si>
    <t>https://www.xenonstack.com/blog/what-is-infrastructure-as-code</t>
  </si>
  <si>
    <t>Infrastructure As Code: Benefits &amp; Tools</t>
  </si>
  <si>
    <t>https://www.bmc.com/blogs/infrastructure-as-code/</t>
  </si>
  <si>
    <t>Infrastructure as Code (IaC): The Complete Beginner’s Guide</t>
  </si>
  <si>
    <t>BMC</t>
  </si>
  <si>
    <t>Shanika Wickramasinghe
Dan Merron</t>
  </si>
  <si>
    <t>CFEngine</t>
  </si>
  <si>
    <t>https://phoenixnap.com/blog/infrastructure-as-code-best-practices-tools</t>
  </si>
  <si>
    <t>Phoenixnap</t>
  </si>
  <si>
    <t>What Is Infrastructure as Code? Benefits, Best Practices, &amp; Tools</t>
  </si>
  <si>
    <t>https://www.redhat.com/en/topics/automation/what-is-infrastructure-as-code-iac</t>
  </si>
  <si>
    <t>RedHat</t>
  </si>
  <si>
    <t>What is Infrastructure as Code (IaC)?</t>
  </si>
  <si>
    <t>Eric Smalling</t>
  </si>
  <si>
    <t>https://snyk.io/blog/infrastructure-as-code-tools/</t>
  </si>
  <si>
    <t>Snyk</t>
  </si>
  <si>
    <t>How do we secure Infrastructure as Code tools?</t>
  </si>
  <si>
    <t>https://www.professional-devops.com/infrastructure-as-a-code.html</t>
  </si>
  <si>
    <t>Infrastructure as Code</t>
  </si>
  <si>
    <t>Juju</t>
  </si>
  <si>
    <t>Pallet</t>
  </si>
  <si>
    <t>?</t>
  </si>
  <si>
    <t>Professional DevOps</t>
  </si>
  <si>
    <t>https://shadow-soft.com/infrastructure-as-code-tools/</t>
  </si>
  <si>
    <t>Shadow-Soft Team</t>
  </si>
  <si>
    <t>Infrastructure as Code (IaC) Tools: Comparison</t>
  </si>
  <si>
    <t>https://www.evoila.de/de/blog/2021/10/27/infrastructure-as-code-in-aws/</t>
  </si>
  <si>
    <t>AWS Config</t>
  </si>
  <si>
    <t>AWS CDK</t>
  </si>
  <si>
    <t>evoila</t>
  </si>
  <si>
    <t>Bastian Eisenmann</t>
  </si>
  <si>
    <t>Infrastructure as Code in AWS – Welches Tool ist das richtige für mich?</t>
  </si>
  <si>
    <t>Podman</t>
  </si>
  <si>
    <t>Infrastructure as Code: From the Beginning to GitOps</t>
  </si>
  <si>
    <t>https://microtica.com/blog/infrastructure-as-code-from-the-beginning-to-gitops/</t>
  </si>
  <si>
    <t>Microtica</t>
  </si>
  <si>
    <t>Marija Naumovska</t>
  </si>
  <si>
    <t>DigitalOcean</t>
  </si>
  <si>
    <t>Savic</t>
  </si>
  <si>
    <t>https://www.digitalocean.com/community/conceptual_articles/infrastructure-as-code-explained</t>
  </si>
  <si>
    <t>Infrastructure as Code Explained</t>
  </si>
  <si>
    <t>https://www.trustradius.com/infrastructure-as-code</t>
  </si>
  <si>
    <t>Methodology</t>
  </si>
  <si>
    <t>Sorted by Most Reviews</t>
  </si>
  <si>
    <t>Trustradius</t>
  </si>
  <si>
    <t>Infrastructure-as-Code (IaC) Tools</t>
  </si>
  <si>
    <t>Various</t>
  </si>
  <si>
    <t>Sonatype Nexus</t>
  </si>
  <si>
    <t>Quali Torque</t>
  </si>
  <si>
    <t>env0</t>
  </si>
  <si>
    <t>oak9</t>
  </si>
  <si>
    <t>https://www.contino.io/insights/infrastructure-as-code</t>
  </si>
  <si>
    <t>Contino</t>
  </si>
  <si>
    <t>Mike Brouwers</t>
  </si>
  <si>
    <t>What Is Infrastructure as Code? Benefits, Tools and 5 Best Practices</t>
  </si>
  <si>
    <t>https://blog.gitguardian.com/infrastructure-as-code-everything-you-need-to-know/</t>
  </si>
  <si>
    <t>GitGuardian</t>
  </si>
  <si>
    <t>Nancy Muriithi</t>
  </si>
  <si>
    <t>Infrastructure as Code - Everything You Need to Know</t>
  </si>
  <si>
    <t>What is ‘infrastructure as code’ and why do you need it?</t>
  </si>
  <si>
    <t>https://thenextweb.com/news/what-is-infrastructure-as-code-and-why-do-you-need-it</t>
  </si>
  <si>
    <t>TheNextWeb</t>
  </si>
  <si>
    <t>Milecia McGregor</t>
  </si>
  <si>
    <t>R?ex</t>
  </si>
  <si>
    <t>NixOS</t>
  </si>
  <si>
    <t>Conducto</t>
  </si>
  <si>
    <t>Learn About Infrastructure as Code in 5 Minutes and Why You Should Use It</t>
  </si>
  <si>
    <t>https://www.webiny.com/blog/what-is-infrastructure-as-code</t>
  </si>
  <si>
    <t xml:space="preserve">Igor Bobriakov </t>
  </si>
  <si>
    <t>Webiny</t>
  </si>
  <si>
    <t>Mit Infrastructure as Code dein Deployment automatisieren</t>
  </si>
  <si>
    <t>https://gridscale.io/blog/infrastructure-as-code/</t>
  </si>
  <si>
    <t>Gridscale</t>
  </si>
  <si>
    <t>Jenkins</t>
  </si>
  <si>
    <t>Andreja Velimirovic</t>
  </si>
  <si>
    <t>rkt</t>
  </si>
  <si>
    <t>https://blog.stackpath.com/infrastructure-as-code-explainer/</t>
  </si>
  <si>
    <t>StackPath</t>
  </si>
  <si>
    <t>Tomas Fernandez</t>
  </si>
  <si>
    <t>What is Infrastructure as Code?</t>
  </si>
  <si>
    <t>https://www.solocom.de/service-infrastructure-as-code.php</t>
  </si>
  <si>
    <t>Solocom</t>
  </si>
  <si>
    <t>Configuration Management mit Infrastructure as Code (IaC)</t>
  </si>
  <si>
    <t>https://geekflare.com/infrastructure-as-code-intro/</t>
  </si>
  <si>
    <t>An Introduction to Infrastructure as Code</t>
  </si>
  <si>
    <t>Geekflare</t>
  </si>
  <si>
    <t>Vijay Khurana </t>
  </si>
  <si>
    <t>https://blog.controlware.de/infrastructure-as-code-iac-automation-der-netzwerkinfrastruktur/</t>
  </si>
  <si>
    <t>Controlware</t>
  </si>
  <si>
    <t>INFRASTRUCTURE AS CODE – IAC – AUTOMATION DER NETZWERKINFRASTRUKTUR</t>
  </si>
  <si>
    <t>THE BEST INFRASTRUCTURE AS CODE TOOLS FOR 2021</t>
  </si>
  <si>
    <t>https://gennovacap.com/devops/the-best-infrastructure-as-code-tools-for-2021/</t>
  </si>
  <si>
    <t>Reza Piri</t>
  </si>
  <si>
    <t>Gennovacap</t>
  </si>
  <si>
    <t>IaC solutions in AWS Marketplace</t>
  </si>
  <si>
    <t>AWS</t>
  </si>
  <si>
    <t>https://aws.amazon.com/marketplace/solutions/devops/infrastructure-as-code?aws-marketplace-cards.sort-by=item.additionalFields.headline&amp;aws-marketplace-cards.sort-order=desc&amp;awsf.aws-marketplace-devops-store-use-cases=*all</t>
  </si>
  <si>
    <t>CloudShell Colony</t>
  </si>
  <si>
    <t>https://medium.com/nerd-for-tech/combining-infrastructure-as-code-software-tools-to-manage-and-provision-your-application-652e75eba235</t>
  </si>
  <si>
    <t>Combining Infrastructure as Code Software Tools to Create and Manage your Application</t>
  </si>
  <si>
    <t>Matheus Leal</t>
  </si>
  <si>
    <t>cloud-init</t>
  </si>
  <si>
    <t>https://learn.hashicorp.com/tutorials/terraform/infrastructure-as-code</t>
  </si>
  <si>
    <t>Title</t>
  </si>
  <si>
    <t>What is Infrastructure as Code with Terraform?</t>
  </si>
  <si>
    <t>Reason</t>
  </si>
  <si>
    <t>Only mentions Terraform because it's from HashiCorp</t>
  </si>
  <si>
    <t>https://blog.scaleway.com/infrastructure-as-code/</t>
  </si>
  <si>
    <t>Doesn't mention one single tool</t>
  </si>
  <si>
    <t>Infrastructure as Code - Why Dev, Ops &amp; Management Should Care</t>
  </si>
  <si>
    <t>Best Practices For Infrastructure-as-Code (IaC)</t>
  </si>
  <si>
    <t>https://www.dashsdk.com/resource/best-practices-for-infrastructure-as-code-iac/</t>
  </si>
  <si>
    <t>-</t>
  </si>
  <si>
    <t>dash</t>
  </si>
  <si>
    <t>https://humanitec.com/blog/infrastructure-as-code-the-good-the-bad-and-the-future</t>
  </si>
  <si>
    <t>Infrastructure as Code: The Good, the Bad and the Future</t>
  </si>
  <si>
    <t>Luca Galante</t>
  </si>
  <si>
    <t>Humanitec</t>
  </si>
  <si>
    <t>Serverless Framework</t>
  </si>
  <si>
    <t>AWS Amplify</t>
  </si>
  <si>
    <t>https://www.atlassian.com/microservices/cloud-computing/infrastructure-as-code</t>
  </si>
  <si>
    <t>Ian Buchanan</t>
  </si>
  <si>
    <t>Atlassian</t>
  </si>
  <si>
    <t>Infrastructure as code</t>
  </si>
  <si>
    <t>terraform validate</t>
  </si>
  <si>
    <t>TFLint</t>
  </si>
  <si>
    <t>puppet parser validate</t>
  </si>
  <si>
    <t>https://shahadarsh.com/2020/07/12/principles-patterns-and-practices-for-effective-infrastructure-as-code/</t>
  </si>
  <si>
    <t>Infrastructure as Code: Principles, Patterns, and Practices</t>
  </si>
  <si>
    <t>Adarsh Shah</t>
  </si>
  <si>
    <t>goss</t>
  </si>
  <si>
    <t>https://www.aquasec.com/cloud-native-academy/devsecops/infrastructure-as-code-iac/</t>
  </si>
  <si>
    <t>Infrastructure as Code (IaC): The Complete Guide</t>
  </si>
  <si>
    <t>Trivy</t>
  </si>
  <si>
    <t>Aquasec</t>
  </si>
  <si>
    <t>https://developerexperience.io/practices/infrastructure-as-code</t>
  </si>
  <si>
    <t>Developer Experience</t>
  </si>
  <si>
    <t>https://www.pulumi.com/what-is/what-is-infrastructure-as-code/</t>
  </si>
  <si>
    <t>https://www.golibrary.co/infrastructure-as-code-orchestration-provisioning-configuration-management-ansible-terraform/</t>
  </si>
  <si>
    <t>Prayag Sangode</t>
  </si>
  <si>
    <t>GoLibrary</t>
  </si>
  <si>
    <t>Infrastructure as Code – Orchestration, Provisioning &amp; Configuration Management (Ansible &amp; Terraform)</t>
  </si>
  <si>
    <t>AWS Copilot</t>
  </si>
  <si>
    <t>https://juju.is/blog/juju-vs-infrastructure-as-code-tools</t>
  </si>
  <si>
    <t>Juju vs Infrastructure as Code Tools</t>
  </si>
  <si>
    <t>Helm</t>
  </si>
  <si>
    <t>Why Infrastructure As Code?</t>
  </si>
  <si>
    <t>https://www.simplethread.com/why-infrastructure-as-code/</t>
  </si>
  <si>
    <t>SimpleThread</t>
  </si>
  <si>
    <t>Justin Etheredge</t>
  </si>
  <si>
    <t>App Container Spec (appc)</t>
  </si>
  <si>
    <r>
      <rPr>
        <sz val="11"/>
        <rFont val="Calibri"/>
        <family val="2"/>
        <scheme val="minor"/>
      </rPr>
      <t xml:space="preserve">Ariane Rüdiger
</t>
    </r>
    <r>
      <rPr>
        <sz val="9"/>
        <rFont val="Merriweather"/>
      </rPr>
      <t>Ulrike Ostler</t>
    </r>
  </si>
  <si>
    <t>DataCenter Insider</t>
  </si>
  <si>
    <t>https://www.datacenter-insider.de/was-ist-infrastructure-as-code-iac-a-909973/</t>
  </si>
  <si>
    <t>HPE Synergy</t>
  </si>
  <si>
    <t>https://www.prancer.io/a-guide-to-infrastructure-as-code-iac/</t>
  </si>
  <si>
    <t>A Guide to Infrastructure as Code (IaC)</t>
  </si>
  <si>
    <t>sonu</t>
  </si>
  <si>
    <t>https://cycode.com/blog/8-best-practices-for-securing-infrastructure-as-code/</t>
  </si>
  <si>
    <t>Tony Loehr</t>
  </si>
  <si>
    <t>Cycode</t>
  </si>
  <si>
    <t>8 Infrastructure as Code Best Practices for Security</t>
  </si>
  <si>
    <t>https://www.trustsoft.eu/blog/aws-infrastructure-as-a-code-with-aws-cloudformation-and-terraform</t>
  </si>
  <si>
    <t>cfn-lint</t>
  </si>
  <si>
    <t>Automation in AWS - Infrastructure as a Code with AWS CloudFormation and Terraform</t>
  </si>
  <si>
    <t>Vladimír Šimek</t>
  </si>
  <si>
    <t>https://datafloq.com/read/infrastructure-code-benefits-tools/</t>
  </si>
  <si>
    <t>Ekaterina Novoseltseva </t>
  </si>
  <si>
    <t>Datafloq</t>
  </si>
  <si>
    <t>Infrastructure as Code: 9 Benefits &amp; 4 IaC Tools</t>
  </si>
  <si>
    <t>Introducing Infrastructure as Code</t>
  </si>
  <si>
    <t>https://www.linode.com/docs/guides/introduction-to-infrastructure-as-code/</t>
  </si>
  <si>
    <t>linode</t>
  </si>
  <si>
    <t>Jeff Novotny</t>
  </si>
  <si>
    <t>https://en.wikipedia.org/wiki/Comparison_of_open-source_configuration_management_software</t>
  </si>
  <si>
    <t>https://cloudrail.app/blog/5-reasons-why-infrastructure-as-code-is-the-linchpin-of-infrastructure-automation/</t>
  </si>
  <si>
    <t>5 Reasons why Infrastructure as Code is the linchpin of Infrastructure Automation</t>
  </si>
  <si>
    <t>Ulrica de Fort-Menares</t>
  </si>
  <si>
    <t>Cloudrail</t>
  </si>
  <si>
    <t>https://harness.io/blog/devops/infrastructure-as-code/</t>
  </si>
  <si>
    <t>Harness</t>
  </si>
  <si>
    <t>Infrastructure As Code (IaC): How To Implement Best Practices</t>
  </si>
  <si>
    <t>Marcus Bastian</t>
  </si>
  <si>
    <t>https://www.ajmerainfotech.com/infrastructure-as-code</t>
  </si>
  <si>
    <t>Ajmera Infotech</t>
  </si>
  <si>
    <t>https://cyral.com/glossary/infrastructure-as-code/</t>
  </si>
  <si>
    <t>Cyral</t>
  </si>
  <si>
    <t>https://devops.com/updating-and-managing-infrastructure-as-code-iac/</t>
  </si>
  <si>
    <t>Updating and Managing Infrastructure-as-Code (IaC)</t>
  </si>
  <si>
    <t>Only mentions Terraform</t>
  </si>
  <si>
    <t>https://www.meshcloud.io/2020/03/13/testing-infrastructure-as-code/</t>
  </si>
  <si>
    <t>Testing Infrastructure as Code (IaC): The Definitive Guide 2020</t>
  </si>
  <si>
    <t>Wulf Schiemann</t>
  </si>
  <si>
    <t>https://focus.sva.de/wie-kann-ich-eine-infrastrukturautomatisierung-umsetzen/</t>
  </si>
  <si>
    <t>SVA</t>
  </si>
  <si>
    <t>Jan Neff</t>
  </si>
  <si>
    <t>Infrastructure as Code (IaC) – Wie kann ich eine Infrastrukturautomatisierung umsetzen?</t>
  </si>
  <si>
    <t>https://www.cuelogic.com/blog/infrastructure-as-code</t>
  </si>
  <si>
    <t>What is Infrastructure as Code and How Can You Leverage It?</t>
  </si>
  <si>
    <t>Terence Nero</t>
  </si>
  <si>
    <t>https://ebs-integrator.com/blog/infrastructure-as-code-devops-best-practices-2021/</t>
  </si>
  <si>
    <t>ALEXANDRU ȘURA</t>
  </si>
  <si>
    <t>EBSintegrator</t>
  </si>
  <si>
    <t>Infrastructure as Code – DevOps best practices in 2021 and beyond!</t>
  </si>
  <si>
    <t>https://www.thoughtworks.com/content/dam/thoughtworks/documents/radar/2022/03/tr_technology_radar_vol_26_en.pdf</t>
  </si>
  <si>
    <t>Technology Radar Volume 26</t>
  </si>
  <si>
    <t>thoughworks</t>
  </si>
  <si>
    <t>conftest</t>
  </si>
  <si>
    <t>terraform validator</t>
  </si>
  <si>
    <t>Cloud Carbon Footprint (CCF)</t>
  </si>
  <si>
    <t>kube-score</t>
  </si>
  <si>
    <t>infracost</t>
  </si>
  <si>
    <t>https://deepinspire.com/blog/what_is_infrastructure_as_code/</t>
  </si>
  <si>
    <t>What Is Infrastructure as Code (IaC) and What Problems Can It Solve?</t>
  </si>
  <si>
    <t>DeepInspire</t>
  </si>
  <si>
    <t>blogdeepinspire</t>
  </si>
  <si>
    <t>https://www.hpe.com/de/de/what-is/infrastructure-as-code.html</t>
  </si>
  <si>
    <t>WHAT IS INFRASTRUCTURE AS CODE?</t>
  </si>
  <si>
    <t>B</t>
  </si>
  <si>
    <t>https://livebook.manning.com/book/essential-infrastructure-as-code/chapter-1/v-6/</t>
  </si>
  <si>
    <t>Rosemary Wang</t>
  </si>
  <si>
    <t>EC2 Image builder</t>
  </si>
  <si>
    <t>Azure VM Image Builder</t>
  </si>
  <si>
    <t>https://openupthecloud.com/infrastructure-as-code-ultimate-guide/</t>
  </si>
  <si>
    <t>Infrastructure As Code: An Ultimate Guide</t>
  </si>
  <si>
    <t>Open Up the Cloud</t>
  </si>
  <si>
    <t>https://www.paloaltonetworks.de/prisma/cloud/infrastructure-as-code-security</t>
  </si>
  <si>
    <t>IaC-Sicherheit (Infrastructure-as-Code)</t>
  </si>
  <si>
    <t>Commercial Offering</t>
  </si>
  <si>
    <t>https://www.vmware.com/topics/glossary/content/infrastructure-as-code.html</t>
  </si>
  <si>
    <t>Gui Alvarenga</t>
  </si>
  <si>
    <t>Crowdstrike</t>
  </si>
  <si>
    <t>https://www.crowdstrike.com/cybersecurity-101/infrastructure-as-code-iac/</t>
  </si>
  <si>
    <t>WHAT IS INFRASTRUCTURE AS CODE (IAC)?</t>
  </si>
  <si>
    <t>https://blog.equinix.com/blog/2021/04/05/infrastructure-as-code/</t>
  </si>
  <si>
    <t>Equinix</t>
  </si>
  <si>
    <t>Ramchandra Koty
Vanjikumaran Sivajothy</t>
  </si>
  <si>
    <t>What Is Infrastructure As Code And Why Is It Important?</t>
  </si>
  <si>
    <t>https://www.whizlabs.com/blog/infrastructure-as-code/</t>
  </si>
  <si>
    <t>Whizlabs</t>
  </si>
  <si>
    <t>Jagan PJ</t>
  </si>
  <si>
    <t>Top 20 Best Infrastructure as Code Tools for the Cloud AWS/Azure/GCP</t>
  </si>
  <si>
    <t>Hitesh Jethva</t>
  </si>
  <si>
    <t>https://cloudinfrastructureservices.co.uk/best-infrastructure-as-code-tools-for-the-cloud-aws-azure-gcp/</t>
  </si>
  <si>
    <t>C</t>
  </si>
  <si>
    <t>Cloud Infrastructure Services</t>
  </si>
  <si>
    <t>Git</t>
  </si>
  <si>
    <t>Splunk</t>
  </si>
  <si>
    <t>Selenium</t>
  </si>
  <si>
    <t>https://www.alibabacloud.com/blog/598086</t>
  </si>
  <si>
    <t>Managing Infrastructure as Code (IaC) on Alibaba Cloud</t>
  </si>
  <si>
    <t>Alibaba Cloud</t>
  </si>
  <si>
    <t>Ankit Mehta</t>
  </si>
  <si>
    <t>https://cloud.netapp.com/blog/why-you-need-infrastructure-as-code-to-do-devops-properly-cvo-blg</t>
  </si>
  <si>
    <t>Infrastructure as Code: DevOps Done Right</t>
  </si>
  <si>
    <t>NetApp</t>
  </si>
  <si>
    <t>https://mentormate.com/blog/build-secure-cloud-environments-with-infrastructure-as-code/</t>
  </si>
  <si>
    <t>Build Secure Cloud Environments With Infrastructure as Code</t>
  </si>
  <si>
    <t>Daniel Rankov</t>
  </si>
  <si>
    <t>Mentormate</t>
  </si>
  <si>
    <t>Infrastructure as Code — for everyone</t>
  </si>
  <si>
    <t>https://blog.runx.dev/infrastructure-as-code-for-everyone-7dad6b813cbc</t>
  </si>
  <si>
    <t>Ankur Dahiya</t>
  </si>
  <si>
    <t>Opta</t>
  </si>
  <si>
    <t>CDKTF </t>
  </si>
  <si>
    <t>7 Ways to Implement Infrastructure As Code on AWS</t>
  </si>
  <si>
    <t>ERIK LUNDEVALL-ZARA</t>
  </si>
  <si>
    <t>Tidy Cloud AWS</t>
  </si>
  <si>
    <t>AWS AppRunner</t>
  </si>
  <si>
    <t>https://tidycloudaws.com/7-ways-to-implement-infrastructure-as-code-on-aws/</t>
  </si>
  <si>
    <t>https://thenewstack.io/monitoring-as-code-what-it-is-and-why-you-need-it/</t>
  </si>
  <si>
    <t>Monitoring as Code: What It Is and Why You Need It</t>
  </si>
  <si>
    <t>Other topic</t>
  </si>
  <si>
    <t>Sean Porter</t>
  </si>
  <si>
    <t>https://www.fugue.co/infrastructure-as-code-security</t>
  </si>
  <si>
    <t>Infrastructure as Code (IaC)</t>
  </si>
  <si>
    <t>Fugue (Snyk)</t>
  </si>
  <si>
    <t>Infrastructure as code: Create and configure infrastructure elements in seconds</t>
  </si>
  <si>
    <t>https://stackoverflow.blog/2021/03/08/infrastructure-as-code-create-and-configure-infrastructure-elements-in-seconds/</t>
  </si>
  <si>
    <t>StackOverflow</t>
  </si>
  <si>
    <t>Theodoros Karasavvas</t>
  </si>
  <si>
    <t>PowerShell</t>
  </si>
  <si>
    <t>WILLIAM STARLING</t>
  </si>
  <si>
    <t>Bugsnag</t>
  </si>
  <si>
    <t>https://www.bugsnag.com/blog/infrastructure-as-code</t>
  </si>
  <si>
    <t>What is Infrastructure as Code? Understanding the essentials</t>
  </si>
  <si>
    <t>Lee Briggs</t>
  </si>
  <si>
    <t>https://opensource.com/article/20/8/infrastructure-as-code-pulumi</t>
  </si>
  <si>
    <t>Use your favorite programming language to provision Infrastructure as Code</t>
  </si>
  <si>
    <t>Opensource</t>
  </si>
  <si>
    <t>Infrastructure as Code vs. Infrastructure as Software</t>
  </si>
  <si>
    <t>https://caylent.com/blog/devops/iac-vs-ias</t>
  </si>
  <si>
    <t>Caylent</t>
  </si>
  <si>
    <t>Agustin Romano</t>
  </si>
  <si>
    <t>https://www.datree.io/resources/automated-testing-tools-for-infrastructure-as-code</t>
  </si>
  <si>
    <t>terratest</t>
  </si>
  <si>
    <t>OPA</t>
  </si>
  <si>
    <t>Automated Testing Tools for Infrastructure-as-Code</t>
  </si>
  <si>
    <t>Michael Hase</t>
  </si>
  <si>
    <t>IT-Business</t>
  </si>
  <si>
    <t>https://www.it-business.de/was-ist-infrastructure-as-code-a-985303/</t>
  </si>
  <si>
    <t>What is Infrastructure as Code? (IaC)</t>
  </si>
  <si>
    <t>https://www.liquidweb.com/kb/what-is-infrastructure-as-code-iac/</t>
  </si>
  <si>
    <t>Liquid Web</t>
  </si>
  <si>
    <t>Margaret Fitzgerald</t>
  </si>
  <si>
    <t>https://www.youtube.com/watch?v=kUGAiEONFd0</t>
  </si>
  <si>
    <t>Infrastructure-as-code Security: Why, What, and How</t>
  </si>
  <si>
    <t>Bridgecrew</t>
  </si>
  <si>
    <t>Barak Schoster</t>
  </si>
  <si>
    <t>https://www.youtube.com/watch?v=tN_nTEE48Ys</t>
  </si>
  <si>
    <t>Automate ISE Setup with Infrastructure as Code Tools</t>
  </si>
  <si>
    <t>Cisco isE</t>
  </si>
  <si>
    <t>https://www.youtube.com/watch?v=nUwj01ROjfs</t>
  </si>
  <si>
    <t>Learn about different open source based Infrastructure as Code (IAC) tools for DevOps</t>
  </si>
  <si>
    <t>Bryant</t>
  </si>
  <si>
    <t>Infrastructure as Code Tools</t>
  </si>
  <si>
    <t>https://www.youtube.com/watch?v=EtEb40LE5zQ</t>
  </si>
  <si>
    <t>Infrastructure as Code - Crash Course</t>
  </si>
  <si>
    <t>freeCodeCamp</t>
  </si>
  <si>
    <t>https://www.youtube.com/watch?v=jnxc4-KI0Rg</t>
  </si>
  <si>
    <t>DevOps Infrastructure as Code</t>
  </si>
  <si>
    <t>Simlileanr</t>
  </si>
  <si>
    <t>Kumara et al. (2021)</t>
  </si>
  <si>
    <t>The do’s and don’ts of infrastructure code: A systematic gray literature review</t>
  </si>
  <si>
    <t>Riti and Flynn (2021)</t>
  </si>
  <si>
    <t>Beginning HCL Programming</t>
  </si>
  <si>
    <t>Guerriero et al. (2019)</t>
  </si>
  <si>
    <t>Semi-structured interviews with 44 senior developers</t>
  </si>
  <si>
    <t>Adoption, Support, and Challenges of Infrastructure-as-Code: Insights from Industry</t>
  </si>
  <si>
    <t>Apache Brooklyn</t>
  </si>
  <si>
    <t>TOSCA</t>
  </si>
  <si>
    <t>Shell</t>
  </si>
  <si>
    <t>Cloudify</t>
  </si>
  <si>
    <t>Octopus Deploy</t>
  </si>
  <si>
    <t>Azure DevOps</t>
  </si>
  <si>
    <t>Özel et al. (2020)</t>
  </si>
  <si>
    <t>Analysis of observations, documentation, and interviews</t>
  </si>
  <si>
    <t>Infrastructure as Code als Maßnahme zur Cloud Automatisierung – Hilfestellung zur Auswahl des richtigen Werkzeugs</t>
  </si>
  <si>
    <t>J</t>
  </si>
  <si>
    <t>Practical experience</t>
  </si>
  <si>
    <t>Morris (2020)</t>
  </si>
  <si>
    <t>Bosh</t>
  </si>
  <si>
    <t>Terraform - Up and Running</t>
  </si>
  <si>
    <t>Brikman (2022)</t>
  </si>
  <si>
    <t>Meijer et al. (2022)</t>
  </si>
  <si>
    <t>Kim et al. (2016)</t>
  </si>
  <si>
    <t>The DevOps handbook</t>
  </si>
  <si>
    <t>Charon</t>
  </si>
  <si>
    <t>Dolstra et al. (2013)</t>
  </si>
  <si>
    <t>Charon: Declarative provisioning and deployment</t>
  </si>
  <si>
    <t>https://devopscube.com/devops-tools-for-infrastructure-automation/</t>
  </si>
  <si>
    <t>https://geekflare.com/container-orchestration-software/</t>
  </si>
  <si>
    <t>https://www.metricfire.com/blog/the-best-cloud-infrastructure-automation-tools/</t>
  </si>
  <si>
    <t># Tools mentioned</t>
  </si>
  <si>
    <t># Mentions</t>
  </si>
  <si>
    <t>Domain-Specific Language for Infrastructure as Code</t>
  </si>
  <si>
    <t xml:space="preserve">Shvetcova, V., Borisenko, O., &amp; Polischuk, M. (2019). </t>
  </si>
  <si>
    <t xml:space="preserve">Hasan, M. M., Bhuiyan, F. A., &amp; Rahman, A. (2020). </t>
  </si>
  <si>
    <t>Testing practices for infrastructure as code</t>
  </si>
  <si>
    <t>foodcritic</t>
  </si>
  <si>
    <t>molecule</t>
  </si>
  <si>
    <t>ansible-lint</t>
  </si>
  <si>
    <t>checkov</t>
  </si>
  <si>
    <t>terrascan</t>
  </si>
  <si>
    <t>GitHub</t>
  </si>
  <si>
    <t>sentinel</t>
  </si>
  <si>
    <t>terraform-compliance</t>
  </si>
  <si>
    <t>inspec</t>
  </si>
  <si>
    <t>serverspec</t>
  </si>
  <si>
    <t>Terraform Up and Running</t>
  </si>
  <si>
    <t>cfn_nag</t>
  </si>
  <si>
    <t>awspec</t>
  </si>
  <si>
    <t>clarity</t>
  </si>
  <si>
    <t>taskcat</t>
  </si>
  <si>
    <t>Ansible Up and Running</t>
  </si>
  <si>
    <t>ansible-later</t>
  </si>
  <si>
    <t>TestInfra</t>
  </si>
  <si>
    <t>Burns et al. (2022)</t>
  </si>
  <si>
    <t>Kubernetes - Up and Running</t>
  </si>
  <si>
    <t>Butcher et al. (2021)</t>
  </si>
  <si>
    <t>Learning Helm</t>
  </si>
  <si>
    <t>helm lint</t>
  </si>
  <si>
    <t>helm --dry-run</t>
  </si>
  <si>
    <t>helm validate</t>
  </si>
  <si>
    <t>The DevOps Handbook</t>
  </si>
  <si>
    <t>puppet-lint</t>
  </si>
  <si>
    <t xml:space="preserve">Dallapalma, S., Di Nucci, D., Palomba, F., &amp; Tamburri, D. A. (2021). </t>
  </si>
  <si>
    <t>Within-Project Defect Prediction of Infrastructure-as-Code Using Product and Process Metrics</t>
  </si>
  <si>
    <t>Characteristics of Defective Infrastructure as Code Scripts in DevOps</t>
  </si>
  <si>
    <t>Rahman, A. (2018)</t>
  </si>
  <si>
    <t>Bugs in Infrastructure as Code</t>
  </si>
  <si>
    <t>Characterizing Co-located Insecure Coding Patterns in Infrastructure as Code Scripts</t>
  </si>
  <si>
    <t>Code Smells in Infrastructure as Code</t>
  </si>
  <si>
    <t>Rahman, Bhuiyan (2020)</t>
  </si>
  <si>
    <t>Schwarz, Steffens, Lichter</t>
  </si>
  <si>
    <t>Rehearsal</t>
  </si>
  <si>
    <t>Schwarz, Steffens, Lichter (2018)</t>
  </si>
  <si>
    <t>Rehearsal: A Configuration Verification Tool for Puppet</t>
  </si>
  <si>
    <t>Shambaugh, Weiss, Guha (2015)</t>
  </si>
  <si>
    <t>IaC Code security and components security inspection – v1</t>
  </si>
  <si>
    <t>Anylint</t>
  </si>
  <si>
    <t>Super-linter</t>
  </si>
  <si>
    <t>Mega-linter</t>
  </si>
  <si>
    <t>CloudSploit</t>
  </si>
  <si>
    <t>Terrafirma</t>
  </si>
  <si>
    <t>Cookstyle</t>
  </si>
  <si>
    <t>tosca-parser</t>
  </si>
  <si>
    <t>x-opera-opera</t>
  </si>
  <si>
    <t>hadolint</t>
  </si>
  <si>
    <t>pylint</t>
  </si>
  <si>
    <t>bandit</t>
  </si>
  <si>
    <t>pyup</t>
  </si>
  <si>
    <t>checkstyle</t>
  </si>
  <si>
    <t>htmllint</t>
  </si>
  <si>
    <t>eslint</t>
  </si>
  <si>
    <t>TypeScript Eslint</t>
  </si>
  <si>
    <t>ShellCheck</t>
  </si>
  <si>
    <t>GitLeaks</t>
  </si>
  <si>
    <t>git-secrets</t>
  </si>
  <si>
    <t>Markdown lint</t>
  </si>
  <si>
    <t>Gixy</t>
  </si>
  <si>
    <t>Dependency-Check</t>
  </si>
  <si>
    <t>Luzar, Anže; Celozzi, Giuseppe; Cankar, Matija</t>
  </si>
  <si>
    <t>https://cheatsheetseries.owasp.org/cheatsheets/Infrastructure_as_Code_Security_Cheat_Sheet.html</t>
  </si>
  <si>
    <t>Infrastructure as Code Security Cheatsheet</t>
  </si>
  <si>
    <t>kubescan</t>
  </si>
  <si>
    <t>docker-linter</t>
  </si>
  <si>
    <t>docker-vulnerability-extension</t>
  </si>
  <si>
    <t>Dagda</t>
  </si>
  <si>
    <t>Clair</t>
  </si>
  <si>
    <t>https://www.goncharov.xyz/it/200k-iac-en.html</t>
  </si>
  <si>
    <t>Lessons learned from testing Over 200,000 lines of Infrastructure Code</t>
  </si>
  <si>
    <t>Lev Goncharov</t>
  </si>
  <si>
    <t>Which Factors Influence Practitioners’ Usage of Build Automation Tools?</t>
  </si>
  <si>
    <t>Rahman, Partho, Meder, Williams</t>
  </si>
  <si>
    <t>Testing Idempotence for Infrastructure as Code</t>
  </si>
  <si>
    <t>Waldemar, Rosenberg, Oliveria, Eilam</t>
  </si>
  <si>
    <t>Where Are The Gaps? A Systematic Mapping Study of Infrastructure as Code Research</t>
  </si>
  <si>
    <t>Rahman, Mahdavi-Hezaveh, Williams</t>
  </si>
  <si>
    <t>Tortoise</t>
  </si>
  <si>
    <t>ConfigValidator</t>
  </si>
  <si>
    <t>ABS Modeling Language</t>
  </si>
  <si>
    <t>Argon</t>
  </si>
  <si>
    <t>Config ValidLang</t>
  </si>
  <si>
    <t>DevOpsLang</t>
  </si>
  <si>
    <t>Foreman</t>
  </si>
  <si>
    <t>Omnia</t>
  </si>
  <si>
    <t>Structured Information on State and Evolution of Dockerfiles on GitHub</t>
  </si>
  <si>
    <t>Schermann, Zumberi, Cito</t>
  </si>
  <si>
    <t>From Theory to Practice: The Challenges of a DevOps Infrastructure as Code Implementation</t>
  </si>
  <si>
    <t>Siebra, Lacerda, Cerqueira, …</t>
  </si>
  <si>
    <t>IBM Tivoli System Automation</t>
  </si>
  <si>
    <t>What Questions Do Programmers Ask About Configuration as Code?</t>
  </si>
  <si>
    <t>Rahman, Morrison, Williams</t>
  </si>
  <si>
    <t>How Open Source Projects use Static Code Analysis Tools in Continuous Integration Pipelines</t>
  </si>
  <si>
    <t>TOSCA-based Intent modelling: goal-modelling for infrastructure-as-code</t>
  </si>
  <si>
    <t>Tamburri, van den Heuvel, Lauwers, Liption, Palma, Rutkowski</t>
  </si>
  <si>
    <t>StackOverflow Developer Survey 2021</t>
  </si>
  <si>
    <t>snyk</t>
  </si>
  <si>
    <t>The 2021 IaC Report: Infrastructure as Code Security Insights</t>
  </si>
  <si>
    <t>Docker Compose</t>
  </si>
  <si>
    <t>Resource Identification</t>
  </si>
  <si>
    <t>19 DevOps Tools for Infrastructure Automation and Monitoring</t>
  </si>
  <si>
    <t>DevOpsCube</t>
  </si>
  <si>
    <t>Bibin Wilson</t>
  </si>
  <si>
    <t>Infrastructure Automation</t>
  </si>
  <si>
    <t>Asas Ali</t>
  </si>
  <si>
    <t>Orchestration Tool</t>
  </si>
  <si>
    <t>Rancher</t>
  </si>
  <si>
    <t>Containership</t>
  </si>
  <si>
    <t>AZK</t>
  </si>
  <si>
    <t>GKE</t>
  </si>
  <si>
    <t>AKS</t>
  </si>
  <si>
    <t>AWS EKS</t>
  </si>
  <si>
    <t>Vaibhav Thakur</t>
  </si>
  <si>
    <t>MetricFire</t>
  </si>
  <si>
    <t>The Best Cloud Infrastructure Automation Tools</t>
  </si>
  <si>
    <t>Wikipedia</t>
  </si>
  <si>
    <t>Comparison of open-source configuration management software</t>
  </si>
  <si>
    <t>Applied Search String</t>
  </si>
  <si>
    <t>14 Container Orchestration Tools for DevOps</t>
  </si>
  <si>
    <t>16 Best Container Orchestration Tools and Services</t>
  </si>
  <si>
    <t>https://devopscube.com/docker-container-clustering-tools/</t>
  </si>
  <si>
    <t>Fargate</t>
  </si>
  <si>
    <t>Digital Ocean Kubernetes Services</t>
  </si>
  <si>
    <t>Linode</t>
  </si>
  <si>
    <t>Google Cloud Run</t>
  </si>
  <si>
    <t>Orchestration &amp; Scheduling Tools</t>
  </si>
  <si>
    <t>https://www.plutora.com/ci-cd-tools/orchestration-scheduling-tools</t>
  </si>
  <si>
    <t>Plutora</t>
  </si>
  <si>
    <t>Portainer</t>
  </si>
  <si>
    <t>Mirantis Kubernetes Engine</t>
  </si>
  <si>
    <t>Mesosphere</t>
  </si>
  <si>
    <t>Top 10 Container Orchestration Tools</t>
  </si>
  <si>
    <t>https://appfleet.com/blog/top-10-container-orchestration-tools/</t>
  </si>
  <si>
    <t>applfleet</t>
  </si>
  <si>
    <t>Helios</t>
  </si>
  <si>
    <t>https://en.wikipedia.org/wiki/Orchestration_(computing)</t>
  </si>
  <si>
    <t>Orchestration (computing)</t>
  </si>
  <si>
    <t>Best Container Orchestration Tools for 2021</t>
  </si>
  <si>
    <t>ANDREJA VELIMIROVIC</t>
  </si>
  <si>
    <t>https://phoenixnap.com/blog/container-orchestration-tools</t>
  </si>
  <si>
    <t>IBM Cloud Kubernetes</t>
  </si>
  <si>
    <t>Azure Service Fabric</t>
  </si>
  <si>
    <t>https://www.redhat.com/en/topics/containers/what-is-container-orchestration</t>
  </si>
  <si>
    <t>Does only mention Kubernetes and RedHat OpenShift</t>
  </si>
  <si>
    <t>What is container orchestration?</t>
  </si>
  <si>
    <t>What Are Orchestration Tools?</t>
  </si>
  <si>
    <t>https://cloudify.co/what-are-orchestration-tools/</t>
  </si>
  <si>
    <t>IBM Orchestrator Platform</t>
  </si>
  <si>
    <t>https://www.dev-insider.de/container-orchestration-tools-im-vergleich-a-888150/</t>
  </si>
  <si>
    <t>From 2019</t>
  </si>
  <si>
    <t>Container Orchestration Tools im Vergleich</t>
  </si>
  <si>
    <t>Compare open source orchestration tools for DevOps</t>
  </si>
  <si>
    <t>https://www.techtarget.com/searchitoperations/tip/Compare-open-source-orchestration-tools-for-DevOps</t>
  </si>
  <si>
    <t>Kerry Doyle</t>
  </si>
  <si>
    <t>https://www.hitechnectar.com/blogs/the-best-data-orchestration-tools-that-businesses-should-be-aware-of/</t>
  </si>
  <si>
    <t>The Best Data Orchestration Tools For Businesses</t>
  </si>
  <si>
    <t>Kelsey Taylor</t>
  </si>
  <si>
    <t>Data Orchestration not Infrastructure Orchestration</t>
  </si>
  <si>
    <t>Top 5 Open Source Container Orchestration Tools for DevOps 2021</t>
  </si>
  <si>
    <t>https://blog.containerize.com/2021/10/11/top-5-open-source-container-orchestration-tools-for-devops-in-2021/</t>
  </si>
  <si>
    <t>Containerize</t>
  </si>
  <si>
    <t>Yasir Saeed</t>
  </si>
  <si>
    <t>A Performance Comparison of Cloud-Based Container Orchestration Tools</t>
  </si>
  <si>
    <t>https://ieeexplore.ieee.org/document/8944745</t>
  </si>
  <si>
    <t>What Is Container Orchestration? Here's Your Complete Guide</t>
  </si>
  <si>
    <t>https://www.cloudzero.com/blog/container-orchestration</t>
  </si>
  <si>
    <t>Cloudzero</t>
  </si>
  <si>
    <t>Innovate faster with cloud automation tools</t>
  </si>
  <si>
    <t>https://www.ovhcloud.com/asia/public-cloud/orchestration/</t>
  </si>
  <si>
    <t>Only proprietary tools</t>
  </si>
  <si>
    <t>Best Workflow and Pipeline Orchestration Tools: Machine Learning Guide</t>
  </si>
  <si>
    <t>https://neptune.ai/blog/best-workflow-and-pipeline-orchestration-tools</t>
  </si>
  <si>
    <t>Machine Learning Orchestration Tools not Infrastructure Orchestration</t>
  </si>
  <si>
    <t>Author Krissanawat Kaewsanmua</t>
  </si>
  <si>
    <t>https://konghq.com/learning-center/microservices/microservices-orchestration</t>
  </si>
  <si>
    <t>Microservices Orchestration</t>
  </si>
  <si>
    <t>Kong</t>
  </si>
  <si>
    <t>What is Network Orchestration?</t>
  </si>
  <si>
    <t>https://www.appviewx.com/education-center/what-is-network-orchestration/</t>
  </si>
  <si>
    <t>Network Orchestration not Infrastructure Orchestration</t>
  </si>
  <si>
    <t>Cloud Orchestration</t>
  </si>
  <si>
    <t>https://fuga.cloud/cloud-orchestration/</t>
  </si>
  <si>
    <t>Fuga Cloud</t>
  </si>
  <si>
    <t>https://docs.docker.com/get-started/orchestration/</t>
  </si>
  <si>
    <t>Orchestration</t>
  </si>
  <si>
    <t>From Docker</t>
  </si>
  <si>
    <t>https://zivaro.com/why-morpheus-cloud-orchestration-tools-outshine-the-competition/</t>
  </si>
  <si>
    <t>Why Morpheus Cloud Orchestration Tools Outshine the Competition</t>
  </si>
  <si>
    <t>Proprietary and from 2017</t>
  </si>
  <si>
    <t>Why we use Terraform and not Chef, Puppet, Ansible, SaltStack, or CloudFormation</t>
  </si>
  <si>
    <t>https://blog.gruntwork.io/why-we-use-terraform-and-not-chef-puppet-ansible-saltstack-or-cloudformation-7989dad2865c</t>
  </si>
  <si>
    <t>Yevgeniy Brikman</t>
  </si>
  <si>
    <t>Gruntwork</t>
  </si>
  <si>
    <t>Comment</t>
  </si>
  <si>
    <t>Author of Terraform: Up &amp; Running</t>
  </si>
  <si>
    <t>Customer journey orchestration</t>
  </si>
  <si>
    <t>https://business.adobe.com/sg/glossary/customer-journey-orchestration.html</t>
  </si>
  <si>
    <t>Customer Journey Orchestration not Infrastructure Orchestration</t>
  </si>
  <si>
    <t>Cisco Network Services Orchestrator (NSO)</t>
  </si>
  <si>
    <t>https://www.cisco.com/c/en/us/products/cloud-systems-management/network-services-orchestrator/index.html</t>
  </si>
  <si>
    <t>Security Orchestration</t>
  </si>
  <si>
    <t>https://swimlane.com/solutions/security-automation-and-orchestration/security-orchestration</t>
  </si>
  <si>
    <t>Security Orchestration not Infrastructure Orchestration</t>
  </si>
  <si>
    <t>Job Orchestration Tools: Here’s What You Need to Know</t>
  </si>
  <si>
    <t>https://www.advsyscon.com/blog/job-orchestration-tools/</t>
  </si>
  <si>
    <t>Job Orchestration not Infrastructure Orchestration</t>
  </si>
  <si>
    <t> Brian McHugh</t>
  </si>
  <si>
    <t>Application Release Orchestration Reviews and Ratings</t>
  </si>
  <si>
    <t>https://www.gartner.com/reviews/market/application-release-orchestration-solutions</t>
  </si>
  <si>
    <t>Not Infrastructure Orchestration</t>
  </si>
  <si>
    <t>What Is Process Orchestration Software And How Should It Be Used?</t>
  </si>
  <si>
    <t>Process Orchestration Not Infrastructure Orchestration</t>
  </si>
  <si>
    <t>Tonkean</t>
  </si>
  <si>
    <t>https://tonkean.com/blog/it/IT2/what-is-process-orchestration/</t>
  </si>
  <si>
    <t>Orchestration tools and user interfaces</t>
  </si>
  <si>
    <t>https://www.ibm.com/docs/en/cloud-paks/cp-network-auto/2.1.x?topic=using-tools-user-interfaces</t>
  </si>
  <si>
    <t>https://www.ibm.com/docs/en/was-zos/8.5.5?topic=SS7K4U_8.5.5/com.ibm.websphere.nd.multiplatform.doc/ae/trun_create_templates.html</t>
  </si>
  <si>
    <t>Creating server templates</t>
  </si>
  <si>
    <t>IBM WebSphere specific</t>
  </si>
  <si>
    <t>Duplicate</t>
  </si>
  <si>
    <t>https://www.doctra.de/media/attachments/2020/10/13/fact-sheet_templatetools.pdf</t>
  </si>
  <si>
    <t>DOCTRA Template Tools for OpenText Content Server</t>
  </si>
  <si>
    <t>No Server Templating</t>
  </si>
  <si>
    <t>2 Free Server and Hardware Inventory Templates</t>
  </si>
  <si>
    <t>https://www.techtarget.com/whatis/2-Free-Server-and-Hardware-Inventory-Templates</t>
  </si>
  <si>
    <t>Whatls.com</t>
  </si>
  <si>
    <t>Kevin Ferguson</t>
  </si>
  <si>
    <t>Azure Resource Explorer</t>
  </si>
  <si>
    <t>VMware Windows Server 2019 Template Best Practices</t>
  </si>
  <si>
    <t>https://www.virtualizationhowto.com/2020/07/vmware-windows-server-2019-template-best-practices/</t>
  </si>
  <si>
    <t>No Server Templating Tools</t>
  </si>
  <si>
    <t>Brandon Lee</t>
  </si>
  <si>
    <t>Infrastructure as Code (IaC): Comparing the Tools</t>
  </si>
  <si>
    <t>https://techcommunity.microsoft.com/t5/itops-talk-blog/infrastructure-as-code-iac-comparing-the-tools/ba-p/3205045</t>
  </si>
  <si>
    <t>Microsoft</t>
  </si>
  <si>
    <t>April Edwards</t>
  </si>
  <si>
    <t>https://www.baeldung.com/spring-template-engines</t>
  </si>
  <si>
    <t>Template Engines for Spring</t>
  </si>
  <si>
    <t>Bealdung</t>
  </si>
  <si>
    <t>11 BEST Software Configuration Management Tools (SCM Tools In 2022)</t>
  </si>
  <si>
    <t>https://www.softwaretestinghelp.com/top-5-software-configuration-management-tools/</t>
  </si>
  <si>
    <t>Software Testing Help</t>
  </si>
  <si>
    <t>Auvik</t>
  </si>
  <si>
    <t>Rudder</t>
  </si>
  <si>
    <t>Bamboo Configuration Management</t>
  </si>
  <si>
    <t>TeamCity Configuration Tool</t>
  </si>
  <si>
    <t>5 Best Configuration Management Tools in DevOps</t>
  </si>
  <si>
    <t>https://geekflare.com/config-management-tools/</t>
  </si>
  <si>
    <t>Elly Obare</t>
  </si>
  <si>
    <t>Top 23 Software Configuration Management (SCM) Tools</t>
  </si>
  <si>
    <t>https://startupstash.com/software-configuration-management-scm-tools/</t>
  </si>
  <si>
    <t>Starup Stash</t>
  </si>
  <si>
    <t>IBM Rational Team Concert</t>
  </si>
  <si>
    <t>ConfigHub</t>
  </si>
  <si>
    <t>ButterCMS</t>
  </si>
  <si>
    <t>AWS OpsWorks</t>
  </si>
  <si>
    <t>SVN</t>
  </si>
  <si>
    <t>IBM Rational Clearcase</t>
  </si>
  <si>
    <t>Concurrent Version System</t>
  </si>
  <si>
    <t>Borland StarTeam</t>
  </si>
  <si>
    <t>Hyscale</t>
  </si>
  <si>
    <t>Alibaba Application Configuration Management</t>
  </si>
  <si>
    <t>https://blog.hubspot.com/website/configuration-management</t>
  </si>
  <si>
    <t>What Is Configuration Management? Everything You Need to Know</t>
  </si>
  <si>
    <t>Hubspot</t>
  </si>
  <si>
    <t>Stephen Roddewig</t>
  </si>
  <si>
    <t>10 CONFIGURATION MANAGEMENT TOOLS THE EXPERTS LOVE</t>
  </si>
  <si>
    <t>Jason Boog</t>
  </si>
  <si>
    <t>QA Lead</t>
  </si>
  <si>
    <t>https://theqalead.com/tools/configuration-management-tools/</t>
  </si>
  <si>
    <t>ManageEngine ServiceDesk Plus</t>
  </si>
  <si>
    <t>Micro Focus Configuration Management System</t>
  </si>
  <si>
    <t>SysAid</t>
  </si>
  <si>
    <t>Comindware</t>
  </si>
  <si>
    <t>Top Configuration Management Tools &amp; Software 2022</t>
  </si>
  <si>
    <t>https://www.itbusinessedge.com/applications/configuration-management-tools/</t>
  </si>
  <si>
    <t>IT Business Edge</t>
  </si>
  <si>
    <t>Jenn Fulmer</t>
  </si>
  <si>
    <t>The 12 Most Effective and Popular Software Configuration Management Tools Used Today</t>
  </si>
  <si>
    <t>https://www.simplilearn.com/configuration-management-tools-article</t>
  </si>
  <si>
    <t>SimpliLearn</t>
  </si>
  <si>
    <t>RackHD</t>
  </si>
  <si>
    <t>Top 7 Configuration Management Tools</t>
  </si>
  <si>
    <t>https://www.datamation.com/applications/top-7-configuration-management-tools/</t>
  </si>
  <si>
    <t>Datamation</t>
  </si>
  <si>
    <t>Sean Michael Kerner</t>
  </si>
  <si>
    <t>The Definitive Guide to Configuration Management Tools</t>
  </si>
  <si>
    <t>https://coralogix.com/blog/the-definitive-guide-to-configuration-management-tools/</t>
  </si>
  <si>
    <t>Coralogix</t>
  </si>
  <si>
    <t>Dário Estevão 
Rafael Miranda</t>
  </si>
  <si>
    <t>15 BEST Software Configuration Management Tools (2022)</t>
  </si>
  <si>
    <t>https://www.guru99.com/software-configuration-management-tools.html</t>
  </si>
  <si>
    <t>Guru99</t>
  </si>
  <si>
    <t>Matthew Martin</t>
  </si>
  <si>
    <t>Desktop Central</t>
  </si>
  <si>
    <t>Spinnaker</t>
  </si>
  <si>
    <t>ZENworks Configuration Management</t>
  </si>
  <si>
    <t>https://www.techtarget.com/searchitoperations/feature/Review-the-top-configuration-management-tools-in-DevOps</t>
  </si>
  <si>
    <t>Review the top configuration management tools in DevOps</t>
  </si>
  <si>
    <t>Email has to be provided</t>
  </si>
  <si>
    <t>https://www.computerwoche.de/a/die-besten-loesungen,3551602</t>
  </si>
  <si>
    <t>Configuration Management Software: Die besten Lösungen</t>
  </si>
  <si>
    <t>BMC TrueSight Server Automation</t>
  </si>
  <si>
    <t>Quest KACE Systemverwaltung</t>
  </si>
  <si>
    <t>Red Hat Satellite</t>
  </si>
  <si>
    <t>vCenter Configuration Manager</t>
  </si>
  <si>
    <t>https://www.suse.com/suse-defines/definition/configuration-management-tools/</t>
  </si>
  <si>
    <t>Suse</t>
  </si>
  <si>
    <t>https://itoutposts.com/blog/devops-configuration-management-tools/</t>
  </si>
  <si>
    <t>Top-10 DevOps Configuration Management Tools</t>
  </si>
  <si>
    <t>Dmitry Vishnyov</t>
  </si>
  <si>
    <t>ItOutPosts</t>
  </si>
  <si>
    <t>Best Configuration Management Software</t>
  </si>
  <si>
    <t>https://www.g2.com/categories/configuration-management</t>
  </si>
  <si>
    <t>G2</t>
  </si>
  <si>
    <t>CloudBees CI</t>
  </si>
  <si>
    <t>ServiceNow</t>
  </si>
  <si>
    <t>Codenvy</t>
  </si>
  <si>
    <t>AWS CodePipeline</t>
  </si>
  <si>
    <t>Opsera</t>
  </si>
  <si>
    <t>Micro Focus AccuRev</t>
  </si>
  <si>
    <t>Strongpoint</t>
  </si>
  <si>
    <t>BackBox</t>
  </si>
  <si>
    <t>Optimizely Web Experimentation</t>
  </si>
  <si>
    <t>ConfigCat</t>
  </si>
  <si>
    <t>Split</t>
  </si>
  <si>
    <t>CA Harvest Software Change Manager</t>
  </si>
  <si>
    <t>Fugue</t>
  </si>
  <si>
    <t>Digital.ai Deploy</t>
  </si>
  <si>
    <t>CA Endevor</t>
  </si>
  <si>
    <t>Only first page selected (29 of 105 results in total), filtered by popularity</t>
  </si>
  <si>
    <t>https://docs.microsoft.com/en-us/mem/configmgr/core/support/tools</t>
  </si>
  <si>
    <t>Configuration Manager Tools</t>
  </si>
  <si>
    <t>Only Microsoft tools</t>
  </si>
  <si>
    <t>Introduction to configuration management tools</t>
  </si>
  <si>
    <t>https://steampunk.si/blog/introduction-to-configuration-management-tools/</t>
  </si>
  <si>
    <t>Steampunk</t>
  </si>
  <si>
    <t>Gregor Berginc</t>
  </si>
  <si>
    <t>CONFIGURATION MANAGEMENT TOOLS: Ansible, Chef, Puppet und Saltstack im Vergleich</t>
  </si>
  <si>
    <t>https://www.golem.de/news/configuration-management-tools-ansible-chef-puppet-und-saltstack-im-vergleich-2009-150394.html</t>
  </si>
  <si>
    <t>Golem</t>
  </si>
  <si>
    <t>Boris Mayer</t>
  </si>
  <si>
    <t>https://www.tek-tools.com/network/best-network-configuration-management-tools</t>
  </si>
  <si>
    <t>Best Network Configuration Management Tools</t>
  </si>
  <si>
    <t>Network Configuration Management not Configuration Management</t>
  </si>
  <si>
    <t>https://www.capterra.com/configuration-tools-software/?sortOrder=highest_rated</t>
  </si>
  <si>
    <t>Too many unique and strange results that do not seem to be Configuration Management tools</t>
  </si>
  <si>
    <t>Network Automation</t>
  </si>
  <si>
    <t>Patrick Gargano</t>
  </si>
  <si>
    <t>Cisco</t>
  </si>
  <si>
    <t>https://www.ciscopress.com/articles/article.asp?p=3100057&amp;seqNum=3</t>
  </si>
  <si>
    <t>https://www.peerspot.com/categories/configuration-management</t>
  </si>
  <si>
    <t>PeerSpot</t>
  </si>
  <si>
    <t>Only top 8 rated results</t>
  </si>
  <si>
    <t>Software Configuration Management Tools</t>
  </si>
  <si>
    <t>https://www.educba.com/software-configuration-management-tools/</t>
  </si>
  <si>
    <t>Educba</t>
  </si>
  <si>
    <t>Swati Tawde</t>
  </si>
  <si>
    <t>https://www.atlassian.com/microservices</t>
  </si>
  <si>
    <t>Microservices and microservices architecture</t>
  </si>
  <si>
    <t>No Configuration Management Tools</t>
  </si>
  <si>
    <t>Software Configuration Management Tools 2019</t>
  </si>
  <si>
    <t>https://www.professionalqa.com/software-configuration-management-tools</t>
  </si>
  <si>
    <t>Professional QA</t>
  </si>
  <si>
    <t>Kamatera</t>
  </si>
  <si>
    <t>Q&amp;A: Configuration Management Tools vs Infrastructure as Code</t>
  </si>
  <si>
    <t>Michael J.</t>
  </si>
  <si>
    <t>https://www.linkedin.com/pulse/qa-configuration-management-tools-vs-infrastructure-code-jenkins</t>
  </si>
  <si>
    <t>11 Best Network Configuration Management Tools</t>
  </si>
  <si>
    <t>https://www.dnsstuff.com/network-configuration-management-tools</t>
  </si>
  <si>
    <t>Best Network Configuration Management Software &amp; Tools</t>
  </si>
  <si>
    <t>https://www.webservertalk.com/network-configuration-management-software</t>
  </si>
  <si>
    <t>Jeff Davies</t>
  </si>
  <si>
    <t>An Introduction to Configuration Management with Ansible</t>
  </si>
  <si>
    <t>https://www.digitalocean.com/community/conceptual_articles/an-introduction-to-configuration-management-with-ansible</t>
  </si>
  <si>
    <t>Guide specific for Ansible</t>
  </si>
  <si>
    <t>Best Free and Open Source Linux Configuration Management Software</t>
  </si>
  <si>
    <t>https://www.linuxlinks.com/best-free-open-source-linux-configuration-management-software/</t>
  </si>
  <si>
    <t>LinuxLinks</t>
  </si>
  <si>
    <t>Steve Emms</t>
  </si>
  <si>
    <t>Quattor</t>
  </si>
  <si>
    <t>cdist</t>
  </si>
  <si>
    <t>13 Best Configuration Management Tools of 2022</t>
  </si>
  <si>
    <t>https://www.rankred.com/configuration-management-tools/</t>
  </si>
  <si>
    <t>RankRed</t>
  </si>
  <si>
    <t>IBM Rational Synergy</t>
  </si>
  <si>
    <t>https://www.servertribe.com/agent-vs-agentless-configuration-management/</t>
  </si>
  <si>
    <t>Agent Vs Agentless Configuration Management</t>
  </si>
  <si>
    <t>Alexander Fashakin</t>
  </si>
  <si>
    <t>https://www.vmware.com/topics/glossary/content/configuration-management.html</t>
  </si>
  <si>
    <t>What is Configuration Management?</t>
  </si>
  <si>
    <t>https://sourceforge.net/software/software-configuration-management-scm/</t>
  </si>
  <si>
    <t>Software Configuration Management (SCM) Tools</t>
  </si>
  <si>
    <t>SourceForge</t>
  </si>
  <si>
    <t>Plastic SCM</t>
  </si>
  <si>
    <t>IBM Rational ClearQuest</t>
  </si>
  <si>
    <t>Surround SCM</t>
  </si>
  <si>
    <t>IBM Cloud Continuous Delivery</t>
  </si>
  <si>
    <t>ChangeMan ZMF</t>
  </si>
  <si>
    <t>Only first page, sorted by Most Reviews</t>
  </si>
  <si>
    <t>https://blog.invgate.com/configuration-and-change-management-tools</t>
  </si>
  <si>
    <t>What to Look For in Configuration and Change Management Tools?</t>
  </si>
  <si>
    <t>Emiliano Pardo Saguier</t>
  </si>
  <si>
    <t>How to Manage Network Configurations + Best Software to Automate Configuration Management</t>
  </si>
  <si>
    <t>https://logicalread.com/network-configuration-tools/#.YpCkkajP3Fc</t>
  </si>
  <si>
    <t>https://iamondemand.com/blog/8-configuration-management-tools-for-creating-serverless-apps-in-aws/</t>
  </si>
  <si>
    <t>8 Configuration Management Tools for Creating Serverless Apps in AWS</t>
  </si>
  <si>
    <t>IamOnDemand</t>
  </si>
  <si>
    <t>Kay</t>
  </si>
  <si>
    <t>Architect</t>
  </si>
  <si>
    <t>Claudia.js</t>
  </si>
  <si>
    <t>Configuration Management: What Is It and Why Is It Important?</t>
  </si>
  <si>
    <t>https://www.plutora.com/blog/configuration-management</t>
  </si>
  <si>
    <t>Circle CI</t>
  </si>
  <si>
    <t>GitLab CI</t>
  </si>
  <si>
    <t>GitLab</t>
  </si>
  <si>
    <t>Bitbucket</t>
  </si>
  <si>
    <t>Lou Bichard</t>
  </si>
  <si>
    <t>https://www.chef.io/products/chef-infra</t>
  </si>
  <si>
    <t>Powerful Policy-Based Configuration Management System Software</t>
  </si>
  <si>
    <t>Only Chef</t>
  </si>
  <si>
    <t>Software Configuration Management and Tools: Why Are They Important</t>
  </si>
  <si>
    <t>https://faun.pub/software-configuration-management-and-tools-why-are-they-important-cb6bb64ffd55</t>
  </si>
  <si>
    <t>Faun</t>
  </si>
  <si>
    <t>Top 11 Network Configuration Management Tools</t>
  </si>
  <si>
    <t>https://wisdomplexus.com/blogs/network-configuration-management-tools/</t>
  </si>
  <si>
    <t>https://www.microtool.de/en/knowledge-base/what-is-configuration-management/</t>
  </si>
  <si>
    <t>Configuration management. Manage work results.</t>
  </si>
  <si>
    <t>Network Configuration Management Tool</t>
  </si>
  <si>
    <t>https://www.solarwinds.com/de/network-configuration-manager/network-configuration-management-software</t>
  </si>
  <si>
    <t>Only SolarWinds</t>
  </si>
  <si>
    <t>https://www.techjockey.com/blog/best-software-configuration-management-tools</t>
  </si>
  <si>
    <t>10 Best Software Configuration Management Tools in DevOps (SCM Tools)</t>
  </si>
  <si>
    <t>Somya Gupta</t>
  </si>
  <si>
    <t>TechJockey</t>
  </si>
  <si>
    <t>What  Is Configuration Management? How to Prevent Hardware and Software Configuration Issues</t>
  </si>
  <si>
    <t>https://www.perforce.com/blog/mdx/hardware-software-configuration-management</t>
  </si>
  <si>
    <t>Michael Munsey</t>
  </si>
  <si>
    <t>https://www.youtube.com/watch?v=6aJ8qn8yV9U</t>
  </si>
  <si>
    <t>Mike Clayton</t>
  </si>
  <si>
    <t>Top 15 Configuration Management (CM) Tools</t>
  </si>
  <si>
    <t>https://www.spec-india.com/blog/configuration-management-tools</t>
  </si>
  <si>
    <t>Spec India</t>
  </si>
  <si>
    <t>https://www.ibm.com/docs/en/rtw/9.0.0?topic=assets-software-configuration-management</t>
  </si>
  <si>
    <t>Software configuration management</t>
  </si>
  <si>
    <t>Only IBM products</t>
  </si>
  <si>
    <t>What is Configuration Management? Importance and Tools</t>
  </si>
  <si>
    <t>https://thecyphere.com/blog/configuration-management/</t>
  </si>
  <si>
    <t>Cyphere</t>
  </si>
  <si>
    <t>IBM UrbanCode Deploy</t>
  </si>
  <si>
    <t>SpiraTeam</t>
  </si>
  <si>
    <t>Microsoft Operations Management Suite</t>
  </si>
  <si>
    <t>CollabNet Subversion</t>
  </si>
  <si>
    <t>Perforce Helix</t>
  </si>
  <si>
    <t>Microsoft Visual Studio Team System</t>
  </si>
  <si>
    <t>https://orcharhino.com/en/configuration-management/</t>
  </si>
  <si>
    <t>What is Configuration Management?</t>
  </si>
  <si>
    <t>OrchaRhino</t>
  </si>
  <si>
    <t>Configuration Management: Definition, Importance &amp; Benefits</t>
  </si>
  <si>
    <t>https://www.serverwatch.com/guides/configuration-management-definition-importance-benefits/</t>
  </si>
  <si>
    <t>ServerWatch</t>
  </si>
  <si>
    <t>Sam Ingalls</t>
  </si>
  <si>
    <t>https://blog.devgenius.io/provisioning-vs-configuration-management-with-terraform-4bf07b9c79db</t>
  </si>
  <si>
    <t>Yann Mulonda</t>
  </si>
  <si>
    <t>DevGenius</t>
  </si>
  <si>
    <t>Provisioning vs Configuration Management with Terraform</t>
  </si>
  <si>
    <t>https://www.datanyze.com/market-share/configuration-management--313</t>
  </si>
  <si>
    <t>Configuration Management Software Market Share</t>
  </si>
  <si>
    <t>Datanyze</t>
  </si>
  <si>
    <t>Only top 10 results</t>
  </si>
  <si>
    <t>IBM Interactive System Productivity Facility</t>
  </si>
  <si>
    <t>https://ubuntu.com/blog/tag/configuration-management</t>
  </si>
  <si>
    <t>configuration management</t>
  </si>
  <si>
    <t>Igor Ljubuncic</t>
  </si>
  <si>
    <t>Empty article</t>
  </si>
  <si>
    <t>https://semaphoreci.com/blog/a-mgmt-contributor-on-his-lifework</t>
  </si>
  <si>
    <t>Introducing a Next-generation Parallel Config Management tool</t>
  </si>
  <si>
    <t>semaphore</t>
  </si>
  <si>
    <t>Wojtek Cichoń</t>
  </si>
  <si>
    <t>mgmt</t>
  </si>
  <si>
    <t>https://www.netadmintools.com/network-configuration-management-software#wbounce-modal</t>
  </si>
  <si>
    <t>What are Continuous Configuration Automation (CCA) Tools?</t>
  </si>
  <si>
    <t>https://www.gartner.com/reviews/market/continuous-configuration-automation-tools</t>
  </si>
  <si>
    <t>Gartner Peer Insights</t>
  </si>
  <si>
    <t>Aiden</t>
  </si>
  <si>
    <t>Orca</t>
  </si>
  <si>
    <t>DuploClud</t>
  </si>
  <si>
    <t>HCL Launch</t>
  </si>
  <si>
    <t>Nirmata Policy Manager</t>
  </si>
  <si>
    <t>Best Network Configuration Management Tools and Software</t>
  </si>
  <si>
    <t>https://www.ittsystems.com/best-network-configuration-management-tools-and-software/#wbounce-modal</t>
  </si>
  <si>
    <t>James Cox</t>
  </si>
  <si>
    <t>https://study.com/academy/lesson/what-is-configuration-management-definition-process-tools.html</t>
  </si>
  <si>
    <t>What Is Configuration Management? - Definition, Process &amp; Tools</t>
  </si>
  <si>
    <t>Content restricted</t>
  </si>
  <si>
    <t>https://iziel.com/configuration-management/</t>
  </si>
  <si>
    <t>Configuration Management for Medical Device</t>
  </si>
  <si>
    <t>7 must-have cloud infrastructure automation tools</t>
  </si>
  <si>
    <t>https://www.techtarget.com/searchdatacenter/feature/7-must-have-cloud-infrastructure-automation-tools</t>
  </si>
  <si>
    <t>VMware vRealize Automation</t>
  </si>
  <si>
    <t>Cloud Infrastructure Automation Tools</t>
  </si>
  <si>
    <t>14 Best Cloud Infrastructure Automation Tools</t>
  </si>
  <si>
    <t>https://www.knowledgenile.com/blogs/cloud-infrastructure-automation-tools/</t>
  </si>
  <si>
    <t>Debra Bruce</t>
  </si>
  <si>
    <t>KnowledgeNile</t>
  </si>
  <si>
    <t>Microsoft Azure Automation</t>
  </si>
  <si>
    <t>Cisco Intelligent Automation for Cloud</t>
  </si>
  <si>
    <t>IBM Cloud Schematics</t>
  </si>
  <si>
    <t>NetApp Cloud Volumes ONTAP</t>
  </si>
  <si>
    <t>The Best Tools for Cloud Infrastructure Automation</t>
  </si>
  <si>
    <t>https://newrelic.com/blog/best-practices/best-cloud-infrastructure-automation-tools</t>
  </si>
  <si>
    <t>From 2018</t>
  </si>
  <si>
    <t>Frederic Paul</t>
  </si>
  <si>
    <t>Cloud Infrastructure Automation</t>
  </si>
  <si>
    <t>Best Cloud Infrastructure Automation Software</t>
  </si>
  <si>
    <t>https://www.g2.com/categories/cloud-infrastructure-automation?utf8=%E2%9C%93&amp;order=popular</t>
  </si>
  <si>
    <t>JHipster</t>
  </si>
  <si>
    <t>Jfrog Artifactory</t>
  </si>
  <si>
    <t>Resolve</t>
  </si>
  <si>
    <t>Spot Ocean</t>
  </si>
  <si>
    <t>Sorted by popularity, stopped after 17 tools because those were obviously irrelevant</t>
  </si>
  <si>
    <t>https://www.vmware.com/topics/glossary/content/infrastructure-automation.html</t>
  </si>
  <si>
    <t>What is Infrastructure Automation?</t>
  </si>
  <si>
    <t>No Cloud Infrastructure Automation Tools</t>
  </si>
  <si>
    <t>The 4 Best Cloud Infrastructure Automation Tools of 2021</t>
  </si>
  <si>
    <t>https://steampunk.si/blog/four-best-cloud-infrastructure-automation-tools-2021/</t>
  </si>
  <si>
    <t>Tadej Borovšak</t>
  </si>
  <si>
    <t>https://www.sumologic.com/glossary/cloud-automation/</t>
  </si>
  <si>
    <t>Cloud Automation</t>
  </si>
  <si>
    <t>Best Tools for Cloud Infrastructure Automation</t>
  </si>
  <si>
    <t>https://www.businessworldit.com/automation/best-tools-for-cloud-infrastructure-automation/</t>
  </si>
  <si>
    <t>Business World IT</t>
  </si>
  <si>
    <t>https://www.veritis.com/solutions/cloud/automation-services-and-tools/</t>
  </si>
  <si>
    <t>Cloud Automation Solutions</t>
  </si>
  <si>
    <t>veritis</t>
  </si>
  <si>
    <t>https://www.appdynamics.com/topics/what-is-cloud-automation#~2-key-to-devops-success</t>
  </si>
  <si>
    <t>What is Cloud Automation?</t>
  </si>
  <si>
    <t>Cloud Automation: What It Is, Use Cases and Benefits</t>
  </si>
  <si>
    <t>https://www.contino.io/insights/cloud-automation-versus-cloud-orchestration</t>
  </si>
  <si>
    <t>Yann Hempstead</t>
  </si>
  <si>
    <t>5 beste Infrastruktur-Automatisierungslösungen für mittelständische bis Unternehmen</t>
  </si>
  <si>
    <t>https://geekflare.com/de/infrastructure-automation-software/</t>
  </si>
  <si>
    <t>Avi</t>
  </si>
  <si>
    <t>Bolt</t>
  </si>
  <si>
    <t>https://www.nutanix.com/info/cloud-automation</t>
  </si>
  <si>
    <t>Automating Cloud Infrastructure Management for AWS Projects with TerraformIt was originally published on https://www.apriorit.com/</t>
  </si>
  <si>
    <t>https://www.apriorit.com/dev-blog/752-cloud-infrastructure-management-automation</t>
  </si>
  <si>
    <t>apriorit</t>
  </si>
  <si>
    <t>https://cloudify.co/technologies/</t>
  </si>
  <si>
    <t>Only Cloudify</t>
  </si>
  <si>
    <t>Cloud Infrastructure Automation Technologies</t>
  </si>
  <si>
    <t>Automate Infrastructure on Any Cloud</t>
  </si>
  <si>
    <t>https://www.terraform.io/</t>
  </si>
  <si>
    <t>Only Terraform</t>
  </si>
  <si>
    <t>Automating Your Enterprise Infrastructure</t>
  </si>
  <si>
    <t>https://grapeup.com/blog/automating-your-enterprise-infrastructure-introduction-to-cloud-iac/#</t>
  </si>
  <si>
    <t>grape up</t>
  </si>
  <si>
    <t>Maciej Józefczyk</t>
  </si>
  <si>
    <t>End-to-End Automation in Cloud Infrastructure Provisioning</t>
  </si>
  <si>
    <t>https://aisel.aisnet.org/cgi/viewcontent.cgi?article=1152&amp;context=isd2014</t>
  </si>
  <si>
    <t>Sandobalín, Julio; Insfran, Emilio; Abrahão, Silvia</t>
  </si>
  <si>
    <t>ansible --syntax-check</t>
  </si>
  <si>
    <t>ansible --check</t>
  </si>
  <si>
    <t>https://oteemo.com/cloud-infrastructure-automation/</t>
  </si>
  <si>
    <t>Infrastructure &amp; Cloud Automation Transformation Strategy</t>
  </si>
  <si>
    <t>IT Infrastructure Automation: A Beginner’s Guide</t>
  </si>
  <si>
    <t>https://www.bmc.com/blogs/it-infrastructure-automation/</t>
  </si>
  <si>
    <t>bmc</t>
  </si>
  <si>
    <t>Sudip Sengupta</t>
  </si>
  <si>
    <t>Best Cloud Automation Tools</t>
  </si>
  <si>
    <t>https://blog.inedo.com/best-cloud-automation-tools</t>
  </si>
  <si>
    <t>inedo</t>
  </si>
  <si>
    <t>Marisa Vesel</t>
  </si>
  <si>
    <t>Densify</t>
  </si>
  <si>
    <t>Dynatrace Virtualization Monitoring</t>
  </si>
  <si>
    <t>MicroFocus</t>
  </si>
  <si>
    <t>Mist.io</t>
  </si>
  <si>
    <t>Quest Cloud Manager</t>
  </si>
  <si>
    <t>Rundeck</t>
  </si>
  <si>
    <t>Scalr</t>
  </si>
  <si>
    <t>Bunnyshell</t>
  </si>
  <si>
    <t>https://cloud.netapp.com/blog/cloud-automation-why-where-and-how-cvo-blg</t>
  </si>
  <si>
    <t>Cloud Automation: Why, Where and How</t>
  </si>
  <si>
    <t>Yifat Perry</t>
  </si>
  <si>
    <t>AWS Elastic Beanstalk</t>
  </si>
  <si>
    <t>https://cloudeq.com/project-cloud-services/cloud-automation-infrastructure-services/</t>
  </si>
  <si>
    <t>cloudEQ</t>
  </si>
  <si>
    <t>GitHub Actions</t>
  </si>
  <si>
    <t>Azure Functions</t>
  </si>
  <si>
    <t>https://events.hashicorp.com/infrastructure-automation-day-london/web</t>
  </si>
  <si>
    <t>Infrastructure Automation Day</t>
  </si>
  <si>
    <t>https://join.com/companies/blue-consult/4771473-senior-consultant-cloud-infrastructure-automation-m-w-d</t>
  </si>
  <si>
    <t>Senior Consultant CLOUD Infrastructure Automation (m/w/d)</t>
  </si>
  <si>
    <t>JA</t>
  </si>
  <si>
    <t>Saskia Dugas</t>
  </si>
  <si>
    <t>BLUE Consult GmbH</t>
  </si>
  <si>
    <t>BEST INFRASTRUCTURE AUTOMATION TOOLS FOR CLOUD</t>
  </si>
  <si>
    <t>https://www.analyticsinsight.net/best-infrastructure-automation-tools-for-cloud/</t>
  </si>
  <si>
    <t>Analytics Insight</t>
  </si>
  <si>
    <t>Datadog</t>
  </si>
  <si>
    <t>https://aws.amazon.com/blogs/infrastructure-and-automation/</t>
  </si>
  <si>
    <t>Integration &amp; Automation</t>
  </si>
  <si>
    <t>https://puppet.com/</t>
  </si>
  <si>
    <t>Find. Fix. Prevent.</t>
  </si>
  <si>
    <t>Only Puppet</t>
  </si>
  <si>
    <t>https://www.ibm.com/docs/en/cloud-paks/cloud-pak-watson-aiops/3.2.1?topic=administering-infrastructure-automation</t>
  </si>
  <si>
    <t>Infrastructure automation</t>
  </si>
  <si>
    <t>https://www.informationweek.com/big-data/5-must-have-it-infrastructure-automation-tools</t>
  </si>
  <si>
    <t>5 Must-Have IT Infrastructure Automation Tools</t>
  </si>
  <si>
    <t>InformationWeek</t>
  </si>
  <si>
    <t>Trustsoft</t>
  </si>
  <si>
    <t>Total</t>
  </si>
  <si>
    <t>Monitoring Microservices and Containerized Applications</t>
  </si>
  <si>
    <t>https://link-springer-com.pxz.iubh.de:8443/book/10.1007/978-1-4842-6216-0</t>
  </si>
  <si>
    <t>phoenixNAP Adds SUSE Rancher Integration to Streamline Kubernetes Deployment on Bare Metal Cloud</t>
  </si>
  <si>
    <t>N</t>
  </si>
  <si>
    <t>PR Newswire</t>
  </si>
  <si>
    <t>Cloud Native Architecture and Design</t>
  </si>
  <si>
    <t>Shivakumar R Goniwada</t>
  </si>
  <si>
    <t>Azure Cloud Security for Absolute Beginners</t>
  </si>
  <si>
    <t>Pushpa Herath</t>
  </si>
  <si>
    <t>Beginning DevOps on AWS for IOS Development</t>
  </si>
  <si>
    <t>Abdullahi Olaoye</t>
  </si>
  <si>
    <t>Azure CLI</t>
  </si>
  <si>
    <t>Pro Azure Administration and Automation</t>
  </si>
  <si>
    <t>Running Microsoft Workloads on AWS</t>
  </si>
  <si>
    <t>Ryan Pothecary</t>
  </si>
  <si>
    <t>ValidIaC</t>
  </si>
  <si>
    <t>FIREFLY INTRODUCES VALIDIAC TO ENABLE INFRASTRUCTURE-AS-CODE BEST PRACTICES IN CODE, SECURITY, VISIBILITY, AND COST</t>
  </si>
  <si>
    <t>https://eds-p-ebscohost-com.pxz.iubh.de:8443/eds/detail/detail?vid=0&amp;sid=037fb2c1-50da-44f9-9b35-7923306b3d86%40redis&amp;bdata=Jmxhbmc9ZGUmc2l0ZT1lZHMtbGl2ZSZzY29wZT1zaXRl#AN=202203161000PR.NEWS.USPR.IO93815&amp;db=bwh</t>
  </si>
  <si>
    <t>ValidKube</t>
  </si>
  <si>
    <t>C / J / W / M / S / B / T / JA / N</t>
  </si>
  <si>
    <t>Fugue Announces IaC Security for AWS CloudFormation in Regula, the Open-Source Policy Engine</t>
  </si>
  <si>
    <t>https://eds-p-ebscohost-com.pxz.iubh.de:8443/eds/detail/detail?vid=0&amp;sid=7bcefa22-85ae-429e-a09f-1751998808a3%40redis&amp;bdata=Jmxhbmc9ZGUmc2l0ZT1lZHMtbGl2ZSZzY29wZT1zaXRl#AN=202105110800PR.NEWS.USPR.UN72237&amp;db=bwh</t>
  </si>
  <si>
    <t>Regula</t>
  </si>
  <si>
    <t>Fugue Adds Google Cloud Support to its Multi-Cloud Security Platform</t>
  </si>
  <si>
    <t>https://eds-p-ebscohost-com.pxz.iubh.de:8443/eds/detail/detail?vid=0&amp;sid=37382fd9-d8af-4c60-90d6-d961fffcb4b1%40redis&amp;bdata=Jmxhbmc9ZGUmc2l0ZT1lZHMtbGl2ZSZzY29wZT1zaXRl#AN=202104200800PR.NEWS.USPR.UN47486&amp;db=bwh</t>
  </si>
  <si>
    <t>TriggerMesh adds DevOps Luminary John M. Willis to Advisory Board</t>
  </si>
  <si>
    <t>phoenixNAP and Pulumi Collaborate to Simplify Bare Metal Cloud Management</t>
  </si>
  <si>
    <t>Puthiyavan Udayakumar</t>
  </si>
  <si>
    <t>Design and Deploy Microsoft Azure Virtual Desktop</t>
  </si>
  <si>
    <t>New Trends in Disruptive Technologies, Tech Ethics and Artificial Intelligence</t>
  </si>
  <si>
    <t>Paz Santana, Juan F. de; La Iglesia, Daniel H. de; López Rivero, Alfonso José</t>
  </si>
  <si>
    <t>Linux System Administration for the 2020s</t>
  </si>
  <si>
    <t>Kenneth Hitchcock</t>
  </si>
  <si>
    <t>Christopher Pitt</t>
  </si>
  <si>
    <t>Pro PHP 8 MVC</t>
  </si>
  <si>
    <t>Parallel Processing and Applied Mathematics</t>
  </si>
  <si>
    <t>Roman Wyrzykowski, Ewa Deelman, Jack Dongarra, Konrad Karczewski</t>
  </si>
  <si>
    <t>Practical Oracle Cloud Infrastructure</t>
  </si>
  <si>
    <t>Michał Tomasz Jakóbczyk</t>
  </si>
  <si>
    <t>Optimization and Prediction Techniques for Self-Healing and Self-Learning Applications in a Trustworthy Cloud Continuum</t>
  </si>
  <si>
    <t>Alonso et. al.</t>
  </si>
  <si>
    <t>Dynamic OverCloud: Realizing Microservices-Based IoT-Cloud Service Composition over Multiple Clouds</t>
  </si>
  <si>
    <t>Han et. al.</t>
  </si>
  <si>
    <t>Augeas</t>
  </si>
  <si>
    <t>A Real-Time Detection Method of Software Configuration Errors Based on Fine-Grained Configuration Item Types</t>
  </si>
  <si>
    <t>Zhang, Li; Hao, Shengang; Ming, Meng</t>
  </si>
  <si>
    <t>KAKOI: A New Tool to Make Simple and Secure Build Cyber Ranges Using Public Cloud</t>
  </si>
  <si>
    <t>Terashima, Tomoya; Nakayama, Masahiro; Yokoyama, Teruaki; Koide, Hiroshi</t>
  </si>
  <si>
    <t>Emergency response with mobile geosocial sensing in the post‐app era.</t>
  </si>
  <si>
    <t>Yılankıran, Feyzi Çelik; Guney, Caner</t>
  </si>
  <si>
    <t>Design and Development of Centralized Squid Proxy Management System</t>
  </si>
  <si>
    <t>Mishra, Deepika Dutta; Dhakwal, Virender; Pathan, Salim; Murthy, CSRC</t>
  </si>
  <si>
    <t>OpenIaC: open infrastructure as code - the network is my computer</t>
  </si>
  <si>
    <t>Rong, Chunming; Geng, Jiahui; Hacker, Thomas J.; Bryhni, Haakon; Jaatun, Martin G.</t>
  </si>
  <si>
    <t>LE2ML: a microservices-based machine learning workbench as part of an agnostic, reliable and scalable architecture for smart homes</t>
  </si>
  <si>
    <t/>
  </si>
  <si>
    <t>Thullier, Florentin; Hallé, Sylvain; Gaboury, Sébastien</t>
  </si>
  <si>
    <t>SODALITE@RT: Orchestrating Applications on Cloud-Edge Infrastructures</t>
  </si>
  <si>
    <t>Kumara, Indika; Mundt, Paul; Tokmakov, Kamil; Radolović, Dragan; Maslennikov, Alexander; González, Román Sosa; Fabeiro, Jorge Fernández; Quattrocchi, Giovanni; Meth, Kalman; Di Nitto, Elisabetta; Tamburri, Damian A.; van den Heuvel, Willem-Jan; Meditskos, Georgios</t>
  </si>
  <si>
    <t>SERVICE DEPLOYMENT CHALLENGES IN CLOUD-TO-EDGE CONTINUUM</t>
  </si>
  <si>
    <t>Petcu, Dana</t>
  </si>
  <si>
    <t>The Implementation of a Cloud-Edge Computing Architecture Using OpenStack and Kubernetes for Air Quality Monitoring Application</t>
  </si>
  <si>
    <t>Kristiani, Endah; Yang, Chao-Tung; Huang, Chin-Yin; Wang, Yuan-Ting; Ko, Po-Cheng</t>
  </si>
  <si>
    <t>A Survey of DevOps Concepts and Challenges</t>
  </si>
  <si>
    <t>Flyway</t>
  </si>
  <si>
    <t>Heroku</t>
  </si>
  <si>
    <t>Leite, Leonardo; Rocha, Carla; Kon, Fabio; Milojicic, Dejan; Meirelles, Paulo</t>
  </si>
  <si>
    <t>Cyber Ranges and TestBeds for Education, Training, and Research</t>
  </si>
  <si>
    <t>Chouliaras, Nestoras; Kittes, George; Kantzavelou, Ioanna; Maglaras, Leandros; Pantziou, Grammati; Ferrag, Mohamed Amine</t>
  </si>
  <si>
    <t>TORCH: a TOSCA-Based Orchestrator of Multi-Cloud Containerised Applications</t>
  </si>
  <si>
    <t>Tomarchio, Orazio; Calcaterra, Domenico; Di Modica, Giuseppe; Mazzaglia, Pietro</t>
  </si>
  <si>
    <t>On automated cloud bursting and hybrid cloud setups using Apache Mesos</t>
  </si>
  <si>
    <t>Haugerud, Hårek; Xue, Noha; Yazidi, Anis</t>
  </si>
  <si>
    <t>Controlled DDoS Attack on IPv4/IPv6 Network Using Distributed Computing Infrastructure</t>
  </si>
  <si>
    <t>Čerňanský, Michal; Huraj, Ladislav; Šimon, Marek</t>
  </si>
  <si>
    <t>SELFNET 5G mobile edge computing infrastructure: Design and prototyping</t>
  </si>
  <si>
    <t>Chirivella‐Perez, Enrique; Marco‐Alaez, Ricardo; Hita, Alba; Serrano, Ana; Alcaraz Calero, Jose M.; Wang, Qi; Neves, Pedro M.; Bernini, Giacomo; Koutsopoulos, Konstantinos; Gil Pérez, Manuel; Martínez Pérez, Gregorio; Barros, Maria João; Gavras, Anastasius</t>
  </si>
  <si>
    <t>A Comparative Analysis of Container Orchestration Tools in Cloud Computing</t>
  </si>
  <si>
    <t>Malviya, Anshita; Dwivedi, Rajendra Kumar</t>
  </si>
  <si>
    <t>Overview of Docker container orchestration tools</t>
  </si>
  <si>
    <t>Moravcik, Marek; Kontsek, Martin</t>
  </si>
  <si>
    <t>Empirical Performance and Energy Consumption Evaluation of Container Solutions on Resource Constrained IoT Gateways</t>
  </si>
  <si>
    <t>Raza, Syed M.; Jeong, Jaeyeop; Kim, Moonseong; Kang, Byungseok; Choo, Hyunseung</t>
  </si>
  <si>
    <t>Rule based auto-scalability of IoT services for efficient edge device resource utilization</t>
  </si>
  <si>
    <t>Bali, Ahmed; Al-Osta, Mahmud; Ben Dahsen, Soufiene; Gherbi, Abdelouahed</t>
  </si>
  <si>
    <t>Load-Balancing of Kubernetes-Based Edge Computing Infrastructure Using Resource Adaptive Proxy</t>
  </si>
  <si>
    <t>Nguyen, Quang-Minh; Phan, Linh-An; Kim, Taehong</t>
  </si>
  <si>
    <t>Apache Hadoop YARN</t>
  </si>
  <si>
    <t>Pogonip: Scheduling Asynchronous Applications on the Edge</t>
  </si>
  <si>
    <t>Pusztai, Thomas; Rossi, Fabiana; Dustdar, Schahram</t>
  </si>
  <si>
    <t>Development and Deployment of Complex Robotic Applications using Containerized Infrastructures</t>
  </si>
  <si>
    <t>Melo, Pedro; Arrais, Rafael; Veiga, Germano</t>
  </si>
  <si>
    <t>KCSS: Kubernetes container scheduling strategy</t>
  </si>
  <si>
    <t>Menouer, Tarek</t>
  </si>
  <si>
    <t>Hierarchical Scaling of Microservices in Kubernetes</t>
  </si>
  <si>
    <t>Rossi, Fabiana; Cardellini, Valeria; Lo Presti, Francesco</t>
  </si>
  <si>
    <t>An optimal defensive deception framework for the container‐based cloud with deep reinforcement learning</t>
  </si>
  <si>
    <t>Li, Huanruo; Guo, Yunfei; Sun, Penghao; Wang, Yawen; Huo, Shumin</t>
  </si>
  <si>
    <t>Practical Adoption of Cloud Computing in Power Systems—Drivers, Challenges, Guidance, and Real-World Use Cases</t>
  </si>
  <si>
    <t>Zhang, Song; Pandey, Amritanshu; Luo, Xiaochuan; Powell, Maggy; Banerji, Ranjan; Fan, Lei; Parchure, Abhineet; Luzcando, Edgardo</t>
  </si>
  <si>
    <t>Interoperable Data Analytics Reference Architectures Empowering Digital-Twin-Aided Manufacturing</t>
  </si>
  <si>
    <t>Marosi, Attila Csaba; Emodi, Márk; Hajnal, Ákos; Lovas, Róbert; Kiss, Tamás; Poser, Valerie; Antony, Jibinraj; Bergweiler, Simon; Hamzeh, Hamed; Deslauriers, James; Kovács, József</t>
  </si>
  <si>
    <t>Osmotic Message-Oriented Middleware for Internet of Things</t>
  </si>
  <si>
    <t>Gamal, Islam; Abdel-Galil, Hala; Ghalwash, Atef</t>
  </si>
  <si>
    <t>Modelling the vibration response of a gas turbine using machine learning</t>
  </si>
  <si>
    <t>Zárate, Josué; Juárez‐Smith, Perla; Carmona, Javier; Trujillo, Leonardo; Lara, Salvador</t>
  </si>
  <si>
    <t>Joint optimization of delay and cost for microservice composition in mobile edge computing</t>
  </si>
  <si>
    <t>Guo, Feiyan; Tang, Bing; Tang, Mingdong</t>
  </si>
  <si>
    <t>Password Guessability as a Service (PGaaS)</t>
  </si>
  <si>
    <t>Bojato, Juan; Donado, Daniel; Jimeno, Miguel; Moreno, Giovanni; Villanueva-Polanco, Ricardo</t>
  </si>
  <si>
    <t>Enabling Research and Clinical Use of Patient-Generated Health Data (the mindLAMP Platform): Digital Phenotyping Study</t>
  </si>
  <si>
    <t>Vaidyam, Aditya; Halamka, John; Torous, John</t>
  </si>
  <si>
    <t>Intelligent Service Orchestration in Edge Cloud Networks</t>
  </si>
  <si>
    <t>Zeydan, Engin; Mangues-Bafalluy, Josep; Turk, Yekta</t>
  </si>
  <si>
    <t>Data Fusion of Observability Signals for Assisting Orchestration of Distributed Applications</t>
  </si>
  <si>
    <t>Tzanettis, Ioannis; Androna, Christina-Maria; Zafeiropoulos, Anastasios; Fotopoulou, Eleni; Papavassiliou, Symeon</t>
  </si>
  <si>
    <t>Building a blockchain-based decentralized ecosystem for cloud and edge computing: an ALLSTAR approach and empirical study</t>
  </si>
  <si>
    <t>Zhou, Huan; Shi, Zeshun; Ouyang, Xue; Zhao, Zhiming</t>
  </si>
  <si>
    <t>Cluster resource scheduling in cloud computing: literature review and research challenges</t>
  </si>
  <si>
    <t>Khallouli, Wael; Huang, Jingwei</t>
  </si>
  <si>
    <t>Duplicate: Already exists for configuration management</t>
  </si>
  <si>
    <t>Unspecified</t>
  </si>
  <si>
    <t>IaC security (Secret Scans)</t>
  </si>
  <si>
    <t>Binary Repository</t>
  </si>
  <si>
    <t>https://www.env0.com/</t>
  </si>
  <si>
    <t>Build on Terraform, Terragrunt</t>
  </si>
  <si>
    <t>https://oak9.io/2021/11/17/iac-security-quality-checks/</t>
  </si>
  <si>
    <t>IaC Security Quality Checks</t>
  </si>
  <si>
    <t>Security, Compliance</t>
  </si>
  <si>
    <t>Build on top of other IaC tools</t>
  </si>
  <si>
    <t>Website is offline</t>
  </si>
  <si>
    <t>Just uses other tools</t>
  </si>
  <si>
    <t>Project ended</t>
  </si>
  <si>
    <t>Package Manager</t>
  </si>
  <si>
    <t>Terraform + Splunk = Observability-as-Code</t>
  </si>
  <si>
    <t>Browser Automation Tool</t>
  </si>
  <si>
    <t>Own Configuration Files and CLI</t>
  </si>
  <si>
    <t>Terraform CDK</t>
  </si>
  <si>
    <t>Scripting Tool</t>
  </si>
  <si>
    <t>CI/CD</t>
  </si>
  <si>
    <t>https://dl.acm.org/doi/10.1145/3154448.3154453</t>
  </si>
  <si>
    <t>Usable declarative configuration specification and validation for applications, systems, and cloud</t>
  </si>
  <si>
    <t>Baset, Salman; Suneja, Sahil; Bila, Nilton; Tuncer, Ozan; Isci, Canturk</t>
  </si>
  <si>
    <t>Kubernetes engine</t>
  </si>
  <si>
    <t>Website offline</t>
  </si>
  <si>
    <t>Only UI</t>
  </si>
  <si>
    <t>Application Configuration Management</t>
  </si>
  <si>
    <t>Not IaC</t>
  </si>
  <si>
    <t>Managed Chef and Puppet</t>
  </si>
  <si>
    <t>No IaC</t>
  </si>
  <si>
    <t>Version Control System</t>
  </si>
  <si>
    <t>Service Desk</t>
  </si>
  <si>
    <t>Low-code Workflow Software</t>
  </si>
  <si>
    <t>Endpoint Management</t>
  </si>
  <si>
    <t>HCL BigFix</t>
  </si>
  <si>
    <t>Provisioning, but only UI</t>
  </si>
  <si>
    <t>Microsoft Endpoint Manager (formerly known as SCCM)</t>
  </si>
  <si>
    <t>Not an IaC tool</t>
  </si>
  <si>
    <t>Cloud IDE</t>
  </si>
  <si>
    <t>Network Management</t>
  </si>
  <si>
    <t>A/B Testing</t>
  </si>
  <si>
    <t>Feature Flags</t>
  </si>
  <si>
    <t>Is SICA</t>
  </si>
  <si>
    <t>Compare Configuration Management Software</t>
  </si>
  <si>
    <t>Deployment tool</t>
  </si>
  <si>
    <t>Bcfg2</t>
  </si>
  <si>
    <t>https://www.broadcom.com/products/mainframe/application-development/endevor</t>
  </si>
  <si>
    <t>Software Configuration Management</t>
  </si>
  <si>
    <t>https://www.kamatera.com/</t>
  </si>
  <si>
    <t>https://www.quattor.org/</t>
  </si>
  <si>
    <t>https://www.cdi.st/</t>
  </si>
  <si>
    <t>https://github.com/ungleich/cdist</t>
  </si>
  <si>
    <t>http://bcfg2.org/</t>
  </si>
  <si>
    <t>Version Control</t>
  </si>
  <si>
    <t>Change Management</t>
  </si>
  <si>
    <t>AWS Serverless Application Model (SAM)</t>
  </si>
  <si>
    <t>Deployment Tool</t>
  </si>
  <si>
    <t>https://claudiajs.com/</t>
  </si>
  <si>
    <t>https://www.ibm.com/cloud/urbancode</t>
  </si>
  <si>
    <t>https://www.inflectra.com/SpiraTeam/</t>
  </si>
  <si>
    <t>Application Lifecycle Management (ALM)</t>
  </si>
  <si>
    <t>https://social.technet.microsoft.com/wiki/contents/articles/51206.microsoft-operations-management-suite-oms-a-beginner-s-guide.aspx</t>
  </si>
  <si>
    <t>Visualization for Hybrid Cloud Environments</t>
  </si>
  <si>
    <t>https://www.perforce.com/products/helix-core</t>
  </si>
  <si>
    <t>https://www.ibm.com/products/interactive-system-productivity-facility</t>
  </si>
  <si>
    <t>https://github.com/purpleidea/mgmt</t>
  </si>
  <si>
    <t>https://www.orcaconfig.com/</t>
  </si>
  <si>
    <t>Drift Detection</t>
  </si>
  <si>
    <t>https://duplocloud.com/</t>
  </si>
  <si>
    <t>Dev-Ops-as-as-Service</t>
  </si>
  <si>
    <t>https://www.hcltechsw.com/launch</t>
  </si>
  <si>
    <t>https://docs.nirmata.io/npmk/#:~:text=Nirmata%20Policy%20Manager%20for%20Kubernetes%20is%20built%20on%20Kyverno%2C%20a,new%20language%20or%20complex%20tooling.</t>
  </si>
  <si>
    <t>https://www.vmware.com/content/dam/digitalmarketing/vmware/en/pdf/products/vmw-vrealize-automation-datasheet.pdf</t>
  </si>
  <si>
    <t>https://azure.microsoft.com/en-us/services/automation/#features</t>
  </si>
  <si>
    <t>https://www.ibm.com/cloud/schematics</t>
  </si>
  <si>
    <t>Build on Terraform and Ansible</t>
  </si>
  <si>
    <t>https://cloud.netapp.com/ontap-cloud</t>
  </si>
  <si>
    <t>Data Management</t>
  </si>
  <si>
    <t>https://www.jhipster.tech/</t>
  </si>
  <si>
    <t>https://jfrog.com/artifactory/</t>
  </si>
  <si>
    <t>https://spot.io/products/ocean/</t>
  </si>
  <si>
    <t>Cloud Resource Optimization</t>
  </si>
  <si>
    <t>https://www.densify.com/</t>
  </si>
  <si>
    <t>https://www.dynatrace.com/platform/virtualization-monitoring/</t>
  </si>
  <si>
    <t>Virtualization Monitoring</t>
  </si>
  <si>
    <t>https://mist.io/</t>
  </si>
  <si>
    <t>Multicloud Management Platform</t>
  </si>
  <si>
    <t>Cloud Management</t>
  </si>
  <si>
    <t>Job Scheduler</t>
  </si>
  <si>
    <t>https://www.rundeck.com/</t>
  </si>
  <si>
    <t>https://www.scalr.com/</t>
  </si>
  <si>
    <t>Like Terraform Cloud</t>
  </si>
  <si>
    <t>https://www.bunnyshell.com/</t>
  </si>
  <si>
    <t>https://www.datadoghq.com/</t>
  </si>
  <si>
    <t>Monitoring-as-a-Service</t>
  </si>
  <si>
    <t>AWS CLI</t>
  </si>
  <si>
    <t>https://augeas.net/</t>
  </si>
  <si>
    <t>Treats config files as a tree which can be edited and written back as a file</t>
  </si>
  <si>
    <t>https://puppet.com/docs/puppet/5.5/resources_augeas.html</t>
  </si>
  <si>
    <t>https://flywaydb.org/</t>
  </si>
  <si>
    <t>Version Control for Database</t>
  </si>
  <si>
    <t>https://www.heroku.com/</t>
  </si>
  <si>
    <t>Resource Manager for Hadoop</t>
  </si>
  <si>
    <t>https://hadoop.apache.org/docs/stable/hadoop-yarn/hadoop-yarn-site/YARN.html</t>
  </si>
  <si>
    <t>https://arc.codes/docs/en/get-started/quickstart</t>
  </si>
  <si>
    <t>https://www.microfocus.com/en-us/products/hybrid-cloud-management-x/overview</t>
  </si>
  <si>
    <t>Codeless</t>
  </si>
  <si>
    <t>https://docs.microfocus.com/doc/HCMX/2020.08/Home</t>
  </si>
  <si>
    <t>SmartFrog</t>
  </si>
  <si>
    <t>https://www.smartfrog.org/</t>
  </si>
  <si>
    <t>https://puppet.com/docs/bolt/latest/bolt.html</t>
  </si>
  <si>
    <t>https://resolve.io/</t>
  </si>
  <si>
    <t>IT Automation</t>
  </si>
  <si>
    <t>https://octopus.com/</t>
  </si>
  <si>
    <t>Not open-source</t>
  </si>
  <si>
    <t>Abstract Behavioral Specification</t>
  </si>
  <si>
    <t>https://abs-models.org/</t>
  </si>
  <si>
    <t>https://www.digitalocean.com/community/tutorials/an-introduction-to-mesosphere</t>
  </si>
  <si>
    <t>https://github.com/spotify/helios</t>
  </si>
  <si>
    <t>https://dev.to/techworld_with_nana/what-is-infrastructure-as-code-and-the-difference-of-iac-tools-194j</t>
  </si>
  <si>
    <t>Company/Website</t>
  </si>
  <si>
    <t>Found During Literature Review</t>
  </si>
  <si>
    <t>Server Templating</t>
  </si>
  <si>
    <t>Configuration Management</t>
  </si>
  <si>
    <t>Provisioning</t>
  </si>
  <si>
    <t>Good Votes</t>
  </si>
  <si>
    <t>Bad Votes</t>
  </si>
  <si>
    <t>Functionality</t>
  </si>
  <si>
    <t>Usage</t>
  </si>
  <si>
    <t>Availability</t>
  </si>
  <si>
    <t>State of Development</t>
  </si>
  <si>
    <t>https://cfengine.com/</t>
  </si>
  <si>
    <t>https://saltproject.io/</t>
  </si>
  <si>
    <t>https://github.com/saltstack/salt</t>
  </si>
  <si>
    <t>Website</t>
  </si>
  <si>
    <t>https://github.com/cfengine/core</t>
  </si>
  <si>
    <t>https://www.ansible.com/</t>
  </si>
  <si>
    <t>https://github.com/ansible/ansible</t>
  </si>
  <si>
    <t>https://github.com/puppetlabs/puppet</t>
  </si>
  <si>
    <t>https://www.chef.io/</t>
  </si>
  <si>
    <t>https://github.com/chef/chef</t>
  </si>
  <si>
    <t>https://www.rexify.org/</t>
  </si>
  <si>
    <t>https://github.com/RexOps/Rex</t>
  </si>
  <si>
    <t>https://inedo.com/otter</t>
  </si>
  <si>
    <t>Policies, Audit</t>
  </si>
  <si>
    <t>https://aws.amazon.com/config/</t>
  </si>
  <si>
    <t>https://cloudinit.readthedocs.io/en/latest/</t>
  </si>
  <si>
    <t>https://github.com/canonical/cloud-init</t>
  </si>
  <si>
    <t>https://cloudinit.readthedocs.io/en/latest/topics/modules.html</t>
  </si>
  <si>
    <t>https://github.com/quattor/aquilon</t>
  </si>
  <si>
    <t>https://www.admin-magazin.de/Das-Heft/2014/08/Configuration-und-Life-Cycle-Management-mit-Quattor/(tagID)/36</t>
  </si>
  <si>
    <t>https://github.com/Bcfg2/bcfg2</t>
  </si>
  <si>
    <t>XML</t>
  </si>
  <si>
    <t>A Formal Semantics for the SmartFrog Configuration Language</t>
  </si>
  <si>
    <t>https://www.packer.io/</t>
  </si>
  <si>
    <t>IaC only via CloudFormation, Terraform, CLI</t>
  </si>
  <si>
    <t>https://brooklyn.apache.org/</t>
  </si>
  <si>
    <t>https://github.com/apache/brooklyn</t>
  </si>
  <si>
    <t>Is a standard/specification</t>
  </si>
  <si>
    <t>https://github.com/jojow/devopslang</t>
  </si>
  <si>
    <t>DevOpSlang – Bridging the Gap between Development and Operations</t>
  </si>
  <si>
    <t>https://www.portainer.io/</t>
  </si>
  <si>
    <t>Build on top of Docker, Kubernetes, Swarm and Nomad</t>
  </si>
  <si>
    <t>DC/OS</t>
  </si>
  <si>
    <t>https://docs.d2iq.com/mesosphere/dcos/2.2/deploying-services/config-universe-service/</t>
  </si>
  <si>
    <t>https://github.com/hyscale/hyscale</t>
  </si>
  <si>
    <t>Abstraction over K8s</t>
  </si>
  <si>
    <t>https://www.hyscale.io/</t>
  </si>
  <si>
    <t>https://rackhd.github.io/</t>
  </si>
  <si>
    <t>https://github.com/RackHD/RackHD</t>
  </si>
  <si>
    <t>REST API</t>
  </si>
  <si>
    <t>https://docs.aws.amazon.com/serverless-application-model/latest/developerguide/sam-specification-template-anatomy.html</t>
  </si>
  <si>
    <t>https://aws.amazon.com/elasticbeanstalk/</t>
  </si>
  <si>
    <t>Uses docker compose files with minor additions</t>
  </si>
  <si>
    <t>https://docs.microsoft.com/en-us/azure/azure-functions/functions-run-local?tabs=v4%2Cwindows%2Ccsharp%2Cportal%2Cbash#publish</t>
  </si>
  <si>
    <t>https://devcenter.heroku.com/articles/build-docker-images-heroku-yml</t>
  </si>
  <si>
    <t>https://github.com/puppetlabs/bolt-examples</t>
  </si>
  <si>
    <t>https://github.com/puppetlabs/bolt</t>
  </si>
  <si>
    <t>https://docs.microsoft.com/en-us/dotnet/architecture/cloud-native/infrastructure-as-code</t>
  </si>
  <si>
    <t>https://github.com/Azure/azure-quickstart-templates/tree/master/quickstarts/microsoft.network/front-door-rate-limiting</t>
  </si>
  <si>
    <t>https://docs.microsoft.com/en-us/azure/azure-resource-manager/bicep/overview?tabs=bicep</t>
  </si>
  <si>
    <t>https://cloud.google.com/deployment-manager/docs/manage-cloud-resources-deployment</t>
  </si>
  <si>
    <t>https://docs.openstack.org/heat/latest/</t>
  </si>
  <si>
    <t>https://opendev.org/openstack/heat-templates/src/branch/master/hot/hello_world.yaml</t>
  </si>
  <si>
    <t>https://terragrunt.gruntwork.io/</t>
  </si>
  <si>
    <t>https://www.pulumi.com/</t>
  </si>
  <si>
    <t>Free and Paid</t>
  </si>
  <si>
    <t>https://crossplane.io/</t>
  </si>
  <si>
    <t>https://github.com/crossplane/crossplane</t>
  </si>
  <si>
    <t>Only used to manage control planes but not infrastructure</t>
  </si>
  <si>
    <t>https://jaas.ai/how-it-works</t>
  </si>
  <si>
    <t>https://juju.is/blog/juju-vs-infrastructure-as-code-tools#:~:text=Summary,lifecycle%20and%20relations%20of%20applications.</t>
  </si>
  <si>
    <t>"While there is some overlap between the capabilities of Juju and IaC tools, they mostly operate on different layers of abstraction."</t>
  </si>
  <si>
    <t>https://digital.ai/technology/palletops</t>
  </si>
  <si>
    <t>https://github.com/pallet/pallet</t>
  </si>
  <si>
    <t>https://www.smashingmagazine.com/2022/03/introduction-aws-cloud-development-kit/</t>
  </si>
  <si>
    <t>https://www.quali.com/torque-details/</t>
  </si>
  <si>
    <t>https://www.serverless.com/framework/docs/tutorial</t>
  </si>
  <si>
    <t>https://www.serverless.com/framework/docs/providers/aws/guide/serverless.yml</t>
  </si>
  <si>
    <t>https://aws.amazon.com/amplify/</t>
  </si>
  <si>
    <t>https://docs.opta.dev/</t>
  </si>
  <si>
    <t>https://github.com/run-x/opta/tree/main/examples</t>
  </si>
  <si>
    <t>https://github.com/hashicorp/terraform-cdk</t>
  </si>
  <si>
    <t>https://github.com/cloudify-community/blueprint-examples/blob/master/virtual-machine/aws.yaml</t>
  </si>
  <si>
    <t>https://bosh.io/docs/</t>
  </si>
  <si>
    <t>https://bosh.io/docs/deployment-basics/</t>
  </si>
  <si>
    <t>Build on NixOs</t>
  </si>
  <si>
    <t>https://ieeexplore.ieee.org/document/8904494</t>
  </si>
  <si>
    <t>https://www.theforeman.org/</t>
  </si>
  <si>
    <t>https://theforeman.org/manuals/3.2/index.html#4.5CommandLineInterface</t>
  </si>
  <si>
    <t>Usage of IaC</t>
  </si>
  <si>
    <t>Only CLI</t>
  </si>
  <si>
    <t>https://github.com/architect/architect</t>
  </si>
  <si>
    <t>Not specific to infrastructure</t>
  </si>
  <si>
    <t>Azure Resource Manager | Microsoft ARM Templates</t>
  </si>
  <si>
    <t>Packaging Tools</t>
  </si>
  <si>
    <t>Navin Sabharwal; Piyush Pandey</t>
  </si>
  <si>
    <t>Vladimir Stefanovic; Milos Katinski</t>
  </si>
  <si>
    <t>Other Resource</t>
  </si>
  <si>
    <t>https://www.hpl.hp.com/techreports/2007/HPL-2007-84.pdf; https://github.com/smartfrog-org/smartfrog-org.github.io; https://www.configuredthings.com/smartfrog/</t>
  </si>
  <si>
    <t>Package Manager. It is possible to create AWS AMIs or Docker Images with NixOs</t>
  </si>
  <si>
    <t>Build on Packer. Only charged for compute, not for service itself</t>
  </si>
  <si>
    <t>Has own CLI. Manifest File -&gt; IaC</t>
  </si>
  <si>
    <t>SAM CLI. Templates are similar to cloud formation templates</t>
  </si>
  <si>
    <t>Build on top of Terraform</t>
  </si>
  <si>
    <t>See DC/OS. Cluster Management: Build on top of Mesos</t>
  </si>
  <si>
    <t>Has no DSL. Free and Paid</t>
  </si>
  <si>
    <t>https://azure.microsoft.com/en-us/services/automation; https://docs.microsoft.com/en-us/azure/automation/overview</t>
  </si>
  <si>
    <t>Proprietary</t>
  </si>
  <si>
    <t>IaaS Provider; No IaC</t>
  </si>
  <si>
    <t>Has own CLI. Services are configured via CLI</t>
  </si>
  <si>
    <t>Last commit 2016. Documentation offline</t>
  </si>
  <si>
    <t>https://cloud.ibm.com/docs/schematics?topic=schematics-get-started-terraform; https://cloud.ibm.com/docs/schematics?topic=schematics-getting-started-ansible</t>
  </si>
  <si>
    <t>https://www.hpe.com/us/en/newsroom/blog-post/2017/03/meet-hpe-synergy-treating-infrastructure-as-code.html; https://cc.cnetcontent.com/vcs/hp-ent/inline-content/S7/D/1/D17793F683FE6696572DE0A9B324AA01C7C69BA1_source.PDF</t>
  </si>
  <si>
    <t>Archived. Container Orchestration</t>
  </si>
  <si>
    <t>Policy Manager. Creates IaC manifest</t>
  </si>
  <si>
    <t>Development Platform to generate applications. End-of-Life</t>
  </si>
  <si>
    <t>Criterion</t>
  </si>
  <si>
    <t>as Code</t>
  </si>
  <si>
    <t>V</t>
  </si>
  <si>
    <t>SolarWinds Server Configuration Monitor</t>
  </si>
  <si>
    <t>Search String</t>
  </si>
  <si>
    <r>
      <t xml:space="preserve">Stefan Luber; </t>
    </r>
    <r>
      <rPr>
        <sz val="11"/>
        <rFont val="Calibri"/>
        <family val="2"/>
        <scheme val="minor"/>
      </rPr>
      <t>Florian Karlstetter</t>
    </r>
  </si>
  <si>
    <t>https://www.paloaltonetworks.com/prisma/cloud/infrastructure-as-code-security</t>
  </si>
  <si>
    <t>Prisma Cloud</t>
  </si>
  <si>
    <t>https://hackernoon.com/static-code-analysis-for-infrastructure-as-code-using-azure-devops-pipelines-hsf35v4</t>
  </si>
  <si>
    <t>Resource Name</t>
  </si>
  <si>
    <t>Infrastructure as Code Static Analysis</t>
  </si>
  <si>
    <t>IAC Static Analysis with Bridgecrew</t>
  </si>
  <si>
    <t>Danny Seymour</t>
  </si>
  <si>
    <t>https://softwareengineeringdaily.com/2020/08/20/iac-static-analysis-with-bridgecrew/#:~:text=Infrastructure%20as%20Code%20(IaC)%20refers,robust%20and%20scalable%20infrastructure%20declaratively.</t>
  </si>
  <si>
    <t>Utilizing Static Analysis Testing for Infrastructure as Code</t>
  </si>
  <si>
    <t>https://blogs.perficient.com/2021/09/22/utilizing-static-analysis-testing-for-infrastructure-as-code/</t>
  </si>
  <si>
    <t>terraform fmt</t>
  </si>
  <si>
    <t>KubeLinter</t>
  </si>
  <si>
    <t>Anchore</t>
  </si>
  <si>
    <t>Holmes Salazar</t>
  </si>
  <si>
    <t>https://www.linkedin.com/pulse/iac-static-analysis-tools-terraform-khalid-ibnelbachyr</t>
  </si>
  <si>
    <t>Khalid Ibnelbachyr</t>
  </si>
  <si>
    <t>IaC static analysis tools for Terraform</t>
  </si>
  <si>
    <t>Table with criteria</t>
  </si>
  <si>
    <t>Accurics</t>
  </si>
  <si>
    <t>Commercial</t>
  </si>
  <si>
    <t>bridgecrew Cloud</t>
  </si>
  <si>
    <t>https://geekflare.com/de/iac-security-scanner/</t>
  </si>
  <si>
    <t>5 Tools zum Scannen der Infrastruktur als Code für Sicherheitslücken</t>
  </si>
  <si>
    <t>Durga Prasad Acharya </t>
  </si>
  <si>
    <t>Static Code Analysis  for Infrastructure as Code Using Azure DevOps Pipelines</t>
  </si>
  <si>
    <t>Sai Gunaranjan</t>
  </si>
  <si>
    <t>https://peterrombouts.nl/2021/05/13/static-code-analysis-of-infrastructure-as-code/</t>
  </si>
  <si>
    <t>Peter</t>
  </si>
  <si>
    <t>Static Code Analysis of Infrastructure as Code</t>
  </si>
  <si>
    <t>KICS</t>
  </si>
  <si>
    <t>https://checkmarx.com/blog/static-analysis-of-infrastructure-as-code-with-codefresh-and-checkmarx/</t>
  </si>
  <si>
    <t>Miki Sharon, Kostis Kapelonis</t>
  </si>
  <si>
    <t>STATIC ANALYSIS OF INFRASTRUCTURE AS CODE WITH CODEFRESH AND CHECKMARX</t>
  </si>
  <si>
    <t>https://blog.christophetd.fr/shifting-cloud-security-left-scanning-infrastructure-as-code-for-security-issues/</t>
  </si>
  <si>
    <t>Christophe Tafani-Dereeper</t>
  </si>
  <si>
    <t>Shifting Cloud Security Left — Scanning Infrastructure as Code for Security Issues</t>
  </si>
  <si>
    <t>Semgrep</t>
  </si>
  <si>
    <t>Steampipe's Terraform plugin</t>
  </si>
  <si>
    <t>Table with criteria; Sample custom rules</t>
  </si>
  <si>
    <t>Lepiller, Julien; Piskac, Ruzica; Schäf, Martin; Santolucito, Mark</t>
  </si>
  <si>
    <t>Analyzing Infrastructure as Code to Prevent Intra-update Sniping Vulnerabilities</t>
  </si>
  <si>
    <t>https://research.nccgroup.com/2022/02/02/testing-infrastructure-as-code-using-dynamic-tooling/</t>
  </si>
  <si>
    <t>Testing Infrastructure-as-Code Using Dynamic Tooling</t>
  </si>
  <si>
    <t>Dynamic Analysis</t>
  </si>
  <si>
    <t>Erik Steringer</t>
  </si>
  <si>
    <t>https://cloudrail.app/blog/comparing-sast-tools-for-iac/</t>
  </si>
  <si>
    <t>Comparing SAST Tools for IaC Security</t>
  </si>
  <si>
    <t>cloudformation-guard</t>
  </si>
  <si>
    <t>https://kics.io/#</t>
  </si>
  <si>
    <t>kics</t>
  </si>
  <si>
    <t>https://docs.gitlab.com/ee/user/application_security/iac_scanning/</t>
  </si>
  <si>
    <t>Infrastructure as Code (IaC) Scanning</t>
  </si>
  <si>
    <t>Static Code Analysis — IAC — CDK</t>
  </si>
  <si>
    <t>https://medium.com/karthickcse05/static-code-analysis-iac-cdk-4b44e36367ea</t>
  </si>
  <si>
    <t>Karthick S</t>
  </si>
  <si>
    <t>https://www.checkov.io/</t>
  </si>
  <si>
    <t>Policy-as-code for everyone</t>
  </si>
  <si>
    <t>https://bridgecrew.io/infrastructure-as-code-security/</t>
  </si>
  <si>
    <t>Automated infrastructure as code security</t>
  </si>
  <si>
    <t>https://www.lacework.com/solutions/infrastructure-as-code/</t>
  </si>
  <si>
    <t>Infrastructure as Code Security</t>
  </si>
  <si>
    <t>Lacework</t>
  </si>
  <si>
    <t>https://siliconangle.com/2022/03/22/fixing-vulnerabilities-infrastructure-code-enhanced-security-cubeconversations/</t>
  </si>
  <si>
    <t>Fixing vulnerabilities in infrastructure as code for enhanced security</t>
  </si>
  <si>
    <t>Brian Njuguna; Barak Schoster</t>
  </si>
  <si>
    <t>https://cybersecuritynews.com/infrastructure-as-code/</t>
  </si>
  <si>
    <t>Gurubaran</t>
  </si>
  <si>
    <t>Top 5 Tools to Scan Infrastructure as Code for Vulnerabilities – 2021</t>
  </si>
  <si>
    <t>https://www.cs.yale.edu/homes/piskac/papers/2021LepillerETALHayha.pdf</t>
  </si>
  <si>
    <t>Already in the list</t>
  </si>
  <si>
    <t>Gatekeeper</t>
  </si>
  <si>
    <t>Semgrep for Cloud Security</t>
  </si>
  <si>
    <t>https://www.marcolancini.it/2020/blog-semgrep-for-cloud-security/</t>
  </si>
  <si>
    <t>Ashutosh Kumar</t>
  </si>
  <si>
    <t>https://www.synopsys.com/blogs/software-security/infrastructure-as-code-scanning-capabilities/</t>
  </si>
  <si>
    <t>Keep infrastructure as code secure with Synopsys</t>
  </si>
  <si>
    <t>Rapid Scan SAST (Synopsys)</t>
  </si>
  <si>
    <t>https://blog.devgenius.io/security-automation-for-iac-a3256be8cd32</t>
  </si>
  <si>
    <t>Security Automation for IaC</t>
  </si>
  <si>
    <t>Vasant Chinnipilli</t>
  </si>
  <si>
    <t>Contains vulnerable IaC code</t>
  </si>
  <si>
    <t>https://www.prancer.io/the-evolution-of-iac-part-1/</t>
  </si>
  <si>
    <t>The Evolution of IaC – Part 1</t>
  </si>
  <si>
    <t>Prancer</t>
  </si>
  <si>
    <t>https://github.blog/2020-10-07-announcing-third-party-code-scanning-tools-infrastructure-as-code-and-container-scanning/</t>
  </si>
  <si>
    <t>Announcing third-party code scanning tools: infrastructure as code and container scanning</t>
  </si>
  <si>
    <t>Jose Palafox</t>
  </si>
  <si>
    <t>https://neverworkintheory.org/2021/11/23/security-smells-in-infrastructure-as-code-scripts.html</t>
  </si>
  <si>
    <t>Review - The Seven Sins: Security Smells in Infrastructure as Code Scripts</t>
  </si>
  <si>
    <t>Brij Patel</t>
  </si>
  <si>
    <t>SLIC</t>
  </si>
  <si>
    <t>https://resources.sei.cmu.edu/asset_files/Presentation/2021_017_001_735186.pdf</t>
  </si>
  <si>
    <t>Contains comparison, including catch rate (https://github.com/iacsecurity/tool-compare)</t>
  </si>
  <si>
    <t>Yoni Leitersdorf</t>
  </si>
  <si>
    <t>Continuous Security for IaC in GitOps</t>
  </si>
  <si>
    <t>https://www.techtarget.com/searchitoperations/definition/Infrastructure-as-Code-IAC</t>
  </si>
  <si>
    <t>infrastructure as code</t>
  </si>
  <si>
    <t>Stephen J. Bigelow</t>
  </si>
  <si>
    <t>No tools mentioned</t>
  </si>
  <si>
    <t>Complete guide for picking the right tool for Terraform Security Code Analysis</t>
  </si>
  <si>
    <t>Marko Fábry</t>
  </si>
  <si>
    <t>https://www.revolgy.com/insights/blog/complete-guide-for-picking-the-right-tool-for-terraform-security-code-analysis</t>
  </si>
  <si>
    <t>kitchen-terraform</t>
  </si>
  <si>
    <t>Contains comparison</t>
  </si>
  <si>
    <t>DevSecOps for infrastructure as code (IaC)</t>
  </si>
  <si>
    <t>https://docs.microsoft.com/en-us/azure/architecture/solution-ideas/articles/devsecops-infrastructure-as-code</t>
  </si>
  <si>
    <t>Infrastructure as Code (IaC) Security</t>
  </si>
  <si>
    <t>https://cloudsecdocs.com/devops/pipelines/securing/compliance_as_code/</t>
  </si>
  <si>
    <t>Compliance as Code</t>
  </si>
  <si>
    <t>tf-parliament</t>
  </si>
  <si>
    <t>yor</t>
  </si>
  <si>
    <t>cfripper</t>
  </si>
  <si>
    <t>Many tools, greatly structured</t>
  </si>
  <si>
    <t>tern</t>
  </si>
  <si>
    <t>dockle</t>
  </si>
  <si>
    <t>grype</t>
  </si>
  <si>
    <t>container-scan</t>
  </si>
  <si>
    <t>fossa-action</t>
  </si>
  <si>
    <t>kubeclarity</t>
  </si>
  <si>
    <t>version-checker</t>
  </si>
  <si>
    <t>chart-testing</t>
  </si>
  <si>
    <t>helm-scanner</t>
  </si>
  <si>
    <t>https://github.com/bridgecrewio/helm-scanner/</t>
  </si>
  <si>
    <t>https://github.com/helm/chart-testing</t>
  </si>
  <si>
    <t>https://github.com/jetstack/version-checker</t>
  </si>
  <si>
    <t>https://github.com/openclarity/kubeclarity</t>
  </si>
  <si>
    <t>https://github.com/zegl/kube-score</t>
  </si>
  <si>
    <t>https://github.com/fossas/fossa-action</t>
  </si>
  <si>
    <t>https://github.com/Azure/container-scan</t>
  </si>
  <si>
    <t>https://github.com/eliasgranderubio/dagda</t>
  </si>
  <si>
    <t>https://github.com/anchore/grype</t>
  </si>
  <si>
    <t>https://github.com/goodwithtech/dockle</t>
  </si>
  <si>
    <t>https://github.com/tern-tools/tern</t>
  </si>
  <si>
    <t>https://github.com/Skyscanner/cfripper/</t>
  </si>
  <si>
    <t>https://github.com/bridgecrewio/yor</t>
  </si>
  <si>
    <t>https://www.sans.org/webcasts/cloud-static-analysis-showdown-119500/</t>
  </si>
  <si>
    <t>Frank Kim</t>
  </si>
  <si>
    <t>Cloud Static Analysis Showdown</t>
  </si>
  <si>
    <t>https://curatedpython.com/p/checkov-is-bridgecrewio-checkov/index.html</t>
  </si>
  <si>
    <t>Checkov is a static code analysis tool for infrastructure-as-code</t>
  </si>
  <si>
    <t>https://www.rapid7.com/blog/post/2021/09/27/to-the-left-your-guide-to-infrastructure-as-code-for-shifting-left/</t>
  </si>
  <si>
    <t>Marla Rosner</t>
  </si>
  <si>
    <t>To the Left: Your Guide to Infrastructure as Code for Shifting Left</t>
  </si>
  <si>
    <t>https://morioh.com/p/cf3fd197ab2f</t>
  </si>
  <si>
    <t>Infrastructure as Code Tools - Morioh</t>
  </si>
  <si>
    <t>https://github.com/bridgecrewio/checkov-jetbrains-ide</t>
  </si>
  <si>
    <t>IDE Plugin</t>
  </si>
  <si>
    <t>checkov-jetbrains-ide</t>
  </si>
  <si>
    <t>https://thenewstack.io/checkov-2-0-context-aware-security-scanning-for-infrastructure-as-code/</t>
  </si>
  <si>
    <t>Checkov 2.0: Context-Aware Security Scanning for Infrastructure as Code</t>
  </si>
  <si>
    <t>Taylor Smith</t>
  </si>
  <si>
    <t>https://wearecommunity.io/communities/xKinv4uaPk/articles/1548</t>
  </si>
  <si>
    <t>Pankaj Jain</t>
  </si>
  <si>
    <t>Checkov: Security &amp; Compliance for Infrastructure-as-Code</t>
  </si>
  <si>
    <t>https://de.mathworks.com/products/polyspace/static-analysis-notes/static-code-analysis-in-the-cloud.html</t>
  </si>
  <si>
    <t>Application static code analysis</t>
  </si>
  <si>
    <t>Static Code Analysis in the Cloud</t>
  </si>
  <si>
    <t>https://securityboulevard.com/2020/04/shifting-cloud-security-left-with-infrastructure-as-code/</t>
  </si>
  <si>
    <t>Shifting Cloud Security Left with Infrastructure as Code</t>
  </si>
  <si>
    <t>Jamie Gale</t>
  </si>
  <si>
    <t>https://www.shiftleft.io/blog/isat-iac-secrets-a-guide-to-app-sec-tools-08-11-2021/</t>
  </si>
  <si>
    <t>IAST, IaC, Secrets: A Guide to App Sec Tools</t>
  </si>
  <si>
    <t>Katie Horne</t>
  </si>
  <si>
    <t>Introducing ValidIaC for Infrastructure-as-Code Best Practices in Code, Security, Visibility, and Cost</t>
  </si>
  <si>
    <t>https://www.gofirefly.io/blog/introducing-validiac-for-infrastructure-as-code-best-practices-in-code-security-visibility-and-cost</t>
  </si>
  <si>
    <t>inframap</t>
  </si>
  <si>
    <t>https://analysis-tools.dev/tag/terraform</t>
  </si>
  <si>
    <t>5 Terraform Static Analysis Tools</t>
  </si>
  <si>
    <t>trunk</t>
  </si>
  <si>
    <t>shisho</t>
  </si>
  <si>
    <t>https://github.com/flatt-security/shisho</t>
  </si>
  <si>
    <t>https://trunk.io/</t>
  </si>
  <si>
    <t>https://www.computer.org/digital-library/magazines/so/call-for-papers-special-issue-on-infrastructure-as-code-unleashed</t>
  </si>
  <si>
    <t>CLOSED Call for Papers: Special Issue on Infrastructure-as-Code Unleashed!</t>
  </si>
  <si>
    <t>No tools mentioned; would be interesting to see which papers were submitted</t>
  </si>
  <si>
    <t>https://thechief.io/c/ayedaemon/static-analysis-security-scanner-for-terraform-code/</t>
  </si>
  <si>
    <t>Static Analysis (Security scanner) for Terraform Code</t>
  </si>
  <si>
    <t>Rishabh Umrao</t>
  </si>
  <si>
    <t>tfsec</t>
  </si>
  <si>
    <t>https://dzone.com/articles/a-guide-to-open-source-iac-testing</t>
  </si>
  <si>
    <t>A Guide to Open-Source IaC Testing</t>
  </si>
  <si>
    <t>Rob Schoening</t>
  </si>
  <si>
    <t>https://skundunotes.com/2021/08/28/static-analysis-with-checkov-terraform-and-azure-pipelines/</t>
  </si>
  <si>
    <t>Sourav Kundu</t>
  </si>
  <si>
    <t>Static analysis with Checkov, Terraform, and Azure Pipelines</t>
  </si>
  <si>
    <t>https://aws.amazon.com/blogs/devops/continuous-compliance-workflow-for-infrastructure-as-code-part-1/</t>
  </si>
  <si>
    <t>Continuous Compliance Workflow for Infrastructure as Code: Part 1</t>
  </si>
  <si>
    <t>No open-source tools mentioned</t>
  </si>
  <si>
    <t>Damodar Shenvi Wagle</t>
  </si>
  <si>
    <t>https://www.hashicorp.com/resources/shifting-terraform-configuration-security-left</t>
  </si>
  <si>
    <t>P</t>
  </si>
  <si>
    <t>Gareth Rushgrove</t>
  </si>
  <si>
    <t>Shifting Terraform Configuration Security Left</t>
  </si>
  <si>
    <t>Automatically Detecting Risky Scripts in Infrastructure Code</t>
  </si>
  <si>
    <t>Dai, Ting; Karve, Alexei; Koper, Grzegorz; Zeng, Sai</t>
  </si>
  <si>
    <t>SecureCode</t>
  </si>
  <si>
    <t>https://tingdai.github.io/files/securecode_SOCC20.pdf</t>
  </si>
  <si>
    <t>https://docs.gruntwork.io/intro/core-concepts/infrastructure-as-code/</t>
  </si>
  <si>
    <t>https://faun.pub/trends-in-cloud-infrastructure-automation-in-2021-4a47cfd6cbb8</t>
  </si>
  <si>
    <t>Trends in Cloud Infrastructure Automation in 2021</t>
  </si>
  <si>
    <t>https://cloudnativetoolkit.dev/learning/analysis/</t>
  </si>
  <si>
    <t>Static Analysis</t>
  </si>
  <si>
    <t>Kumara, Indika; Garriga, Martín; Romeu, Angel Urbano; Di Nucci, Dario; Palomba, Fabio; Tamburri, Damian Andrew; van den Heuvel, Willem-Jan</t>
  </si>
  <si>
    <t>Hasan, Mohammed Mehedi; Bhuiyan, Farzana Ahamed; Rahman, Akond</t>
  </si>
  <si>
    <t>https://telecomdrive.com/palo-alto-networks-updates-checkov-static-analysis-tool/</t>
  </si>
  <si>
    <t>Palo Alto Networks Updates Checkov Static Analysis Tool</t>
  </si>
  <si>
    <t>https://stackoverflow.com/questions/67191208/can-we-use-sonarqube-to-scan-infrastructure-as-code-iac-from-terraform-with-a</t>
  </si>
  <si>
    <t>can we use sonarqube to scan (Infrastructure as code ) IaC from Terraform with azure devops ci/cd pipeline?</t>
  </si>
  <si>
    <t>Q</t>
  </si>
  <si>
    <t>https://www.prnewswire.com/news-releases/checkov-2-0-launches-as-the-first-open-source-cloud-infrastructure-scanner-with-dependency-awareness-301265028.html</t>
  </si>
  <si>
    <t>Checkov 2.0 Launches as the First Open-Source Cloud Infrastructure Scanner With Dependency Awareness</t>
  </si>
  <si>
    <t>Existing Infrastructure and Analysis</t>
  </si>
  <si>
    <t>https://firefox-source-docs.mozilla.org/code-quality/static-analysis/existing.html</t>
  </si>
  <si>
    <t>https://www.piacere-project.eu/solution</t>
  </si>
  <si>
    <t>Solution</t>
  </si>
  <si>
    <t>https://blogs.sap.com/2021/12/17/infrastructure-as-code-devops-and-the-future-of-enterprise/</t>
  </si>
  <si>
    <t>Infrastructure as Code, DevOps, and the Future of Enterprise</t>
  </si>
  <si>
    <t>Nestor Lara</t>
  </si>
  <si>
    <t>https://www.beckhoff.com/en-en/products/automation/twincat/te1xxx-twincat-3-engineering/te1200.html</t>
  </si>
  <si>
    <t>TE1200 | TwinCAT 3 PLC Static Analysis</t>
  </si>
  <si>
    <t>GLITCH: an Intermediate-Representation-Based Security Analysis for Infrastructure as Code Scripts</t>
  </si>
  <si>
    <t>G</t>
  </si>
  <si>
    <t>Saavedra, Nuno; Ferreira, João F.</t>
  </si>
  <si>
    <t>SLAC</t>
  </si>
  <si>
    <t>GLITCH</t>
  </si>
  <si>
    <t>https://www.shuttle.rs/blog/2022/05/09/ifc</t>
  </si>
  <si>
    <t>Nodar Daneliya</t>
  </si>
  <si>
    <t>Infrastructure From Code</t>
  </si>
  <si>
    <t>https://the-report.cloud/automated-quality-assurance-for-ansible-playbooks</t>
  </si>
  <si>
    <t>Automated Quality Assurance for Ansible Playbooks</t>
  </si>
  <si>
    <t>Sandra Parsick</t>
  </si>
  <si>
    <t>Using Checkov for Infrastructure as Code Security Audits</t>
  </si>
  <si>
    <t>https://wahlnetwork.com/2020/08/25/using-checkov-for-infrastructure-as-code-security-audits/</t>
  </si>
  <si>
    <t>Chris Wahl</t>
  </si>
  <si>
    <t>https://project-awesome.org/TaptuIT/awesome-devsecops</t>
  </si>
  <si>
    <t>Curated list of awesome lists</t>
  </si>
  <si>
    <t>DeepConfig</t>
  </si>
  <si>
    <t>https://github.com/docker/docker-bench-security</t>
  </si>
  <si>
    <t>docker-bench-security</t>
  </si>
  <si>
    <t>https://github.com/controlplaneio/kubectl-kubesec</t>
  </si>
  <si>
    <t>kubectl-kubesec</t>
  </si>
  <si>
    <t>credscan</t>
  </si>
  <si>
    <t>https://secdevtools.azurewebsites.net/helpcredscan.html</t>
  </si>
  <si>
    <t>detect-secrets</t>
  </si>
  <si>
    <t>https://github.com/Yelp/detect-secrets</t>
  </si>
  <si>
    <t>repo-supervisor</t>
  </si>
  <si>
    <t>https://github.com/auth0/repo-supervisor</t>
  </si>
  <si>
    <t>https://github.com/analysis-tools-dev/static-analysis/</t>
  </si>
  <si>
    <t>Very extensive list; categories</t>
  </si>
  <si>
    <t>Snowballing</t>
  </si>
  <si>
    <t>Very extensive list; Indicates when repos haven't been updated for one year</t>
  </si>
  <si>
    <t>dotenv linter</t>
  </si>
  <si>
    <t>https://dotenv-linter.readthedocs.io/en/latest/</t>
  </si>
  <si>
    <t>https://github.com/aws-cloudformation/cloudformation-guard</t>
  </si>
  <si>
    <t>AzTs</t>
  </si>
  <si>
    <t>https://github.com/azsk/AzTS-docs/</t>
  </si>
  <si>
    <t>clusterlint</t>
  </si>
  <si>
    <t>https://github.com/digitalocean/clusterlint</t>
  </si>
  <si>
    <t>datree</t>
  </si>
  <si>
    <t>https://datree.io/</t>
  </si>
  <si>
    <t>https://github.com/stackrox/kube-linter</t>
  </si>
  <si>
    <t>kube-lint</t>
  </si>
  <si>
    <t>https://github.com/viglesiasce/kube-lint</t>
  </si>
  <si>
    <t>kubeval</t>
  </si>
  <si>
    <t>metadata-json-lint</t>
  </si>
  <si>
    <t>https://github.com/voxpupuli/metadata-json-lint</t>
  </si>
  <si>
    <t>https://github.com/rodjek/puppet-lint</t>
  </si>
  <si>
    <t>https://github.com/zricethezav/gitleaks</t>
  </si>
  <si>
    <t>https://securitybrief.com.au/story/infrastructure-as-code-and-how-it-can-secure-the-cloud</t>
  </si>
  <si>
    <t>Nick Forrester</t>
  </si>
  <si>
    <t>Infrastructure-as-code, and how it can secure the cloud</t>
  </si>
  <si>
    <t>https://www.winopsdba.com/blog/azure-cloud-terraform-validate-and-sast.html</t>
  </si>
  <si>
    <t>How to validate terraform script and run security static code analysis as a part of Azure DevOps CI/CD pipeline</t>
  </si>
  <si>
    <t>Nikos Tsirmirakis</t>
  </si>
  <si>
    <t>Testing your Infrastructure as Code using Terratest</t>
  </si>
  <si>
    <t>https://www.infracloud.io/blogs/testing-iac-terratest/</t>
  </si>
  <si>
    <t>Akash Warkhade</t>
  </si>
  <si>
    <t>https://www.goldfiglabs.com/blog/cloud-infrastructure-linting/</t>
  </si>
  <si>
    <t>Cloud infrastructure linting even if you aren’t 100% IaC</t>
  </si>
  <si>
    <t>Vikrum Nijjar</t>
  </si>
  <si>
    <t>Only one tool mentioned that queries cloud API</t>
  </si>
  <si>
    <t>https://aithority.com/it-and-devops/cloud/checkov-2-0-launches-as-the-first-open-source-cloud-infrastructure-scanner-with-dependency-awareness/</t>
  </si>
  <si>
    <t>https://www.civo.com/learn/using-checkov-for-static-analysis-of-kubernetes-components</t>
  </si>
  <si>
    <t>Using Checkov for static analysis of Kubernetes components</t>
  </si>
  <si>
    <t>https://www.jetbrains.com/teamcity/ci-cd-guide/concepts/static-code-analysis/</t>
  </si>
  <si>
    <t>What is Static Code Analysis?</t>
  </si>
  <si>
    <t>https://www.contrastsecurity.com/contrast-scan</t>
  </si>
  <si>
    <t>Only proprietary tool</t>
  </si>
  <si>
    <t>Contrast Scan</t>
  </si>
  <si>
    <t>https://jamescook.dev/codeanalyses-checkov-terraform-azuredevops</t>
  </si>
  <si>
    <t>James Cook</t>
  </si>
  <si>
    <t>Kai Hoffman </t>
  </si>
  <si>
    <t>Static Code Analyses - Checkov, Terraform and Azure DevOps</t>
  </si>
  <si>
    <t>https://microtica.com/blog/how-to-complete-infrastructure-code-reviews-like-a-pro/</t>
  </si>
  <si>
    <t>Rade Despodovski</t>
  </si>
  <si>
    <t>How to Complete Infrastructure Code Reviews Like a PRO</t>
  </si>
  <si>
    <t>https://www.proud2becloud.com/how-to-enrich-your-ci-cd-pipelines-with-static-code-analysis/</t>
  </si>
  <si>
    <t>How to enrich your CI/CD pipelines with static code analysis</t>
  </si>
  <si>
    <t>No SICAs mentioned</t>
  </si>
  <si>
    <t>Alessio Gandini; Mario Agati</t>
  </si>
  <si>
    <t>Rahman, Akond; Rahman, Md Rayhanur; Parnin, Chris; Williams, Laurie</t>
  </si>
  <si>
    <t>Security Smells in Ansible and Chef Scripts</t>
  </si>
  <si>
    <t>https://devops.com/add-static-code-analysis-to-your-ci-cd-pipelines/</t>
  </si>
  <si>
    <t>Add Static Code Analysis to Your CI/CD Pipelines</t>
  </si>
  <si>
    <t>Must register to see webinar</t>
  </si>
  <si>
    <t>Mitch Ashley</t>
  </si>
  <si>
    <t>Terraform Static Code Analysis using Terrascan</t>
  </si>
  <si>
    <t>https://www.sandeepseeram.com/post/terraform-static-code-analysis-using-terrascan</t>
  </si>
  <si>
    <t>https://www.youtube.com/watch?v=Mrq77sqCTp0</t>
  </si>
  <si>
    <t>Add Static Code Analysis to Your CI CD Pipelines</t>
  </si>
  <si>
    <t>Steve Howard; Stuart Foster</t>
  </si>
  <si>
    <t>puppet-sec-lint</t>
  </si>
  <si>
    <t>https://github.com/TiagoR98/puppet-sec-lint</t>
  </si>
  <si>
    <t>An IDE Plug-in to detect security vulnerabilities in Infrastructure-as-Code Scripts</t>
  </si>
  <si>
    <t>Ribeiro, Tiago José Antunes</t>
  </si>
  <si>
    <t>https://repositorio-aberto.up.pt/bitstream/10216/135479/2/487161.pdf</t>
  </si>
  <si>
    <t>https://www.cidersecurity.io/blog/research/malicious-code-analysis-abusing-sast-misconfigurations-to-hack-ci-systems/</t>
  </si>
  <si>
    <t>Rotem Bar</t>
  </si>
  <si>
    <t>Malicious code analysis: Abusing SAST (mis)configurations to hack CI systems</t>
  </si>
  <si>
    <t>https://blog.gitguardian.com/security-in-infrastructure-as-code-with-terraform/</t>
  </si>
  <si>
    <t>Security in Infrastructure as Code with Terraform — Everything You Need to Know</t>
  </si>
  <si>
    <t>https://r2c.dev/</t>
  </si>
  <si>
    <t>Shift left with fast static analysis</t>
  </si>
  <si>
    <t>https://www.pulumi.com/blog/announcing-infrastructure-as-code-with-java-and-pulumi/</t>
  </si>
  <si>
    <t>Announcing Infrastructure as Code with Java and Pulumi</t>
  </si>
  <si>
    <t>Mikhail Shilkov</t>
  </si>
  <si>
    <t>https://www.zeljkovic.sh/static-code-analysis-the-underrated-ally/</t>
  </si>
  <si>
    <t>Static Code Analysis – The Underrated Ally</t>
  </si>
  <si>
    <t>https://www.stackrox.io/blog/top-9-open-source-devsecops-tools-for-kubernetes/</t>
  </si>
  <si>
    <t>Top 9 Open Source DevSecOps Tools for Kubernetes</t>
  </si>
  <si>
    <t>https://docs.horusec.io/docs/cli/analysis-tools/security-tools/</t>
  </si>
  <si>
    <t>Other Tools</t>
  </si>
  <si>
    <t>https://rustrepo.com/repo/analysis-tools-dev-static-analysis</t>
  </si>
  <si>
    <t>Analysis tools</t>
  </si>
  <si>
    <t>Infrastructure as Code Security Scanning</t>
  </si>
  <si>
    <t>5 Tools to Scan Infrastructure as Code for Vulnerabilities</t>
  </si>
  <si>
    <t>https://geekflare.com/iac-security-scanner/</t>
  </si>
  <si>
    <t>Durga Prasad Acharya</t>
  </si>
  <si>
    <t>https://docs.gitlab.com/ee/user/application_security/iac_scanning/#:~:text=Infrastructure%20as%20Code%20(IaC)%20Scanning%20scans%20your%20IaC%20configuration%20files,%2C%20AWS%20CloudFormation%2C%20and%20Kubernetes.</t>
  </si>
  <si>
    <t>https://snyk.io/product/infrastructure-as-code-security/</t>
  </si>
  <si>
    <t>Snyk Infrastructure</t>
  </si>
  <si>
    <t>https://blog.aquasec.com/infrastructure-as-code-security-scanning</t>
  </si>
  <si>
    <t>Shifting Left: Infrastructure as Code security with Trivy</t>
  </si>
  <si>
    <t>Rory McCune</t>
  </si>
  <si>
    <t>https://snyk.io/learn/infrastructure-as-code-iac/#:~:text=Infrastructure%20as%20Code%20(IaC)%20security,compliance%20against%20a%20codified%20ruleset.</t>
  </si>
  <si>
    <t>Infrastructure as Code in a DevSecOps World</t>
  </si>
  <si>
    <t>https://www.trendmicro.com/vinfo/us/security/news/virtualization-and-cloud/infrastructure-as-code-security-risks-and-how-to-avoid-them</t>
  </si>
  <si>
    <t>David Fiser</t>
  </si>
  <si>
    <t>Infrastructure as Code: Security Risks and How to Avoid Them</t>
  </si>
  <si>
    <t>https://bridgecrew.io/blog/infrastructure-as-code-security-101/</t>
  </si>
  <si>
    <t>Payton O'Neal</t>
  </si>
  <si>
    <t>Infrastructure as code security 101</t>
  </si>
  <si>
    <t>Snyk Infrastructure as Code</t>
  </si>
  <si>
    <t>https://about.gitlab.com/blog/2022/02/17/fantastic-infrastructure-as-code-security-attacks-and-how-to-find-them/</t>
  </si>
  <si>
    <t>Michael Friedrich</t>
  </si>
  <si>
    <t>Fantastic Infrastructure as Code security attacks and how to find them</t>
  </si>
  <si>
    <t>Infrastructure as Code (IaC) and Security</t>
  </si>
  <si>
    <t>https://sysdig.com/products/secure/infrastructure-as-code-security/</t>
  </si>
  <si>
    <t>https://www.checkpoint.com/cyber-hub/cloud-security/what-is-infrastructure-as-code-iac/infrastructure-as-code-iac-security/</t>
  </si>
  <si>
    <t>Infrastructure As Code (IaC) Security</t>
  </si>
  <si>
    <t>https://thenewstack.io/infrastructure-as-code-6-best-practices-for-securing-applications/</t>
  </si>
  <si>
    <t>Infrastructure-as-Code: 6 Best Practices for Securing Applications</t>
  </si>
  <si>
    <t>Jim Armstrong</t>
  </si>
  <si>
    <t>https://www.zscaler.com/blogs/product-insights/securing-infrastructure-embedding-infrastructure-code-iac-security-developer</t>
  </si>
  <si>
    <t>Securing Infrastructure by Embedding Infrastructure As Code (IaC) Security into Developer Workflows</t>
  </si>
  <si>
    <t>https://www.opcito.com/blogs/securing-infrastructure-as-code</t>
  </si>
  <si>
    <t>Securing Infrastructure as Code</t>
  </si>
  <si>
    <t>Chaitanya Jawale</t>
  </si>
  <si>
    <t>https://www.magalix.com/blog/infrastructure-as-code-security-risks-and-solutions</t>
  </si>
  <si>
    <t>Infrastructure as Code: Security Risks and Solutions</t>
  </si>
  <si>
    <t>Bhakti Pai Vaidya</t>
  </si>
  <si>
    <t>Infrastructure as code's security risks and rewards</t>
  </si>
  <si>
    <t>https://www.techtarget.com/searchsecurity/tip/Infrastructure-as-codes-security-risks-and-rewards</t>
  </si>
  <si>
    <t>Ed Moyle</t>
  </si>
  <si>
    <t>Infrastructure as Code Linting</t>
  </si>
  <si>
    <t>https://checkmarx.com/blog/a-developers-list-of-infrastructure-as-code-iac-risks/</t>
  </si>
  <si>
    <t>Theo Despoudis</t>
  </si>
  <si>
    <t>A DEVELOPER’S LIST OF INFRASTRUCTURE AS CODE (IAC) RISKS</t>
  </si>
  <si>
    <t>https://www.techtarget.com/searchitoperations/tip/Infrastructure-as-code-principles-How-IaC-works-and-how-to-use-it</t>
  </si>
  <si>
    <t>Infrastructure as code principles: How IaC works and how to use it</t>
  </si>
  <si>
    <t>Deepak Singh Dhami</t>
  </si>
  <si>
    <t>https://medium.com/nerd-for-tech/opinionated-infrastructure-as-code-project-architecture-c77903e8703d</t>
  </si>
  <si>
    <t>Opinionated Infrastructure-as-code Project Architecture</t>
  </si>
  <si>
    <t>https://kics.io/</t>
  </si>
  <si>
    <t>kics.</t>
  </si>
  <si>
    <t>https://www.terraform.io/cli/commands/validate</t>
  </si>
  <si>
    <t>verify whether a configuration is syntactically valid and internally consistent</t>
  </si>
  <si>
    <t>https://github.com/terraform-linters/tflint</t>
  </si>
  <si>
    <t>Free</t>
  </si>
  <si>
    <t>Terraform Linter</t>
  </si>
  <si>
    <t>https://github.com/aquasecurity/tfsec</t>
  </si>
  <si>
    <t>Security Scanner</t>
  </si>
  <si>
    <t>https://aquasecurity.github.io/tfsec/v1.26.0/</t>
  </si>
  <si>
    <t>CloudFormation Linter</t>
  </si>
  <si>
    <t>https://github.com/open-policy-agent/conftest</t>
  </si>
  <si>
    <t>https://www.conftest.dev/</t>
  </si>
  <si>
    <t>https://kube-score.com/</t>
  </si>
  <si>
    <t>Recommendations to make code more secure and resilient</t>
  </si>
  <si>
    <t>https://github.com/infracost/infracost</t>
  </si>
  <si>
    <t>Cloud cost estimate for Terraform</t>
  </si>
  <si>
    <t>https://www.infracost.io/</t>
  </si>
  <si>
    <t>https://github.com/bridgecrewio/checkov</t>
  </si>
  <si>
    <t>Prevention of misconfigurations and vulnerabilities</t>
  </si>
  <si>
    <t>https://github.com/ansible/ansible-lint</t>
  </si>
  <si>
    <t>https://ansible-lint.readthedocs.io/en/latest/</t>
  </si>
  <si>
    <t>Best practice checker</t>
  </si>
  <si>
    <t>https://github.com/stelligent/cfn_nag</t>
  </si>
  <si>
    <t>https://github.com/thegeeklab/ansible-later</t>
  </si>
  <si>
    <t>https://ansible-later.geekdocs.de/</t>
  </si>
  <si>
    <t>Archived</t>
  </si>
  <si>
    <t>https://github.com/Foodcritic/foodcritic</t>
  </si>
  <si>
    <t>Linting tool for chef</t>
  </si>
  <si>
    <t>http://www.foodcritic.io/</t>
  </si>
  <si>
    <t>https://github.com/chef/cookstyle/</t>
  </si>
  <si>
    <t>Linting tool for Chef</t>
  </si>
  <si>
    <t>https://docs.chef.io/workstation/cookstyle/</t>
  </si>
  <si>
    <t>https://github.com/mizzy/serverspec</t>
  </si>
  <si>
    <t>https://serverspec.org/</t>
  </si>
  <si>
    <t>https://github.com/inspec/inspec</t>
  </si>
  <si>
    <t>https://community.chef.io/tools/chef-inspec</t>
  </si>
  <si>
    <t>Auditing and Testing (Compliance, Security, Policy) (uses actual state)</t>
  </si>
  <si>
    <t>https://github.com/tenable/terrascan</t>
  </si>
  <si>
    <t>Compliance and Security Scanner</t>
  </si>
  <si>
    <t>https://runterrascan.io/</t>
  </si>
  <si>
    <t>https://github.com/k1LoW/awspec</t>
  </si>
  <si>
    <t>Rspec Tests (tests exiting AWS resources)</t>
  </si>
  <si>
    <t>https://github.com/terraform-compliance/cli</t>
  </si>
  <si>
    <t>Security and compliance BDD testing framework for Terraform executed against Terraform plan</t>
  </si>
  <si>
    <t>https://github.com/aelsabbahy/goss</t>
  </si>
  <si>
    <t>Validate a server's configuration (uses actual state) (serverspec alternative)</t>
  </si>
  <si>
    <t>https://goss.rocks/</t>
  </si>
  <si>
    <t>https://github.com/GoogleCloudPlatform/terraform-validator</t>
  </si>
  <si>
    <t>https://github.com/cloud-carbon-footprint/cloud-carbon-footprint</t>
  </si>
  <si>
    <t>https://www.cloudcarbonfootprint.org/</t>
  </si>
  <si>
    <t>Estimate the energy usage and carbon emissions of public cloud provider utilization (needs to connect to the Cloud Provider)</t>
  </si>
  <si>
    <t>https://github.com/FlineDev/AnyLint</t>
  </si>
  <si>
    <t>"Lint anything by combining the power of scripts &amp; regular expressions". Not specific to infrastructure code</t>
  </si>
  <si>
    <t>https://github.com/github/super-linter</t>
  </si>
  <si>
    <t>Combination of multiple linters. Includes ansible-lint, cfn-lint, hadolint, kubeval, tflint, terrascan, terragrunt</t>
  </si>
  <si>
    <t>https://www.kubeval.com/</t>
  </si>
  <si>
    <t>https://github.com/instrumenta/kubeval</t>
  </si>
  <si>
    <t>Validate Kubernetes configuration files</t>
  </si>
  <si>
    <t>https://github.com/hadolint/hadolint</t>
  </si>
  <si>
    <t>Dockerfile linter. Also checks Bash code.</t>
  </si>
  <si>
    <t>https://github.com/checkstyle/checkstyle</t>
  </si>
  <si>
    <t>https://checkstyle.org/</t>
  </si>
  <si>
    <t>Static code analysis for Java</t>
  </si>
  <si>
    <t>https://github.com/aquasecurity/trivy</t>
  </si>
  <si>
    <t>https://aquasecurity.github.io/trivy/v0.29.0/</t>
  </si>
  <si>
    <t>Various scanners for security issues (including IaC misconfigurations, secret scanning)</t>
  </si>
  <si>
    <t>https://github.com/gruntwork-io/terratest</t>
  </si>
  <si>
    <t>https://terratest.gruntwork.io/</t>
  </si>
  <si>
    <t>Automated tests for infrastructure code. Mostly other testing but also static analysis (OPA)</t>
  </si>
  <si>
    <t>https://github.com/open-policy-agent/opa</t>
  </si>
  <si>
    <t>https://www.openpolicyagent.org/</t>
  </si>
  <si>
    <t>Policy Engine</t>
  </si>
  <si>
    <t>Status</t>
  </si>
  <si>
    <t>Linter for Puppet Manifests</t>
  </si>
  <si>
    <t>Validate configuration files and running resources</t>
  </si>
  <si>
    <t>https://kubesec.io/</t>
  </si>
  <si>
    <t>Scanning tool for running Kubernetes resources</t>
  </si>
  <si>
    <t>Early PoC/Alpha</t>
  </si>
  <si>
    <t>Downloads Helm charts and uses checkov for the security scan</t>
  </si>
  <si>
    <t>v3.6.0</t>
  </si>
  <si>
    <t>https://www.jetstack.io/</t>
  </si>
  <si>
    <t>v0.2.1</t>
  </si>
  <si>
    <t>Compares deployed image versions against latest upstream version and exposes this data as Prometheus metric</t>
  </si>
  <si>
    <t>v2.4.0</t>
  </si>
  <si>
    <t>v0.1</t>
  </si>
  <si>
    <t>Scans docker images</t>
  </si>
  <si>
    <t>https://docs.kubelinter.io/#/</t>
  </si>
  <si>
    <t>v0.3.0</t>
  </si>
  <si>
    <t>Best practice scanner for Kubernetes and Helm</t>
  </si>
  <si>
    <t>https://github.com/Checkmarx/kics</t>
  </si>
  <si>
    <t>v1.5.10</t>
  </si>
  <si>
    <t>Scanner for security vulnerability, compliance issues, and infrastructure misconfiguration</t>
  </si>
  <si>
    <t>https://github.com/returntocorp/semgrep</t>
  </si>
  <si>
    <t>https://semgrep.dev/</t>
  </si>
  <si>
    <t>v0.98.0</t>
  </si>
  <si>
    <t>Static analyzer using patterns. Support for JSON. Experimental support for Dockerfile, YAML</t>
  </si>
  <si>
    <t>Policy-as-code</t>
  </si>
  <si>
    <t>Container scanning</t>
  </si>
  <si>
    <t>v0.8.0</t>
  </si>
  <si>
    <t>https://github.com/trufflesecurity/trufflehog</t>
  </si>
  <si>
    <t>https://trufflesecurity.com/</t>
  </si>
  <si>
    <t>v3.6.5</t>
  </si>
  <si>
    <t>https://github.com/snyk/cli</t>
  </si>
  <si>
    <t>https://snyk.io/</t>
  </si>
  <si>
    <t>v1.953.0</t>
  </si>
  <si>
    <t>Security scanner for Docker, Terraform, K8s, AWS CloudFormation, and ARM</t>
  </si>
  <si>
    <t>https://github.com/megalinter/megalinter</t>
  </si>
  <si>
    <t>v5.14.0</t>
  </si>
  <si>
    <t>https://megalinter.github.io/latest/</t>
  </si>
  <si>
    <t>Combination of other scanners: ansible-lint, dockerfilelint, hadolint, kubeval, kubeconform, puppet-lint, tflint, terrascan, terragrunt, terraform-fmt, checkov, kics</t>
  </si>
  <si>
    <t>https://github.com/aquasecurity/cloudsploit</t>
  </si>
  <si>
    <t>v2.0.0</t>
  </si>
  <si>
    <t>Security scanner which scans cloud provider account</t>
  </si>
  <si>
    <t>https://github.com/PyCQA/pylint</t>
  </si>
  <si>
    <t>https://pylint.pycqa.org/en/latest/</t>
  </si>
  <si>
    <t>v2.14.3</t>
  </si>
  <si>
    <t>Static code analyzer for Python. Not IaC specific.</t>
  </si>
  <si>
    <t>v2.10.0</t>
  </si>
  <si>
    <t>v0.4.5</t>
  </si>
  <si>
    <t>https://containers.goodwith.tech/</t>
  </si>
  <si>
    <t>Container Image Linter</t>
  </si>
  <si>
    <t>https://github.com/newcontext-oss/kitchen-terraform</t>
  </si>
  <si>
    <t>v6.1.0</t>
  </si>
  <si>
    <t>https://github.com/ansible-community/molecule</t>
  </si>
  <si>
    <t>v4.0.0</t>
  </si>
  <si>
    <t>https://molecule.readthedocs.io/en/latest/</t>
  </si>
  <si>
    <t>Testing framework for Ansible. If installed with "lint" option, comes with yamllint and ansible-lint.</t>
  </si>
  <si>
    <t>https://www.hashicorp.com/sentinel</t>
  </si>
  <si>
    <t>https://github.com/aws-ia/taskcat</t>
  </si>
  <si>
    <t>v0.9.30</t>
  </si>
  <si>
    <t>Tests CloudFormation templates by deploying resources.</t>
  </si>
  <si>
    <t>https://aws-ia.github.io/taskcat/</t>
  </si>
  <si>
    <t>https://github.com/PyCQA/bandit</t>
  </si>
  <si>
    <t>https://bandit.readthedocs.io/en/latest/</t>
  </si>
  <si>
    <t>1.7.4</t>
  </si>
  <si>
    <t>Security scanner for Python code</t>
  </si>
  <si>
    <t>https://github.com/pyupio/pyup</t>
  </si>
  <si>
    <t>v1.1.2</t>
  </si>
  <si>
    <t>Updates all Python dependencies via PRs</t>
  </si>
  <si>
    <t>https://github.com/gofireflyio/validiac</t>
  </si>
  <si>
    <t>https://validiac.com/</t>
  </si>
  <si>
    <t>v0.1.7</t>
  </si>
  <si>
    <t>https://github.com/komodorio/validkube</t>
  </si>
  <si>
    <t>https://validkube.com/</t>
  </si>
  <si>
    <t>v1.0.1</t>
  </si>
  <si>
    <t>Built on kubeval, kubectl-neat, trivy, kubescape, polaris. Integrates those tools into an UI.</t>
  </si>
  <si>
    <t>Built on tflint, tfsec, infracost, inframap. Integrates those tools into a UI.</t>
  </si>
  <si>
    <t>https://github.com/fugue/regula</t>
  </si>
  <si>
    <t>https://regula.dev/</t>
  </si>
  <si>
    <t>v2.8.0</t>
  </si>
  <si>
    <t>Security and Compliance scanner for Terraform, CloudFormation, ARM, K8S manifests using OPA/Rego</t>
  </si>
  <si>
    <t>v1.2.0</t>
  </si>
  <si>
    <t>Secret scanner</t>
  </si>
  <si>
    <t>v1.3.6</t>
  </si>
  <si>
    <t>Scans the Docker host for configuration issues</t>
  </si>
  <si>
    <t>https://docs.shisho.dev/</t>
  </si>
  <si>
    <t>v0.5.2</t>
  </si>
  <si>
    <t>License compliance and security issue scanner</t>
  </si>
  <si>
    <t>v1.3.1</t>
  </si>
  <si>
    <t>v.0.37.0</t>
  </si>
  <si>
    <t>v.0.3.18</t>
  </si>
  <si>
    <t>v.0.29.0</t>
  </si>
  <si>
    <t>v.1.26.0</t>
  </si>
  <si>
    <t>https://github.com/aws-cloudformation/cfn-lint</t>
  </si>
  <si>
    <t>v.0.61.0</t>
  </si>
  <si>
    <t>v.0.32.1</t>
  </si>
  <si>
    <t>v1.14.0</t>
  </si>
  <si>
    <t>v.0.10.3</t>
  </si>
  <si>
    <t>v.0.40.17</t>
  </si>
  <si>
    <t>v.16.3.0</t>
  </si>
  <si>
    <t>https://github.com/adrienverge/yamllint</t>
  </si>
  <si>
    <t>YAML Linter</t>
  </si>
  <si>
    <t>v1.26.3</t>
  </si>
  <si>
    <t>https://yamllint.readthedocs.io/en/stable/</t>
  </si>
  <si>
    <t>https://gitleaks.io/</t>
  </si>
  <si>
    <t>v8.8.7</t>
  </si>
  <si>
    <t>https://github.com/awslabs/git-secrets</t>
  </si>
  <si>
    <t>1.3.0</t>
  </si>
  <si>
    <t>https://github.com/yandex/gixy</t>
  </si>
  <si>
    <t>v0.1.20</t>
  </si>
  <si>
    <t>Nginx configuration analyzer (security)</t>
  </si>
  <si>
    <t>https://github.com/cycloidio/inframap</t>
  </si>
  <si>
    <t>v0.6.7</t>
  </si>
  <si>
    <t>Generate a resource graph for Terraform configuration</t>
  </si>
  <si>
    <t>https://cfripper.readthedocs.io/en/1.12.0/</t>
  </si>
  <si>
    <t>1.12.0</t>
  </si>
  <si>
    <t>Security scanner for CloudFormation</t>
  </si>
  <si>
    <t>0.1.146</t>
  </si>
  <si>
    <t>https://yor.io/</t>
  </si>
  <si>
    <t>Automatically add tags to Terraform, CloudFormation, and Serverless Framework</t>
  </si>
  <si>
    <t>https://github.com/rdkls/tf-parliament</t>
  </si>
  <si>
    <t>v1.0.0</t>
  </si>
  <si>
    <t>https://github.com/prancer-io/cloud-validation-framework</t>
  </si>
  <si>
    <t>v2.0.4</t>
  </si>
  <si>
    <t>Policy-as-code for CloudFormation, K8s manifests, and Terraform</t>
  </si>
  <si>
    <t>https://puppet.com/docs/pe/2019.2/validate_manifest_with_puppet_parser_validate.html</t>
  </si>
  <si>
    <t>Syntax checker for Puppet</t>
  </si>
  <si>
    <t>v0.15.2</t>
  </si>
  <si>
    <t>Policy-as-code framework for enterprise products.</t>
  </si>
  <si>
    <t>https://github.com/xchapter7x/clarity</t>
  </si>
  <si>
    <t>v0.7.1</t>
  </si>
  <si>
    <t>Terraform unit tests</t>
  </si>
  <si>
    <t>v2.0.14</t>
  </si>
  <si>
    <t>https://testinfra.readthedocs.io/en/latest/</t>
  </si>
  <si>
    <t>v6.7.0</t>
  </si>
  <si>
    <t>Write unit tests to test the actual state of servers configured by Salt, Ansible, Puppet, Chef, etc.</t>
  </si>
  <si>
    <t>https://github.com/pytest-dev/pytest-testinfra</t>
  </si>
  <si>
    <t>https://helm.sh/docs/helm/helm_lint/</t>
  </si>
  <si>
    <t>Linting for helm charts</t>
  </si>
  <si>
    <t>Render templates but don't install. Requires connection to the Kubernetes API Server</t>
  </si>
  <si>
    <t>helm --validate</t>
  </si>
  <si>
    <t>Needs to connect to the Kubernetes API</t>
  </si>
  <si>
    <t>helm template</t>
  </si>
  <si>
    <t>https://github.com/plasma-umass/Rehearsal</t>
  </si>
  <si>
    <t>demo</t>
  </si>
  <si>
    <t>https://plasma-umass.org/Rehearsal/home/</t>
  </si>
  <si>
    <t>Static Verification Tool for Puppet. Checks that the semantics don't violate safety properties.</t>
  </si>
  <si>
    <t>https://github.com/wayfair/terrafirma</t>
  </si>
  <si>
    <t>Security misconfiguration scanner. Runs on Terraform plans.</t>
  </si>
  <si>
    <t>https://github.com/htmllint/htmllint</t>
  </si>
  <si>
    <t>http://htmllint.github.io/</t>
  </si>
  <si>
    <t>HTML Linter and Validator</t>
  </si>
  <si>
    <t>https://github.com/eslint/eslint</t>
  </si>
  <si>
    <t>v8.18.0</t>
  </si>
  <si>
    <t>https://eslint.org/</t>
  </si>
  <si>
    <t>Linter for JavaScript</t>
  </si>
  <si>
    <t>https://github.com/koalaman/shellcheck</t>
  </si>
  <si>
    <t>https://www.shellcheck.net/</t>
  </si>
  <si>
    <t>Static analyzer for shell scripts</t>
  </si>
  <si>
    <t>https://github.com/markdownlint/markdownlint</t>
  </si>
  <si>
    <t>v0.11.0</t>
  </si>
  <si>
    <t>Markdown linter</t>
  </si>
  <si>
    <t>https://github.com/octarinesec/kube-scan</t>
  </si>
  <si>
    <t>v20.5</t>
  </si>
  <si>
    <t>https://www.vmware.com/security.html</t>
  </si>
  <si>
    <t>Cluster Risk Management based on runtime configuration</t>
  </si>
  <si>
    <t>https://www.gitguardian.com/</t>
  </si>
  <si>
    <t>Credentials Scanner as SaaS</t>
  </si>
  <si>
    <t>https://github.com/openstack/tosca-parser</t>
  </si>
  <si>
    <t>2.6.0</t>
  </si>
  <si>
    <t>https://opendev.org/openstack/tosca-parser</t>
  </si>
  <si>
    <t>https://github.com/xlab-si/xopera-opera</t>
  </si>
  <si>
    <t>0.6.9.</t>
  </si>
  <si>
    <t>https://xlab-si.github.io/xopera-docs/02-cli.html</t>
  </si>
  <si>
    <t>An orchestrator. The validate command can be used to validate the TOSCA templates.</t>
  </si>
  <si>
    <t>https://github.com/typescript-eslint/typescript-eslint</t>
  </si>
  <si>
    <t>v5.29.0</t>
  </si>
  <si>
    <t>https://typescript-eslint.io/</t>
  </si>
  <si>
    <t>Linter for TypeScript</t>
  </si>
  <si>
    <t>https://github.com/jeremylong/DependencyCheck</t>
  </si>
  <si>
    <t>https://owasp.org/www-project-dependency-check/#</t>
  </si>
  <si>
    <t>Software Composition Analysis Tool that checks dependencies for CVEs.</t>
  </si>
  <si>
    <t>https://marketplace.visualstudio.com/items?itemName=zamarrowski.docker-vulnerability-extension</t>
  </si>
  <si>
    <t>https://github.com/zamarrowski/vscode-docker-vulnerabilities</t>
  </si>
  <si>
    <t>"View vulnerabilities of your docker image"</t>
  </si>
  <si>
    <t>https://github.com/henriiik/vscode-docker-linter</t>
  </si>
  <si>
    <t>0.5.0</t>
  </si>
  <si>
    <t>"Run linters for perl, php, python and/or ruby in your containers."</t>
  </si>
  <si>
    <t>https://scan.coverity.com/</t>
  </si>
  <si>
    <t>"Find and fix defects in your Java, C/C++, C#, JavaScript, Ruby, or Python open source project for free"</t>
  </si>
  <si>
    <t>https://github.com/coverity</t>
  </si>
  <si>
    <t>Requires sign up</t>
  </si>
  <si>
    <t>https://github.com/quay/clair</t>
  </si>
  <si>
    <t>v4.4.4</t>
  </si>
  <si>
    <t>"Vulnerability Static Analysis for Containers"</t>
  </si>
  <si>
    <t>RuboCop</t>
  </si>
  <si>
    <t>https://github.com/rubocop/rubocop</t>
  </si>
  <si>
    <t>https://docs.rubocop.org/rubocop/1.30/index.html</t>
  </si>
  <si>
    <t>1.30.1</t>
  </si>
  <si>
    <t>Static code analyzer for Ruby.</t>
  </si>
  <si>
    <t>Tool to automatically translate fixes applied with Shell into Puppet DSL</t>
  </si>
  <si>
    <t>Configuration validation language for "Docker images, running containers, host, and cloud"</t>
  </si>
  <si>
    <t>https://docs.ansible.com/ansible/latest/cli/ansible-playbook.html</t>
  </si>
  <si>
    <t>Performs a syntax check on the playbook without executing it</t>
  </si>
  <si>
    <t>Predicts the changes that will be made without executing them. However, requires communication with the remote system.</t>
  </si>
  <si>
    <t>https://spectralops.io/</t>
  </si>
  <si>
    <t>Automation platform</t>
  </si>
  <si>
    <t>Security as Code platform</t>
  </si>
  <si>
    <t>https://oak9.io/</t>
  </si>
  <si>
    <t>https://www.fugue.co/</t>
  </si>
  <si>
    <t>Scanner for "security issues, compliance violations, and other misconfiguration"</t>
  </si>
  <si>
    <t>https://www.terraform.io/cli/commands/fmt</t>
  </si>
  <si>
    <t>Tool to check and fix formatting and styling. Can be executed as dry-run.</t>
  </si>
  <si>
    <t>https://engine.anchore.io/</t>
  </si>
  <si>
    <t>"Docker container static analysis and policy-based compliance tool"</t>
  </si>
  <si>
    <t>https://github.com/anchore/anchore-engine</t>
  </si>
  <si>
    <t>v1.1.0</t>
  </si>
  <si>
    <t>19.03.2022 (feature complete)</t>
  </si>
  <si>
    <t>https://www.tenable.com/accurics</t>
  </si>
  <si>
    <t>"Security defined as code"</t>
  </si>
  <si>
    <t>IaC Security scanning for "Terraform, CloudFormation, ARM, Kubernetes, and other IaC templates"</t>
  </si>
  <si>
    <t>https://github.com/turbot/steampipe-plugin-terraform</t>
  </si>
  <si>
    <t>https://hub.steampipe.io/plugins/turbot/terraform</t>
  </si>
  <si>
    <t>Query terraform resources</t>
  </si>
  <si>
    <t>v0.1.0</t>
  </si>
  <si>
    <t>Häyhä</t>
  </si>
  <si>
    <t>https://gitlab.com/rose-yale/hayha</t>
  </si>
  <si>
    <t>Intra-update Sniping Vulnerabilities. Repo not locatable</t>
  </si>
  <si>
    <t>Continuous Compliance</t>
  </si>
  <si>
    <t>https://cloudrail.app/</t>
  </si>
  <si>
    <t>https://www.lacework.com/</t>
  </si>
  <si>
    <t>https://github.com/open-policy-agent/gatekeeper</t>
  </si>
  <si>
    <t>https://open-policy-agent.github.io/gatekeeper/website/docs/</t>
  </si>
  <si>
    <t>v3.8.1.</t>
  </si>
  <si>
    <t>Policy Controller for Kubernetes. Interacts with Kubernetes API</t>
  </si>
  <si>
    <t>Scanner for Terraform, Kubernetes, CloudFormation, etc.</t>
  </si>
  <si>
    <t>https://www.prancer.io/</t>
  </si>
  <si>
    <t>V2.1.29</t>
  </si>
  <si>
    <t>Policy-as-code, Secret Scanner</t>
  </si>
  <si>
    <t>Security Linter for IaC</t>
  </si>
  <si>
    <t>https://figshare.com/articles/dataset/Dataset_for_Security_Smells_for_Ansible_and_Chef_Scripts_A_Replication_Study_/8085755?file=15081080</t>
  </si>
  <si>
    <t>Wrapper of AWS IAM Linting Library for Terraform</t>
  </si>
  <si>
    <t>2.10.1</t>
  </si>
  <si>
    <t>Creates a container BOM</t>
  </si>
  <si>
    <t>v0.40.1</t>
  </si>
  <si>
    <t>Scanner for container images or filesystems</t>
  </si>
  <si>
    <t>https://fossa.com/</t>
  </si>
  <si>
    <t>No repository. Only code via download</t>
  </si>
  <si>
    <t>Static analyzer for Ansible and Chef</t>
  </si>
  <si>
    <t>"polyglot security smell detection in IaC scripts"</t>
  </si>
  <si>
    <t>https://figshare.com/s/d5283b1cdd1bcee38d85</t>
  </si>
  <si>
    <t>https://spectralops.io/blog/spectral-launches-deepconfig-to-ensure-no-misconfiguration-at-all-layers-of-software/</t>
  </si>
  <si>
    <t>Misconfiguration scanner for all layers of software, including secret scanning</t>
  </si>
  <si>
    <t>Will be retired on 31.12.2022</t>
  </si>
  <si>
    <t>v3.2.0</t>
  </si>
  <si>
    <t>Scanner for security misconfigurations, passwords, and secrets</t>
  </si>
  <si>
    <t>https://github.com/wemake-services/dotenv-linter</t>
  </si>
  <si>
    <t>0.3.0</t>
  </si>
  <si>
    <t>Linter for .env files</t>
  </si>
  <si>
    <t>Must be deployed to scan resources, not code</t>
  </si>
  <si>
    <t>v0.2.13</t>
  </si>
  <si>
    <t>"queries live Kubernetes clusters for resources"</t>
  </si>
  <si>
    <t>https://github.com/datreeio/datree</t>
  </si>
  <si>
    <t>"A CLI tool to prevent Kubernetes misconfigurations by ensuring that manifests and Helm charts follow best practices as well as your organization’s policies"</t>
  </si>
  <si>
    <t>1.5.19</t>
  </si>
  <si>
    <t>1.2.2</t>
  </si>
  <si>
    <t>"validates and lints metadata.json files in Puppet modules"</t>
  </si>
  <si>
    <t>https://github.com/RedCoolBeans/dockerlint/</t>
  </si>
  <si>
    <t>dockerlint</t>
  </si>
  <si>
    <t>dockerfile_lint</t>
  </si>
  <si>
    <t>https://github.com/projectatomic/dockerfile_lint/</t>
  </si>
  <si>
    <t>0.0.9</t>
  </si>
  <si>
    <t>Linter for Dockerfiles</t>
  </si>
  <si>
    <t>https://github.com/replicatedhq/dockerfilelint</t>
  </si>
  <si>
    <t>dockerfilelint</t>
  </si>
  <si>
    <t>https://www.fromlatest.io/#/</t>
  </si>
  <si>
    <t>31.07.2020</t>
  </si>
  <si>
    <t>v1.8.0</t>
  </si>
  <si>
    <t>kubeconform</t>
  </si>
  <si>
    <t>https://github.com/yannh/kubeconform</t>
  </si>
  <si>
    <t>v0.4.13</t>
  </si>
  <si>
    <t>Kubernetes manifests validation</t>
  </si>
  <si>
    <t>ansible-test</t>
  </si>
  <si>
    <t>https://github.com/nylas/ansible-test</t>
  </si>
  <si>
    <t>Ansible testing tool</t>
  </si>
  <si>
    <t>rolespec</t>
  </si>
  <si>
    <t>https://github.com/nickjj/rolespec</t>
  </si>
  <si>
    <t>v0.3.2</t>
  </si>
  <si>
    <t>"A test library for testing Ansible roles" (incl. linter)</t>
  </si>
  <si>
    <t>polaris</t>
  </si>
  <si>
    <t>https://github.com/FairwindsOps/polaris</t>
  </si>
  <si>
    <t>6.0.0</t>
  </si>
  <si>
    <t>https://www.fairwinds.com/polaris</t>
  </si>
  <si>
    <t>Amongst other use-cases: audit local Kubernetes manifests stored in YAML files</t>
  </si>
  <si>
    <t>kubectl-neat</t>
  </si>
  <si>
    <t>https://github.com/itaysk/kubectl-neat</t>
  </si>
  <si>
    <t>v2.0.3</t>
  </si>
  <si>
    <t>Clean up Kubernetes yaml and json output to make it readable</t>
  </si>
  <si>
    <t>kubescape</t>
  </si>
  <si>
    <t>https://github.com/armosec/kubescape</t>
  </si>
  <si>
    <t>v2.0.158</t>
  </si>
  <si>
    <t>"risk analysis, security compliance, RBAC visualizer and image vulnerabilities scanning" (allows scanning of local YAML files)</t>
  </si>
  <si>
    <t>parliament</t>
  </si>
  <si>
    <t>https://github.com/duo-labs/parliament</t>
  </si>
  <si>
    <t>AWS IAM linting library</t>
  </si>
  <si>
    <t>1.5.2</t>
  </si>
  <si>
    <t>https://github.com/thazelart/terraform-validator</t>
  </si>
  <si>
    <t>terraform-validator</t>
  </si>
  <si>
    <t>"A norms and conventions validator for Terraform"</t>
  </si>
  <si>
    <t>3.1.3</t>
  </si>
  <si>
    <t>config-validator</t>
  </si>
  <si>
    <t>https://github.com/GoogleCloudPlatform/config-validator</t>
  </si>
  <si>
    <t>"evaluate GCP resources against Rego-based policies"</t>
  </si>
  <si>
    <t>kubectl --dry-run=client</t>
  </si>
  <si>
    <t>helm verify</t>
  </si>
  <si>
    <t>https://helm.sh/docs/helm/helm_verify/</t>
  </si>
  <si>
    <t>"verify that a chart at the given path has been signed and is valid"</t>
  </si>
  <si>
    <t>Bad SICAs</t>
  </si>
  <si>
    <t>Good SICAs</t>
  </si>
  <si>
    <t>y</t>
  </si>
  <si>
    <t>n</t>
  </si>
  <si>
    <t>Categories</t>
  </si>
  <si>
    <t>27.06.202</t>
  </si>
  <si>
    <t>29.07.2021</t>
  </si>
  <si>
    <t>28.06.2022</t>
  </si>
  <si>
    <t>08.06.2022</t>
  </si>
  <si>
    <t>Linting</t>
  </si>
  <si>
    <t>Tool with the most GitHub stars</t>
  </si>
  <si>
    <t>Credential scanner. Verification with cloud providers to avoid false positives can be disabled</t>
  </si>
  <si>
    <t>Validation, Security Scanning</t>
  </si>
  <si>
    <t>Static Analysis, Unit Testing, Integration Testing, Smoke Test with Dummy Application, Security and Compliance, Security Scanning, Compliance</t>
  </si>
  <si>
    <t>Static Analysis, Unit Testing, Integration Testing, End-to-End Testing</t>
  </si>
  <si>
    <t>Linters, SAST, Policy as Code</t>
  </si>
  <si>
    <t>Static and local checks, Apply and destroy tests, Imitation tests</t>
  </si>
  <si>
    <t>Formatting and Linting, Testing Frameworks, Security Scanning</t>
  </si>
  <si>
    <t>Compliance as Code, Static Analysis</t>
  </si>
  <si>
    <t>Lint, Security, Cost, Mapping</t>
  </si>
  <si>
    <t>Linting, Functional Testing</t>
  </si>
  <si>
    <t>Multi-Platform, Containers, Terraform, Kubernetes, Ansible, Secret Scanning</t>
  </si>
  <si>
    <t>Ansible, Configuration Management, Config Files, Containers, Kubernetes, Metalinter, Security/SAST, Template-Languages, Terraform</t>
  </si>
  <si>
    <t>Declarative, Imperative</t>
  </si>
  <si>
    <t>Provisioning, Configuration, Deployment, Initial setup phase, Maintaining phase, Declarative, Imperative, Mutable, Immutable, Agent, Agentless</t>
  </si>
  <si>
    <t>Declarative, Procedural</t>
  </si>
  <si>
    <t>Configuration management, Configuration orchestration</t>
  </si>
  <si>
    <t>Scripts, Configuration Management, Templating, Orchestration, Provisioning, Initial setup phase, Maintaining phase</t>
  </si>
  <si>
    <t>Declarative, Imperative, Provisioning, Configuration Management, Containerization and Image Building</t>
  </si>
  <si>
    <t>Infrastructure definition, configuration management</t>
  </si>
  <si>
    <t>Scripting, Configuration management, provisioning, container and templating</t>
  </si>
  <si>
    <t>Imperative, Declarative, Configuration management, provisioning</t>
  </si>
  <si>
    <t>Orchestration, Configuration Management</t>
  </si>
  <si>
    <t>Deployment, Provisioning, Orchestration, Configuration Management</t>
  </si>
  <si>
    <t>Declarative, Imperative, Push, Pull, Mutable, Immutable</t>
  </si>
  <si>
    <t>Declarative, Imperative, Immutable, Mutable, Orchestration, Configuration Management</t>
  </si>
  <si>
    <t>Provisioning, Server configuration, Containerization, Kubernetes Deployment</t>
  </si>
  <si>
    <t>Configuration management, orchestration, container orchestration</t>
  </si>
  <si>
    <t>Infrastructure provisioning, Configuration management</t>
  </si>
  <si>
    <t>Configuration Management, Provisioning, Mutable, Immutable, Procedural, Declarative, Master, Masterless, Agent, Agentless, Large Community, Small Community, Mature, Cutting Edge</t>
  </si>
  <si>
    <t>Idempotency, Convergence, Mutable, Immutable, Procedural, Declarative, Master Server, Agents</t>
  </si>
  <si>
    <t>Configuration Management, Provisioning</t>
  </si>
  <si>
    <t>Provisioning, Configuration Management, Application deployment</t>
  </si>
  <si>
    <t>Orchestration, provisioning, configuration management, application deployment</t>
  </si>
  <si>
    <t>Orchestration, Configuration Management, Scripting, Orchestration</t>
  </si>
  <si>
    <t>AnsibleMetrics: A Python library for measuring Infrastructure-as-Code blueprints in Ansible</t>
  </si>
  <si>
    <t>Dalla Palma, Stefano; Di Nucci, Dario; Tamburri, Damian A.</t>
  </si>
  <si>
    <t>https://github.com/radon-h2020/radon-ansible-metrics</t>
  </si>
  <si>
    <t>0.3.12</t>
  </si>
  <si>
    <t>Static analyzer for source code metrics</t>
  </si>
  <si>
    <t>AnsibleMetrics</t>
  </si>
  <si>
    <t>https://radon-h2020.github.io/radon-ansible-metrics/</t>
  </si>
  <si>
    <t>https://github.com/akondrahman/IacSec</t>
  </si>
  <si>
    <t>Found During MLR on IaC Tools</t>
  </si>
  <si>
    <t>Secret Scanning</t>
  </si>
  <si>
    <t>Is for considered IaC tools?</t>
  </si>
  <si>
    <t>Third-party (not built-in)?</t>
  </si>
  <si>
    <t>yn</t>
  </si>
  <si>
    <t>Considered for in-depth assessment</t>
  </si>
  <si>
    <t>Does not meet inclusion criteria</t>
  </si>
  <si>
    <t>Considered for decision guide but not for in-depth assessment</t>
  </si>
  <si>
    <t>Legend</t>
  </si>
  <si>
    <t>Value</t>
  </si>
  <si>
    <t>Descriptions</t>
  </si>
  <si>
    <t>Meta-Tool</t>
  </si>
  <si>
    <t>Code accessible</t>
  </si>
  <si>
    <t>Pre-configured rules</t>
  </si>
  <si>
    <t>y (open-source registry with rules)</t>
  </si>
  <si>
    <t>Free but requires an account</t>
  </si>
  <si>
    <t>Linting and testing of Helm Charts. But linting command is only helm lint + yamllint</t>
  </si>
  <si>
    <t>Load the chart, determine the values, render the templates, format to YAML - without connecting to the API server. But not analysis of the Helm chart.</t>
  </si>
  <si>
    <t>Meta linter and formatter built on ansible-lint, cfn-lint, gitleaks, hadolint, semgrep, tflint. Unified in one check command. But code is not available on GitHub, only action.</t>
  </si>
  <si>
    <t>Enforce policy compliance. Consumes a terraform plan. Built on top of config-validator. But "retrieves project data with Google Cloud APIs"</t>
  </si>
  <si>
    <t>Static Analysis of Infrastructure as Code: a Survey</t>
  </si>
  <si>
    <t>Chiari, Michele; Pascalis, Michele de; Pradella, Matteo</t>
  </si>
  <si>
    <t>Infrastructure as Code ˄ Static Analysis</t>
  </si>
  <si>
    <t>ACID</t>
  </si>
  <si>
    <t>Barrel</t>
  </si>
  <si>
    <t>DeepIaC</t>
  </si>
  <si>
    <t>Puppeteer</t>
  </si>
  <si>
    <t>SecGuru</t>
  </si>
  <si>
    <t>SODALITE</t>
  </si>
  <si>
    <t>Sommelier</t>
  </si>
  <si>
    <t>https://hub.docker.com/repository/docker/akondrahman/acid-puppet</t>
  </si>
  <si>
    <t>NLP Tool to identify defect categories in IaC by analyzing commits and diffs</t>
  </si>
  <si>
    <t>https://github.com/ranma42/MProt</t>
  </si>
  <si>
    <t>Web Application "that permits to edit and analyse management protocols in TOSCA applications"</t>
  </si>
  <si>
    <t>"Deep learning to detect anti-patterns ins Ansible scripts"</t>
  </si>
  <si>
    <t>https://github.com/SODALITE-EU/defect-prediction/tree/master/ansible</t>
  </si>
  <si>
    <t>M30</t>
  </si>
  <si>
    <t>https://github.com/tushartushar/Puppeteer</t>
  </si>
  <si>
    <t>"Smell detection tool for Puppet code"</t>
  </si>
  <si>
    <t>"analyses firewall ACLs within infrastructures deployed in the Azure cloud"</t>
  </si>
  <si>
    <t>No repository</t>
  </si>
  <si>
    <t>"detecting code smells in TOSCA service templates"</t>
  </si>
  <si>
    <t>https://github.com/SODALITE-EU/defect-prediction</t>
  </si>
  <si>
    <t>https://github.com/di-unipi-socc/Sommelier</t>
  </si>
  <si>
    <t>"Validator of TOSCA application topologies"</t>
  </si>
  <si>
    <t>Cyber Security of Critical Infrastructures</t>
  </si>
  <si>
    <t>Maglaras, Leandros</t>
  </si>
  <si>
    <t>A Critical Study on the Precision of a State of the Art Infrastructure-as-Code Security Linter</t>
  </si>
  <si>
    <t>Anonymous</t>
  </si>
  <si>
    <t>Security smells in open-source infrastructure as code scripts : A replication study</t>
  </si>
  <si>
    <t>Hortlund, Andreas</t>
  </si>
  <si>
    <t>Infrastructure as Code ˄ Security</t>
  </si>
  <si>
    <t>Ibrahim, Amr; Yousef, Ahmed H.; Medhat, Walaa</t>
  </si>
  <si>
    <t>DevSecOps: A Security Model for Infrastructure as Code Over the Cloud</t>
  </si>
  <si>
    <t>An Empirical Study of Utilization of Imperative Modules in Ansible</t>
  </si>
  <si>
    <t>Kokuryo, Shoma; Kondo, Masanari; Mizuno, Osamu</t>
  </si>
  <si>
    <t>Characterizing co-located insecure coding patterns in infrastructure as code scripts</t>
  </si>
  <si>
    <t>Bhuiyan, Farzana Ahamed; Rahman, Akond</t>
  </si>
  <si>
    <t>DEVELOPMENT OF CRYPTOCODE CONSTRUCTS BASED ON LDPC CODES</t>
  </si>
  <si>
    <t>Pohasii, S., Yevseiev, S., Zhuchenko, O., Milov, O., Lysechko, V., Kovalenko, O., Kostiak, M., Volkov, A., Lezik, A., &amp; Susukailo, V</t>
  </si>
  <si>
    <t>Authum Investment &amp; Infrastructure informs about trading window closure</t>
  </si>
  <si>
    <t>A Large-Scale Study on the Security Vulnerabilities of Cloud Deployments</t>
  </si>
  <si>
    <t>Iosif, Andrei-Cristian; Gasiba, Tiago Espinha; Zhao, Tiange; Lechner, Ulrike; Pinto-Albuquerque, Maria</t>
  </si>
  <si>
    <t>Building a Framework for Automated Security Testbeds in Cloud Infrastructures</t>
  </si>
  <si>
    <t>Tkachuk, Roman-Valentyn Ilie, Dragos Tutschku, Kurt</t>
  </si>
  <si>
    <t>Security controls in infrastructure as code</t>
  </si>
  <si>
    <t>No access</t>
  </si>
  <si>
    <t>Sadiq Almuairfi; Mamdouh Alenezi;</t>
  </si>
  <si>
    <t>Not found</t>
  </si>
  <si>
    <t>Luc Demanche; Adrian Png</t>
  </si>
  <si>
    <t>PIACERE: Programming trustworthy Infrastructure As Code in a Secure Framework</t>
  </si>
  <si>
    <t>Alonso, Juncal; Joubert, Christophe; Orue-Echevarria, Leire; Pradella, Matteo; Vladušič, Daniel</t>
  </si>
  <si>
    <t>The Modbus Protocol Vulnerability Test in Industrial Control Systems</t>
  </si>
  <si>
    <t>Chang, Hung-Chang; Lin, Chen-Yi; Liao, Da-Jyun; Koo, Tung-Ming</t>
  </si>
  <si>
    <t>Vulnerability Remediation in ICS Infrastructure Based on Source Code Analysis</t>
  </si>
  <si>
    <t>Florin, Ilca Lucian; Balan, Titus</t>
  </si>
  <si>
    <t>Gammon Infrastructure Projects informs about board meeting</t>
  </si>
  <si>
    <t>Ace Analyser</t>
  </si>
  <si>
    <t>Resilient Timekeeping for Critical Infrastructure</t>
  </si>
  <si>
    <t>John Fischer</t>
  </si>
  <si>
    <t>E-Voting and e-Recap Verification and Validation Schemes for Indonesia Utilizing Cryptographic Hash Function Message Authentication Codes (MAC) and Public Key Infrastructure (PKI)</t>
  </si>
  <si>
    <t>Alfonso Brolin Sihite;Muhammad Salman;</t>
  </si>
  <si>
    <t>Inconsistency between Domain Name and Server Location: Phenomena, Causes, and Countermeasures</t>
  </si>
  <si>
    <t>Shanshan Hao;Liu Renjie;Chang Deliang;Chenhuan Liu;Xing Li;</t>
  </si>
  <si>
    <t>Infrastructure as Code Static Analyis</t>
  </si>
  <si>
    <t>Only mentions Pulumi because it's from Pulumi</t>
  </si>
  <si>
    <t>Considered</t>
  </si>
  <si>
    <t>Not considered</t>
  </si>
  <si>
    <t>F/I (Formal/Informal)</t>
  </si>
  <si>
    <t>I</t>
  </si>
  <si>
    <t>F</t>
  </si>
  <si>
    <t>Provisioning, Configuration Management, Image Building</t>
  </si>
  <si>
    <t>Agent, Agentless, Mutable, Immutable, Procedural, Declarative, Configuration, Provisioning</t>
  </si>
  <si>
    <t>Provisioning, Configuration</t>
  </si>
  <si>
    <t>Templating, Orchestration, Configuration Management</t>
  </si>
  <si>
    <t>Configuration Management, Templating, Provisioning</t>
  </si>
  <si>
    <t>Configuration Management, Orchestration, Provisioning</t>
  </si>
  <si>
    <t>Declarative, Imperative, Configuration Management, Provisioning</t>
  </si>
  <si>
    <t>Declarative, Imperative, Push, Pull</t>
  </si>
  <si>
    <t>Provisioning, Orchestration, Image Management, Configuration Management</t>
  </si>
  <si>
    <t>Provisioning, Configuration Management</t>
  </si>
  <si>
    <t>Avoiding Coding Anti-Patterns (Linting)</t>
  </si>
  <si>
    <t>Built-in, security, linting, compliance</t>
  </si>
  <si>
    <t>Syntax, Linting (Coding Style, Policy, Security)</t>
  </si>
  <si>
    <t>Linters, Verifiers</t>
  </si>
  <si>
    <t>Syntax, Linting</t>
  </si>
  <si>
    <t>Formatting, Security</t>
  </si>
  <si>
    <t>linters, detectors of code smells, and metrics that correlate with defects in IaC scripts</t>
  </si>
  <si>
    <t>Not in-depth</t>
  </si>
  <si>
    <t>In-depth</t>
  </si>
  <si>
    <t>Using Ansible as Part of TOSCA Orchestrator</t>
  </si>
  <si>
    <t>Shvetcova, Valeriya; Borisenko, Oleg; Polischuk, Maxim</t>
  </si>
  <si>
    <t>Researching a Distributed Computing Automation Platform for Big Data Processing</t>
  </si>
  <si>
    <t>Bahareva, Nadezhda; Ushakov, Yury; Ushakova, Margarita; Parfenov, Denis; Legashev, Leonid; Bolodurina, Irina</t>
  </si>
  <si>
    <t>On the Effectiveness of Tools to Support Infrastructure as Code: Model-Driven Versus Code-Centric</t>
  </si>
  <si>
    <t>Sandobalin, Julio; Insfran, Emilio; Abrahao, Silvia</t>
  </si>
  <si>
    <t>Support for most popular public cloud providers? Applies only to provisioning tools</t>
  </si>
  <si>
    <t>Deprecated</t>
  </si>
  <si>
    <t>Percentage</t>
  </si>
  <si>
    <t>Considered Tools with less than five votes</t>
  </si>
  <si>
    <t>Not considered tools with less than five votes</t>
  </si>
  <si>
    <t>*Quattor and bcfg2 are manually subtracted</t>
  </si>
  <si>
    <t>docker-compose-viz</t>
  </si>
  <si>
    <t>salt-lint</t>
  </si>
  <si>
    <t>https://github.com/pmsipilot/docker-compose-viz</t>
  </si>
  <si>
    <t>"Docker compose graph visualization"</t>
  </si>
  <si>
    <t>1.1.0</t>
  </si>
  <si>
    <t>https://github.com/warpnet/salt-lint</t>
  </si>
  <si>
    <t>"checks for best practices in SaltStack"</t>
  </si>
  <si>
    <t>https://salt-lint.readthedocs.io/en/latest/</t>
  </si>
  <si>
    <t>0.8.0</t>
  </si>
  <si>
    <t>Considered Tools with five votes or more</t>
  </si>
  <si>
    <t>Not considered tools with five votes or more</t>
  </si>
  <si>
    <t>Red Cool Beans</t>
  </si>
  <si>
    <t>Dockerlint: Linting tool for Dockerfiles</t>
  </si>
  <si>
    <t>Project Atomic</t>
  </si>
  <si>
    <t>dockerfilelint: An opinionated Dockerfile linter</t>
  </si>
  <si>
    <t>Replicated </t>
  </si>
  <si>
    <t>kubeconform: A FAST Kubernetes manifests validator, with support for Custom Resources!</t>
  </si>
  <si>
    <t>Yann Hamon</t>
  </si>
  <si>
    <t>ansible-test: An Ansible Testing Framework for Humans</t>
  </si>
  <si>
    <t>Nylas</t>
  </si>
  <si>
    <t>rolespec: A test library for testing Ansible roles</t>
  </si>
  <si>
    <t>Nick Janetakis</t>
  </si>
  <si>
    <t>polaris: Validation of best practices in your Kubernetes clusters</t>
  </si>
  <si>
    <t>Fairwinds</t>
  </si>
  <si>
    <t>kubectl-neat: Clean up Kubernetes yaml and json output to make it readable</t>
  </si>
  <si>
    <t>Itay Shakury</t>
  </si>
  <si>
    <t>kubescape: Kubescape is a K8s open-source tool providing a multi-cloud K8s single pane of glass, including risk analysis, security compliance, RBAC visualizer and image vulnerabilities scanning</t>
  </si>
  <si>
    <t>ARMO </t>
  </si>
  <si>
    <t>parliament: AWS IAM linting library</t>
  </si>
  <si>
    <t>Duo Labs</t>
  </si>
  <si>
    <t>terraform-validator: A norms and conventions validator for Terraform</t>
  </si>
  <si>
    <t>Thibault Hazelart</t>
  </si>
  <si>
    <t>Google</t>
  </si>
  <si>
    <t>config-validator: Golang library which provides functionality to evaluate GCP resources against Rego-based policies</t>
  </si>
  <si>
    <t>https://kubernetes.io/docs/reference/kubectl/conventions/</t>
  </si>
  <si>
    <t>kubectl Usage Conventions</t>
  </si>
  <si>
    <t>Helm Verify</t>
  </si>
  <si>
    <t>yamllint</t>
  </si>
  <si>
    <t>TruffleHog</t>
  </si>
  <si>
    <t>Coverity</t>
  </si>
  <si>
    <t>Zampetti, Fiorella; Scalabrino, Simone; Oliveto, Rocco; Canfora, Gerardo; Di Penta, Massimiliano</t>
  </si>
  <si>
    <t>These SICAs were identified as described in chapter 4.5.4 and not during the MLR. Hence, no source votes for these SICAs.</t>
  </si>
  <si>
    <t>Server testing (uses actual state)</t>
  </si>
  <si>
    <t>Parses TOSCA YAML files but has no linting or similar functionality. May be used by other tools that are build on it.</t>
  </si>
  <si>
    <t>Kitchen Plugins. Verification of infrastructure "provisioned with Terraform". The verifier uses inspec to verify the state</t>
  </si>
  <si>
    <t>Scans runtime K8s clusters and CI/CD pipelines to create a BOM</t>
  </si>
  <si>
    <t>Extract and analyze scripts from IaC. Only available in IBM's private repository.</t>
  </si>
  <si>
    <t>"preview the object that would be sent to your cluster, without really submitting it". No linting, formatting, scanning, etc.</t>
  </si>
  <si>
    <t>Commercial. Free tier requires sign up.</t>
  </si>
  <si>
    <t>Requires sign up.</t>
  </si>
  <si>
    <t>Y. Pan, I. Chen, F. Brasileiro, G. Jayaputera and R. Sinnott</t>
  </si>
  <si>
    <t>Mutable, immutable, declarative, imperative</t>
  </si>
  <si>
    <t>Rémy Léone</t>
  </si>
  <si>
    <t>Has its own programming language: Pan</t>
  </si>
  <si>
    <t>Has own CLI. Only Storage costs</t>
  </si>
  <si>
    <t>No IaC DSL</t>
  </si>
  <si>
    <t>Environment as a Service</t>
  </si>
  <si>
    <t>Last Commit*</t>
  </si>
  <si>
    <t>* The data changes frequently and reflects the state at the time of writing.</t>
  </si>
  <si>
    <t>Stars*</t>
  </si>
  <si>
    <t>Forks*</t>
  </si>
  <si>
    <t>Contributors*</t>
  </si>
  <si>
    <t>Current Version*</t>
  </si>
  <si>
    <t>Outcome assessible</t>
  </si>
  <si>
    <t>Custom DSL</t>
  </si>
  <si>
    <t>Go</t>
  </si>
  <si>
    <t>Haskell</t>
  </si>
  <si>
    <t>JSON</t>
  </si>
  <si>
    <t>Python</t>
  </si>
  <si>
    <t>Rego</t>
  </si>
  <si>
    <t>Ruby</t>
  </si>
  <si>
    <t>YAML</t>
  </si>
  <si>
    <t>ARM</t>
  </si>
  <si>
    <t>docker-compose</t>
  </si>
  <si>
    <t>Dockerfile</t>
  </si>
  <si>
    <t>GCP</t>
  </si>
  <si>
    <t>Gdm</t>
  </si>
  <si>
    <t>gRpc</t>
  </si>
  <si>
    <t>Kustomize</t>
  </si>
  <si>
    <t>OpenAPI</t>
  </si>
  <si>
    <t>SAM</t>
  </si>
  <si>
    <t>Serverless</t>
  </si>
  <si>
    <t>Gherkin</t>
  </si>
  <si>
    <t>HTML</t>
  </si>
  <si>
    <t>Ocaml</t>
  </si>
  <si>
    <t>PHP</t>
  </si>
  <si>
    <t>Rust</t>
  </si>
  <si>
    <t>cue</t>
  </si>
  <si>
    <t>cyclonedx</t>
  </si>
  <si>
    <t>edn</t>
  </si>
  <si>
    <t>environment</t>
  </si>
  <si>
    <t>hocon</t>
  </si>
  <si>
    <t>ignore</t>
  </si>
  <si>
    <t>ini</t>
  </si>
  <si>
    <t>jsonnet</t>
  </si>
  <si>
    <t>properties</t>
  </si>
  <si>
    <t>spdx</t>
  </si>
  <si>
    <t>toml</t>
  </si>
  <si>
    <t>vcl</t>
  </si>
  <si>
    <t>asff</t>
  </si>
  <si>
    <t>azure-repos-comment</t>
  </si>
  <si>
    <t>bitbucket-comment</t>
  </si>
  <si>
    <t>codacy</t>
  </si>
  <si>
    <t>codeclimate</t>
  </si>
  <si>
    <t>compact</t>
  </si>
  <si>
    <t>diff</t>
  </si>
  <si>
    <t>emacs</t>
  </si>
  <si>
    <t>github</t>
  </si>
  <si>
    <t>github-comment</t>
  </si>
  <si>
    <t>github-sarif</t>
  </si>
  <si>
    <t>gitlab-comment</t>
  </si>
  <si>
    <t>gitlab-sast</t>
  </si>
  <si>
    <t>gitlab-secrets</t>
  </si>
  <si>
    <t>gitlab_codeclimate</t>
  </si>
  <si>
    <t>gnu</t>
  </si>
  <si>
    <t>graph-easy</t>
  </si>
  <si>
    <t>human</t>
  </si>
  <si>
    <t>jUnit</t>
  </si>
  <si>
    <t>junit-xml</t>
  </si>
  <si>
    <t>parseable</t>
  </si>
  <si>
    <t>pep8</t>
  </si>
  <si>
    <t>plain</t>
  </si>
  <si>
    <t>png</t>
  </si>
  <si>
    <t>pretty</t>
  </si>
  <si>
    <t>pretty-printer</t>
  </si>
  <si>
    <t>progress</t>
  </si>
  <si>
    <t>prometheus</t>
  </si>
  <si>
    <t>quiet</t>
  </si>
  <si>
    <t>rich</t>
  </si>
  <si>
    <t>sarif</t>
  </si>
  <si>
    <t>simple</t>
  </si>
  <si>
    <t>slack-message</t>
  </si>
  <si>
    <t>sonarqube</t>
  </si>
  <si>
    <t>table</t>
  </si>
  <si>
    <t>tap</t>
  </si>
  <si>
    <t>text</t>
  </si>
  <si>
    <t>tty</t>
  </si>
  <si>
    <t>txt</t>
  </si>
  <si>
    <t>vim</t>
  </si>
  <si>
    <t>Compliance</t>
  </si>
  <si>
    <t>Cost</t>
  </si>
  <si>
    <t>IAM</t>
  </si>
  <si>
    <t>Misconfiguration</t>
  </si>
  <si>
    <t>Policy</t>
  </si>
  <si>
    <t>Resource Visualization</t>
  </si>
  <si>
    <t>Secret-Scanning</t>
  </si>
  <si>
    <t>Security</t>
  </si>
  <si>
    <t>Syntax</t>
  </si>
  <si>
    <t>arm-ttk</t>
  </si>
  <si>
    <t>eslint-plugin-json</t>
  </si>
  <si>
    <t>eslint-plugin-jsonc</t>
  </si>
  <si>
    <t>jsonlint</t>
  </si>
  <si>
    <t>prettier</t>
  </si>
  <si>
    <t>terraform-fmt</t>
  </si>
  <si>
    <t>terragrunt</t>
  </si>
  <si>
    <t>tflint</t>
  </si>
  <si>
    <t>trivy</t>
  </si>
  <si>
    <t>v8r</t>
  </si>
  <si>
    <t>ansible</t>
  </si>
  <si>
    <t>helm</t>
  </si>
  <si>
    <t>puppet</t>
  </si>
  <si>
    <t>terraform</t>
  </si>
  <si>
    <t>AGPL-3.0</t>
  </si>
  <si>
    <t>Apache-2.0</t>
  </si>
  <si>
    <t>BSD-3</t>
  </si>
  <si>
    <t>GNU2</t>
  </si>
  <si>
    <t>GPL-3.0</t>
  </si>
  <si>
    <t>MIT</t>
  </si>
  <si>
    <t>MPL-2.0</t>
  </si>
  <si>
    <t>PDF</t>
  </si>
  <si>
    <t>MD</t>
  </si>
  <si>
    <t>CSV</t>
  </si>
  <si>
    <t>CLI</t>
  </si>
  <si>
    <t>CI</t>
  </si>
  <si>
    <t>Rule Implementation*</t>
  </si>
  <si>
    <t>Tool Support*</t>
  </si>
  <si>
    <t>Programming Languages*</t>
  </si>
  <si>
    <t>File Support*</t>
  </si>
  <si>
    <t>Output*</t>
  </si>
  <si>
    <t>Categories*</t>
  </si>
  <si>
    <t>Included Tools*</t>
  </si>
  <si>
    <t>Tool Support of built-in tools*</t>
  </si>
  <si>
    <t>Licenses*</t>
  </si>
  <si>
    <t>*DevOpsLang, RackHD, DC/OS, and Mesosphere are manually subtracted</t>
  </si>
  <si>
    <t>"Heart of DC/OS". Cannot be configured via configuration files.</t>
  </si>
  <si>
    <t>HCL</t>
  </si>
  <si>
    <t>auto gen</t>
  </si>
  <si>
    <t>clang style</t>
  </si>
  <si>
    <t>dot</t>
  </si>
  <si>
    <t>file list</t>
  </si>
  <si>
    <t>fuubar style</t>
  </si>
  <si>
    <t>gif</t>
  </si>
  <si>
    <t>github action</t>
  </si>
  <si>
    <t>github markdown</t>
  </si>
  <si>
    <t>offense count</t>
  </si>
  <si>
    <t>pacman style</t>
  </si>
  <si>
    <t>worst offenders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</si>
</sst>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1"/>
      <name val="Arial"/>
      <family val="2"/>
    </font>
    <font>
      <sz val="11"/>
      <name val="Calibri"/>
      <family val="2"/>
      <scheme val="minor"/>
    </font>
    <font>
      <sz val="9"/>
      <name val="Merriweathe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7"/>
      <color rgb="FFD4D4D4"/>
      <name val="Consolas"/>
      <family val="3"/>
    </font>
  </fonts>
  <fills count="1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15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4" borderId="1" xfId="0" applyFont="1" applyFill="1" applyBorder="1"/>
    <xf numFmtId="0" fontId="0" fillId="4" borderId="1" xfId="0" applyFill="1" applyBorder="1"/>
    <xf numFmtId="0" fontId="6" fillId="5" borderId="1" xfId="0" applyFont="1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Border="1"/>
    <xf numFmtId="0" fontId="5" fillId="3" borderId="1" xfId="2" applyBorder="1"/>
    <xf numFmtId="0" fontId="5" fillId="3" borderId="3" xfId="2" applyBorder="1"/>
    <xf numFmtId="0" fontId="0" fillId="9" borderId="0" xfId="0" applyFill="1"/>
    <xf numFmtId="0" fontId="0" fillId="7" borderId="4" xfId="0" applyFill="1" applyBorder="1"/>
    <xf numFmtId="0" fontId="0" fillId="4" borderId="0" xfId="0" applyFill="1" applyAlignment="1">
      <alignment horizontal="center"/>
    </xf>
    <xf numFmtId="0" fontId="0" fillId="0" borderId="4" xfId="0" applyBorder="1"/>
    <xf numFmtId="0" fontId="1" fillId="2" borderId="1" xfId="1" applyBorder="1"/>
    <xf numFmtId="0" fontId="0" fillId="10" borderId="1" xfId="0" applyFill="1" applyBorder="1"/>
    <xf numFmtId="0" fontId="0" fillId="10" borderId="2" xfId="0" applyFill="1" applyBorder="1"/>
    <xf numFmtId="0" fontId="0" fillId="11" borderId="1" xfId="0" applyFill="1" applyBorder="1"/>
    <xf numFmtId="0" fontId="6" fillId="12" borderId="1" xfId="0" applyFont="1" applyFill="1" applyBorder="1"/>
    <xf numFmtId="0" fontId="1" fillId="2" borderId="1" xfId="1" applyBorder="1" applyAlignment="1"/>
    <xf numFmtId="0" fontId="8" fillId="13" borderId="5" xfId="0" applyFont="1" applyFill="1" applyBorder="1"/>
    <xf numFmtId="0" fontId="0" fillId="13" borderId="5" xfId="0" applyFill="1" applyBorder="1"/>
    <xf numFmtId="0" fontId="9" fillId="14" borderId="9" xfId="0" applyFont="1" applyFill="1" applyBorder="1"/>
    <xf numFmtId="0" fontId="9" fillId="14" borderId="10" xfId="0" applyFont="1" applyFill="1" applyBorder="1"/>
    <xf numFmtId="0" fontId="8" fillId="0" borderId="11" xfId="0" applyFont="1" applyBorder="1"/>
    <xf numFmtId="0" fontId="5" fillId="3" borderId="0" xfId="2"/>
    <xf numFmtId="0" fontId="10" fillId="0" borderId="0" xfId="3"/>
    <xf numFmtId="0" fontId="8" fillId="0" borderId="12" xfId="0" applyFont="1" applyBorder="1"/>
    <xf numFmtId="0" fontId="1" fillId="2" borderId="0" xfId="1"/>
    <xf numFmtId="14" fontId="0" fillId="0" borderId="0" xfId="0" applyNumberFormat="1"/>
    <xf numFmtId="49" fontId="0" fillId="0" borderId="0" xfId="0" applyNumberFormat="1"/>
    <xf numFmtId="0" fontId="8" fillId="0" borderId="0" xfId="0" applyFont="1"/>
    <xf numFmtId="14" fontId="1" fillId="2" borderId="0" xfId="1" applyNumberFormat="1"/>
    <xf numFmtId="0" fontId="1" fillId="2" borderId="0" xfId="1" quotePrefix="1"/>
    <xf numFmtId="14" fontId="1" fillId="2" borderId="0" xfId="1" quotePrefix="1" applyNumberFormat="1"/>
    <xf numFmtId="14" fontId="0" fillId="0" borderId="0" xfId="0" quotePrefix="1" applyNumberFormat="1"/>
    <xf numFmtId="49" fontId="1" fillId="2" borderId="0" xfId="1" applyNumberFormat="1"/>
    <xf numFmtId="0" fontId="11" fillId="15" borderId="0" xfId="4" quotePrefix="1"/>
    <xf numFmtId="0" fontId="11" fillId="15" borderId="0" xfId="4"/>
    <xf numFmtId="14" fontId="11" fillId="15" borderId="0" xfId="4" quotePrefix="1" applyNumberFormat="1"/>
    <xf numFmtId="14" fontId="5" fillId="3" borderId="0" xfId="2" applyNumberFormat="1"/>
    <xf numFmtId="0" fontId="0" fillId="9" borderId="0" xfId="0" quotePrefix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6" borderId="5" xfId="0" applyFill="1" applyBorder="1"/>
    <xf numFmtId="0" fontId="12" fillId="17" borderId="13" xfId="0" applyFont="1" applyFill="1" applyBorder="1"/>
    <xf numFmtId="0" fontId="0" fillId="0" borderId="0" xfId="0" quotePrefix="1" applyAlignment="1">
      <alignment wrapText="1"/>
    </xf>
    <xf numFmtId="0" fontId="0" fillId="0" borderId="0" xfId="0" applyAlignment="1">
      <alignment horizontal="left"/>
    </xf>
    <xf numFmtId="0" fontId="13" fillId="0" borderId="0" xfId="0" applyFont="1" applyAlignment="1">
      <alignment vertic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2" xfId="1" applyBorder="1" applyAlignment="1">
      <alignment horizontal="center"/>
    </xf>
    <xf numFmtId="0" fontId="6" fillId="12" borderId="5" xfId="0" applyFont="1" applyFill="1" applyBorder="1" applyAlignment="1">
      <alignment horizontal="center"/>
    </xf>
    <xf numFmtId="0" fontId="6" fillId="12" borderId="6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8" xfId="0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</cellXfs>
  <cellStyles count="5">
    <cellStyle name="Bad" xfId="1" builtinId="27"/>
    <cellStyle name="Good" xfId="2" builtinId="26"/>
    <cellStyle name="Hyperlink" xfId="3" builtinId="8"/>
    <cellStyle name="Neutral" xfId="4" builtinId="28"/>
    <cellStyle name="Normal" xfId="0" builtinId="0"/>
  </cellStyles>
  <dxfs count="215"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indexed="64"/>
          <bgColor theme="7" tint="0.79998168889431442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Infrastructure as Code Tools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Count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'IaC Tools'!$L$2:$GW$2</c:f>
              <c:strCache>
                <c:ptCount val="194"/>
                <c:pt idx="0">
                  <c:v>Chef</c:v>
                </c:pt>
                <c:pt idx="1">
                  <c:v>Puppet</c:v>
                </c:pt>
                <c:pt idx="2">
                  <c:v>Ansible</c:v>
                </c:pt>
                <c:pt idx="3">
                  <c:v>SaltStack</c:v>
                </c:pt>
                <c:pt idx="4">
                  <c:v>CFEngine</c:v>
                </c:pt>
                <c:pt idx="5">
                  <c:v>R?ex</c:v>
                </c:pt>
                <c:pt idx="6">
                  <c:v>cloud-init</c:v>
                </c:pt>
                <c:pt idx="7">
                  <c:v>Quattor</c:v>
                </c:pt>
                <c:pt idx="8">
                  <c:v>cdist</c:v>
                </c:pt>
                <c:pt idx="9">
                  <c:v>Bcfg2</c:v>
                </c:pt>
                <c:pt idx="10">
                  <c:v>mgmt</c:v>
                </c:pt>
                <c:pt idx="11">
                  <c:v>SmartFrog</c:v>
                </c:pt>
                <c:pt idx="12">
                  <c:v>Docker</c:v>
                </c:pt>
                <c:pt idx="13">
                  <c:v>Packer</c:v>
                </c:pt>
                <c:pt idx="14">
                  <c:v>Vagrant</c:v>
                </c:pt>
                <c:pt idx="15">
                  <c:v>NixOS</c:v>
                </c:pt>
                <c:pt idx="16">
                  <c:v>Azure VM Image Builder</c:v>
                </c:pt>
                <c:pt idx="17">
                  <c:v>Kubernetes</c:v>
                </c:pt>
                <c:pt idx="18">
                  <c:v>Swarm</c:v>
                </c:pt>
                <c:pt idx="19">
                  <c:v>Nomad</c:v>
                </c:pt>
                <c:pt idx="20">
                  <c:v>Docker Compose</c:v>
                </c:pt>
                <c:pt idx="21">
                  <c:v>Podman</c:v>
                </c:pt>
                <c:pt idx="22">
                  <c:v>AWS Copilot</c:v>
                </c:pt>
                <c:pt idx="23">
                  <c:v>Apache Brooklyn</c:v>
                </c:pt>
                <c:pt idx="24">
                  <c:v>DevOpsLang</c:v>
                </c:pt>
                <c:pt idx="25">
                  <c:v>Fargate</c:v>
                </c:pt>
                <c:pt idx="26">
                  <c:v>DC/OS</c:v>
                </c:pt>
                <c:pt idx="27">
                  <c:v>Hyscale</c:v>
                </c:pt>
                <c:pt idx="28">
                  <c:v>RackHD</c:v>
                </c:pt>
                <c:pt idx="29">
                  <c:v>AWS Serverless Application Model (SAM)</c:v>
                </c:pt>
                <c:pt idx="30">
                  <c:v>Azure Functions</c:v>
                </c:pt>
                <c:pt idx="31">
                  <c:v>Bolt</c:v>
                </c:pt>
                <c:pt idx="32">
                  <c:v>Mesosphere</c:v>
                </c:pt>
                <c:pt idx="33">
                  <c:v>Terraform</c:v>
                </c:pt>
                <c:pt idx="34">
                  <c:v>CloudFormation</c:v>
                </c:pt>
                <c:pt idx="35">
                  <c:v>Azure Resource Manager | Microsoft ARM Templates</c:v>
                </c:pt>
                <c:pt idx="36">
                  <c:v>Bicep</c:v>
                </c:pt>
                <c:pt idx="37">
                  <c:v>Google Deployment Manager</c:v>
                </c:pt>
                <c:pt idx="38">
                  <c:v>OpenStack Heat</c:v>
                </c:pt>
                <c:pt idx="39">
                  <c:v>Terragrunt</c:v>
                </c:pt>
                <c:pt idx="40">
                  <c:v>Pulumi</c:v>
                </c:pt>
                <c:pt idx="41">
                  <c:v>AWS CDK</c:v>
                </c:pt>
                <c:pt idx="42">
                  <c:v>Serverless Framework</c:v>
                </c:pt>
                <c:pt idx="43">
                  <c:v>Opta</c:v>
                </c:pt>
                <c:pt idx="44">
                  <c:v>CDKTF </c:v>
                </c:pt>
                <c:pt idx="45">
                  <c:v>Cloudify</c:v>
                </c:pt>
                <c:pt idx="46">
                  <c:v>Bosh</c:v>
                </c:pt>
                <c:pt idx="47">
                  <c:v>Charon</c:v>
                </c:pt>
                <c:pt idx="48">
                  <c:v>Argon</c:v>
                </c:pt>
                <c:pt idx="49">
                  <c:v>Architect</c:v>
                </c:pt>
                <c:pt idx="50">
                  <c:v>Helm</c:v>
                </c:pt>
                <c:pt idx="51">
                  <c:v>Octopus Deploy</c:v>
                </c:pt>
                <c:pt idx="52">
                  <c:v>EC2 Image builder</c:v>
                </c:pt>
                <c:pt idx="53">
                  <c:v>Otter</c:v>
                </c:pt>
                <c:pt idx="54">
                  <c:v>AWS Config</c:v>
                </c:pt>
                <c:pt idx="55">
                  <c:v>Microsoft Azure Automation</c:v>
                </c:pt>
                <c:pt idx="56">
                  <c:v>Rudder</c:v>
                </c:pt>
                <c:pt idx="57">
                  <c:v>Marathon/Mesos</c:v>
                </c:pt>
                <c:pt idx="58">
                  <c:v>Amazon ECS</c:v>
                </c:pt>
                <c:pt idx="59">
                  <c:v>OpenShift</c:v>
                </c:pt>
                <c:pt idx="60">
                  <c:v>AWS AppRunner</c:v>
                </c:pt>
                <c:pt idx="61">
                  <c:v>CloudShell Colony</c:v>
                </c:pt>
                <c:pt idx="62">
                  <c:v>TOSCA</c:v>
                </c:pt>
                <c:pt idx="63">
                  <c:v>IBM Tivoli System Automation</c:v>
                </c:pt>
                <c:pt idx="64">
                  <c:v>Google Cloud Run</c:v>
                </c:pt>
                <c:pt idx="65">
                  <c:v>Portainer</c:v>
                </c:pt>
                <c:pt idx="66">
                  <c:v>Azure Service Fabric</c:v>
                </c:pt>
                <c:pt idx="67">
                  <c:v>Spot Ocean</c:v>
                </c:pt>
                <c:pt idx="68">
                  <c:v>AWS Elastic Beanstalk</c:v>
                </c:pt>
                <c:pt idx="69">
                  <c:v>Heroku</c:v>
                </c:pt>
                <c:pt idx="70">
                  <c:v>PowerShell</c:v>
                </c:pt>
                <c:pt idx="71">
                  <c:v>Shell</c:v>
                </c:pt>
                <c:pt idx="72">
                  <c:v>AWS Amplify</c:v>
                </c:pt>
                <c:pt idx="73">
                  <c:v>Quali Torque</c:v>
                </c:pt>
                <c:pt idx="74">
                  <c:v>Crossplane</c:v>
                </c:pt>
                <c:pt idx="75">
                  <c:v>Juju</c:v>
                </c:pt>
                <c:pt idx="76">
                  <c:v>Pallet</c:v>
                </c:pt>
                <c:pt idx="77">
                  <c:v>Foreman</c:v>
                </c:pt>
                <c:pt idx="78">
                  <c:v>Omnia</c:v>
                </c:pt>
                <c:pt idx="79">
                  <c:v>VMware vRealize Automation</c:v>
                </c:pt>
                <c:pt idx="80">
                  <c:v>IBM Cloud Schematics</c:v>
                </c:pt>
                <c:pt idx="81">
                  <c:v>AWS CLI</c:v>
                </c:pt>
                <c:pt idx="82">
                  <c:v>Azure CLI</c:v>
                </c:pt>
                <c:pt idx="83">
                  <c:v>HPE Synergy</c:v>
                </c:pt>
                <c:pt idx="84">
                  <c:v>ABS Modeling Language</c:v>
                </c:pt>
                <c:pt idx="85">
                  <c:v>Helios</c:v>
                </c:pt>
                <c:pt idx="86">
                  <c:v>SpectralOps</c:v>
                </c:pt>
                <c:pt idx="87">
                  <c:v>Sonatype Nexus</c:v>
                </c:pt>
                <c:pt idx="88">
                  <c:v>env0</c:v>
                </c:pt>
                <c:pt idx="89">
                  <c:v>oak9</c:v>
                </c:pt>
                <c:pt idx="90">
                  <c:v>Spacelift</c:v>
                </c:pt>
                <c:pt idx="91">
                  <c:v>Conducto</c:v>
                </c:pt>
                <c:pt idx="92">
                  <c:v>Jenkins</c:v>
                </c:pt>
                <c:pt idx="93">
                  <c:v>rkt</c:v>
                </c:pt>
                <c:pt idx="94">
                  <c:v>App Container Spec (appc)</c:v>
                </c:pt>
                <c:pt idx="95">
                  <c:v>Git</c:v>
                </c:pt>
                <c:pt idx="96">
                  <c:v>Splunk</c:v>
                </c:pt>
                <c:pt idx="97">
                  <c:v>Selenium</c:v>
                </c:pt>
                <c:pt idx="98">
                  <c:v>Azure DevOps</c:v>
                </c:pt>
                <c:pt idx="99">
                  <c:v>Config ValidLang</c:v>
                </c:pt>
                <c:pt idx="100">
                  <c:v>Rancher</c:v>
                </c:pt>
                <c:pt idx="101">
                  <c:v>Containership</c:v>
                </c:pt>
                <c:pt idx="102">
                  <c:v>AZK</c:v>
                </c:pt>
                <c:pt idx="103">
                  <c:v>GKE</c:v>
                </c:pt>
                <c:pt idx="104">
                  <c:v>AKS</c:v>
                </c:pt>
                <c:pt idx="105">
                  <c:v>AWS EKS</c:v>
                </c:pt>
                <c:pt idx="106">
                  <c:v>Digital Ocean Kubernetes Services</c:v>
                </c:pt>
                <c:pt idx="107">
                  <c:v>Linode</c:v>
                </c:pt>
                <c:pt idx="108">
                  <c:v>Mirantis Kubernetes Engine</c:v>
                </c:pt>
                <c:pt idx="109">
                  <c:v>IBM Cloud Kubernetes</c:v>
                </c:pt>
                <c:pt idx="110">
                  <c:v>IBM Orchestrator Platform</c:v>
                </c:pt>
                <c:pt idx="111">
                  <c:v>Azure Resource Explorer</c:v>
                </c:pt>
                <c:pt idx="112">
                  <c:v>SolarWinds Server Configuration Monitor</c:v>
                </c:pt>
                <c:pt idx="113">
                  <c:v>Auvik</c:v>
                </c:pt>
                <c:pt idx="114">
                  <c:v>Bamboo Configuration Management</c:v>
                </c:pt>
                <c:pt idx="115">
                  <c:v>TeamCity Configuration Tool</c:v>
                </c:pt>
                <c:pt idx="116">
                  <c:v>IBM Rational Team Concert</c:v>
                </c:pt>
                <c:pt idx="117">
                  <c:v>SVN</c:v>
                </c:pt>
                <c:pt idx="118">
                  <c:v>GitHub</c:v>
                </c:pt>
                <c:pt idx="119">
                  <c:v>Circle CI</c:v>
                </c:pt>
                <c:pt idx="120">
                  <c:v>GitLab CI</c:v>
                </c:pt>
                <c:pt idx="121">
                  <c:v>GitLab</c:v>
                </c:pt>
                <c:pt idx="122">
                  <c:v>Bitbucket</c:v>
                </c:pt>
                <c:pt idx="123">
                  <c:v>ConfigHub</c:v>
                </c:pt>
                <c:pt idx="124">
                  <c:v>ButterCMS</c:v>
                </c:pt>
                <c:pt idx="125">
                  <c:v>AWS OpsWorks</c:v>
                </c:pt>
                <c:pt idx="126">
                  <c:v>IBM Rational Clearcase</c:v>
                </c:pt>
                <c:pt idx="127">
                  <c:v>Concurrent Version System</c:v>
                </c:pt>
                <c:pt idx="128">
                  <c:v>Borland StarTeam</c:v>
                </c:pt>
                <c:pt idx="129">
                  <c:v>Alibaba Application Configuration Management</c:v>
                </c:pt>
                <c:pt idx="130">
                  <c:v>ManageEngine ServiceDesk Plus</c:v>
                </c:pt>
                <c:pt idx="131">
                  <c:v>Micro Focus Configuration Management System</c:v>
                </c:pt>
                <c:pt idx="132">
                  <c:v>SysAid</c:v>
                </c:pt>
                <c:pt idx="133">
                  <c:v>Comindware</c:v>
                </c:pt>
                <c:pt idx="134">
                  <c:v>Desktop Central</c:v>
                </c:pt>
                <c:pt idx="135">
                  <c:v>Spinnaker</c:v>
                </c:pt>
                <c:pt idx="136">
                  <c:v>ZENworks Configuration Management</c:v>
                </c:pt>
                <c:pt idx="137">
                  <c:v>HCL BigFix</c:v>
                </c:pt>
                <c:pt idx="138">
                  <c:v>BMC TrueSight Server Automation</c:v>
                </c:pt>
                <c:pt idx="139">
                  <c:v>Quest KACE Systemverwaltung</c:v>
                </c:pt>
                <c:pt idx="140">
                  <c:v>Red Hat Satellite</c:v>
                </c:pt>
                <c:pt idx="141">
                  <c:v>Microsoft Endpoint Manager (formerly known as SCCM)</c:v>
                </c:pt>
                <c:pt idx="142">
                  <c:v>vCenter Configuration Manager</c:v>
                </c:pt>
                <c:pt idx="143">
                  <c:v>CloudBees CI</c:v>
                </c:pt>
                <c:pt idx="144">
                  <c:v>ServiceNow</c:v>
                </c:pt>
                <c:pt idx="145">
                  <c:v>Codenvy</c:v>
                </c:pt>
                <c:pt idx="146">
                  <c:v>AWS CodePipeline</c:v>
                </c:pt>
                <c:pt idx="147">
                  <c:v>Opsera</c:v>
                </c:pt>
                <c:pt idx="148">
                  <c:v>Micro Focus AccuRev</c:v>
                </c:pt>
                <c:pt idx="149">
                  <c:v>Strongpoint</c:v>
                </c:pt>
                <c:pt idx="150">
                  <c:v>BackBox</c:v>
                </c:pt>
                <c:pt idx="151">
                  <c:v>Optimizely Web Experimentation</c:v>
                </c:pt>
                <c:pt idx="152">
                  <c:v>ConfigCat</c:v>
                </c:pt>
                <c:pt idx="153">
                  <c:v>Split</c:v>
                </c:pt>
                <c:pt idx="154">
                  <c:v>CA Harvest Software Change Manager</c:v>
                </c:pt>
                <c:pt idx="155">
                  <c:v>Fugue</c:v>
                </c:pt>
                <c:pt idx="156">
                  <c:v>Digital.ai Deploy</c:v>
                </c:pt>
                <c:pt idx="157">
                  <c:v>CA Endevor</c:v>
                </c:pt>
                <c:pt idx="158">
                  <c:v>Kamatera</c:v>
                </c:pt>
                <c:pt idx="159">
                  <c:v>IBM Rational Synergy</c:v>
                </c:pt>
                <c:pt idx="160">
                  <c:v>Plastic SCM</c:v>
                </c:pt>
                <c:pt idx="161">
                  <c:v>IBM Rational ClearQuest</c:v>
                </c:pt>
                <c:pt idx="162">
                  <c:v>Surround SCM</c:v>
                </c:pt>
                <c:pt idx="163">
                  <c:v>IBM Cloud Continuous Delivery</c:v>
                </c:pt>
                <c:pt idx="164">
                  <c:v>ChangeMan ZMF</c:v>
                </c:pt>
                <c:pt idx="165">
                  <c:v>GitHub Actions</c:v>
                </c:pt>
                <c:pt idx="166">
                  <c:v>Claudia.js</c:v>
                </c:pt>
                <c:pt idx="167">
                  <c:v>IBM UrbanCode Deploy</c:v>
                </c:pt>
                <c:pt idx="168">
                  <c:v>SpiraTeam</c:v>
                </c:pt>
                <c:pt idx="169">
                  <c:v>Microsoft Operations Management Suite</c:v>
                </c:pt>
                <c:pt idx="170">
                  <c:v>CollabNet Subversion</c:v>
                </c:pt>
                <c:pt idx="171">
                  <c:v>Perforce Helix</c:v>
                </c:pt>
                <c:pt idx="172">
                  <c:v>Microsoft Visual Studio Team System</c:v>
                </c:pt>
                <c:pt idx="173">
                  <c:v>IBM Interactive System Productivity Facility</c:v>
                </c:pt>
                <c:pt idx="174">
                  <c:v>Aiden</c:v>
                </c:pt>
                <c:pt idx="175">
                  <c:v>Orca</c:v>
                </c:pt>
                <c:pt idx="176">
                  <c:v>DuploClud</c:v>
                </c:pt>
                <c:pt idx="177">
                  <c:v>HCL Launch</c:v>
                </c:pt>
                <c:pt idx="178">
                  <c:v>Nirmata Policy Manager</c:v>
                </c:pt>
                <c:pt idx="179">
                  <c:v>Cisco Intelligent Automation for Cloud</c:v>
                </c:pt>
                <c:pt idx="180">
                  <c:v>NetApp Cloud Volumes ONTAP</c:v>
                </c:pt>
                <c:pt idx="181">
                  <c:v>JHipster</c:v>
                </c:pt>
                <c:pt idx="182">
                  <c:v>Jfrog Artifactory</c:v>
                </c:pt>
                <c:pt idx="183">
                  <c:v>Resolve</c:v>
                </c:pt>
                <c:pt idx="184">
                  <c:v>Densify</c:v>
                </c:pt>
                <c:pt idx="185">
                  <c:v>Dynatrace Virtualization Monitoring</c:v>
                </c:pt>
                <c:pt idx="186">
                  <c:v>MicroFocus</c:v>
                </c:pt>
                <c:pt idx="187">
                  <c:v>Mist.io</c:v>
                </c:pt>
                <c:pt idx="188">
                  <c:v>Quest Cloud Manager</c:v>
                </c:pt>
                <c:pt idx="189">
                  <c:v>Rundeck</c:v>
                </c:pt>
                <c:pt idx="190">
                  <c:v>Scalr</c:v>
                </c:pt>
                <c:pt idx="191">
                  <c:v>Bunnyshell</c:v>
                </c:pt>
                <c:pt idx="192">
                  <c:v>Datadog</c:v>
                </c:pt>
                <c:pt idx="193">
                  <c:v>Augeas</c:v>
                </c:pt>
              </c:strCache>
            </c:strRef>
          </c:cat>
          <c:val>
            <c:numRef>
              <c:f>'IaC Tools'!$L$241:$GW$241</c:f>
              <c:numCache>
                <c:formatCode>General</c:formatCode>
                <c:ptCount val="194"/>
                <c:pt idx="0">
                  <c:v>135</c:v>
                </c:pt>
                <c:pt idx="1">
                  <c:v>146</c:v>
                </c:pt>
                <c:pt idx="2">
                  <c:v>161</c:v>
                </c:pt>
                <c:pt idx="3">
                  <c:v>86</c:v>
                </c:pt>
                <c:pt idx="4">
                  <c:v>38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38</c:v>
                </c:pt>
                <c:pt idx="13">
                  <c:v>18</c:v>
                </c:pt>
                <c:pt idx="14">
                  <c:v>26</c:v>
                </c:pt>
                <c:pt idx="15">
                  <c:v>2</c:v>
                </c:pt>
                <c:pt idx="16">
                  <c:v>1</c:v>
                </c:pt>
                <c:pt idx="17">
                  <c:v>57</c:v>
                </c:pt>
                <c:pt idx="18">
                  <c:v>22</c:v>
                </c:pt>
                <c:pt idx="19">
                  <c:v>8</c:v>
                </c:pt>
                <c:pt idx="20">
                  <c:v>7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145</c:v>
                </c:pt>
                <c:pt idx="34">
                  <c:v>97</c:v>
                </c:pt>
                <c:pt idx="35">
                  <c:v>46</c:v>
                </c:pt>
                <c:pt idx="36">
                  <c:v>3</c:v>
                </c:pt>
                <c:pt idx="37">
                  <c:v>38</c:v>
                </c:pt>
                <c:pt idx="38">
                  <c:v>13</c:v>
                </c:pt>
                <c:pt idx="39">
                  <c:v>1</c:v>
                </c:pt>
                <c:pt idx="40">
                  <c:v>39</c:v>
                </c:pt>
                <c:pt idx="41">
                  <c:v>8</c:v>
                </c:pt>
                <c:pt idx="42">
                  <c:v>4</c:v>
                </c:pt>
                <c:pt idx="43">
                  <c:v>1</c:v>
                </c:pt>
                <c:pt idx="44">
                  <c:v>1</c:v>
                </c:pt>
                <c:pt idx="45">
                  <c:v>9</c:v>
                </c:pt>
                <c:pt idx="46">
                  <c:v>2</c:v>
                </c:pt>
                <c:pt idx="47">
                  <c:v>2</c:v>
                </c:pt>
                <c:pt idx="48">
                  <c:v>3</c:v>
                </c:pt>
                <c:pt idx="49">
                  <c:v>1</c:v>
                </c:pt>
                <c:pt idx="50">
                  <c:v>6</c:v>
                </c:pt>
                <c:pt idx="51">
                  <c:v>12</c:v>
                </c:pt>
                <c:pt idx="52">
                  <c:v>1</c:v>
                </c:pt>
                <c:pt idx="53">
                  <c:v>4</c:v>
                </c:pt>
                <c:pt idx="54">
                  <c:v>3</c:v>
                </c:pt>
                <c:pt idx="55">
                  <c:v>4</c:v>
                </c:pt>
                <c:pt idx="56">
                  <c:v>14</c:v>
                </c:pt>
                <c:pt idx="57">
                  <c:v>14</c:v>
                </c:pt>
                <c:pt idx="58">
                  <c:v>6</c:v>
                </c:pt>
                <c:pt idx="59">
                  <c:v>9</c:v>
                </c:pt>
                <c:pt idx="60">
                  <c:v>1</c:v>
                </c:pt>
                <c:pt idx="61">
                  <c:v>1</c:v>
                </c:pt>
                <c:pt idx="62">
                  <c:v>9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3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5</c:v>
                </c:pt>
                <c:pt idx="71">
                  <c:v>1</c:v>
                </c:pt>
                <c:pt idx="72">
                  <c:v>2</c:v>
                </c:pt>
                <c:pt idx="73">
                  <c:v>1</c:v>
                </c:pt>
                <c:pt idx="74">
                  <c:v>2</c:v>
                </c:pt>
                <c:pt idx="75">
                  <c:v>21</c:v>
                </c:pt>
                <c:pt idx="76">
                  <c:v>1</c:v>
                </c:pt>
                <c:pt idx="77">
                  <c:v>4</c:v>
                </c:pt>
                <c:pt idx="78">
                  <c:v>1</c:v>
                </c:pt>
                <c:pt idx="79">
                  <c:v>3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3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7</c:v>
                </c:pt>
                <c:pt idx="93">
                  <c:v>2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1</c:v>
                </c:pt>
                <c:pt idx="99">
                  <c:v>1</c:v>
                </c:pt>
                <c:pt idx="100">
                  <c:v>7</c:v>
                </c:pt>
                <c:pt idx="101">
                  <c:v>1</c:v>
                </c:pt>
                <c:pt idx="102">
                  <c:v>1</c:v>
                </c:pt>
                <c:pt idx="103">
                  <c:v>3</c:v>
                </c:pt>
                <c:pt idx="104">
                  <c:v>4</c:v>
                </c:pt>
                <c:pt idx="105">
                  <c:v>4</c:v>
                </c:pt>
                <c:pt idx="106">
                  <c:v>1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7</c:v>
                </c:pt>
                <c:pt idx="113">
                  <c:v>3</c:v>
                </c:pt>
                <c:pt idx="114">
                  <c:v>9</c:v>
                </c:pt>
                <c:pt idx="115">
                  <c:v>10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1</c:v>
                </c:pt>
                <c:pt idx="123">
                  <c:v>5</c:v>
                </c:pt>
                <c:pt idx="124">
                  <c:v>1</c:v>
                </c:pt>
                <c:pt idx="125">
                  <c:v>6</c:v>
                </c:pt>
                <c:pt idx="126">
                  <c:v>6</c:v>
                </c:pt>
                <c:pt idx="127">
                  <c:v>2</c:v>
                </c:pt>
                <c:pt idx="128">
                  <c:v>2</c:v>
                </c:pt>
                <c:pt idx="129">
                  <c:v>5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3</c:v>
                </c:pt>
                <c:pt idx="141">
                  <c:v>4</c:v>
                </c:pt>
                <c:pt idx="142">
                  <c:v>3</c:v>
                </c:pt>
                <c:pt idx="143">
                  <c:v>1</c:v>
                </c:pt>
                <c:pt idx="144">
                  <c:v>2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2</c:v>
                </c:pt>
                <c:pt idx="158">
                  <c:v>1</c:v>
                </c:pt>
                <c:pt idx="159">
                  <c:v>2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3</c:v>
                </c:pt>
                <c:pt idx="180">
                  <c:v>3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2</c:v>
                </c:pt>
                <c:pt idx="19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5C-46EB-B028-FFC2A32A2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1212528"/>
        <c:axId val="951213512"/>
      </c:barChart>
      <c:catAx>
        <c:axId val="95121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213512"/>
        <c:crosses val="autoZero"/>
        <c:auto val="1"/>
        <c:lblAlgn val="ctr"/>
        <c:lblOffset val="100"/>
        <c:noMultiLvlLbl val="0"/>
      </c:catAx>
      <c:valAx>
        <c:axId val="951213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21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Sources</a:t>
            </a:r>
            <a:r>
              <a:rPr lang="en-US" baseline="0"/>
              <a:t> per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A4F-4759-98E6-691931895126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F5D-4264-87F8-3EC76333055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F5D-4264-87F8-3EC763330552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3F5D-4264-87F8-3EC763330552}"/>
              </c:ext>
            </c:extLst>
          </c:dPt>
          <c:cat>
            <c:strRef>
              <c:f>'Iac Tools Charts'!$B$48:$B$58</c:f>
              <c:strCache>
                <c:ptCount val="11"/>
                <c:pt idx="0">
                  <c:v>Unspecified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'Iac Tools Charts'!$C$48:$C$58</c:f>
              <c:numCache>
                <c:formatCode>General</c:formatCode>
                <c:ptCount val="11"/>
                <c:pt idx="0">
                  <c:v>36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6</c:v>
                </c:pt>
                <c:pt idx="7">
                  <c:v>7</c:v>
                </c:pt>
                <c:pt idx="8">
                  <c:v>59</c:v>
                </c:pt>
                <c:pt idx="9">
                  <c:v>79</c:v>
                </c:pt>
                <c:pt idx="1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CF-4395-B691-2A2FFCF74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16996072"/>
        <c:axId val="616937688"/>
      </c:barChart>
      <c:catAx>
        <c:axId val="616996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937688"/>
        <c:crosses val="autoZero"/>
        <c:auto val="1"/>
        <c:lblAlgn val="ctr"/>
        <c:lblOffset val="100"/>
        <c:noMultiLvlLbl val="0"/>
      </c:catAx>
      <c:valAx>
        <c:axId val="616937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996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Number of Sources by </a:t>
            </a:r>
            <a:r>
              <a:rPr lang="en-US"/>
              <a:t>Source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95C-4F67-AA2B-DAF3E525666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95C-4F67-AA2B-DAF3E525666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95C-4F67-AA2B-DAF3E525666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95C-4F67-AA2B-DAF3E525666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95C-4F67-AA2B-DAF3E525666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99B-43DF-A5A2-3539E70CA4BD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0C4-40B7-A1DC-9E9326C8F683}"/>
              </c:ext>
            </c:extLst>
          </c:dPt>
          <c:cat>
            <c:strRef>
              <c:f>'Iac Tools Charts'!$L$51:$L$57</c:f>
              <c:strCache>
                <c:ptCount val="7"/>
                <c:pt idx="0">
                  <c:v>IAWP</c:v>
                </c:pt>
                <c:pt idx="1">
                  <c:v>J</c:v>
                </c:pt>
                <c:pt idx="2">
                  <c:v>C</c:v>
                </c:pt>
                <c:pt idx="3">
                  <c:v>N</c:v>
                </c:pt>
                <c:pt idx="4">
                  <c:v>JA</c:v>
                </c:pt>
                <c:pt idx="5">
                  <c:v>B</c:v>
                </c:pt>
                <c:pt idx="6">
                  <c:v>V</c:v>
                </c:pt>
              </c:strCache>
            </c:strRef>
          </c:cat>
          <c:val>
            <c:numRef>
              <c:f>'Iac Tools Charts'!$M$51:$M$57</c:f>
              <c:numCache>
                <c:formatCode>General</c:formatCode>
                <c:ptCount val="7"/>
                <c:pt idx="0">
                  <c:v>148</c:v>
                </c:pt>
                <c:pt idx="1">
                  <c:v>37</c:v>
                </c:pt>
                <c:pt idx="2">
                  <c:v>22</c:v>
                </c:pt>
                <c:pt idx="3">
                  <c:v>6</c:v>
                </c:pt>
                <c:pt idx="4">
                  <c:v>1</c:v>
                </c:pt>
                <c:pt idx="5">
                  <c:v>19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FE-46B9-904C-3861D3473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Sources</a:t>
            </a:r>
            <a:r>
              <a:rPr lang="en-US" baseline="0"/>
              <a:t> by </a:t>
            </a:r>
            <a:r>
              <a:rPr lang="en-US"/>
              <a:t>Search String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AFA-4EDE-8CB2-04A4066B0670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AFA-4EDE-8CB2-04A4066B0670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AFA-4EDE-8CB2-04A4066B0670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AFA-4EDE-8CB2-04A4066B0670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AFA-4EDE-8CB2-04A4066B0670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AFA-4EDE-8CB2-04A4066B0670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1E5-498D-9DF0-AEF219DA3D99}"/>
              </c:ext>
            </c:extLst>
          </c:dPt>
          <c:cat>
            <c:strRef>
              <c:f>'Iac Tools Charts'!$U$51:$U$57</c:f>
              <c:strCache>
                <c:ptCount val="7"/>
                <c:pt idx="0">
                  <c:v>Infrastructure as Code Tools</c:v>
                </c:pt>
                <c:pt idx="1">
                  <c:v>Orchestration Tools</c:v>
                </c:pt>
                <c:pt idx="2">
                  <c:v>Server Templating Tools</c:v>
                </c:pt>
                <c:pt idx="3">
                  <c:v>Configuration Management Tools</c:v>
                </c:pt>
                <c:pt idx="4">
                  <c:v>Provisioning Tools</c:v>
                </c:pt>
                <c:pt idx="5">
                  <c:v>Cloud Infrastructure Automation Tools</c:v>
                </c:pt>
                <c:pt idx="6">
                  <c:v>Found During Literature Review</c:v>
                </c:pt>
              </c:strCache>
            </c:strRef>
          </c:cat>
          <c:val>
            <c:numRef>
              <c:f>'Iac Tools Charts'!$V$51:$V$57</c:f>
              <c:numCache>
                <c:formatCode>General</c:formatCode>
                <c:ptCount val="7"/>
                <c:pt idx="0">
                  <c:v>93</c:v>
                </c:pt>
                <c:pt idx="1">
                  <c:v>34</c:v>
                </c:pt>
                <c:pt idx="2">
                  <c:v>2</c:v>
                </c:pt>
                <c:pt idx="3">
                  <c:v>51</c:v>
                </c:pt>
                <c:pt idx="4">
                  <c:v>9</c:v>
                </c:pt>
                <c:pt idx="5">
                  <c:v>22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59-4E30-BDE6-B0B19A770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Votes per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167-4724-8730-6E5454C25D79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167-4724-8730-6E5454C25D79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167-4724-8730-6E5454C25D79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167-4724-8730-6E5454C25D79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B56-4B86-BCB3-0E3BAF6416A4}"/>
              </c:ext>
            </c:extLst>
          </c:dPt>
          <c:cat>
            <c:strRef>
              <c:f>'Iac Tools Charts'!$AA$51:$AA$55</c:f>
              <c:strCache>
                <c:ptCount val="5"/>
                <c:pt idx="0">
                  <c:v>Orchestration</c:v>
                </c:pt>
                <c:pt idx="1">
                  <c:v>Server Templating</c:v>
                </c:pt>
                <c:pt idx="2">
                  <c:v>Configuration Management</c:v>
                </c:pt>
                <c:pt idx="3">
                  <c:v>Provisioning</c:v>
                </c:pt>
                <c:pt idx="4">
                  <c:v>Packaging Tools</c:v>
                </c:pt>
              </c:strCache>
            </c:strRef>
          </c:cat>
          <c:val>
            <c:numRef>
              <c:f>'Iac Tools Charts'!$AB$51:$AB$55</c:f>
              <c:numCache>
                <c:formatCode>General</c:formatCode>
                <c:ptCount val="5"/>
                <c:pt idx="0">
                  <c:v>107</c:v>
                </c:pt>
                <c:pt idx="1">
                  <c:v>85</c:v>
                </c:pt>
                <c:pt idx="2">
                  <c:v>574</c:v>
                </c:pt>
                <c:pt idx="3">
                  <c:v>413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25-4DD5-B96B-69756ED4C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Vote Quality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7C-481C-80EE-39B4D13C1B0B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7C-481C-80EE-39B4D13C1B0B}"/>
              </c:ext>
            </c:extLst>
          </c:dPt>
          <c:cat>
            <c:strRef>
              <c:f>'Iac Tools Charts'!$AH$51:$AH$52</c:f>
              <c:strCache>
                <c:ptCount val="2"/>
                <c:pt idx="0">
                  <c:v>Good Votes</c:v>
                </c:pt>
                <c:pt idx="1">
                  <c:v>Bad Votes</c:v>
                </c:pt>
              </c:strCache>
            </c:strRef>
          </c:cat>
          <c:val>
            <c:numRef>
              <c:f>'Iac Tools Charts'!$AI$51:$AI$52</c:f>
              <c:numCache>
                <c:formatCode>General</c:formatCode>
                <c:ptCount val="2"/>
                <c:pt idx="0">
                  <c:v>1184</c:v>
                </c:pt>
                <c:pt idx="1">
                  <c:v>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1E-41E7-B9D2-6AF32A757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Tools Considered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915-4A72-B949-F64DE8E1C485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915-4A72-B949-F64DE8E1C485}"/>
              </c:ext>
            </c:extLst>
          </c:dPt>
          <c:cat>
            <c:strRef>
              <c:f>'Iac Tools Charts'!$AR$52:$AR$53</c:f>
              <c:strCache>
                <c:ptCount val="2"/>
                <c:pt idx="0">
                  <c:v>Considered</c:v>
                </c:pt>
                <c:pt idx="1">
                  <c:v>Not considered</c:v>
                </c:pt>
              </c:strCache>
            </c:strRef>
          </c:cat>
          <c:val>
            <c:numRef>
              <c:f>'Iac Tools Charts'!$AS$52:$AS$53</c:f>
              <c:numCache>
                <c:formatCode>General</c:formatCode>
                <c:ptCount val="2"/>
                <c:pt idx="0">
                  <c:v>45</c:v>
                </c:pt>
                <c:pt idx="1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0B-40A3-8481-D2D4D6BE0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Tool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SICA!$J$2:$FF$2</c:f>
              <c:strCache>
                <c:ptCount val="153"/>
                <c:pt idx="0">
                  <c:v>terraform validate</c:v>
                </c:pt>
                <c:pt idx="1">
                  <c:v>TFLint</c:v>
                </c:pt>
                <c:pt idx="2">
                  <c:v>puppet parser validate</c:v>
                </c:pt>
                <c:pt idx="3">
                  <c:v>goss</c:v>
                </c:pt>
                <c:pt idx="4">
                  <c:v>Trivy</c:v>
                </c:pt>
                <c:pt idx="5">
                  <c:v>tfsec</c:v>
                </c:pt>
                <c:pt idx="6">
                  <c:v>cfn-lint</c:v>
                </c:pt>
                <c:pt idx="7">
                  <c:v>conftest</c:v>
                </c:pt>
                <c:pt idx="8">
                  <c:v>terraform validator</c:v>
                </c:pt>
                <c:pt idx="9">
                  <c:v>Cloud Carbon Footprint (CCF)</c:v>
                </c:pt>
                <c:pt idx="10">
                  <c:v>kube-score</c:v>
                </c:pt>
                <c:pt idx="11">
                  <c:v>infracost</c:v>
                </c:pt>
                <c:pt idx="12">
                  <c:v>terratest</c:v>
                </c:pt>
                <c:pt idx="13">
                  <c:v>OPA</c:v>
                </c:pt>
                <c:pt idx="14">
                  <c:v>foodcritic</c:v>
                </c:pt>
                <c:pt idx="15">
                  <c:v>molecule</c:v>
                </c:pt>
                <c:pt idx="16">
                  <c:v>ansible-lint</c:v>
                </c:pt>
                <c:pt idx="17">
                  <c:v>sentinel</c:v>
                </c:pt>
                <c:pt idx="18">
                  <c:v>checkov</c:v>
                </c:pt>
                <c:pt idx="19">
                  <c:v>terraform-compliance</c:v>
                </c:pt>
                <c:pt idx="20">
                  <c:v>terrascan</c:v>
                </c:pt>
                <c:pt idx="21">
                  <c:v>inspec</c:v>
                </c:pt>
                <c:pt idx="22">
                  <c:v>serverspec</c:v>
                </c:pt>
                <c:pt idx="23">
                  <c:v>cfn_nag</c:v>
                </c:pt>
                <c:pt idx="24">
                  <c:v>awspec</c:v>
                </c:pt>
                <c:pt idx="25">
                  <c:v>clarity</c:v>
                </c:pt>
                <c:pt idx="26">
                  <c:v>taskcat</c:v>
                </c:pt>
                <c:pt idx="27">
                  <c:v>ansible-later</c:v>
                </c:pt>
                <c:pt idx="28">
                  <c:v>TestInfra</c:v>
                </c:pt>
                <c:pt idx="29">
                  <c:v>helm lint</c:v>
                </c:pt>
                <c:pt idx="30">
                  <c:v>helm --dry-run</c:v>
                </c:pt>
                <c:pt idx="31">
                  <c:v>helm validate</c:v>
                </c:pt>
                <c:pt idx="32">
                  <c:v>puppet-lint</c:v>
                </c:pt>
                <c:pt idx="33">
                  <c:v>Rehearsal</c:v>
                </c:pt>
                <c:pt idx="34">
                  <c:v>Snyk</c:v>
                </c:pt>
                <c:pt idx="35">
                  <c:v>Anylint</c:v>
                </c:pt>
                <c:pt idx="36">
                  <c:v>Super-linter</c:v>
                </c:pt>
                <c:pt idx="37">
                  <c:v>Mega-linter</c:v>
                </c:pt>
                <c:pt idx="38">
                  <c:v>CloudSploit</c:v>
                </c:pt>
                <c:pt idx="39">
                  <c:v>Terrafirma</c:v>
                </c:pt>
                <c:pt idx="40">
                  <c:v>Cookstyle</c:v>
                </c:pt>
                <c:pt idx="41">
                  <c:v>tosca-parser</c:v>
                </c:pt>
                <c:pt idx="42">
                  <c:v>x-opera-opera</c:v>
                </c:pt>
                <c:pt idx="43">
                  <c:v>hadolint</c:v>
                </c:pt>
                <c:pt idx="44">
                  <c:v>pylint</c:v>
                </c:pt>
                <c:pt idx="45">
                  <c:v>bandit</c:v>
                </c:pt>
                <c:pt idx="46">
                  <c:v>pyup</c:v>
                </c:pt>
                <c:pt idx="47">
                  <c:v>checkstyle</c:v>
                </c:pt>
                <c:pt idx="48">
                  <c:v>htmllint</c:v>
                </c:pt>
                <c:pt idx="49">
                  <c:v>eslint</c:v>
                </c:pt>
                <c:pt idx="50">
                  <c:v>TypeScript Eslint</c:v>
                </c:pt>
                <c:pt idx="51">
                  <c:v>ShellCheck</c:v>
                </c:pt>
                <c:pt idx="52">
                  <c:v>GitLeaks</c:v>
                </c:pt>
                <c:pt idx="53">
                  <c:v>git-secrets</c:v>
                </c:pt>
                <c:pt idx="54">
                  <c:v>Markdown lint</c:v>
                </c:pt>
                <c:pt idx="55">
                  <c:v>Gixy</c:v>
                </c:pt>
                <c:pt idx="56">
                  <c:v>yamllint</c:v>
                </c:pt>
                <c:pt idx="57">
                  <c:v>Dependency-Check</c:v>
                </c:pt>
                <c:pt idx="58">
                  <c:v>kubescan</c:v>
                </c:pt>
                <c:pt idx="59">
                  <c:v>docker-linter</c:v>
                </c:pt>
                <c:pt idx="60">
                  <c:v>docker-vulnerability-extension</c:v>
                </c:pt>
                <c:pt idx="61">
                  <c:v>TruffleHog</c:v>
                </c:pt>
                <c:pt idx="62">
                  <c:v>GitGuardian</c:v>
                </c:pt>
                <c:pt idx="63">
                  <c:v>Coverity</c:v>
                </c:pt>
                <c:pt idx="64">
                  <c:v>Dagda</c:v>
                </c:pt>
                <c:pt idx="65">
                  <c:v>Clair</c:v>
                </c:pt>
                <c:pt idx="66">
                  <c:v>RuboCop</c:v>
                </c:pt>
                <c:pt idx="67">
                  <c:v>Tortoise</c:v>
                </c:pt>
                <c:pt idx="68">
                  <c:v>ConfigValidator</c:v>
                </c:pt>
                <c:pt idx="69">
                  <c:v>ansible --syntax-check</c:v>
                </c:pt>
                <c:pt idx="70">
                  <c:v>ansible --check</c:v>
                </c:pt>
                <c:pt idx="71">
                  <c:v>ValidIaC</c:v>
                </c:pt>
                <c:pt idx="72">
                  <c:v>ValidKube</c:v>
                </c:pt>
                <c:pt idx="73">
                  <c:v>Regula</c:v>
                </c:pt>
                <c:pt idx="74">
                  <c:v>SpectralOps</c:v>
                </c:pt>
                <c:pt idx="75">
                  <c:v>env0</c:v>
                </c:pt>
                <c:pt idx="76">
                  <c:v>oak9</c:v>
                </c:pt>
                <c:pt idx="77">
                  <c:v>Fugue</c:v>
                </c:pt>
                <c:pt idx="78">
                  <c:v>bridgecrew Cloud</c:v>
                </c:pt>
                <c:pt idx="79">
                  <c:v>terraform fmt</c:v>
                </c:pt>
                <c:pt idx="80">
                  <c:v>KubeLinter</c:v>
                </c:pt>
                <c:pt idx="81">
                  <c:v>Anchore</c:v>
                </c:pt>
                <c:pt idx="82">
                  <c:v>Accurics</c:v>
                </c:pt>
                <c:pt idx="83">
                  <c:v>Prisma Cloud</c:v>
                </c:pt>
                <c:pt idx="84">
                  <c:v>KICS</c:v>
                </c:pt>
                <c:pt idx="85">
                  <c:v>Semgrep</c:v>
                </c:pt>
                <c:pt idx="86">
                  <c:v>Steampipe's Terraform plugin</c:v>
                </c:pt>
                <c:pt idx="87">
                  <c:v>Häyhä</c:v>
                </c:pt>
                <c:pt idx="88">
                  <c:v>cloudformation-guard</c:v>
                </c:pt>
                <c:pt idx="89">
                  <c:v>Cloudrail</c:v>
                </c:pt>
                <c:pt idx="90">
                  <c:v>Lacework</c:v>
                </c:pt>
                <c:pt idx="91">
                  <c:v>Gatekeeper</c:v>
                </c:pt>
                <c:pt idx="92">
                  <c:v>Rapid Scan SAST (Synopsys)</c:v>
                </c:pt>
                <c:pt idx="93">
                  <c:v>Prancer</c:v>
                </c:pt>
                <c:pt idx="94">
                  <c:v>SLIC</c:v>
                </c:pt>
                <c:pt idx="95">
                  <c:v>kitchen-terraform</c:v>
                </c:pt>
                <c:pt idx="96">
                  <c:v>tf-parliament</c:v>
                </c:pt>
                <c:pt idx="97">
                  <c:v>yor</c:v>
                </c:pt>
                <c:pt idx="98">
                  <c:v>cfripper</c:v>
                </c:pt>
                <c:pt idx="99">
                  <c:v>tern</c:v>
                </c:pt>
                <c:pt idx="100">
                  <c:v>dockle</c:v>
                </c:pt>
                <c:pt idx="101">
                  <c:v>grype</c:v>
                </c:pt>
                <c:pt idx="102">
                  <c:v>container-scan</c:v>
                </c:pt>
                <c:pt idx="103">
                  <c:v>fossa-action</c:v>
                </c:pt>
                <c:pt idx="104">
                  <c:v>kubeclarity</c:v>
                </c:pt>
                <c:pt idx="105">
                  <c:v>version-checker</c:v>
                </c:pt>
                <c:pt idx="106">
                  <c:v>chart-testing</c:v>
                </c:pt>
                <c:pt idx="107">
                  <c:v>helm-scanner</c:v>
                </c:pt>
                <c:pt idx="108">
                  <c:v>inframap</c:v>
                </c:pt>
                <c:pt idx="109">
                  <c:v>trunk</c:v>
                </c:pt>
                <c:pt idx="110">
                  <c:v>shisho</c:v>
                </c:pt>
                <c:pt idx="111">
                  <c:v>SecureCode</c:v>
                </c:pt>
                <c:pt idx="112">
                  <c:v>SLAC</c:v>
                </c:pt>
                <c:pt idx="113">
                  <c:v>GLITCH</c:v>
                </c:pt>
                <c:pt idx="114">
                  <c:v>DeepConfig</c:v>
                </c:pt>
                <c:pt idx="115">
                  <c:v>docker-bench-security</c:v>
                </c:pt>
                <c:pt idx="116">
                  <c:v>kubectl-kubesec</c:v>
                </c:pt>
                <c:pt idx="117">
                  <c:v>credscan</c:v>
                </c:pt>
                <c:pt idx="118">
                  <c:v>detect-secrets</c:v>
                </c:pt>
                <c:pt idx="119">
                  <c:v>repo-supervisor</c:v>
                </c:pt>
                <c:pt idx="120">
                  <c:v>dotenv linter</c:v>
                </c:pt>
                <c:pt idx="121">
                  <c:v>AzTs</c:v>
                </c:pt>
                <c:pt idx="122">
                  <c:v>clusterlint</c:v>
                </c:pt>
                <c:pt idx="123">
                  <c:v>datree</c:v>
                </c:pt>
                <c:pt idx="124">
                  <c:v>kube-lint</c:v>
                </c:pt>
                <c:pt idx="125">
                  <c:v>kubeval</c:v>
                </c:pt>
                <c:pt idx="126">
                  <c:v>metadata-json-lint</c:v>
                </c:pt>
                <c:pt idx="127">
                  <c:v>puppet-sec-lint</c:v>
                </c:pt>
                <c:pt idx="128">
                  <c:v>helm template</c:v>
                </c:pt>
                <c:pt idx="129">
                  <c:v>dockerlint</c:v>
                </c:pt>
                <c:pt idx="130">
                  <c:v>dockerfile_lint</c:v>
                </c:pt>
                <c:pt idx="131">
                  <c:v>dockerfilelint</c:v>
                </c:pt>
                <c:pt idx="132">
                  <c:v>kubeconform</c:v>
                </c:pt>
                <c:pt idx="133">
                  <c:v>ansible-test</c:v>
                </c:pt>
                <c:pt idx="134">
                  <c:v>rolespec</c:v>
                </c:pt>
                <c:pt idx="135">
                  <c:v>polaris</c:v>
                </c:pt>
                <c:pt idx="136">
                  <c:v>kubectl-neat</c:v>
                </c:pt>
                <c:pt idx="137">
                  <c:v>kubescape</c:v>
                </c:pt>
                <c:pt idx="138">
                  <c:v>parliament</c:v>
                </c:pt>
                <c:pt idx="139">
                  <c:v>terraform-validator</c:v>
                </c:pt>
                <c:pt idx="140">
                  <c:v>config-validator</c:v>
                </c:pt>
                <c:pt idx="141">
                  <c:v>kubectl --dry-run=client</c:v>
                </c:pt>
                <c:pt idx="142">
                  <c:v>helm verify</c:v>
                </c:pt>
                <c:pt idx="143">
                  <c:v>AnsibleMetrics</c:v>
                </c:pt>
                <c:pt idx="144">
                  <c:v>ACID</c:v>
                </c:pt>
                <c:pt idx="145">
                  <c:v>Barrel</c:v>
                </c:pt>
                <c:pt idx="146">
                  <c:v>DeepIaC</c:v>
                </c:pt>
                <c:pt idx="147">
                  <c:v>Puppeteer</c:v>
                </c:pt>
                <c:pt idx="148">
                  <c:v>SecGuru</c:v>
                </c:pt>
                <c:pt idx="149">
                  <c:v>SODALITE</c:v>
                </c:pt>
                <c:pt idx="150">
                  <c:v>Sommelier</c:v>
                </c:pt>
                <c:pt idx="151">
                  <c:v>docker-compose-viz</c:v>
                </c:pt>
                <c:pt idx="152">
                  <c:v>salt-lint</c:v>
                </c:pt>
              </c:strCache>
            </c:strRef>
          </c:cat>
          <c:val>
            <c:numRef>
              <c:f>SICA!$J$135:$FF$135</c:f>
              <c:numCache>
                <c:formatCode>General</c:formatCode>
                <c:ptCount val="153"/>
                <c:pt idx="0">
                  <c:v>5</c:v>
                </c:pt>
                <c:pt idx="1">
                  <c:v>19</c:v>
                </c:pt>
                <c:pt idx="2">
                  <c:v>1</c:v>
                </c:pt>
                <c:pt idx="3">
                  <c:v>4</c:v>
                </c:pt>
                <c:pt idx="4">
                  <c:v>10</c:v>
                </c:pt>
                <c:pt idx="5">
                  <c:v>31</c:v>
                </c:pt>
                <c:pt idx="6">
                  <c:v>5</c:v>
                </c:pt>
                <c:pt idx="7">
                  <c:v>9</c:v>
                </c:pt>
                <c:pt idx="8">
                  <c:v>2</c:v>
                </c:pt>
                <c:pt idx="9">
                  <c:v>1</c:v>
                </c:pt>
                <c:pt idx="10">
                  <c:v>4</c:v>
                </c:pt>
                <c:pt idx="11">
                  <c:v>2</c:v>
                </c:pt>
                <c:pt idx="12">
                  <c:v>7</c:v>
                </c:pt>
                <c:pt idx="13">
                  <c:v>11</c:v>
                </c:pt>
                <c:pt idx="14">
                  <c:v>8</c:v>
                </c:pt>
                <c:pt idx="15">
                  <c:v>2</c:v>
                </c:pt>
                <c:pt idx="16">
                  <c:v>11</c:v>
                </c:pt>
                <c:pt idx="17">
                  <c:v>5</c:v>
                </c:pt>
                <c:pt idx="18">
                  <c:v>41</c:v>
                </c:pt>
                <c:pt idx="19">
                  <c:v>6</c:v>
                </c:pt>
                <c:pt idx="20">
                  <c:v>21</c:v>
                </c:pt>
                <c:pt idx="21">
                  <c:v>5</c:v>
                </c:pt>
                <c:pt idx="22">
                  <c:v>5</c:v>
                </c:pt>
                <c:pt idx="23">
                  <c:v>7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3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5</c:v>
                </c:pt>
                <c:pt idx="33">
                  <c:v>4</c:v>
                </c:pt>
                <c:pt idx="34">
                  <c:v>15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5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7</c:v>
                </c:pt>
                <c:pt idx="44">
                  <c:v>2</c:v>
                </c:pt>
                <c:pt idx="45">
                  <c:v>3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1</c:v>
                </c:pt>
                <c:pt idx="55">
                  <c:v>1</c:v>
                </c:pt>
                <c:pt idx="56">
                  <c:v>4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3</c:v>
                </c:pt>
                <c:pt idx="63">
                  <c:v>1</c:v>
                </c:pt>
                <c:pt idx="64">
                  <c:v>4</c:v>
                </c:pt>
                <c:pt idx="65">
                  <c:v>5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2</c:v>
                </c:pt>
                <c:pt idx="72">
                  <c:v>2</c:v>
                </c:pt>
                <c:pt idx="73">
                  <c:v>6</c:v>
                </c:pt>
                <c:pt idx="74">
                  <c:v>2</c:v>
                </c:pt>
                <c:pt idx="75">
                  <c:v>1</c:v>
                </c:pt>
                <c:pt idx="76">
                  <c:v>2</c:v>
                </c:pt>
                <c:pt idx="77">
                  <c:v>4</c:v>
                </c:pt>
                <c:pt idx="78">
                  <c:v>7</c:v>
                </c:pt>
                <c:pt idx="79">
                  <c:v>1</c:v>
                </c:pt>
                <c:pt idx="80">
                  <c:v>4</c:v>
                </c:pt>
                <c:pt idx="81">
                  <c:v>5</c:v>
                </c:pt>
                <c:pt idx="82">
                  <c:v>5</c:v>
                </c:pt>
                <c:pt idx="83">
                  <c:v>4</c:v>
                </c:pt>
                <c:pt idx="84">
                  <c:v>13</c:v>
                </c:pt>
                <c:pt idx="85">
                  <c:v>8</c:v>
                </c:pt>
                <c:pt idx="86">
                  <c:v>1</c:v>
                </c:pt>
                <c:pt idx="87">
                  <c:v>3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2</c:v>
                </c:pt>
                <c:pt idx="92">
                  <c:v>1</c:v>
                </c:pt>
                <c:pt idx="93">
                  <c:v>1</c:v>
                </c:pt>
                <c:pt idx="94">
                  <c:v>8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2</c:v>
                </c:pt>
                <c:pt idx="111">
                  <c:v>2</c:v>
                </c:pt>
                <c:pt idx="112">
                  <c:v>3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3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2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3-450E-8D90-8ADD1ED85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4178392"/>
        <c:axId val="784173472"/>
      </c:barChart>
      <c:catAx>
        <c:axId val="784178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173472"/>
        <c:crosses val="autoZero"/>
        <c:auto val="1"/>
        <c:lblAlgn val="ctr"/>
        <c:lblOffset val="100"/>
        <c:noMultiLvlLbl val="0"/>
      </c:catAx>
      <c:valAx>
        <c:axId val="7841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178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Number of Sources per Year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'SICA Charts'!$B$26:$B$35</c:f>
              <c:strCache>
                <c:ptCount val="10"/>
                <c:pt idx="0">
                  <c:v>Unspecified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</c:strCache>
            </c:strRef>
          </c:cat>
          <c:val>
            <c:numRef>
              <c:f>'SICA Charts'!$C$26:$C$35</c:f>
              <c:numCache>
                <c:formatCode>General</c:formatCode>
                <c:ptCount val="10"/>
                <c:pt idx="0">
                  <c:v>28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25</c:v>
                </c:pt>
                <c:pt idx="8">
                  <c:v>42</c:v>
                </c:pt>
                <c:pt idx="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58-499D-A20B-9792EA27A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5949256"/>
        <c:axId val="1035944336"/>
      </c:barChart>
      <c:catAx>
        <c:axId val="1035949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944336"/>
        <c:crosses val="autoZero"/>
        <c:auto val="1"/>
        <c:lblAlgn val="ctr"/>
        <c:lblOffset val="100"/>
        <c:noMultiLvlLbl val="0"/>
      </c:catAx>
      <c:valAx>
        <c:axId val="103594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949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Sources by Source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45-46CF-A3B7-6BB6E0983176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45-46CF-A3B7-6BB6E0983176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045-46CF-A3B7-6BB6E0983176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045-46CF-A3B7-6BB6E0983176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045-46CF-A3B7-6BB6E0983176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045-46CF-A3B7-6BB6E0983176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045-46CF-A3B7-6BB6E0983176}"/>
              </c:ext>
            </c:extLst>
          </c:dPt>
          <c:cat>
            <c:strRef>
              <c:f>'SICA Charts'!$L$26:$L$32</c:f>
              <c:strCache>
                <c:ptCount val="7"/>
                <c:pt idx="0">
                  <c:v>IAWP</c:v>
                </c:pt>
                <c:pt idx="1">
                  <c:v>J</c:v>
                </c:pt>
                <c:pt idx="2">
                  <c:v>C</c:v>
                </c:pt>
                <c:pt idx="3">
                  <c:v>B</c:v>
                </c:pt>
                <c:pt idx="4">
                  <c:v>P</c:v>
                </c:pt>
                <c:pt idx="5">
                  <c:v>G</c:v>
                </c:pt>
                <c:pt idx="6">
                  <c:v>Q</c:v>
                </c:pt>
              </c:strCache>
            </c:strRef>
          </c:cat>
          <c:val>
            <c:numRef>
              <c:f>'SICA Charts'!$M$26:$M$32</c:f>
              <c:numCache>
                <c:formatCode>General</c:formatCode>
                <c:ptCount val="7"/>
                <c:pt idx="0">
                  <c:v>100</c:v>
                </c:pt>
                <c:pt idx="1">
                  <c:v>4</c:v>
                </c:pt>
                <c:pt idx="2">
                  <c:v>14</c:v>
                </c:pt>
                <c:pt idx="3">
                  <c:v>6</c:v>
                </c:pt>
                <c:pt idx="4">
                  <c:v>1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D-4606-84E7-06A6A4557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Number of Sources by Search String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'SICA Charts'!$V$26:$V$32</c:f>
              <c:strCache>
                <c:ptCount val="7"/>
                <c:pt idx="0">
                  <c:v>Infrastructure as Code Static Analyis</c:v>
                </c:pt>
                <c:pt idx="1">
                  <c:v>Snowballing</c:v>
                </c:pt>
                <c:pt idx="2">
                  <c:v>Infrastructure as Code Security Scanning</c:v>
                </c:pt>
                <c:pt idx="3">
                  <c:v>Infrastructure as Code Security</c:v>
                </c:pt>
                <c:pt idx="4">
                  <c:v>Infrastructure as Code Linting</c:v>
                </c:pt>
                <c:pt idx="5">
                  <c:v>Found During Literature Review</c:v>
                </c:pt>
                <c:pt idx="6">
                  <c:v>Found During MLR on IaC Tools</c:v>
                </c:pt>
              </c:strCache>
            </c:strRef>
          </c:cat>
          <c:val>
            <c:numRef>
              <c:f>'SICA Charts'!$W$26:$W$32</c:f>
              <c:numCache>
                <c:formatCode>General</c:formatCode>
                <c:ptCount val="7"/>
                <c:pt idx="0">
                  <c:v>73</c:v>
                </c:pt>
                <c:pt idx="1">
                  <c:v>15</c:v>
                </c:pt>
                <c:pt idx="2">
                  <c:v>2</c:v>
                </c:pt>
                <c:pt idx="3">
                  <c:v>10</c:v>
                </c:pt>
                <c:pt idx="4">
                  <c:v>3</c:v>
                </c:pt>
                <c:pt idx="5">
                  <c:v>21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23-4A5B-96C2-4A4987374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0121240"/>
        <c:axId val="950126816"/>
      </c:barChart>
      <c:catAx>
        <c:axId val="950121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126816"/>
        <c:crosses val="autoZero"/>
        <c:auto val="1"/>
        <c:lblAlgn val="ctr"/>
        <c:lblOffset val="100"/>
        <c:noMultiLvlLbl val="0"/>
      </c:catAx>
      <c:valAx>
        <c:axId val="95012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121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Tools Considered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589-4023-BD06-9FA4A64E7807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589-4023-BD06-9FA4A64E7807}"/>
              </c:ext>
            </c:extLst>
          </c:dPt>
          <c:cat>
            <c:strRef>
              <c:f>'SICA Charts'!$B$58:$B$59</c:f>
              <c:strCache>
                <c:ptCount val="2"/>
                <c:pt idx="0">
                  <c:v>Good SICAs</c:v>
                </c:pt>
                <c:pt idx="1">
                  <c:v>Bad SICAs</c:v>
                </c:pt>
              </c:strCache>
            </c:strRef>
          </c:cat>
          <c:val>
            <c:numRef>
              <c:f>'SICA Charts'!$C$58:$C$59</c:f>
              <c:numCache>
                <c:formatCode>General</c:formatCode>
                <c:ptCount val="2"/>
                <c:pt idx="0">
                  <c:v>44</c:v>
                </c:pt>
                <c:pt idx="1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5-4B72-8517-57D15091B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Vote Quality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450-491F-839E-1329D0618843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450-491F-839E-1329D0618843}"/>
              </c:ext>
            </c:extLst>
          </c:dPt>
          <c:cat>
            <c:strRef>
              <c:f>'SICA Charts'!$L$58:$L$59</c:f>
              <c:strCache>
                <c:ptCount val="2"/>
                <c:pt idx="0">
                  <c:v>Good Votes</c:v>
                </c:pt>
                <c:pt idx="1">
                  <c:v>Bad Votes</c:v>
                </c:pt>
              </c:strCache>
            </c:strRef>
          </c:cat>
          <c:val>
            <c:numRef>
              <c:f>'SICA Charts'!$M$58:$M$59</c:f>
              <c:numCache>
                <c:formatCode>General</c:formatCode>
                <c:ptCount val="2"/>
                <c:pt idx="0">
                  <c:v>261</c:v>
                </c:pt>
                <c:pt idx="1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82-40B8-89C7-A79233202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Vote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Vote Distribution</a:t>
          </a:r>
        </a:p>
      </cx:txPr>
    </cx:title>
    <cx:plotArea>
      <cx:plotAreaRegion>
        <cx:series layoutId="clusteredColumn" uniqueId="{E1EAF30D-D4FA-44A8-A5FF-907556BB650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3.xml"/><Relationship Id="rId7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49</xdr:col>
      <xdr:colOff>261257</xdr:colOff>
      <xdr:row>41</xdr:row>
      <xdr:rowOff>170329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7058AE-D481-4960-A804-F54BB3666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</xdr:colOff>
      <xdr:row>59</xdr:row>
      <xdr:rowOff>176565</xdr:rowOff>
    </xdr:from>
    <xdr:to>
      <xdr:col>8</xdr:col>
      <xdr:colOff>304802</xdr:colOff>
      <xdr:row>74</xdr:row>
      <xdr:rowOff>136808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AE62672-051C-1729-C5FA-91393652C2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2339</xdr:colOff>
      <xdr:row>59</xdr:row>
      <xdr:rowOff>176955</xdr:rowOff>
    </xdr:from>
    <xdr:to>
      <xdr:col>18</xdr:col>
      <xdr:colOff>298174</xdr:colOff>
      <xdr:row>74</xdr:row>
      <xdr:rowOff>143434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CED613A-2E9A-6380-F856-9FEA4E9FCF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354106</xdr:colOff>
      <xdr:row>60</xdr:row>
      <xdr:rowOff>4481</xdr:rowOff>
    </xdr:from>
    <xdr:to>
      <xdr:col>24</xdr:col>
      <xdr:colOff>389964</xdr:colOff>
      <xdr:row>75</xdr:row>
      <xdr:rowOff>58269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98BE9A3-0198-EABD-29CC-71EE22734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416859</xdr:colOff>
      <xdr:row>60</xdr:row>
      <xdr:rowOff>4482</xdr:rowOff>
    </xdr:from>
    <xdr:to>
      <xdr:col>31</xdr:col>
      <xdr:colOff>300318</xdr:colOff>
      <xdr:row>75</xdr:row>
      <xdr:rowOff>58270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85A870-927B-9A1A-CC7C-4010753410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578223</xdr:colOff>
      <xdr:row>59</xdr:row>
      <xdr:rowOff>174813</xdr:rowOff>
    </xdr:from>
    <xdr:to>
      <xdr:col>40</xdr:col>
      <xdr:colOff>345141</xdr:colOff>
      <xdr:row>75</xdr:row>
      <xdr:rowOff>49307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C93F9E-CA55-41F8-7BCC-EA6DE933E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-1</xdr:colOff>
      <xdr:row>186</xdr:row>
      <xdr:rowOff>16328</xdr:rowOff>
    </xdr:from>
    <xdr:to>
      <xdr:col>19</xdr:col>
      <xdr:colOff>555171</xdr:colOff>
      <xdr:row>212</xdr:row>
      <xdr:rowOff>65315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570CC5FB-92CC-C888-F935-93A87F712D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64279" y="34047248"/>
              <a:ext cx="8380912" cy="48038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43</xdr:col>
      <xdr:colOff>4481</xdr:colOff>
      <xdr:row>60</xdr:row>
      <xdr:rowOff>4483</xdr:rowOff>
    </xdr:from>
    <xdr:to>
      <xdr:col>50</xdr:col>
      <xdr:colOff>372034</xdr:colOff>
      <xdr:row>75</xdr:row>
      <xdr:rowOff>58271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D5FEEAC-63A5-DEA3-1998-F6E5952E7F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594360</xdr:colOff>
      <xdr:row>1</xdr:row>
      <xdr:rowOff>167640</xdr:rowOff>
    </xdr:from>
    <xdr:to>
      <xdr:col>38</xdr:col>
      <xdr:colOff>22860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8AF02E-7D46-BD14-32B4-2F704FFE24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590550</xdr:colOff>
      <xdr:row>37</xdr:row>
      <xdr:rowOff>0</xdr:rowOff>
    </xdr:from>
    <xdr:to>
      <xdr:col>8</xdr:col>
      <xdr:colOff>285750</xdr:colOff>
      <xdr:row>52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C6C7B5-6287-2B17-BA0E-497A140400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3810</xdr:colOff>
      <xdr:row>36</xdr:row>
      <xdr:rowOff>167640</xdr:rowOff>
    </xdr:from>
    <xdr:to>
      <xdr:col>18</xdr:col>
      <xdr:colOff>308610</xdr:colOff>
      <xdr:row>51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728F41A-95DD-E6C6-0513-20C3A4E28B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3810</xdr:colOff>
      <xdr:row>37</xdr:row>
      <xdr:rowOff>0</xdr:rowOff>
    </xdr:from>
    <xdr:to>
      <xdr:col>26</xdr:col>
      <xdr:colOff>468630</xdr:colOff>
      <xdr:row>52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9753E0-8199-5C92-9E1B-7A742CB10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60</xdr:row>
      <xdr:rowOff>175260</xdr:rowOff>
    </xdr:from>
    <xdr:to>
      <xdr:col>8</xdr:col>
      <xdr:colOff>358140</xdr:colOff>
      <xdr:row>75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C9599D-2B76-1473-0A34-8C7DEE3890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61</xdr:row>
      <xdr:rowOff>0</xdr:rowOff>
    </xdr:from>
    <xdr:to>
      <xdr:col>18</xdr:col>
      <xdr:colOff>358140</xdr:colOff>
      <xdr:row>76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FAD1DB2-B10C-40E4-5811-0CD2F54922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C0CCFC-65F4-4AA9-AE95-881A00EBD61E}" name="Table35" displayName="Table35" ref="A2:GY241" totalsRowCount="1" headerRowDxfId="213">
  <autoFilter ref="A2:GY240" xr:uid="{DF6E27D5-AACE-4F54-87EA-FF5BDFFE39F5}"/>
  <tableColumns count="207">
    <tableColumn id="1" xr3:uid="{57BBC06F-17E3-4469-99F7-4C013DCCE7FE}" name="#" totalsRowLabel="Total"/>
    <tableColumn id="2" xr3:uid="{37DB4C38-3269-447D-99CE-ECA22CC44924}" name="Resource Name"/>
    <tableColumn id="3" xr3:uid="{0A754F07-94D8-4645-A06E-774DB2A79ED6}" name="Link"/>
    <tableColumn id="4" xr3:uid="{CE23F920-CEE1-48E9-A781-69A878D51607}" name="C / J / W / M / S / B / T / JA / N"/>
    <tableColumn id="5" xr3:uid="{951CEA8A-6BDB-4F32-8D31-B37546FB879C}" name="Year"/>
    <tableColumn id="7" xr3:uid="{D9E90E80-6E84-4B5B-B422-38CA6F5573F6}" name="Company/Website"/>
    <tableColumn id="8" xr3:uid="{335C68AB-E2CC-46C6-AB11-94E2CB77FC67}" name="Author"/>
    <tableColumn id="117" xr3:uid="{36BC0952-0452-40F8-8ED9-3807BD9F5FA8}" name="Comment"/>
    <tableColumn id="9" xr3:uid="{1795AC35-D97B-4913-9B70-A62D3859F40D}" name="Applied Search String"/>
    <tableColumn id="10" xr3:uid="{DE83AD85-E411-4660-B25A-6DB1AD56736E}" name="Methodology"/>
    <tableColumn id="12" xr3:uid="{E886D3C0-AC1E-4A0D-BD6A-EFFD0C4AB651}" name="# Tools mentioned" totalsRowFunction="custom" dataDxfId="212" totalsRowDxfId="211">
      <calculatedColumnFormula>COUNTIF(L3:XFD3,"x")</calculatedColumnFormula>
      <totalsRowFormula>SUM(Table35['# Tools mentioned])</totalsRowFormula>
    </tableColumn>
    <tableColumn id="13" xr3:uid="{90B7F657-A85C-4EE8-BAB3-C8DE7DB13DD1}" name="Chef" totalsRowFunction="custom">
      <totalsRowFormula>COUNTIF(Table35[Chef],"x")</totalsRowFormula>
    </tableColumn>
    <tableColumn id="14" xr3:uid="{066AEC86-55AE-4CA0-B17E-1F51708F1DCE}" name="Puppet" totalsRowFunction="custom">
      <totalsRowFormula>COUNTIF(Table35[Puppet],"x")</totalsRowFormula>
    </tableColumn>
    <tableColumn id="15" xr3:uid="{A9FB6D08-FCC2-4CF6-AF07-46229FE70531}" name="Ansible" totalsRowFunction="custom">
      <totalsRowFormula>COUNTIF(Table35[Ansible],"x")</totalsRowFormula>
    </tableColumn>
    <tableColumn id="16" xr3:uid="{432FAE05-AF98-4675-A2AC-1D9DA4508BDD}" name="SaltStack" totalsRowFunction="custom">
      <totalsRowFormula>COUNTIF(Table35[SaltStack],"x")</totalsRowFormula>
    </tableColumn>
    <tableColumn id="43" xr3:uid="{3F8E65FD-7905-4D4D-A590-5D4AF2AF5518}" name="CFEngine" totalsRowFunction="custom">
      <totalsRowFormula>COUNTIF(Table35[CFEngine],"x")</totalsRowFormula>
    </tableColumn>
    <tableColumn id="41" xr3:uid="{88241843-718E-44CC-A6CC-457D83B4A464}" name="R?ex" totalsRowFunction="custom">
      <totalsRowFormula>COUNTIF(Table35[R?ex],"x")</totalsRowFormula>
    </tableColumn>
    <tableColumn id="65" xr3:uid="{8010C8CD-DA7C-4FA0-86C9-6F831CA2F465}" name="cloud-init" totalsRowFunction="custom">
      <totalsRowFormula>COUNTIF(Table35[cloud-init],"x")</totalsRowFormula>
    </tableColumn>
    <tableColumn id="168" xr3:uid="{C282BCE2-9231-4DF3-97D4-C9895AB5CCD6}" name="Quattor" totalsRowFunction="custom">
      <totalsRowFormula>COUNTIF(Table35[Quattor],"x")</totalsRowFormula>
    </tableColumn>
    <tableColumn id="169" xr3:uid="{07C59F05-B0A8-48E6-AC37-6AE09A7CAB23}" name="cdist" totalsRowFunction="custom">
      <totalsRowFormula>COUNTIF(Table35[cdist],"x")</totalsRowFormula>
    </tableColumn>
    <tableColumn id="170" xr3:uid="{49952619-0473-4933-8219-6F67267BF555}" name="Bcfg2" totalsRowFunction="custom">
      <totalsRowFormula>COUNTIF(Table35[Bcfg2],"x")</totalsRowFormula>
    </tableColumn>
    <tableColumn id="192" xr3:uid="{909D9A62-DB99-4073-BB1E-46ADBE759660}" name="mgmt" totalsRowFunction="custom">
      <totalsRowFormula>COUNTIF(Table35[mgmt],"x")</totalsRowFormula>
    </tableColumn>
    <tableColumn id="227" xr3:uid="{487C6E53-E5EB-4D24-99BB-443273CAB163}" name="SmartFrog" totalsRowFunction="custom">
      <totalsRowFormula>COUNTIF(Table35[Augeas],"x")</totalsRowFormula>
    </tableColumn>
    <tableColumn id="19" xr3:uid="{DCB42927-4482-466B-B8BC-177EED7033FF}" name="Docker" totalsRowFunction="custom">
      <totalsRowFormula>COUNTIF(Table35[Docker],"x")</totalsRowFormula>
    </tableColumn>
    <tableColumn id="20" xr3:uid="{FD351B57-3332-48C3-ACC2-852DB6908D39}" name="Packer" totalsRowFunction="custom">
      <totalsRowFormula>COUNTIF(Table35[Packer],"x")</totalsRowFormula>
    </tableColumn>
    <tableColumn id="21" xr3:uid="{F801F95E-2495-4D34-A4CE-BA59FB09A1C5}" name="Vagrant" totalsRowFunction="custom">
      <totalsRowFormula>COUNTIF(Table35[Vagrant],"x")</totalsRowFormula>
    </tableColumn>
    <tableColumn id="60" xr3:uid="{546272A7-D47F-4448-B1F6-6AB56D418CB2}" name="NixOS" totalsRowFunction="custom">
      <totalsRowFormula>COUNTIF(Table35[NixOS],"x")</totalsRowFormula>
    </tableColumn>
    <tableColumn id="73" xr3:uid="{C357F7C3-E582-42E5-A768-B0AD2C64BA50}" name="Azure VM Image Builder" totalsRowFunction="custom">
      <totalsRowFormula>COUNTIF(Table35[Azure VM Image Builder],"x")</totalsRowFormula>
    </tableColumn>
    <tableColumn id="24" xr3:uid="{6171C641-EAB9-4763-BC34-638AADB1F2D5}" name="Kubernetes" totalsRowFunction="custom">
      <totalsRowFormula>COUNTIF(Table35[Kubernetes],"x")</totalsRowFormula>
    </tableColumn>
    <tableColumn id="27" xr3:uid="{83A34B57-7D7A-4174-9C1E-2DBC37076B09}" name="Swarm" totalsRowFunction="custom">
      <totalsRowFormula>COUNTIF(Table35[Swarm],"x")</totalsRowFormula>
    </tableColumn>
    <tableColumn id="28" xr3:uid="{EBDC735B-EF76-42B5-9848-27FB6F72501E}" name="Nomad" totalsRowFunction="custom">
      <totalsRowFormula>COUNTIF(Table35[Nomad],"x")</totalsRowFormula>
    </tableColumn>
    <tableColumn id="97" xr3:uid="{094EC849-84ED-4566-AA9E-8C32BE072346}" name="Docker Compose" totalsRowFunction="custom">
      <totalsRowFormula>COUNTIF(Table35[Docker Compose],"x")</totalsRowFormula>
    </tableColumn>
    <tableColumn id="54" xr3:uid="{06652242-0323-4F91-8A20-2BADC3DDBD09}" name="Podman" totalsRowFunction="custom">
      <totalsRowFormula>COUNTIF(Table35[Podman],"x")</totalsRowFormula>
    </tableColumn>
    <tableColumn id="68" xr3:uid="{76C13C4A-5016-4DA5-A85C-D98F6F68B797}" name="AWS Copilot" totalsRowFunction="custom">
      <totalsRowFormula>COUNTIF(Table35[AWS Copilot],"x")</totalsRowFormula>
    </tableColumn>
    <tableColumn id="82" xr3:uid="{E56FE414-5371-4D5F-887F-1E2000E786C2}" name="Apache Brooklyn" totalsRowFunction="custom">
      <totalsRowFormula>COUNTIF(Table35[Apache Brooklyn],"x")</totalsRowFormula>
    </tableColumn>
    <tableColumn id="93" xr3:uid="{BC34581C-34AB-42FC-85FF-64697B497305}" name="DevOpsLang" totalsRowFunction="custom">
      <totalsRowFormula>COUNTIF(Table35[DevOpsLang],"x")</totalsRowFormula>
    </tableColumn>
    <tableColumn id="104" xr3:uid="{3DA7C817-906F-4BC0-8B6A-3B3C92114B76}" name="Fargate" totalsRowFunction="custom">
      <totalsRowFormula>COUNTIF(Table35[Fargate],"x")</totalsRowFormula>
    </tableColumn>
    <tableColumn id="115" xr3:uid="{AAA9D8E7-5290-49C4-8A04-38B1D3A219A6}" name="DC/OS" totalsRowFunction="custom">
      <totalsRowFormula>COUNTIF(Table35[DC/OS],"x")</totalsRowFormula>
    </tableColumn>
    <tableColumn id="132" xr3:uid="{AADB7FCB-CEE7-4D36-B32C-A7EE731EE232}" name="Hyscale" totalsRowFunction="custom">
      <totalsRowFormula>COUNTIF(Table35[Hyscale],"x")</totalsRowFormula>
    </tableColumn>
    <tableColumn id="138" xr3:uid="{F69D9963-007A-4ADF-85FC-380C715BF358}" name="RackHD" totalsRowFunction="custom">
      <totalsRowFormula>COUNTIF(Table35[RackHD],"x")</totalsRowFormula>
    </tableColumn>
    <tableColumn id="177" xr3:uid="{35E9DC86-9C68-4BB5-9BF0-6A3DDDEEEE4E}" name="AWS Serverless Application Model (SAM)" totalsRowFunction="custom">
      <totalsRowFormula>COUNTIF(Table35[AWS Serverless Application Model (SAM)],"x")</totalsRowFormula>
    </tableColumn>
    <tableColumn id="220" xr3:uid="{68633E0D-1857-4470-A296-4E428D181B81}" name="Azure Functions" totalsRowFunction="custom">
      <totalsRowFormula>COUNTIF(Table35[Azure Functions],"x")</totalsRowFormula>
    </tableColumn>
    <tableColumn id="209" xr3:uid="{C57B176A-EAFA-4545-AE79-449943425D8A}" name="Bolt" totalsRowFunction="custom">
      <totalsRowFormula>COUNTIF(Table35[Bolt],"x")</totalsRowFormula>
    </tableColumn>
    <tableColumn id="110" xr3:uid="{50F5821D-6B30-4EEA-B1D1-4B8C8FE3683E}" name="Mesosphere" totalsRowFunction="custom">
      <totalsRowFormula>COUNTIF(Table35[Mesosphere],"x")</totalsRowFormula>
    </tableColumn>
    <tableColumn id="31" xr3:uid="{310463EF-A381-4C64-9AB8-6D483B767E44}" name="Terraform" totalsRowFunction="custom">
      <totalsRowFormula>COUNTIF(Table35[Terraform],"x")</totalsRowFormula>
    </tableColumn>
    <tableColumn id="32" xr3:uid="{7D94EF6D-585D-49EB-8DA7-825723AF7FC2}" name="CloudFormation" totalsRowFunction="custom">
      <totalsRowFormula>COUNTIF(Table35[CloudFormation],"x")</totalsRowFormula>
    </tableColumn>
    <tableColumn id="33" xr3:uid="{8F4FB9C1-AAB7-4645-A58F-E06C8C5274E8}" name="Azure Resource Manager | Microsoft ARM Templates" totalsRowFunction="custom">
      <totalsRowFormula>COUNTIF(Table35[Azure Resource Manager | Microsoft ARM Templates],"x")</totalsRowFormula>
    </tableColumn>
    <tableColumn id="49" xr3:uid="{B65D0A2E-76A7-47AC-8F34-71FB6290E2C1}" name="Bicep" totalsRowFunction="custom">
      <totalsRowFormula>COUNTIF(Table35[Bicep],"x")</totalsRowFormula>
    </tableColumn>
    <tableColumn id="34" xr3:uid="{3B076664-F7DB-4BA4-8C4F-D6BA7CCBEC48}" name="Google Deployment Manager" totalsRowFunction="custom">
      <totalsRowFormula>COUNTIF(Table35[Google Deployment Manager],"x")</totalsRowFormula>
    </tableColumn>
    <tableColumn id="35" xr3:uid="{809EED9B-4ABD-4837-995D-23BEC8BC9E76}" name="OpenStack Heat" totalsRowFunction="custom">
      <totalsRowFormula>COUNTIF(Table35[OpenStack Heat],"x")</totalsRowFormula>
    </tableColumn>
    <tableColumn id="47" xr3:uid="{C1365682-7C4F-4328-97A9-1EA3C1A0A731}" name="Terragrunt" totalsRowFunction="custom">
      <totalsRowFormula>COUNTIF(Table35[Terragrunt],"x")</totalsRowFormula>
    </tableColumn>
    <tableColumn id="39" xr3:uid="{0EEABA1E-F4F7-4C64-AB5B-E72176DA60CF}" name="Pulumi" totalsRowFunction="custom">
      <totalsRowFormula>COUNTIF(Table35[Pulumi],"x")</totalsRowFormula>
    </tableColumn>
    <tableColumn id="53" xr3:uid="{837D9F4A-CCF6-4959-994A-98E6B8D76919}" name="AWS CDK" totalsRowFunction="custom">
      <totalsRowFormula>COUNTIF(Table35[AWS CDK],"x")</totalsRowFormula>
    </tableColumn>
    <tableColumn id="66" xr3:uid="{25E63545-972B-4D2E-AFE0-6E7652AB8962}" name="Serverless Framework" totalsRowFunction="custom">
      <totalsRowFormula>COUNTIF(Table35[Serverless Framework],"x")</totalsRowFormula>
    </tableColumn>
    <tableColumn id="78" xr3:uid="{D14F86F1-7D02-40AD-8783-032F1E3DCCF9}" name="Opta" totalsRowFunction="custom">
      <totalsRowFormula>COUNTIF(Table35[Opta],"x")</totalsRowFormula>
    </tableColumn>
    <tableColumn id="79" xr3:uid="{279D91FC-5113-4452-A8C2-D584E7F3F423}" name="CDKTF " totalsRowFunction="custom">
      <totalsRowFormula>COUNTIF(Table35[CDKTF ],"x")</totalsRowFormula>
    </tableColumn>
    <tableColumn id="85" xr3:uid="{FFC812AF-4097-46B0-8644-9BDF823E238D}" name="Cloudify" totalsRowFunction="custom">
      <totalsRowFormula>COUNTIF(Table35[Cloudify],"x")</totalsRowFormula>
    </tableColumn>
    <tableColumn id="88" xr3:uid="{C70D67D4-6360-4F7E-985B-B38A3608982D}" name="Bosh" totalsRowFunction="custom">
      <totalsRowFormula>COUNTIF(Table35[Bosh],"x")</totalsRowFormula>
    </tableColumn>
    <tableColumn id="89" xr3:uid="{A73E4E67-39A3-48FB-BFAE-4246D5FEBBEB}" name="Charon" totalsRowFunction="custom">
      <totalsRowFormula>COUNTIF(Table35[Charon],"x")</totalsRowFormula>
    </tableColumn>
    <tableColumn id="91" xr3:uid="{2052CB8D-A8E6-4F80-99A3-35ADF49A6A88}" name="Argon" totalsRowFunction="custom">
      <totalsRowFormula>COUNTIF(Table35[Argon],"x")</totalsRowFormula>
    </tableColumn>
    <tableColumn id="178" xr3:uid="{7A95DD3F-EFA9-411E-8EA4-A0F5A3607333}" name="Architect" totalsRowFunction="custom">
      <totalsRowFormula>COUNTIF(Table35[Architect],"x")</totalsRowFormula>
    </tableColumn>
    <tableColumn id="69" xr3:uid="{DBF57C86-FBE9-43FE-9AFA-6BDA5E692C4C}" name="Helm" totalsRowFunction="custom">
      <totalsRowFormula>COUNTIF(Table35[Helm],"x")</totalsRowFormula>
    </tableColumn>
    <tableColumn id="86" xr3:uid="{5E8BDBEC-D52D-425E-B5A5-9E22E0E00DA3}" name="Octopus Deploy" totalsRowFunction="custom">
      <totalsRowFormula>COUNTIF(Table35[Octopus Deploy],"x")</totalsRowFormula>
    </tableColumn>
    <tableColumn id="72" xr3:uid="{D92F13CA-CBEF-4BC6-92CB-0BA70D4719D0}" name="EC2 Image builder" totalsRowFunction="custom">
      <totalsRowFormula>COUNTIF(Table35[EC2 Image builder],"x")</totalsRowFormula>
    </tableColumn>
    <tableColumn id="45" xr3:uid="{92825A7B-CF05-4685-ABFC-A0025B4786AD}" name="Otter" totalsRowFunction="custom" dataDxfId="210">
      <totalsRowFormula>COUNTIF(Table35[Otter],"x")</totalsRowFormula>
    </tableColumn>
    <tableColumn id="52" xr3:uid="{3E52B315-E402-4979-B25D-3C5B942C9D6C}" name="AWS Config" totalsRowFunction="custom">
      <totalsRowFormula>COUNTIF(Table35[AWS Config],"x")</totalsRowFormula>
    </tableColumn>
    <tableColumn id="199" xr3:uid="{EE55F605-7EA4-4F0D-9DEE-462363E56115}" name="Microsoft Azure Automation" totalsRowFunction="custom">
      <totalsRowFormula>COUNTIF(Table35[Microsoft Azure Automation],"x")</totalsRowFormula>
    </tableColumn>
    <tableColumn id="120" xr3:uid="{A4736224-711F-4ED3-9E5B-F9C4A2352288}" name="Rudder" totalsRowFunction="custom">
      <totalsRowFormula>COUNTIF(Table35[Rudder],"x")</totalsRowFormula>
    </tableColumn>
    <tableColumn id="25" xr3:uid="{14A92C98-8D4D-40CB-87CF-E9BB1C837E13}" name="Marathon/Mesos" totalsRowFunction="custom">
      <totalsRowFormula>COUNTIF(Table35[Marathon/Mesos],"x")</totalsRowFormula>
    </tableColumn>
    <tableColumn id="26" xr3:uid="{3EEC0CA5-0297-4C44-958E-F0F77421CEEE}" name="Amazon ECS" totalsRowFunction="custom">
      <totalsRowFormula>COUNTIF(Table35[Amazon ECS],"x")</totalsRowFormula>
    </tableColumn>
    <tableColumn id="29" xr3:uid="{2D314833-7506-4BAA-B28D-957EAE04C686}" name="OpenShift" totalsRowFunction="custom">
      <totalsRowFormula>COUNTIF(Table35[OpenShift],"x")</totalsRowFormula>
    </tableColumn>
    <tableColumn id="80" xr3:uid="{039B32BE-5592-4581-8DAD-29CA5AC32240}" name="AWS AppRunner" totalsRowFunction="custom">
      <totalsRowFormula>COUNTIF(Table35[AWS AppRunner],"x")</totalsRowFormula>
    </tableColumn>
    <tableColumn id="64" xr3:uid="{69C46A90-C9C5-4055-86FB-27ABC3FF9858}" name="CloudShell Colony" totalsRowFunction="custom">
      <totalsRowFormula>COUNTIF(Table35[CloudShell Colony],"x")</totalsRowFormula>
    </tableColumn>
    <tableColumn id="83" xr3:uid="{78FD03D3-E793-4646-9D85-BAC9C788DD02}" name="TOSCA" totalsRowFunction="custom">
      <totalsRowFormula>COUNTIF(Table35[TOSCA],"x")</totalsRowFormula>
    </tableColumn>
    <tableColumn id="96" xr3:uid="{1FA7D084-93C6-4A58-9C59-5E04D65EFA9B}" name="IBM Tivoli System Automation" totalsRowFunction="custom">
      <totalsRowFormula>COUNTIF(Table35[IBM Tivoli System Automation],"x")</totalsRowFormula>
    </tableColumn>
    <tableColumn id="107" xr3:uid="{FC989FA2-4CB9-45F9-B674-DE4F19D24AE3}" name="Google Cloud Run" totalsRowFunction="custom">
      <totalsRowFormula>COUNTIF(Table35[Google Cloud Run],"x")</totalsRowFormula>
    </tableColumn>
    <tableColumn id="108" xr3:uid="{038A9502-3383-4949-9913-4F1793953823}" name="Portainer" totalsRowFunction="custom">
      <totalsRowFormula>COUNTIF(Table35[Portainer],"x")</totalsRowFormula>
    </tableColumn>
    <tableColumn id="112" xr3:uid="{275789AC-3948-45B2-B161-9C519F0CDE26}" name="Azure Service Fabric" totalsRowFunction="custom">
      <totalsRowFormula>COUNTIF(Table35[Azure Service Fabric],"x")</totalsRowFormula>
    </tableColumn>
    <tableColumn id="206" xr3:uid="{1365888E-052F-4C2A-8E16-BA22A9E44CED}" name="Spot Ocean" totalsRowFunction="custom">
      <totalsRowFormula>COUNTIF(Table35[Spot Ocean],"x")</totalsRowFormula>
    </tableColumn>
    <tableColumn id="218" xr3:uid="{06245B07-8861-4409-BBE7-4A5715328DFC}" name="AWS Elastic Beanstalk" totalsRowFunction="custom">
      <totalsRowFormula>COUNTIF(Table35[AWS Elastic Beanstalk],"x")</totalsRowFormula>
    </tableColumn>
    <tableColumn id="226" xr3:uid="{1429FB76-3AB5-424D-8D27-390F91A00E48}" name="Heroku" totalsRowFunction="custom">
      <totalsRowFormula>COUNTIF(Table35[Azure CLI],"x")</totalsRowFormula>
    </tableColumn>
    <tableColumn id="81" xr3:uid="{7FFAB93C-59F4-4F3B-9BED-9C17A27B3DBA}" name="PowerShell" totalsRowFunction="custom">
      <totalsRowFormula>COUNTIF(Table35[PowerShell],"x")</totalsRowFormula>
    </tableColumn>
    <tableColumn id="84" xr3:uid="{8FDCC933-1F38-46F2-87CB-958A297C877F}" name="Shell" totalsRowFunction="custom">
      <totalsRowFormula>COUNTIF(Table35[Shell],"x")</totalsRowFormula>
    </tableColumn>
    <tableColumn id="67" xr3:uid="{E78C0D45-F5DF-4E15-9A19-E06AD560F702}" name="AWS Amplify" totalsRowFunction="custom">
      <totalsRowFormula>COUNTIF(Table35[AWS Amplify],"x")</totalsRowFormula>
    </tableColumn>
    <tableColumn id="56" xr3:uid="{07A02555-B93F-4411-942C-63455A21360A}" name="Quali Torque" totalsRowFunction="custom">
      <totalsRowFormula>COUNTIF(Table35[Quali Torque],"x")</totalsRowFormula>
    </tableColumn>
    <tableColumn id="40" xr3:uid="{ABB29E94-56F2-4D97-A9E8-6609F6719F7F}" name="Crossplane" totalsRowFunction="custom">
      <totalsRowFormula>COUNTIF(Table35[Crossplane],"x")</totalsRowFormula>
    </tableColumn>
    <tableColumn id="50" xr3:uid="{422AFB1E-2334-4651-942F-38F066302F2E}" name="Juju" totalsRowFunction="custom">
      <totalsRowFormula>COUNTIF(Table35[Juju],"x")</totalsRowFormula>
    </tableColumn>
    <tableColumn id="51" xr3:uid="{24385325-9435-46AC-965B-491A2DBFFED2}" name="Pallet" totalsRowFunction="custom">
      <totalsRowFormula>COUNTIF(Table35[Pallet],"x")</totalsRowFormula>
    </tableColumn>
    <tableColumn id="94" xr3:uid="{01E9FF9B-0E6A-486A-950B-972EA851DDE2}" name="Foreman" totalsRowFunction="custom">
      <totalsRowFormula>COUNTIF(Table35[Foreman],"x")</totalsRowFormula>
    </tableColumn>
    <tableColumn id="95" xr3:uid="{151319C0-58C8-4DC7-8E56-72CA50462CE2}" name="Omnia" totalsRowFunction="custom">
      <totalsRowFormula>COUNTIF(Table35[Omnia],"x")</totalsRowFormula>
    </tableColumn>
    <tableColumn id="198" xr3:uid="{91B13B3E-91FE-47E8-B9BD-59D6D093138C}" name="VMware vRealize Automation" totalsRowFunction="custom">
      <totalsRowFormula>COUNTIF(Table35[VMware vRealize Automation],"x")</totalsRowFormula>
    </tableColumn>
    <tableColumn id="201" xr3:uid="{05716433-7E0F-4062-8162-88222D8240A2}" name="IBM Cloud Schematics" totalsRowFunction="custom">
      <totalsRowFormula>COUNTIF(Table35[IBM Cloud Schematics],"x")</totalsRowFormula>
    </tableColumn>
    <tableColumn id="222" xr3:uid="{3BEB12EE-CEA1-4C21-9A3E-532A1F7F24BB}" name="AWS CLI" totalsRowFunction="custom">
      <totalsRowFormula>COUNTIF(Table35[AWS CLI],"x")</totalsRowFormula>
    </tableColumn>
    <tableColumn id="223" xr3:uid="{0D8E2A35-5C1F-4D3B-B223-64883E9E272B}" name="Azure CLI" totalsRowFunction="custom">
      <totalsRowFormula>COUNTIF(Table35[Azure CLI],"x")</totalsRowFormula>
    </tableColumn>
    <tableColumn id="71" xr3:uid="{FE83F669-D1D9-4677-AF3E-EB6814AAB435}" name="HPE Synergy" totalsRowFunction="custom">
      <totalsRowFormula>COUNTIF(Table35[HPE Synergy],"x")</totalsRowFormula>
    </tableColumn>
    <tableColumn id="90" xr3:uid="{94FD0585-C9D6-4181-92F9-DDEBC05A4330}" name="ABS Modeling Language" totalsRowFunction="custom">
      <totalsRowFormula>COUNTIF(Table35[ABS Modeling Language],"x")</totalsRowFormula>
    </tableColumn>
    <tableColumn id="111" xr3:uid="{45760DD7-7E36-4677-BFEF-C74CCF2904CE}" name="Helios" totalsRowFunction="custom">
      <totalsRowFormula>COUNTIF(Table35[Helios],"x")</totalsRowFormula>
    </tableColumn>
    <tableColumn id="42" xr3:uid="{EF62C242-4B2F-4AF3-A06B-7B31356D2D19}" name="SpectralOps" totalsRowFunction="custom">
      <totalsRowFormula>COUNTIF(Table35[SpectralOps],"x")</totalsRowFormula>
    </tableColumn>
    <tableColumn id="55" xr3:uid="{7D08D779-5559-4E5C-B81F-2150EEAE79E8}" name="Sonatype Nexus" totalsRowFunction="custom">
      <totalsRowFormula>COUNTIF(Table35[Sonatype Nexus],"x")</totalsRowFormula>
    </tableColumn>
    <tableColumn id="57" xr3:uid="{DDBECF20-85F9-4CB7-B286-2528EF4B9C30}" name="env0" totalsRowFunction="custom">
      <totalsRowFormula>COUNTIF(Table35[env0],"x")</totalsRowFormula>
    </tableColumn>
    <tableColumn id="58" xr3:uid="{B6248F58-B43C-4576-A346-AE2F1C99E812}" name="oak9" totalsRowFunction="custom">
      <totalsRowFormula>COUNTIF(Table35[oak9],"x")</totalsRowFormula>
    </tableColumn>
    <tableColumn id="59" xr3:uid="{DAA79494-4142-494D-ADBC-F4B40B14F655}" name="Spacelift" totalsRowFunction="custom">
      <totalsRowFormula>COUNTIF(Table35[Spacelift],"x")</totalsRowFormula>
    </tableColumn>
    <tableColumn id="61" xr3:uid="{939389B0-30D5-4C4C-A661-2450F60CADCA}" name="Conducto" totalsRowFunction="custom">
      <totalsRowFormula>COUNTIF(Table35[Conducto],"x")</totalsRowFormula>
    </tableColumn>
    <tableColumn id="62" xr3:uid="{5C35FC52-2494-42A2-830E-2F9756BDA6D4}" name="Jenkins" totalsRowFunction="custom">
      <totalsRowFormula>COUNTIF(Table35[Jenkins],"x")</totalsRowFormula>
    </tableColumn>
    <tableColumn id="63" xr3:uid="{021A06E7-CF4C-4313-86C4-68F0FF38D6C3}" name="rkt" totalsRowFunction="custom">
      <totalsRowFormula>COUNTIF(Table35[rkt],"x")</totalsRowFormula>
    </tableColumn>
    <tableColumn id="70" xr3:uid="{9D8DFD9C-69C6-4F63-B1B4-5BA466E1D7E8}" name="App Container Spec (appc)" totalsRowFunction="custom">
      <totalsRowFormula>COUNTIF(Table35[App Container Spec (appc)],"x")</totalsRowFormula>
    </tableColumn>
    <tableColumn id="75" xr3:uid="{3E45DD80-83E3-4996-B45D-33C6594D6D19}" name="Git" totalsRowFunction="custom">
      <totalsRowFormula>COUNTIF(Table35[Git],"x")</totalsRowFormula>
    </tableColumn>
    <tableColumn id="76" xr3:uid="{3E82313E-6ECB-45B2-A726-23B0919888B8}" name="Splunk" totalsRowFunction="custom">
      <totalsRowFormula>COUNTIF(Table35[Splunk],"x")</totalsRowFormula>
    </tableColumn>
    <tableColumn id="77" xr3:uid="{BCA44E18-F070-4159-8448-CCCCC2173238}" name="Selenium" totalsRowFunction="custom">
      <totalsRowFormula>COUNTIF(Table35[Selenium],"x")</totalsRowFormula>
    </tableColumn>
    <tableColumn id="87" xr3:uid="{8A88333A-FB06-4BEB-B794-D6E96CB38AEB}" name="Azure DevOps" totalsRowFunction="custom">
      <totalsRowFormula>COUNTIF(Table35[Azure DevOps],"x")</totalsRowFormula>
    </tableColumn>
    <tableColumn id="92" xr3:uid="{786D146F-5FE0-43CC-9CE3-DC1D044EDEFF}" name="Config ValidLang" totalsRowFunction="custom">
      <totalsRowFormula>COUNTIF(Table35[Config ValidLang],"x")</totalsRowFormula>
    </tableColumn>
    <tableColumn id="98" xr3:uid="{6994F6B5-BB72-42DC-81A3-A6AB36CEA7AD}" name="Rancher" totalsRowFunction="custom">
      <totalsRowFormula>COUNTIF(Table35[Rancher],"x")</totalsRowFormula>
    </tableColumn>
    <tableColumn id="99" xr3:uid="{AC9C63FE-51F6-4F00-ADCB-6052B3334E75}" name="Containership" totalsRowFunction="custom">
      <totalsRowFormula>COUNTIF(Table35[Containership],"x")</totalsRowFormula>
    </tableColumn>
    <tableColumn id="100" xr3:uid="{68EB0D08-B872-4FDD-A9F3-977EFDE28C17}" name="AZK" totalsRowFunction="custom">
      <totalsRowFormula>COUNTIF(Table35[AZK],"x")</totalsRowFormula>
    </tableColumn>
    <tableColumn id="101" xr3:uid="{45C881C4-89C1-4211-A66F-512670076E83}" name="GKE" totalsRowFunction="custom">
      <totalsRowFormula>COUNTIF(Table35[GKE],"x")</totalsRowFormula>
    </tableColumn>
    <tableColumn id="102" xr3:uid="{6407A75F-A659-4A67-A23D-CBFEB60E840E}" name="AKS" totalsRowFunction="custom">
      <totalsRowFormula>COUNTIF(Table35[AKS],"x")</totalsRowFormula>
    </tableColumn>
    <tableColumn id="103" xr3:uid="{C9750D98-5B99-445A-AD93-387F4CC9FCBD}" name="AWS EKS" totalsRowFunction="custom">
      <totalsRowFormula>COUNTIF(Table35[AWS EKS],"x")</totalsRowFormula>
    </tableColumn>
    <tableColumn id="105" xr3:uid="{E70E1773-D69D-4B60-89A7-D32EBD92AEF0}" name="Digital Ocean Kubernetes Services" totalsRowFunction="custom">
      <totalsRowFormula>COUNTIF(Table35[Digital Ocean Kubernetes Services],"x")</totalsRowFormula>
    </tableColumn>
    <tableColumn id="106" xr3:uid="{D6050A81-B630-4408-B949-AC18C2AB6E08}" name="Linode" totalsRowFunction="custom">
      <totalsRowFormula>COUNTIF(Table35[Linode],"x")</totalsRowFormula>
    </tableColumn>
    <tableColumn id="109" xr3:uid="{62B9C677-519C-48CA-943A-543A4D3CA724}" name="Mirantis Kubernetes Engine" totalsRowFunction="custom">
      <totalsRowFormula>COUNTIF(Table35[Mirantis Kubernetes Engine],"x")</totalsRowFormula>
    </tableColumn>
    <tableColumn id="113" xr3:uid="{169A286C-B2B4-404D-AF12-99CA1DE7889C}" name="IBM Cloud Kubernetes" totalsRowFunction="custom">
      <totalsRowFormula>COUNTIF(Table35[IBM Cloud Kubernetes],"x")</totalsRowFormula>
    </tableColumn>
    <tableColumn id="114" xr3:uid="{95659619-3469-4F3C-9EBB-2E977E55FB11}" name="IBM Orchestrator Platform" totalsRowFunction="custom">
      <totalsRowFormula>COUNTIF(Table35[IBM Orchestrator Platform],"x")</totalsRowFormula>
    </tableColumn>
    <tableColumn id="116" xr3:uid="{6968A2B5-F3E7-43BD-BB15-2373B91E710D}" name="Azure Resource Explorer" totalsRowFunction="custom">
      <totalsRowFormula>COUNTIF(Table35[Azure Resource Explorer],"x")</totalsRowFormula>
    </tableColumn>
    <tableColumn id="118" xr3:uid="{23EC4856-9D28-43E9-B615-5C749269E2EC}" name="SolarWinds Server Configuration Monitor" totalsRowFunction="custom">
      <totalsRowFormula>COUNTIF(Table35[SolarWinds Server Configuration Monitor],"x")</totalsRowFormula>
    </tableColumn>
    <tableColumn id="119" xr3:uid="{646FDFED-AC95-4DB4-920E-E8E7B87A80B1}" name="Auvik" totalsRowFunction="custom">
      <totalsRowFormula>COUNTIF(Table35[Auvik],"x")</totalsRowFormula>
    </tableColumn>
    <tableColumn id="121" xr3:uid="{62BD2F8C-AAFC-404C-A73B-EB3EA04D83BC}" name="Bamboo Configuration Management" totalsRowFunction="custom">
      <totalsRowFormula>COUNTIF(Table35[Bamboo Configuration Management],"x")</totalsRowFormula>
    </tableColumn>
    <tableColumn id="122" xr3:uid="{35631F0E-600F-469B-9F5F-B9651461EF0B}" name="TeamCity Configuration Tool" totalsRowFunction="custom">
      <totalsRowFormula>COUNTIF(Table35[TeamCity Configuration Tool],"x")</totalsRowFormula>
    </tableColumn>
    <tableColumn id="124" xr3:uid="{A07381B0-48B4-4323-BD9B-DF9D8BC80F28}" name="IBM Rational Team Concert" totalsRowFunction="custom">
      <totalsRowFormula>COUNTIF(Table35[IBM Rational Team Concert],"x")</totalsRowFormula>
    </tableColumn>
    <tableColumn id="128" xr3:uid="{6EDC0D72-FF8F-43A2-B728-082828456A76}" name="SVN" totalsRowFunction="custom">
      <totalsRowFormula>COUNTIF(Table35[SVN],"x")</totalsRowFormula>
    </tableColumn>
    <tableColumn id="150" xr3:uid="{0DE7DDAD-7DEF-41BF-B84B-EF282A1AED4C}" name="GitHub" totalsRowFunction="custom">
      <totalsRowFormula>COUNTIF(Table35[GitHub],"x")</totalsRowFormula>
    </tableColumn>
    <tableColumn id="180" xr3:uid="{D2122B6A-1225-4615-B8A2-41403DA202BE}" name="Circle CI" totalsRowFunction="custom">
      <totalsRowFormula>COUNTIF(Table35[Circle CI],"x")</totalsRowFormula>
    </tableColumn>
    <tableColumn id="181" xr3:uid="{BAD913AA-EBDF-469F-BA36-7A8A447B19F1}" name="GitLab CI" totalsRowFunction="custom">
      <totalsRowFormula>COUNTIF(Table35[GitLab CI],"x")</totalsRowFormula>
    </tableColumn>
    <tableColumn id="182" xr3:uid="{15130B9F-39A6-4A0E-989C-03E47131E643}" name="GitLab" totalsRowFunction="custom">
      <totalsRowFormula>COUNTIF(Table35[GitLab],"x")</totalsRowFormula>
    </tableColumn>
    <tableColumn id="183" xr3:uid="{1B4DD38A-4268-4BBB-9857-757834F50F19}" name="Bitbucket" totalsRowFunction="custom">
      <totalsRowFormula>COUNTIF(Table35[Bitbucket],"x")</totalsRowFormula>
    </tableColumn>
    <tableColumn id="125" xr3:uid="{25CA3642-EBC3-4FBC-9475-2BB316500E1E}" name="ConfigHub" totalsRowFunction="custom">
      <totalsRowFormula>COUNTIF(Table35[ConfigHub],"x")</totalsRowFormula>
    </tableColumn>
    <tableColumn id="126" xr3:uid="{1D342A12-705D-4B17-B57F-4A5F2ECD93E5}" name="ButterCMS" totalsRowFunction="custom">
      <totalsRowFormula>COUNTIF(Table35[ButterCMS],"x")</totalsRowFormula>
    </tableColumn>
    <tableColumn id="127" xr3:uid="{32EE5AFF-3511-4063-AB74-8320C2B0FFDF}" name="AWS OpsWorks" totalsRowFunction="custom">
      <totalsRowFormula>COUNTIF(Table35[AWS OpsWorks],"x")</totalsRowFormula>
    </tableColumn>
    <tableColumn id="129" xr3:uid="{1ACD10F7-4A94-46FE-AF14-30B3BF5AD9B1}" name="IBM Rational Clearcase" totalsRowFunction="custom">
      <totalsRowFormula>COUNTIF(Table35[IBM Rational Clearcase],"x")</totalsRowFormula>
    </tableColumn>
    <tableColumn id="130" xr3:uid="{677962D9-D25F-4074-A8D1-F823832ECE6F}" name="Concurrent Version System" totalsRowFunction="custom">
      <totalsRowFormula>COUNTIF(Table35[Concurrent Version System],"x")</totalsRowFormula>
    </tableColumn>
    <tableColumn id="131" xr3:uid="{9C0F4837-BBA8-4337-BD1D-6839ED8EA444}" name="Borland StarTeam" totalsRowFunction="custom">
      <totalsRowFormula>COUNTIF(Table35[Borland StarTeam],"x")</totalsRowFormula>
    </tableColumn>
    <tableColumn id="133" xr3:uid="{0D142EDD-2870-4F8B-9FA2-E89321D0A375}" name="Alibaba Application Configuration Management" totalsRowFunction="custom">
      <totalsRowFormula>COUNTIF(Table35[Alibaba Application Configuration Management],"x")</totalsRowFormula>
    </tableColumn>
    <tableColumn id="134" xr3:uid="{272F1A11-A246-4866-92E5-F1DB0AE40B42}" name="ManageEngine ServiceDesk Plus" totalsRowFunction="custom">
      <totalsRowFormula>COUNTIF(Table35[ManageEngine ServiceDesk Plus],"x")</totalsRowFormula>
    </tableColumn>
    <tableColumn id="135" xr3:uid="{3B3DAB71-6BE3-4624-BD45-E46993AEE8C0}" name="Micro Focus Configuration Management System" totalsRowFunction="custom">
      <totalsRowFormula>COUNTIF(Table35[Micro Focus Configuration Management System],"x")</totalsRowFormula>
    </tableColumn>
    <tableColumn id="136" xr3:uid="{483164B7-D37F-4668-A407-D202CF9AD4F7}" name="SysAid" totalsRowFunction="custom">
      <totalsRowFormula>COUNTIF(Table35[SysAid],"x")</totalsRowFormula>
    </tableColumn>
    <tableColumn id="137" xr3:uid="{0D9784C6-FE5B-4284-96F6-8B832CFDD994}" name="Comindware" totalsRowFunction="custom">
      <totalsRowFormula>COUNTIF(Table35[Comindware],"x")</totalsRowFormula>
    </tableColumn>
    <tableColumn id="140" xr3:uid="{E8F6001A-D359-4261-80FC-F16FBD3EDCFE}" name="Desktop Central" totalsRowFunction="custom">
      <totalsRowFormula>COUNTIF(Table35[Desktop Central],"x")</totalsRowFormula>
    </tableColumn>
    <tableColumn id="141" xr3:uid="{EBF990F0-A29E-457D-B621-2A79C2DE53E1}" name="Spinnaker" totalsRowFunction="custom">
      <totalsRowFormula>COUNTIF(Table35[Spinnaker],"x")</totalsRowFormula>
    </tableColumn>
    <tableColumn id="142" xr3:uid="{1C0AC482-6CC1-455B-A6C5-7270FD6D4D22}" name="ZENworks Configuration Management" totalsRowFunction="custom">
      <totalsRowFormula>COUNTIF(Table35[ZENworks Configuration Management],"x")</totalsRowFormula>
    </tableColumn>
    <tableColumn id="143" xr3:uid="{9D8FF3BC-2B06-48B5-B876-944A5DE9EB35}" name="HCL BigFix" totalsRowFunction="custom">
      <totalsRowFormula>COUNTIF(Table35[HCL BigFix],"x")</totalsRowFormula>
    </tableColumn>
    <tableColumn id="144" xr3:uid="{006EF939-72C7-4812-8D15-1381E54B5B7C}" name="BMC TrueSight Server Automation" totalsRowFunction="custom">
      <totalsRowFormula>COUNTIF(Table35[BMC TrueSight Server Automation],"x")</totalsRowFormula>
    </tableColumn>
    <tableColumn id="145" xr3:uid="{FD024568-4E55-4ADA-AC04-C1BEDBEAF462}" name="Quest KACE Systemverwaltung" totalsRowFunction="custom">
      <totalsRowFormula>COUNTIF(Table35[Quest KACE Systemverwaltung],"x")</totalsRowFormula>
    </tableColumn>
    <tableColumn id="146" xr3:uid="{A89A3125-9AA7-4DDF-8576-EF4F0BF720CD}" name="Red Hat Satellite" totalsRowFunction="custom">
      <totalsRowFormula>COUNTIF(Table35[Red Hat Satellite],"x")</totalsRowFormula>
    </tableColumn>
    <tableColumn id="149" xr3:uid="{A43C87C6-E764-45F5-9835-84F5150BFB06}" name="Microsoft Endpoint Manager (formerly known as SCCM)" totalsRowFunction="custom">
      <totalsRowFormula>COUNTIF(Table35[Microsoft Endpoint Manager (formerly known as SCCM)],"x")</totalsRowFormula>
    </tableColumn>
    <tableColumn id="148" xr3:uid="{505A191F-CB67-4E9F-9E6A-1BD63EE1B687}" name="vCenter Configuration Manager" totalsRowFunction="custom">
      <totalsRowFormula>COUNTIF(Table35[vCenter Configuration Manager],"x")</totalsRowFormula>
    </tableColumn>
    <tableColumn id="151" xr3:uid="{227C2084-A243-4083-A219-53B734A01E16}" name="CloudBees CI" totalsRowFunction="custom">
      <totalsRowFormula>COUNTIF(Table35[CloudBees CI],"x")</totalsRowFormula>
    </tableColumn>
    <tableColumn id="152" xr3:uid="{0D1DE7C3-E6E7-4693-9227-B0DBA2942ACD}" name="ServiceNow" totalsRowFunction="custom">
      <totalsRowFormula>COUNTIF(Table35[ServiceNow],"x")</totalsRowFormula>
    </tableColumn>
    <tableColumn id="153" xr3:uid="{0810EF4A-846B-41B4-B22A-68846CA6C19B}" name="Codenvy" totalsRowFunction="custom">
      <totalsRowFormula>COUNTIF(Table35[Codenvy],"x")</totalsRowFormula>
    </tableColumn>
    <tableColumn id="154" xr3:uid="{5058F1A2-C61A-4693-BC92-68835E990ADE}" name="AWS CodePipeline" totalsRowFunction="custom">
      <totalsRowFormula>COUNTIF(Table35[AWS CodePipeline],"x")</totalsRowFormula>
    </tableColumn>
    <tableColumn id="155" xr3:uid="{09FF0F44-6E5F-401A-8F2A-27E1108884B4}" name="Opsera" totalsRowFunction="custom">
      <totalsRowFormula>COUNTIF(Table35[Opsera],"x")</totalsRowFormula>
    </tableColumn>
    <tableColumn id="156" xr3:uid="{6C72158D-F070-4390-B645-4023E03A05BF}" name="Micro Focus AccuRev" totalsRowFunction="custom">
      <totalsRowFormula>COUNTIF(Table35[Micro Focus AccuRev],"x")</totalsRowFormula>
    </tableColumn>
    <tableColumn id="157" xr3:uid="{C60A6D60-9E2C-488D-95BD-5B3274903DDE}" name="Strongpoint" totalsRowFunction="custom">
      <totalsRowFormula>COUNTIF(Table35[Strongpoint],"x")</totalsRowFormula>
    </tableColumn>
    <tableColumn id="158" xr3:uid="{A9965CA0-FED9-4392-B9C3-D1BEFE12ED6D}" name="BackBox" totalsRowFunction="custom">
      <totalsRowFormula>COUNTIF(Table35[BackBox],"x")</totalsRowFormula>
    </tableColumn>
    <tableColumn id="159" xr3:uid="{9A6669D9-44B1-4FF0-B743-684D29A59B4C}" name="Optimizely Web Experimentation" totalsRowFunction="custom">
      <totalsRowFormula>COUNTIF(Table35[Optimizely Web Experimentation],"x")</totalsRowFormula>
    </tableColumn>
    <tableColumn id="160" xr3:uid="{2F895A43-F67F-419C-BAF1-1CADD5AA8509}" name="ConfigCat" totalsRowFunction="custom">
      <totalsRowFormula>COUNTIF(Table35[ConfigCat],"x")</totalsRowFormula>
    </tableColumn>
    <tableColumn id="161" xr3:uid="{6C4ED0A7-AF5F-4BA7-97A1-19FFAD687CA9}" name="Split" totalsRowFunction="custom">
      <totalsRowFormula>COUNTIF(Table35[Split],"x")</totalsRowFormula>
    </tableColumn>
    <tableColumn id="162" xr3:uid="{AF0FF25C-16ED-4A57-9B7C-75E769EF777C}" name="CA Harvest Software Change Manager" totalsRowFunction="custom">
      <totalsRowFormula>COUNTIF(Table35[CA Harvest Software Change Manager],"x")</totalsRowFormula>
    </tableColumn>
    <tableColumn id="163" xr3:uid="{C11DD2A6-1B14-4760-9942-A10798F765C5}" name="Fugue" totalsRowFunction="custom">
      <totalsRowFormula>COUNTIF(Table35[Fugue],"x")</totalsRowFormula>
    </tableColumn>
    <tableColumn id="164" xr3:uid="{B9BBF0AB-8321-4213-B831-30067BB9B4F4}" name="Digital.ai Deploy" totalsRowFunction="custom">
      <totalsRowFormula>COUNTIF(Table35[Digital.ai Deploy],"x")</totalsRowFormula>
    </tableColumn>
    <tableColumn id="165" xr3:uid="{80781FE4-E6FA-49B3-B265-908FE7BC51F1}" name="CA Endevor" totalsRowFunction="custom">
      <totalsRowFormula>COUNTIF(Table35[CA Endevor],"x")</totalsRowFormula>
    </tableColumn>
    <tableColumn id="167" xr3:uid="{B71E9D9B-01EC-4852-9421-3B5EEDA033BA}" name="Kamatera" totalsRowFunction="custom">
      <totalsRowFormula>COUNTIF(Table35[Kamatera],"x")</totalsRowFormula>
    </tableColumn>
    <tableColumn id="171" xr3:uid="{AE9B2917-EA2A-456E-B64C-ABCCC222C4C8}" name="IBM Rational Synergy" totalsRowFunction="custom">
      <totalsRowFormula>COUNTIF(Table35[IBM Rational Synergy],"x")</totalsRowFormula>
    </tableColumn>
    <tableColumn id="172" xr3:uid="{DDA94783-7FD5-438A-B6D6-33B212FBCD72}" name="Plastic SCM" totalsRowFunction="custom">
      <totalsRowFormula>COUNTIF(Table35[Plastic SCM],"x")</totalsRowFormula>
    </tableColumn>
    <tableColumn id="173" xr3:uid="{2CA06966-4B55-4D08-B5FB-10E215A3CB38}" name="IBM Rational ClearQuest" totalsRowFunction="custom">
      <totalsRowFormula>COUNTIF(Table35[IBM Rational ClearQuest],"x")</totalsRowFormula>
    </tableColumn>
    <tableColumn id="174" xr3:uid="{4BD2CFBA-135B-43FD-BC08-6B46384B37D4}" name="Surround SCM" totalsRowFunction="custom">
      <totalsRowFormula>COUNTIF(Table35[Surround SCM],"x")</totalsRowFormula>
    </tableColumn>
    <tableColumn id="175" xr3:uid="{EEB3992C-59B1-462D-83EA-CF99FF6D902B}" name="IBM Cloud Continuous Delivery" totalsRowFunction="custom">
      <totalsRowFormula>COUNTIF(Table35[IBM Cloud Continuous Delivery],"x")</totalsRowFormula>
    </tableColumn>
    <tableColumn id="176" xr3:uid="{6CB307AD-D13A-4D15-930D-9C3D8AB30297}" name="ChangeMan ZMF" totalsRowFunction="custom">
      <totalsRowFormula>COUNTIF(Table35[ChangeMan ZMF],"x")</totalsRowFormula>
    </tableColumn>
    <tableColumn id="219" xr3:uid="{264B19B4-CA1D-4CDC-ACBB-38DB3312A9FB}" name="GitHub Actions" totalsRowFunction="custom">
      <totalsRowFormula>COUNTIF(Table35[GitHub Actions],"x")</totalsRowFormula>
    </tableColumn>
    <tableColumn id="179" xr3:uid="{290D0AC6-3553-4E55-B75B-DA8DA4580248}" name="Claudia.js" totalsRowFunction="custom">
      <totalsRowFormula>COUNTIF(Table35[Claudia.js],"x")</totalsRowFormula>
    </tableColumn>
    <tableColumn id="184" xr3:uid="{AA9DB457-18B3-4031-B7A8-8D6DA6883A39}" name="IBM UrbanCode Deploy" totalsRowFunction="custom">
      <totalsRowFormula>COUNTIF(Table35[IBM UrbanCode Deploy],"x")</totalsRowFormula>
    </tableColumn>
    <tableColumn id="185" xr3:uid="{33D73682-E1D4-44CA-8DD5-C74ADCFA87E4}" name="SpiraTeam" totalsRowFunction="custom">
      <totalsRowFormula>COUNTIF(Table35[SpiraTeam],"x")</totalsRowFormula>
    </tableColumn>
    <tableColumn id="186" xr3:uid="{A09FCC19-328F-4108-AF6D-A68DC2EB905B}" name="Microsoft Operations Management Suite" totalsRowFunction="custom">
      <totalsRowFormula>COUNTIF(Table35[Microsoft Operations Management Suite],"x")</totalsRowFormula>
    </tableColumn>
    <tableColumn id="187" xr3:uid="{67A6D7AB-A6C3-45C2-8E57-9A36EC30C232}" name="CollabNet Subversion" totalsRowFunction="custom">
      <totalsRowFormula>COUNTIF(Table35[CollabNet Subversion],"x")</totalsRowFormula>
    </tableColumn>
    <tableColumn id="188" xr3:uid="{2EF0163E-759F-41DC-9E45-C47313F5ED0E}" name="Perforce Helix" totalsRowFunction="custom">
      <totalsRowFormula>COUNTIF(Table35[Perforce Helix],"x")</totalsRowFormula>
    </tableColumn>
    <tableColumn id="189" xr3:uid="{F8C80347-DA1C-4BBE-8523-8DE9FEC86CD9}" name="Microsoft Visual Studio Team System" totalsRowFunction="custom">
      <totalsRowFormula>COUNTIF(Table35[Microsoft Visual Studio Team System],"x")</totalsRowFormula>
    </tableColumn>
    <tableColumn id="191" xr3:uid="{0B476471-DB1C-4B79-8D3C-EEB340A3EAFA}" name="IBM Interactive System Productivity Facility" totalsRowFunction="custom">
      <totalsRowFormula>COUNTIF(Table35[IBM Interactive System Productivity Facility],"x")</totalsRowFormula>
    </tableColumn>
    <tableColumn id="193" xr3:uid="{0071A30B-1EDF-47F8-A2B4-B810D716767E}" name="Aiden" totalsRowFunction="custom">
      <totalsRowFormula>COUNTIF(Table35[Aiden],"x")</totalsRowFormula>
    </tableColumn>
    <tableColumn id="194" xr3:uid="{A0AA169F-E741-4873-978C-8FAF8989D22F}" name="Orca" totalsRowFunction="custom">
      <totalsRowFormula>COUNTIF(Table35[Orca],"x")</totalsRowFormula>
    </tableColumn>
    <tableColumn id="195" xr3:uid="{3E05F3BF-8140-4E66-B653-DCD524C7B235}" name="DuploClud" totalsRowFunction="custom">
      <totalsRowFormula>COUNTIF(Table35[DuploClud],"x")</totalsRowFormula>
    </tableColumn>
    <tableColumn id="196" xr3:uid="{726A38A9-7496-43FD-B6D8-6B16A3726A14}" name="HCL Launch" totalsRowFunction="custom">
      <totalsRowFormula>COUNTIF(Table35[HCL Launch],"x")</totalsRowFormula>
    </tableColumn>
    <tableColumn id="197" xr3:uid="{6EE21CB0-3094-41E7-AA6A-38889F085E63}" name="Nirmata Policy Manager" totalsRowFunction="custom">
      <totalsRowFormula>COUNTIF(Table35[Nirmata Policy Manager],"x")</totalsRowFormula>
    </tableColumn>
    <tableColumn id="200" xr3:uid="{7A751EE8-BC28-4899-9AD5-618528916F2D}" name="Cisco Intelligent Automation for Cloud" totalsRowFunction="custom">
      <totalsRowFormula>COUNTIF(Table35[Cisco Intelligent Automation for Cloud],"x")</totalsRowFormula>
    </tableColumn>
    <tableColumn id="202" xr3:uid="{78667C00-AC7E-4C66-9882-0A2CE267849D}" name="NetApp Cloud Volumes ONTAP" totalsRowFunction="custom">
      <totalsRowFormula>COUNTIF(Table35[NetApp Cloud Volumes ONTAP],"x")</totalsRowFormula>
    </tableColumn>
    <tableColumn id="203" xr3:uid="{52C9246A-D3CA-4724-97E3-4EE57D2904B0}" name="JHipster" totalsRowFunction="custom">
      <totalsRowFormula>COUNTIF(Table35[JHipster],"x")</totalsRowFormula>
    </tableColumn>
    <tableColumn id="204" xr3:uid="{868C8370-D43D-499B-B24E-614251CB7D2E}" name="Jfrog Artifactory" totalsRowFunction="custom">
      <totalsRowFormula>COUNTIF(Table35[Jfrog Artifactory],"x")</totalsRowFormula>
    </tableColumn>
    <tableColumn id="205" xr3:uid="{8AC0871D-C04F-42E4-A919-463BA11EBCF7}" name="Resolve" totalsRowFunction="custom">
      <totalsRowFormula>COUNTIF(Table35[Resolve],"x")</totalsRowFormula>
    </tableColumn>
    <tableColumn id="210" xr3:uid="{E85CD387-1D8E-47EF-8EE0-E79C03FE899B}" name="Densify" totalsRowFunction="custom">
      <totalsRowFormula>COUNTIF(Table35[Densify],"x")</totalsRowFormula>
    </tableColumn>
    <tableColumn id="211" xr3:uid="{945DBAC2-8866-4675-835D-8A9EB7587315}" name="Dynatrace Virtualization Monitoring" totalsRowFunction="custom">
      <totalsRowFormula>COUNTIF(Table35[Dynatrace Virtualization Monitoring],"x")</totalsRowFormula>
    </tableColumn>
    <tableColumn id="212" xr3:uid="{9C0DC4ED-ABFC-448A-A70F-9638D2545574}" name="MicroFocus" totalsRowFunction="custom">
      <totalsRowFormula>COUNTIF(Table35[MicroFocus],"x")</totalsRowFormula>
    </tableColumn>
    <tableColumn id="213" xr3:uid="{60364C40-EF5E-440A-9BFA-CD59E3D02CB3}" name="Mist.io" totalsRowFunction="custom">
      <totalsRowFormula>COUNTIF(Table35[Mist.io],"x")</totalsRowFormula>
    </tableColumn>
    <tableColumn id="214" xr3:uid="{A490E1F5-CF59-47EC-8602-5C1920287FC1}" name="Quest Cloud Manager" totalsRowFunction="custom">
      <totalsRowFormula>COUNTIF(Table35[Quest Cloud Manager],"x")</totalsRowFormula>
    </tableColumn>
    <tableColumn id="215" xr3:uid="{F6E6AF2E-AC7C-4D8F-8F55-4177CB7C7FB7}" name="Rundeck" totalsRowFunction="custom">
      <totalsRowFormula>COUNTIF(Table35[Rundeck],"x")</totalsRowFormula>
    </tableColumn>
    <tableColumn id="216" xr3:uid="{EBC1ADB9-6559-47B5-81A9-06E430C3A61C}" name="Scalr" totalsRowFunction="custom">
      <totalsRowFormula>COUNTIF(Table35[Scalr],"x")</totalsRowFormula>
    </tableColumn>
    <tableColumn id="217" xr3:uid="{23D85808-E7A6-42FD-AB0B-07A078662528}" name="Bunnyshell" totalsRowFunction="custom">
      <totalsRowFormula>COUNTIF(Table35[Bunnyshell],"x")</totalsRowFormula>
    </tableColumn>
    <tableColumn id="221" xr3:uid="{6B807C61-25DA-4011-A3BB-86DC93A58DD1}" name="Datadog" totalsRowFunction="custom">
      <totalsRowFormula>COUNTIF(Table35[Datadog],"x")</totalsRowFormula>
    </tableColumn>
    <tableColumn id="224" xr3:uid="{2C89DBAC-0AA3-4988-BF4C-30451889B3DE}" name="Augeas" totalsRowFunction="custom">
      <totalsRowFormula>COUNTIF(Table35[AWS CLI],"x")</totalsRowFormula>
    </tableColumn>
    <tableColumn id="225" xr3:uid="{9582E5F2-2163-4A5D-ABFD-F7EC4D517D46}" name="Flyway" totalsRowFunction="custom">
      <totalsRowFormula>COUNTIF(Table35[Augeas],"x")</totalsRowFormula>
    </tableColumn>
    <tableColumn id="228" xr3:uid="{60EB954F-3050-4182-AFF3-C6AC8371F460}" name="Apache Hadoop YARN" totalsRowFunction="custom">
      <totalsRowFormula>COUNTIF(Table35[Augeas],"x")</totalsRow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B4F28F-485F-4A75-9533-4D8243C8D87F}" name="Table5" displayName="Table5" ref="K243:GY251" totalsRowShown="0" dataDxfId="209">
  <autoFilter ref="K243:GY251" xr:uid="{98B4F28F-485F-4A75-9533-4D8243C8D87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</autoFilter>
  <tableColumns count="197">
    <tableColumn id="1" xr3:uid="{1CC46177-B035-4989-B6DF-C6A1BDF7E23E}" name="Criterion" dataDxfId="208"/>
    <tableColumn id="2" xr3:uid="{A0B03706-A619-4C28-BF1A-BB174D125995}" name="Chef" dataDxfId="207"/>
    <tableColumn id="3" xr3:uid="{E81EF750-B386-49AF-BCD8-A9381023B7B9}" name="Puppet" dataDxfId="206"/>
    <tableColumn id="4" xr3:uid="{D65E22FB-DE59-47B6-94EB-FE1CD14AD022}" name="Ansible" dataDxfId="205"/>
    <tableColumn id="5" xr3:uid="{9FFA364F-9DA2-4D35-98DC-058DCAF73A50}" name="SaltStack" dataDxfId="204"/>
    <tableColumn id="6" xr3:uid="{F29E9350-CE3C-4D08-BDD3-082850B56FA9}" name="CFEngine" dataDxfId="203"/>
    <tableColumn id="7" xr3:uid="{46DA2D24-D73F-44BF-82E6-4C1AC2D02981}" name="R?ex" dataDxfId="202"/>
    <tableColumn id="8" xr3:uid="{AC196920-3C40-4A23-AE7F-F10424AE0458}" name="cloud-init" dataDxfId="201"/>
    <tableColumn id="9" xr3:uid="{82246638-77D5-45F7-947A-ED6EE1A07C49}" name="Quattor" dataDxfId="200"/>
    <tableColumn id="10" xr3:uid="{ACB96D49-B23A-4D1F-9519-9E92C9B62E08}" name="cdist" dataDxfId="199"/>
    <tableColumn id="11" xr3:uid="{D10C0D41-1EAF-47C3-9D4F-BB3B38135E91}" name="Bcfg2" dataDxfId="198"/>
    <tableColumn id="12" xr3:uid="{2B32B162-1839-4CD6-9C9E-7FF7190B1638}" name="mgmt" dataDxfId="197"/>
    <tableColumn id="13" xr3:uid="{6E0A1503-6ED3-4B1A-82BA-70C6A2CF1E71}" name="SmartFrog" dataDxfId="196"/>
    <tableColumn id="14" xr3:uid="{96E54869-DBBA-453F-B1E3-ACA5180EB15F}" name="Docker" dataDxfId="195"/>
    <tableColumn id="15" xr3:uid="{83F2FB7D-1572-4528-A57C-5ABBA8E47E94}" name="Packer" dataDxfId="194"/>
    <tableColumn id="16" xr3:uid="{E0E718E8-3FCF-47B7-BEA1-1FA3171B9AAA}" name="Vagrant" dataDxfId="193"/>
    <tableColumn id="17" xr3:uid="{57E813CA-BA4F-4DD5-8EE6-92CE1FE0523E}" name="NixOS" dataDxfId="192"/>
    <tableColumn id="18" xr3:uid="{85AD83F1-BA93-420E-AA39-6DEA3BEA933E}" name="Azure VM Image Builder" dataDxfId="191"/>
    <tableColumn id="19" xr3:uid="{2159C5C9-E494-4B37-8B55-AA3999C6CA8A}" name="Kubernetes" dataDxfId="190"/>
    <tableColumn id="20" xr3:uid="{5DD18FA7-DBFE-4220-9DFF-0D76607E9FE0}" name="Swarm" dataDxfId="189"/>
    <tableColumn id="21" xr3:uid="{C7D7B4AF-4297-46AC-A24C-4C647CF58515}" name="Nomad" dataDxfId="188"/>
    <tableColumn id="22" xr3:uid="{6AF976AC-A522-4339-A778-6CC9287CBB0A}" name="Docker Compose" dataDxfId="187"/>
    <tableColumn id="23" xr3:uid="{D5D98CF3-B955-4DE9-89C5-4923EDE8DF9E}" name="Podman" dataDxfId="186"/>
    <tableColumn id="24" xr3:uid="{586196D9-EE73-4E18-99BB-AE26DA60BFDF}" name="AWS Copilot" dataDxfId="185"/>
    <tableColumn id="25" xr3:uid="{30D1C743-70C8-4EBC-96AA-5C95A67F13B9}" name="Apache Brooklyn" dataDxfId="184"/>
    <tableColumn id="26" xr3:uid="{CB9DE2BE-BFAC-496B-9762-425BE5CE12BA}" name="DevOpsLang" dataDxfId="183"/>
    <tableColumn id="27" xr3:uid="{7E483FC7-5BEE-472B-90D3-A22A24580AD0}" name="Fargate" dataDxfId="182"/>
    <tableColumn id="28" xr3:uid="{D9E4D570-2272-4CE2-85B2-A477A41F4AAE}" name="DC/OS" dataDxfId="181"/>
    <tableColumn id="29" xr3:uid="{F926F778-6E0A-4164-87E5-8D00A86FB140}" name="Hyscale" dataDxfId="180"/>
    <tableColumn id="30" xr3:uid="{C735B497-2EA3-4BCB-B5AF-69C244930202}" name="RackHD" dataDxfId="179"/>
    <tableColumn id="31" xr3:uid="{4754711B-C83E-4266-8E12-58D5FDAAFFF1}" name="AWS Serverless Application Model (SAM)" dataDxfId="178"/>
    <tableColumn id="32" xr3:uid="{95380293-0E17-47CD-B08C-42B720658006}" name="Azure Functions" dataDxfId="177"/>
    <tableColumn id="33" xr3:uid="{1DF3495C-5C06-488D-B716-9A962018157D}" name="Bolt" dataDxfId="176"/>
    <tableColumn id="34" xr3:uid="{63B5CC0C-C2E7-49DA-9386-11D5DA129480}" name="Mesosphere" dataDxfId="175"/>
    <tableColumn id="35" xr3:uid="{E6A98C78-C7FE-4DE4-BC85-F1FC2EA043A9}" name="Terraform" dataDxfId="174"/>
    <tableColumn id="36" xr3:uid="{639A03A5-9B7E-4E4E-B149-A38FCFA8B41A}" name="CloudFormation" dataDxfId="173"/>
    <tableColumn id="37" xr3:uid="{FE77BCCD-FCBE-4FA2-AE4F-591FC4C919F0}" name="Azure Resource Manager | Microsoft ARM Templates" dataDxfId="172"/>
    <tableColumn id="38" xr3:uid="{D4A4BE7C-C0CD-42C1-A8D5-14C552B20550}" name="Bicep" dataDxfId="171"/>
    <tableColumn id="39" xr3:uid="{650BCCD0-9EE6-4B33-9DCF-38DD59B9C567}" name="Google Deployment Manager" dataDxfId="170"/>
    <tableColumn id="40" xr3:uid="{6F0108BA-000A-4F99-BFD1-A7C0C298C37D}" name="OpenStack Heat" dataDxfId="169"/>
    <tableColumn id="41" xr3:uid="{A3E6EC9E-D665-484F-8326-1371C0512C6D}" name="Terragrunt" dataDxfId="168"/>
    <tableColumn id="42" xr3:uid="{A0A92FEE-05B1-4948-B1DD-487194DC8592}" name="Pulumi" dataDxfId="167"/>
    <tableColumn id="43" xr3:uid="{E15EE50E-CFF7-4FB1-9435-69A51E533028}" name="AWS CDK" dataDxfId="166"/>
    <tableColumn id="44" xr3:uid="{2B7348B9-6914-479E-8306-F13433D2621D}" name="Serverless Framework" dataDxfId="165"/>
    <tableColumn id="45" xr3:uid="{1B06172D-4E1D-4F21-BCCA-11884D7AE55E}" name="Opta" dataDxfId="164"/>
    <tableColumn id="46" xr3:uid="{590D7D78-E966-4B7D-BC27-18796BD1D2AD}" name="CDKTF " dataDxfId="163"/>
    <tableColumn id="47" xr3:uid="{B76F8695-1116-4248-A4A4-350B59119D45}" name="Cloudify" dataDxfId="162"/>
    <tableColumn id="48" xr3:uid="{B8E01429-A6BA-45C1-9872-950B6D8B3737}" name="Bosh" dataDxfId="161"/>
    <tableColumn id="49" xr3:uid="{5213EB24-C9F4-4D96-A24A-E60E25E366B6}" name="Charon" dataDxfId="160"/>
    <tableColumn id="50" xr3:uid="{0CAAE250-07AF-4225-9EE0-F473794600B5}" name="Argon" dataDxfId="159"/>
    <tableColumn id="51" xr3:uid="{4864493E-C54E-41B3-BB17-05A276901E4A}" name="Architect" dataDxfId="158"/>
    <tableColumn id="52" xr3:uid="{3B7E1E97-D7A8-4980-BBC8-506C4605F030}" name="Helm" dataDxfId="157"/>
    <tableColumn id="53" xr3:uid="{0176BA34-B33D-4635-90BC-7E735A66D901}" name="Octopus Deploy" dataDxfId="156"/>
    <tableColumn id="54" xr3:uid="{979F4986-D676-448D-802F-4B224F664FA4}" name="EC2 Image builder" dataDxfId="155"/>
    <tableColumn id="55" xr3:uid="{9F8E562E-49F4-4527-A114-27D7107D0A31}" name="Otter" dataDxfId="154"/>
    <tableColumn id="56" xr3:uid="{D403F2D9-8C58-4B00-8899-ADBD551326B0}" name="AWS Config" dataDxfId="153"/>
    <tableColumn id="57" xr3:uid="{A49205EB-E91C-41A6-A9CE-1098FF7D927C}" name="Microsoft Azure Automation" dataDxfId="152"/>
    <tableColumn id="58" xr3:uid="{DF1582DA-A38D-4D9F-A5FE-C0CC0F337801}" name="Rudder" dataDxfId="151"/>
    <tableColumn id="59" xr3:uid="{3A6C90B5-40D8-4975-9381-9E820576D5F4}" name="Marathon/Mesos" dataDxfId="150"/>
    <tableColumn id="60" xr3:uid="{126552AE-0C3A-4B91-873E-3768DF74F9E3}" name="Amazon ECS" dataDxfId="149"/>
    <tableColumn id="61" xr3:uid="{E8249439-22B7-4C91-88D4-3549FA58446D}" name="OpenShift" dataDxfId="148"/>
    <tableColumn id="62" xr3:uid="{0F8C5033-86CC-40E3-BAA4-2FDDFF7AAD0D}" name="AWS AppRunner" dataDxfId="147"/>
    <tableColumn id="63" xr3:uid="{77427753-2AF8-4FF6-94F8-6929DCDE2E64}" name="CloudShell Colony" dataDxfId="146"/>
    <tableColumn id="64" xr3:uid="{90D3B64D-7280-47CF-848C-A5237BDFD859}" name="TOSCA" dataDxfId="145"/>
    <tableColumn id="65" xr3:uid="{66763557-19CD-46FC-9A7F-C8B8F2755F0C}" name="IBM Tivoli System Automation" dataDxfId="144"/>
    <tableColumn id="66" xr3:uid="{4DF9B9D6-2940-4F90-92FF-E60DEE5C2306}" name="Google Cloud Run" dataDxfId="143"/>
    <tableColumn id="67" xr3:uid="{65BBEA72-D326-42A0-83B9-4BBC2A22CEDB}" name="Portainer" dataDxfId="142"/>
    <tableColumn id="68" xr3:uid="{AC5FD26F-00C9-4853-9BE9-4E9255E4DB18}" name="Azure Service Fabric" dataDxfId="141"/>
    <tableColumn id="69" xr3:uid="{C92F9B9D-8016-41C5-9AE8-63EA829331C9}" name="Spot Ocean" dataDxfId="140"/>
    <tableColumn id="70" xr3:uid="{0E7D37AA-B898-4297-A3A0-C20BBA590371}" name="AWS Elastic Beanstalk" dataDxfId="139"/>
    <tableColumn id="71" xr3:uid="{E929CDA1-1DFB-4229-9F45-7351B97A9BCD}" name="Heroku" dataDxfId="138"/>
    <tableColumn id="72" xr3:uid="{EB159169-4726-4F36-995C-87D612AE6455}" name="PowerShell" dataDxfId="137"/>
    <tableColumn id="73" xr3:uid="{F671E68F-838C-4249-9E3F-58BA5298B6D6}" name="Shell" dataDxfId="136"/>
    <tableColumn id="74" xr3:uid="{4568A24D-B5EB-4B65-85E3-20269498A661}" name="AWS Amplify" dataDxfId="135"/>
    <tableColumn id="75" xr3:uid="{A833EF1B-D20C-46B7-8019-1606173BDACF}" name="Quali Torque" dataDxfId="134"/>
    <tableColumn id="76" xr3:uid="{1F6D22D3-6FBB-413F-BC79-D2EE3063045B}" name="Crossplane" dataDxfId="133"/>
    <tableColumn id="77" xr3:uid="{7BCF3719-C8A4-4903-A59F-6F337A231AAA}" name="Juju" dataDxfId="132"/>
    <tableColumn id="78" xr3:uid="{05CFF9E0-424F-4C8C-9859-1DCF86ECCB9C}" name="Pallet" dataDxfId="131"/>
    <tableColumn id="79" xr3:uid="{B2478699-2149-41FD-BA17-A7DBC1DB8A2E}" name="Foreman" dataDxfId="130"/>
    <tableColumn id="80" xr3:uid="{571B6184-6CD9-4F97-A62B-D288D3B1CB20}" name="Omnia" dataDxfId="129"/>
    <tableColumn id="81" xr3:uid="{002949AF-1173-46C2-8EB5-3E29BB701BAC}" name="VMware vRealize Automation" dataDxfId="128"/>
    <tableColumn id="82" xr3:uid="{FB71ED15-3431-4B1B-A3A2-C1803C31E1CC}" name="IBM Cloud Schematics" dataDxfId="127"/>
    <tableColumn id="83" xr3:uid="{536AAC4F-2C70-4B9B-BCF9-092183512E28}" name="AWS CLI" dataDxfId="126"/>
    <tableColumn id="84" xr3:uid="{E58545D0-BB0C-41EB-945F-D80837F7D749}" name="Azure CLI" dataDxfId="125"/>
    <tableColumn id="85" xr3:uid="{940C378C-54A4-4403-91BF-7FFE6371851A}" name="HPE Synergy" dataDxfId="124"/>
    <tableColumn id="86" xr3:uid="{BEC685B0-CD9C-44EC-A23E-53600BA474D4}" name="ABS Modeling Language" dataDxfId="123"/>
    <tableColumn id="87" xr3:uid="{C318295F-73B5-4DF9-8B4E-F95B2F4F2689}" name="Helios" dataDxfId="122"/>
    <tableColumn id="88" xr3:uid="{447E7825-94F5-4E1A-9639-487E50D546A6}" name="SpectralOps" dataDxfId="121"/>
    <tableColumn id="89" xr3:uid="{F3A8921E-260E-42A0-94FC-9ECB6493498C}" name="Sonatype Nexus" dataDxfId="120"/>
    <tableColumn id="90" xr3:uid="{43E9EAEF-5B39-4882-9C79-1BDE45D436B6}" name="env0" dataDxfId="119"/>
    <tableColumn id="91" xr3:uid="{6522729B-0637-4687-984F-55904A94B56C}" name="oak9" dataDxfId="118"/>
    <tableColumn id="92" xr3:uid="{978D1B7F-161D-4E48-BA50-03722E1F2984}" name="Spacelift" dataDxfId="117"/>
    <tableColumn id="93" xr3:uid="{842CD705-4E1B-41AD-B85B-3AFF5D83A439}" name="Conducto" dataDxfId="116"/>
    <tableColumn id="94" xr3:uid="{32366A2B-3D85-4B02-B359-BE2AA34406F6}" name="Jenkins" dataDxfId="115"/>
    <tableColumn id="95" xr3:uid="{B0CC3032-F95A-433B-B13E-4CAD78B2CF42}" name="rkt" dataDxfId="114"/>
    <tableColumn id="96" xr3:uid="{0B313EAC-E694-457B-B163-D685197DC2E7}" name="App Container Spec (appc)" dataDxfId="113"/>
    <tableColumn id="97" xr3:uid="{837CEFD6-9060-40BC-A574-A118F1C42298}" name="Git" dataDxfId="112"/>
    <tableColumn id="98" xr3:uid="{5CC92F5B-98C5-46B0-B4E6-1D49D341EDEF}" name="Splunk" dataDxfId="111"/>
    <tableColumn id="99" xr3:uid="{4758133A-2F71-4B6D-8094-CD1617B8C262}" name="Selenium" dataDxfId="110"/>
    <tableColumn id="100" xr3:uid="{3FCCC2B2-3813-4F28-B76D-139401C6D1CE}" name="Azure DevOps" dataDxfId="109"/>
    <tableColumn id="101" xr3:uid="{D80E8253-34BD-4513-B572-851247D41A0D}" name="Config ValidLang" dataDxfId="108"/>
    <tableColumn id="102" xr3:uid="{930549BB-00E0-4665-BE81-343535DD42B2}" name="Rancher" dataDxfId="107"/>
    <tableColumn id="103" xr3:uid="{C87A6070-7F01-4C01-B71E-79D3A9D065FC}" name="Containership" dataDxfId="106"/>
    <tableColumn id="104" xr3:uid="{3FF0196C-A0C5-4C14-B6D5-16A84775C233}" name="AZK" dataDxfId="105"/>
    <tableColumn id="105" xr3:uid="{4A6D79ED-AB3C-48B2-AF85-038A0754D3FE}" name="GKE" dataDxfId="104"/>
    <tableColumn id="106" xr3:uid="{88688E75-1322-4776-BEC5-F2F3A50D0F44}" name="AKS" dataDxfId="103"/>
    <tableColumn id="107" xr3:uid="{9979FBD2-DF0E-4423-B8CB-4EECD357C19A}" name="AWS EKS" dataDxfId="102"/>
    <tableColumn id="108" xr3:uid="{49512800-0A76-4D2A-9C17-F0930B216512}" name="Digital Ocean Kubernetes Services" dataDxfId="101"/>
    <tableColumn id="109" xr3:uid="{1A38EF19-11B3-4FEA-9745-A858C0840526}" name="Linode" dataDxfId="100"/>
    <tableColumn id="110" xr3:uid="{98D83592-D3AC-4A21-BD2C-0EFFE1190137}" name="Mirantis Kubernetes Engine" dataDxfId="99"/>
    <tableColumn id="111" xr3:uid="{4E0089C2-E686-4186-BA3A-6625CDD1E2FD}" name="IBM Cloud Kubernetes" dataDxfId="98"/>
    <tableColumn id="112" xr3:uid="{8ED7607E-3D25-4B2C-85BF-BC1D8F394875}" name="IBM Orchestrator Platform" dataDxfId="97"/>
    <tableColumn id="113" xr3:uid="{66015289-FCD2-42E4-8D4A-6C76D0ED19D7}" name="Azure Resource Explorer" dataDxfId="96"/>
    <tableColumn id="114" xr3:uid="{C6836413-266C-4A6A-AE3D-7AE7021488F3}" name="SolarWinds Server Configuration Monitor" dataDxfId="95"/>
    <tableColumn id="115" xr3:uid="{F802D02A-D3F0-4453-97C5-7490548546AB}" name="Auvik" dataDxfId="94"/>
    <tableColumn id="116" xr3:uid="{30BDF7C6-C802-4322-BE5D-2C5C2FDB0080}" name="Bamboo Configuration Management" dataDxfId="93"/>
    <tableColumn id="117" xr3:uid="{1703AA33-09E2-48C0-AB66-D7D57A154C6E}" name="TeamCity Configuration Tool" dataDxfId="92"/>
    <tableColumn id="118" xr3:uid="{B5B998C0-B4EF-4E13-9922-F654077C98A5}" name="IBM Rational Team Concert" dataDxfId="91"/>
    <tableColumn id="119" xr3:uid="{2684086E-A2E7-425D-BB06-5961A14FF17E}" name="SVN" dataDxfId="90"/>
    <tableColumn id="120" xr3:uid="{1A64F9E7-FDE9-445C-AC33-06EE318FFE1D}" name="GitHub" dataDxfId="89"/>
    <tableColumn id="121" xr3:uid="{3E0F62D6-DB23-415C-86BD-7778435BAFFE}" name="Circle CI" dataDxfId="88"/>
    <tableColumn id="122" xr3:uid="{8ED51343-83EF-4164-B90A-DD1849CE772F}" name="GitLab CI" dataDxfId="87"/>
    <tableColumn id="123" xr3:uid="{08958F5B-5492-43DD-A536-6D1F730C3481}" name="GitLab" dataDxfId="86"/>
    <tableColumn id="124" xr3:uid="{F8196C5E-9AE3-4273-9F43-73A6EB9E28EF}" name="Bitbucket" dataDxfId="85"/>
    <tableColumn id="125" xr3:uid="{7C908AB9-188D-49F5-AB13-E05B7F74B8D6}" name="ConfigHub" dataDxfId="84"/>
    <tableColumn id="126" xr3:uid="{AD066AEB-402C-43C3-A5C1-A1B5F3EC9179}" name="ButterCMS" dataDxfId="83"/>
    <tableColumn id="127" xr3:uid="{8C8F04A3-AEE3-48E2-BCA6-40D24D407E5A}" name="AWS OpsWorks" dataDxfId="82"/>
    <tableColumn id="128" xr3:uid="{C8B96029-23CD-4CA6-BF93-B26077407BB5}" name="IBM Rational Clearcase" dataDxfId="81"/>
    <tableColumn id="129" xr3:uid="{0FE9FB14-FAE1-4A25-944E-64647666B9BC}" name="Concurrent Version System" dataDxfId="80"/>
    <tableColumn id="130" xr3:uid="{7A921AA0-A78A-4618-8A0F-D98907A80D34}" name="Borland StarTeam" dataDxfId="79"/>
    <tableColumn id="131" xr3:uid="{146191C9-F6D6-4C9E-9FAA-29657663DB31}" name="Alibaba Application Configuration Management" dataDxfId="78"/>
    <tableColumn id="132" xr3:uid="{EBD728CF-5AC5-4652-A2B3-0D92590FA067}" name="ManageEngine ServiceDesk Plus" dataDxfId="77"/>
    <tableColumn id="133" xr3:uid="{9A9CF713-4C61-4850-A8F1-C9475AF6E000}" name="Micro Focus Configuration Management System" dataDxfId="76"/>
    <tableColumn id="134" xr3:uid="{33F89509-5008-40D5-B0BA-01B440601273}" name="SysAid" dataDxfId="75"/>
    <tableColumn id="135" xr3:uid="{A26BBC69-592E-4DF2-A599-8FADA579CBD4}" name="Comindware" dataDxfId="74"/>
    <tableColumn id="136" xr3:uid="{8831BCA9-FCB9-4441-A906-9C691319DD66}" name="Desktop Central" dataDxfId="73"/>
    <tableColumn id="137" xr3:uid="{FA283ACF-1342-485C-9EC0-0346A0DA6C05}" name="Spinnaker" dataDxfId="72"/>
    <tableColumn id="138" xr3:uid="{FDBCD2EF-D148-4E00-AED2-97496E582837}" name="ZENworks Configuration Management" dataDxfId="71"/>
    <tableColumn id="139" xr3:uid="{3A9A4554-18C6-430D-A9F0-134BE124A86D}" name="HCL BigFix" dataDxfId="70"/>
    <tableColumn id="140" xr3:uid="{AF8F966B-AC7D-4E8A-8000-F266A5ECB59C}" name="BMC TrueSight Server Automation" dataDxfId="69"/>
    <tableColumn id="141" xr3:uid="{253C7784-2633-4913-9316-5BDBCCFAA5A3}" name="Quest KACE Systemverwaltung" dataDxfId="68"/>
    <tableColumn id="142" xr3:uid="{9D68E21D-2CD0-4374-ACF1-751CE65A255D}" name="Red Hat Satellite" dataDxfId="67"/>
    <tableColumn id="143" xr3:uid="{A1C980F7-ED19-44B6-9E33-CFD4BA0BCCB6}" name="Microsoft Endpoint Manager (formerly known as SCCM)" dataDxfId="66"/>
    <tableColumn id="144" xr3:uid="{FE96D48B-1B7E-4057-B1CC-75F4E7D7D643}" name="vCenter Configuration Manager" dataDxfId="65"/>
    <tableColumn id="145" xr3:uid="{0644E849-EB2A-44B7-A88D-166E8F2D8DCD}" name="CloudBees CI" dataDxfId="64"/>
    <tableColumn id="146" xr3:uid="{0AD3B340-F489-419A-8139-D88CDABD7DA3}" name="ServiceNow" dataDxfId="63"/>
    <tableColumn id="147" xr3:uid="{E5FD647F-9373-4096-904B-75CE0BBBB222}" name="Codenvy" dataDxfId="62"/>
    <tableColumn id="148" xr3:uid="{77BD158E-7BDA-4992-B921-5656A3FF8FCA}" name="AWS CodePipeline" dataDxfId="61"/>
    <tableColumn id="149" xr3:uid="{88896350-CA1F-497D-8737-D79D1219111A}" name="Opsera" dataDxfId="60"/>
    <tableColumn id="150" xr3:uid="{508B08E2-2E3D-41FE-96B3-7EC023C4386F}" name="Micro Focus AccuRev" dataDxfId="59"/>
    <tableColumn id="151" xr3:uid="{C1EF014C-A4F9-4A9D-8208-312D64742848}" name="Strongpoint" dataDxfId="58"/>
    <tableColumn id="152" xr3:uid="{C682AC76-37F6-452B-A6EF-F4F7258FC1ED}" name="BackBox" dataDxfId="57"/>
    <tableColumn id="153" xr3:uid="{6718EAFE-487E-43B1-921E-250BDADA5BBA}" name="Optimizely Web Experimentation" dataDxfId="56"/>
    <tableColumn id="154" xr3:uid="{6C4FAD66-CD90-4C6F-BA4E-025742419C01}" name="ConfigCat" dataDxfId="55"/>
    <tableColumn id="155" xr3:uid="{8991FFA6-7898-4EB5-9234-A3BC7A24C1CF}" name="Split" dataDxfId="54"/>
    <tableColumn id="156" xr3:uid="{FAC246E3-B621-4E20-B842-EB3E961C1A75}" name="CA Harvest Software Change Manager" dataDxfId="53"/>
    <tableColumn id="157" xr3:uid="{471761C2-7C3E-42A6-8755-3F00E0DD39D5}" name="Fugue" dataDxfId="52"/>
    <tableColumn id="158" xr3:uid="{08B08DF0-0436-489E-B50C-36BD3EB3EAF6}" name="Digital.ai Deploy" dataDxfId="51"/>
    <tableColumn id="159" xr3:uid="{8EC454E2-34A5-4352-98B0-ADB9E6D1EFAA}" name="CA Endevor" dataDxfId="50"/>
    <tableColumn id="160" xr3:uid="{987CE31B-8927-4BC1-9305-4A2EE4F2D7EB}" name="Kamatera" dataDxfId="49"/>
    <tableColumn id="161" xr3:uid="{44ACEE2E-2CC6-472D-B9BB-A169AA5160CA}" name="IBM Rational Synergy" dataDxfId="48"/>
    <tableColumn id="162" xr3:uid="{0CF23724-35AB-47C1-B681-DE391D63A4D8}" name="Plastic SCM" dataDxfId="47"/>
    <tableColumn id="163" xr3:uid="{9FBE4DD7-F6CF-4BBD-BE60-9A4EA0192785}" name="IBM Rational ClearQuest" dataDxfId="46"/>
    <tableColumn id="164" xr3:uid="{F183BE07-1840-4221-BA62-662E093A9668}" name="Surround SCM" dataDxfId="45"/>
    <tableColumn id="165" xr3:uid="{02D45530-8B06-4862-99CF-D33B137FA590}" name="IBM Cloud Continuous Delivery" dataDxfId="44"/>
    <tableColumn id="166" xr3:uid="{01A699F0-EDC2-4F9E-8F89-A2AD67346302}" name="ChangeMan ZMF" dataDxfId="43"/>
    <tableColumn id="167" xr3:uid="{5B10F78E-AD33-410A-9447-F4A55C0BE6A9}" name="GitHub Actions" dataDxfId="42"/>
    <tableColumn id="168" xr3:uid="{616257AC-EED1-4A8C-B159-883E8B32DC36}" name="Claudia.js" dataDxfId="41"/>
    <tableColumn id="169" xr3:uid="{8C8D13ED-FAFB-4762-AC18-E23BF680B00E}" name="IBM UrbanCode Deploy" dataDxfId="40"/>
    <tableColumn id="170" xr3:uid="{7BD4D53A-3F3E-4EC0-8607-19A5A7163B63}" name="SpiraTeam" dataDxfId="39"/>
    <tableColumn id="171" xr3:uid="{AC29DFF9-FE6B-49DE-9AF2-F016394A0190}" name="Microsoft Operations Management Suite" dataDxfId="38"/>
    <tableColumn id="172" xr3:uid="{6C24ED46-1757-47CC-A845-C5B37A9FD2AA}" name="CollabNet Subversion" dataDxfId="37"/>
    <tableColumn id="173" xr3:uid="{F94B048D-EF6E-472E-BA1C-E3F3085500F6}" name="Perforce Helix" dataDxfId="36"/>
    <tableColumn id="174" xr3:uid="{8C53EC55-63CB-4B83-B4E0-4BF0A3FDD274}" name="Microsoft Visual Studio Team System" dataDxfId="35"/>
    <tableColumn id="175" xr3:uid="{37F3D93D-5540-40DA-81C7-75BB62E6651B}" name="IBM Interactive System Productivity Facility" dataDxfId="34"/>
    <tableColumn id="176" xr3:uid="{8E18E9CF-7814-4356-9C67-761A6BB06C1D}" name="Aiden" dataDxfId="33"/>
    <tableColumn id="177" xr3:uid="{D21D0DCC-E04A-439F-9788-CDBFA8015127}" name="Orca" dataDxfId="32"/>
    <tableColumn id="178" xr3:uid="{D43869ED-0135-4605-B8F9-067E7A5813E6}" name="DuploClud" dataDxfId="31"/>
    <tableColumn id="179" xr3:uid="{20AB9A60-EB0F-44E4-BBBE-43A8D52DB4C0}" name="HCL Launch" dataDxfId="30"/>
    <tableColumn id="180" xr3:uid="{BDEFA8B1-4F82-4B3E-85EF-200021E4D4B4}" name="Nirmata Policy Manager" dataDxfId="29"/>
    <tableColumn id="181" xr3:uid="{8B6CC5D2-BBB4-421B-9835-E7D3668DDAFE}" name="Cisco Intelligent Automation for Cloud" dataDxfId="28"/>
    <tableColumn id="182" xr3:uid="{0EAE0F02-70C1-49D3-84BE-0B573A954C17}" name="NetApp Cloud Volumes ONTAP" dataDxfId="27"/>
    <tableColumn id="183" xr3:uid="{4FC405AD-B7A5-4A95-B5EF-CC20B96E0884}" name="JHipster" dataDxfId="26"/>
    <tableColumn id="184" xr3:uid="{73ECE7F9-08C0-4BC6-B841-3BB5F3CBCAF5}" name="Jfrog Artifactory" dataDxfId="25"/>
    <tableColumn id="185" xr3:uid="{3CE60093-DAC4-4B6B-B273-B5AB36D93E32}" name="Resolve" dataDxfId="24"/>
    <tableColumn id="186" xr3:uid="{0BB5BEF1-D917-44EB-A5B2-CD5F60FF4CA6}" name="Densify" dataDxfId="23"/>
    <tableColumn id="187" xr3:uid="{16E2031D-D281-4F53-AAE9-59E0FE8D5A41}" name="Dynatrace Virtualization Monitoring" dataDxfId="22"/>
    <tableColumn id="188" xr3:uid="{4C4F33E6-7D39-4C83-BB3B-AC2C04681C62}" name="MicroFocus" dataDxfId="21"/>
    <tableColumn id="189" xr3:uid="{2C3123DD-8173-404C-9F7C-338ABE0CE2E5}" name="Mist.io" dataDxfId="20"/>
    <tableColumn id="190" xr3:uid="{B509A40A-8989-4B31-B3A0-F65F54789FE6}" name="Quest Cloud Manager" dataDxfId="19"/>
    <tableColumn id="191" xr3:uid="{1B81FA34-E123-4BE3-ACD3-EC7F65C5C7EE}" name="Rundeck" dataDxfId="18"/>
    <tableColumn id="192" xr3:uid="{3302B1D1-880D-460A-9710-9A0BCBB5CA70}" name="Scalr" dataDxfId="17"/>
    <tableColumn id="193" xr3:uid="{C6354F21-B416-4928-9D10-559A4BA7A89A}" name="Bunnyshell" dataDxfId="16"/>
    <tableColumn id="194" xr3:uid="{A791C8F8-6418-43FB-A64D-88C419BA877E}" name="Datadog" dataDxfId="15"/>
    <tableColumn id="195" xr3:uid="{56730075-7388-45BA-BAC2-C2EBA99D3AFE}" name="Augeas" dataDxfId="14"/>
    <tableColumn id="196" xr3:uid="{D8D63252-3D21-40EF-9D44-5D65F3422C49}" name="Flyway" dataDxfId="13"/>
    <tableColumn id="197" xr3:uid="{849B4053-BB0A-471B-B006-07E5E7C76A61}" name="Apache Hadoop YARN" dataDxfId="1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C9CFFC-3AC9-4344-93E1-07FB52263CD1}" name="Table6" displayName="Table6" ref="K253:GY257" totalsRowShown="0" headerRowDxfId="11">
  <autoFilter ref="K253:GY257" xr:uid="{02C9CFFC-3AC9-4344-93E1-07FB52263C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</autoFilter>
  <tableColumns count="197">
    <tableColumn id="1" xr3:uid="{CA3E20FB-B861-485B-8989-B44CB73FCB24}" name="Criterion"/>
    <tableColumn id="2" xr3:uid="{34E72B11-C16A-477F-B6DF-CB0FCDBCA3EA}" name="Chef"/>
    <tableColumn id="3" xr3:uid="{A1742AC7-024D-4B69-B721-08267B281DC4}" name="Puppet"/>
    <tableColumn id="4" xr3:uid="{3CB4B10C-C129-44F7-B0A2-A72EADE89D3B}" name="Ansible"/>
    <tableColumn id="5" xr3:uid="{222278A1-EB14-44CC-9007-BCE0F9293BD7}" name="SaltStack"/>
    <tableColumn id="6" xr3:uid="{370D1E3D-BAAE-4417-94F5-869ADF3029FE}" name="CFEngine"/>
    <tableColumn id="7" xr3:uid="{AC8A5BC7-80F4-4684-8FF5-A76B97E89D58}" name="R?ex"/>
    <tableColumn id="8" xr3:uid="{93CA0362-0E04-4011-9549-D4E46871FFCD}" name="cloud-init"/>
    <tableColumn id="9" xr3:uid="{5F78CE34-8A66-419D-BA14-0D268142BEB9}" name="Quattor"/>
    <tableColumn id="10" xr3:uid="{C958D325-03DD-4074-A8B0-6F60483FBB95}" name="cdist"/>
    <tableColumn id="11" xr3:uid="{0A8576BD-B9C6-4EBA-9738-7EA25562C72D}" name="Bcfg2"/>
    <tableColumn id="12" xr3:uid="{0B2C585C-75E4-41F6-BA80-6B45A7DE0B18}" name="mgmt"/>
    <tableColumn id="13" xr3:uid="{06EDC37C-6C02-4EDE-8BB6-1625A5BC5261}" name="SmartFrog"/>
    <tableColumn id="14" xr3:uid="{6DE8B089-C0B7-4AEC-A842-E588BE7F787E}" name="Docker"/>
    <tableColumn id="15" xr3:uid="{CABB73EF-305B-4639-AFFB-B08C83DAE028}" name="Packer"/>
    <tableColumn id="16" xr3:uid="{DAE74CA3-42BF-446B-800D-631F97770470}" name="Vagrant"/>
    <tableColumn id="17" xr3:uid="{D474B23D-9942-4DF5-A22D-B1C1B1F5F208}" name="NixOS"/>
    <tableColumn id="18" xr3:uid="{F0509891-9A2E-4E81-8D89-16764936B211}" name="Azure VM Image Builder"/>
    <tableColumn id="19" xr3:uid="{EEE24436-8466-4F25-A45C-D44F86DF60A6}" name="Kubernetes"/>
    <tableColumn id="20" xr3:uid="{2CF2265A-A5D1-451A-B99C-3E341E72C260}" name="Swarm"/>
    <tableColumn id="21" xr3:uid="{685DAE97-3A6B-4412-AA54-9AC4E101E106}" name="Nomad"/>
    <tableColumn id="22" xr3:uid="{8DCB51F2-978F-4755-A7AF-3236F332664E}" name="Docker Compose"/>
    <tableColumn id="23" xr3:uid="{8327B76C-7457-4098-BEAB-4508D041BA04}" name="Podman"/>
    <tableColumn id="24" xr3:uid="{727F4CEC-223B-4064-B37F-7C80A1BECA64}" name="AWS Copilot"/>
    <tableColumn id="25" xr3:uid="{61C68F44-7FF3-4FDA-886F-C52951ACEF19}" name="Apache Brooklyn"/>
    <tableColumn id="26" xr3:uid="{E63D2E0D-4CDA-494B-A532-52494C21A4C6}" name="DevOpsLang"/>
    <tableColumn id="27" xr3:uid="{77DF914B-89AE-4A3D-B182-209ECFD258B1}" name="Fargate"/>
    <tableColumn id="28" xr3:uid="{6BEC7B92-79F5-4DBD-BF67-3622936DE815}" name="DC/OS"/>
    <tableColumn id="29" xr3:uid="{F5E56A4E-D41D-4E9E-96F5-EFC71A1AADAE}" name="Hyscale"/>
    <tableColumn id="30" xr3:uid="{54ADC529-C204-4F4D-936D-EA148C6B6126}" name="RackHD"/>
    <tableColumn id="31" xr3:uid="{C4523E50-1975-48E6-8E42-2E0E4A1C997F}" name="AWS Serverless Application Model (SAM)"/>
    <tableColumn id="32" xr3:uid="{E5107273-B648-4A30-8E21-08BC99317F01}" name="Azure Functions"/>
    <tableColumn id="33" xr3:uid="{F4E5162A-DB55-4CFE-9335-8BE574DA6A0F}" name="Bolt"/>
    <tableColumn id="34" xr3:uid="{088FF904-E553-42BF-9CD7-F91928FEC5AC}" name="Mesosphere"/>
    <tableColumn id="35" xr3:uid="{4450F1D8-1E08-4682-87C6-339CDBC3C9DD}" name="Terraform"/>
    <tableColumn id="36" xr3:uid="{99E21CAF-5A0C-43B1-9168-72FECB828DE3}" name="CloudFormation"/>
    <tableColumn id="37" xr3:uid="{F43851E0-FCFE-4401-AE9F-945B16DDA990}" name="Azure Resource Manager | Microsoft ARM Templates"/>
    <tableColumn id="38" xr3:uid="{F9EC8D97-5426-407E-8CBD-989BB7657DE1}" name="Bicep"/>
    <tableColumn id="39" xr3:uid="{C09BDEB7-07B0-4326-9EC6-8A3EB4FB7A98}" name="Google Deployment Manager"/>
    <tableColumn id="40" xr3:uid="{9459DD28-8A70-4429-9245-62FE9521F90F}" name="OpenStack Heat"/>
    <tableColumn id="41" xr3:uid="{15BF957E-8261-40E9-8AC5-ABFF9BE8CEB1}" name="Terragrunt"/>
    <tableColumn id="42" xr3:uid="{5F36CDF9-16F7-4813-BE76-9F5A1A7D19D4}" name="Pulumi"/>
    <tableColumn id="43" xr3:uid="{BFE59BBD-1381-48C4-B57C-12C1AC94C620}" name="AWS CDK"/>
    <tableColumn id="44" xr3:uid="{50B9815A-738A-41B9-9B5E-B94B8D7A9175}" name="Serverless Framework"/>
    <tableColumn id="45" xr3:uid="{17CBC4C6-3422-4AA6-B56C-4257EB57C13D}" name="Opta"/>
    <tableColumn id="46" xr3:uid="{8A362C0B-6BBF-4104-AEF1-D21067B0A001}" name="CDKTF "/>
    <tableColumn id="47" xr3:uid="{8C429BBC-FA44-47A5-90AE-EAD60A55644F}" name="Cloudify"/>
    <tableColumn id="48" xr3:uid="{948550FB-8EAE-461E-A24A-79DD9D54EB86}" name="Bosh"/>
    <tableColumn id="49" xr3:uid="{48EEE259-1AD8-49DA-80A9-A32B888AFF6A}" name="Charon"/>
    <tableColumn id="50" xr3:uid="{C804B20F-AFA8-4A23-8887-53E8D13AE0BF}" name="Argon"/>
    <tableColumn id="51" xr3:uid="{34D512BE-FBDE-4DD5-8086-58B157827878}" name="Architect"/>
    <tableColumn id="52" xr3:uid="{165A51A4-3C45-45F0-97A0-A4F8BD646A3E}" name="Helm"/>
    <tableColumn id="53" xr3:uid="{38FF2845-DAD7-4131-BDDC-5C1AEEBFAD6E}" name="Octopus Deploy"/>
    <tableColumn id="54" xr3:uid="{1E74C9C2-793C-4C45-A295-BCE6D752C534}" name="EC2 Image builder"/>
    <tableColumn id="55" xr3:uid="{451E49D3-7318-473E-AEF5-897FE6FC9691}" name="Otter"/>
    <tableColumn id="56" xr3:uid="{60A803A6-053C-4A2D-BC26-F0167C467719}" name="AWS Config"/>
    <tableColumn id="57" xr3:uid="{4D5664C6-59EE-49C2-A465-EC868BDF7495}" name="Microsoft Azure Automation"/>
    <tableColumn id="58" xr3:uid="{CD70E82C-5BBF-407B-B21B-6451661E0BD2}" name="Rudder"/>
    <tableColumn id="59" xr3:uid="{F197B904-BC11-48D6-BA41-DCE59E40C5FB}" name="Marathon/Mesos"/>
    <tableColumn id="60" xr3:uid="{DA77330D-621A-400D-BE54-D5958FF526BE}" name="Amazon ECS"/>
    <tableColumn id="61" xr3:uid="{7AA41EE7-78DA-469E-AAFE-04F192C2618C}" name="OpenShift"/>
    <tableColumn id="62" xr3:uid="{FC022253-6EEA-46E1-93A5-8054E11B95C3}" name="AWS AppRunner"/>
    <tableColumn id="63" xr3:uid="{1F5C4A67-3A6D-4870-B42A-85DCC71A5628}" name="CloudShell Colony"/>
    <tableColumn id="64" xr3:uid="{DF062B9A-EDE3-411F-9B8F-12DE043B97AC}" name="TOSCA"/>
    <tableColumn id="65" xr3:uid="{8189B03A-A18A-49EF-9F12-1900301CA752}" name="IBM Tivoli System Automation"/>
    <tableColumn id="66" xr3:uid="{1FF711B8-1CD9-4913-BD21-09A0EC2E7821}" name="Google Cloud Run"/>
    <tableColumn id="67" xr3:uid="{D0A30544-8E7C-48D9-A1AB-9CE2AA3BE34A}" name="Portainer"/>
    <tableColumn id="68" xr3:uid="{CC21B87C-37D1-4A09-B746-8996760B392B}" name="Azure Service Fabric"/>
    <tableColumn id="69" xr3:uid="{5E10F0FC-4602-478C-A818-15285B245C41}" name="Spot Ocean"/>
    <tableColumn id="70" xr3:uid="{CDBCD2E5-429F-4E28-8A88-AA0B63892C2A}" name="AWS Elastic Beanstalk"/>
    <tableColumn id="71" xr3:uid="{1B8B28BB-BD21-4C20-BCA4-132278C47B0C}" name="Heroku"/>
    <tableColumn id="72" xr3:uid="{959311DF-67E8-4C1D-A207-619975652BDF}" name="PowerShell"/>
    <tableColumn id="73" xr3:uid="{9A857414-44B7-4329-A61B-74B1AD3AC19D}" name="Shell"/>
    <tableColumn id="74" xr3:uid="{EFD3D2D6-BF55-43CE-BD43-AB2BB16849DD}" name="AWS Amplify"/>
    <tableColumn id="75" xr3:uid="{6840E6DD-A808-4E2A-85BC-0A0BE4006104}" name="Quali Torque"/>
    <tableColumn id="76" xr3:uid="{D9A804F1-6756-443A-8E19-72665AF0B642}" name="Crossplane"/>
    <tableColumn id="77" xr3:uid="{16834198-5B42-4738-B97A-16B40F260D76}" name="Juju"/>
    <tableColumn id="78" xr3:uid="{DC61642A-2BB7-4660-883B-078E6294EA02}" name="Pallet"/>
    <tableColumn id="79" xr3:uid="{6053D106-62DF-4321-8E9F-C89AA2C7F701}" name="Foreman"/>
    <tableColumn id="80" xr3:uid="{B59B9384-F514-4FE1-8075-2017096850D0}" name="Omnia"/>
    <tableColumn id="81" xr3:uid="{D40AEF57-A449-4FB8-B7CB-C4D3B29C4D27}" name="VMware vRealize Automation"/>
    <tableColumn id="82" xr3:uid="{0C29A464-73D0-46AB-90AF-E0D8BFEF753E}" name="IBM Cloud Schematics"/>
    <tableColumn id="83" xr3:uid="{B51357C8-E4BD-4A9D-B204-EE8D3DEE8C0E}" name="AWS CLI"/>
    <tableColumn id="84" xr3:uid="{178731BE-6306-4265-BF37-BDE591FCB465}" name="Azure CLI"/>
    <tableColumn id="85" xr3:uid="{D3117720-A1C6-40E4-BB06-B61945F182F8}" name="HPE Synergy"/>
    <tableColumn id="86" xr3:uid="{E99FFEF8-BB28-41C9-9EF2-3BA3BF0E8FE3}" name="ABS Modeling Language"/>
    <tableColumn id="87" xr3:uid="{E6026280-27F6-43C9-B0C5-CA03B47770AE}" name="Helios"/>
    <tableColumn id="88" xr3:uid="{13724330-0441-4B82-9E23-B1F5EE48335A}" name="SpectralOps"/>
    <tableColumn id="89" xr3:uid="{89AF3116-BD5D-4622-88F0-6C095A7E09D8}" name="Sonatype Nexus"/>
    <tableColumn id="90" xr3:uid="{0686FC04-F5A3-4ECF-A577-56EBA10A8946}" name="env0"/>
    <tableColumn id="91" xr3:uid="{5F5248B2-6DE6-4B16-90E7-D9002949C672}" name="oak9"/>
    <tableColumn id="92" xr3:uid="{14353724-0F5B-415C-A035-B6930E95C10C}" name="Spacelift"/>
    <tableColumn id="93" xr3:uid="{FF150FF9-D890-4092-9DB4-146BA8BCF5DA}" name="Conducto"/>
    <tableColumn id="94" xr3:uid="{74863FC2-6409-4115-A38A-EB9822DC67F3}" name="Jenkins"/>
    <tableColumn id="95" xr3:uid="{4F61867E-6689-48DA-871A-764468920ADE}" name="rkt"/>
    <tableColumn id="96" xr3:uid="{37C0F9DC-8D02-4D81-9261-09C15636FBA0}" name="App Container Spec (appc)"/>
    <tableColumn id="97" xr3:uid="{69843326-97A7-4410-8D17-DCC1DEE46FA6}" name="Git"/>
    <tableColumn id="98" xr3:uid="{57F01459-C654-4236-A38C-754917174356}" name="Splunk"/>
    <tableColumn id="99" xr3:uid="{5FA17B37-FB8B-4538-9283-B8F3FD5BC787}" name="Selenium"/>
    <tableColumn id="100" xr3:uid="{9814A43E-C777-4148-84B9-E0FA876E6253}" name="Azure DevOps"/>
    <tableColumn id="101" xr3:uid="{03913030-D55C-463F-BB89-80A6944BC015}" name="Config ValidLang"/>
    <tableColumn id="102" xr3:uid="{B8D21B7A-CA1D-4B23-B4A1-A10987744892}" name="Rancher"/>
    <tableColumn id="103" xr3:uid="{395ED50D-7F57-43E4-A6CB-877E305590D7}" name="Containership"/>
    <tableColumn id="104" xr3:uid="{EDB3364F-B7EB-42ED-A4D0-F326BD852A1F}" name="AZK"/>
    <tableColumn id="105" xr3:uid="{1AA69F84-2D57-4296-B023-7CE88C756EF8}" name="GKE"/>
    <tableColumn id="106" xr3:uid="{FFB091DC-303B-4B43-B0D7-1A991683B591}" name="AKS"/>
    <tableColumn id="107" xr3:uid="{EAFD3CC5-8E47-4008-8646-83B33F954341}" name="AWS EKS"/>
    <tableColumn id="108" xr3:uid="{7C496ECF-174B-440C-ABEB-6CC5975EF3FA}" name="Digital Ocean Kubernetes Services"/>
    <tableColumn id="109" xr3:uid="{4AD5CAB7-0E69-4830-A326-D8E1F6C7882A}" name="Linode"/>
    <tableColumn id="110" xr3:uid="{9AD32ADA-6EC0-4F4E-A054-C07EA9811594}" name="Mirantis Kubernetes Engine"/>
    <tableColumn id="111" xr3:uid="{DAAFFA53-56E0-403D-90B8-6717DDDB1D94}" name="IBM Cloud Kubernetes"/>
    <tableColumn id="112" xr3:uid="{921E5C8F-0A46-405F-AA1E-14A4FC7DACA2}" name="IBM Orchestrator Platform"/>
    <tableColumn id="113" xr3:uid="{FFB8536C-770B-42FE-A3C6-386480EEC769}" name="Azure Resource Explorer"/>
    <tableColumn id="114" xr3:uid="{FA885359-6F3A-4B46-A004-29D8C40D5324}" name="SolarWinds Server Configuration Monitor"/>
    <tableColumn id="115" xr3:uid="{FC43BD45-9446-40D3-B8AC-609335B03287}" name="Auvik"/>
    <tableColumn id="116" xr3:uid="{7569E1AD-1BCD-4007-AE6E-7FCF4C0178A0}" name="Bamboo Configuration Management"/>
    <tableColumn id="117" xr3:uid="{C2E1895D-5ECF-4A28-B131-C0D09B49ED8E}" name="TeamCity Configuration Tool"/>
    <tableColumn id="118" xr3:uid="{9C64DBDD-E407-4407-BE1C-4AA84616919D}" name="IBM Rational Team Concert"/>
    <tableColumn id="119" xr3:uid="{D86117D3-C22C-4F09-BC4C-F196DF008435}" name="SVN"/>
    <tableColumn id="120" xr3:uid="{2DBFA8D7-DC73-486F-BBA1-83503A181E50}" name="GitHub"/>
    <tableColumn id="121" xr3:uid="{0958925E-A89A-447C-8C9B-7FCE46C166DA}" name="Circle CI"/>
    <tableColumn id="122" xr3:uid="{ACE61278-7291-4504-9E0D-E9A21C8BB67F}" name="GitLab CI"/>
    <tableColumn id="123" xr3:uid="{7916F990-1CDA-4B54-A786-EE55BD62A73F}" name="GitLab"/>
    <tableColumn id="124" xr3:uid="{2DCAF43A-9023-42C1-985D-EB7DD2C8E6E3}" name="Bitbucket"/>
    <tableColumn id="125" xr3:uid="{0629D5FD-E34D-4D35-B314-F71987446DE5}" name="ConfigHub"/>
    <tableColumn id="126" xr3:uid="{9AA1E51A-3A75-4D8D-B809-82BD221AEBFF}" name="ButterCMS"/>
    <tableColumn id="127" xr3:uid="{E67FCDA7-C04F-44BF-91ED-6B0ABC3DB2E9}" name="AWS OpsWorks"/>
    <tableColumn id="128" xr3:uid="{A037B954-4F1B-40A0-AC96-F60912C53B66}" name="IBM Rational Clearcase"/>
    <tableColumn id="129" xr3:uid="{B9AB772A-D638-41DB-9B20-1F4804C6DA68}" name="Concurrent Version System"/>
    <tableColumn id="130" xr3:uid="{CE110A25-261D-481A-809F-BAE2F4D05A49}" name="Borland StarTeam"/>
    <tableColumn id="131" xr3:uid="{BF47138E-67CA-47B6-BC52-6F8F5248FB79}" name="Alibaba Application Configuration Management"/>
    <tableColumn id="132" xr3:uid="{10B05D90-2BDE-4959-8D3A-4A258940C286}" name="ManageEngine ServiceDesk Plus"/>
    <tableColumn id="133" xr3:uid="{96990DEB-97EC-4282-A2CB-85A78BAEEBAC}" name="Micro Focus Configuration Management System"/>
    <tableColumn id="134" xr3:uid="{D3259A31-2D5E-4055-9CBA-4063A18B4BD9}" name="SysAid"/>
    <tableColumn id="135" xr3:uid="{336E5FEC-8790-4EDC-8FD9-386502FB5CAC}" name="Comindware"/>
    <tableColumn id="136" xr3:uid="{48A2B707-AEFB-45CD-B7D1-32E39FF989EE}" name="Desktop Central"/>
    <tableColumn id="137" xr3:uid="{39E571FE-3167-49D1-8014-A74B7870277A}" name="Spinnaker"/>
    <tableColumn id="138" xr3:uid="{5F769830-C999-4098-94BF-5A20AF31642F}" name="ZENworks Configuration Management"/>
    <tableColumn id="139" xr3:uid="{6E5E5882-B445-449D-8A8A-88934E0D3E38}" name="HCL BigFix"/>
    <tableColumn id="140" xr3:uid="{203F6E1C-E933-4424-92F7-FD67CDE1CDAE}" name="BMC TrueSight Server Automation"/>
    <tableColumn id="141" xr3:uid="{10A0CD97-2204-4B15-9A4E-9AA0F54AD491}" name="Quest KACE Systemverwaltung"/>
    <tableColumn id="142" xr3:uid="{D9318354-9AD7-4D3B-9B30-DDE03FCE460D}" name="Red Hat Satellite"/>
    <tableColumn id="143" xr3:uid="{D8DA445C-A2B2-452E-A35C-C77C3725CE09}" name="Microsoft Endpoint Manager (formerly known as SCCM)"/>
    <tableColumn id="144" xr3:uid="{1400B4F7-88CA-4851-9492-E20D98B6AF1C}" name="vCenter Configuration Manager"/>
    <tableColumn id="145" xr3:uid="{D9365857-C0D8-4EBE-BE4A-1C17440C2CFC}" name="CloudBees CI"/>
    <tableColumn id="146" xr3:uid="{5F320FB3-5DFB-4DD1-A92C-539901C32658}" name="ServiceNow"/>
    <tableColumn id="147" xr3:uid="{2B3B2CED-20FB-426E-AD65-C1E181A839F1}" name="Codenvy"/>
    <tableColumn id="148" xr3:uid="{2F693FAB-3630-4255-B40F-095FB3C2E509}" name="AWS CodePipeline"/>
    <tableColumn id="149" xr3:uid="{C7A5B766-ACD0-4641-8D3E-F2453BEDA30C}" name="Opsera"/>
    <tableColumn id="150" xr3:uid="{0A6A6330-F1E5-49E5-8318-766916367D0D}" name="Micro Focus AccuRev"/>
    <tableColumn id="151" xr3:uid="{552604CC-F46B-496D-9218-F31FE1D72CA4}" name="Strongpoint"/>
    <tableColumn id="152" xr3:uid="{EC76535C-6018-4259-BE84-79E4C2D4BCB8}" name="BackBox"/>
    <tableColumn id="153" xr3:uid="{D8E24F41-48AB-42A7-8546-484B85D9D64D}" name="Optimizely Web Experimentation"/>
    <tableColumn id="154" xr3:uid="{3ED59533-928A-4FE6-ABD0-D912D866053C}" name="ConfigCat"/>
    <tableColumn id="155" xr3:uid="{95CED1A7-7792-4657-8E90-4D6F309446E6}" name="Split"/>
    <tableColumn id="156" xr3:uid="{3A46F5F6-730E-4ABA-9F32-E9FA37F022BA}" name="CA Harvest Software Change Manager"/>
    <tableColumn id="157" xr3:uid="{A3E8FA80-47E3-4DC5-B819-6CC208424917}" name="Fugue"/>
    <tableColumn id="158" xr3:uid="{2EC7D47B-920B-4081-A84D-FCE5F8883304}" name="Digital.ai Deploy"/>
    <tableColumn id="159" xr3:uid="{F31EA509-02EE-40C6-BAA3-DC0CF3E2A17B}" name="CA Endevor"/>
    <tableColumn id="160" xr3:uid="{2D13D8FF-2E75-4283-A70B-48F1391FF54D}" name="Kamatera"/>
    <tableColumn id="161" xr3:uid="{EBB13878-B030-4E65-917A-254B92127D31}" name="IBM Rational Synergy"/>
    <tableColumn id="162" xr3:uid="{446CE57E-FCB9-4514-BD60-97FC2889F6C8}" name="Plastic SCM"/>
    <tableColumn id="163" xr3:uid="{9961BF1F-F32C-47D7-A755-95621B47FBA7}" name="IBM Rational ClearQuest"/>
    <tableColumn id="164" xr3:uid="{B86E94D3-F808-46CD-9AC3-E0F92F4353F5}" name="Surround SCM"/>
    <tableColumn id="165" xr3:uid="{D8D1459C-82F3-4C59-857C-16C07FA7C1AA}" name="IBM Cloud Continuous Delivery"/>
    <tableColumn id="166" xr3:uid="{5BFD1B50-16EF-48B3-A667-A5E56AB30D10}" name="ChangeMan ZMF"/>
    <tableColumn id="167" xr3:uid="{EFD40C41-0FAF-4199-BF35-2A64EE6090F6}" name="GitHub Actions"/>
    <tableColumn id="168" xr3:uid="{AE78CCDE-8DD4-4F51-850F-53B0679BEA96}" name="Claudia.js"/>
    <tableColumn id="169" xr3:uid="{E5571F8E-E6C5-4C98-88A5-A001F295FFD0}" name="IBM UrbanCode Deploy"/>
    <tableColumn id="170" xr3:uid="{66FB69DF-5E7E-471B-B881-03AEF3ED5289}" name="SpiraTeam"/>
    <tableColumn id="171" xr3:uid="{6F4E4FDC-8C3A-4B0D-A0E2-4556D8C6A6D6}" name="Microsoft Operations Management Suite"/>
    <tableColumn id="172" xr3:uid="{41977617-2C22-43DE-85A2-1E5858824F20}" name="CollabNet Subversion"/>
    <tableColumn id="173" xr3:uid="{28B6EDFF-95A9-4621-AA5A-707E0170AD93}" name="Perforce Helix"/>
    <tableColumn id="174" xr3:uid="{3F9D9871-710B-49DB-9BE6-147745B4445B}" name="Microsoft Visual Studio Team System"/>
    <tableColumn id="175" xr3:uid="{89D34753-2673-48B3-B404-F333B258F7B2}" name="IBM Interactive System Productivity Facility"/>
    <tableColumn id="176" xr3:uid="{649CA422-B252-4186-B3E5-66ACADC4AE24}" name="Aiden"/>
    <tableColumn id="177" xr3:uid="{85759496-26AF-485A-AAAE-783D0C452EE4}" name="Orca"/>
    <tableColumn id="178" xr3:uid="{495FC05D-3858-436A-B3E7-EF2CB3875E07}" name="DuploClud"/>
    <tableColumn id="179" xr3:uid="{1719CAAF-14D4-4252-838B-5A2578B84059}" name="HCL Launch"/>
    <tableColumn id="180" xr3:uid="{EDED3D00-422E-47E6-B891-4F535989D6C2}" name="Nirmata Policy Manager"/>
    <tableColumn id="181" xr3:uid="{83C49D73-C6CB-472A-81F0-B5A3262E3666}" name="Cisco Intelligent Automation for Cloud"/>
    <tableColumn id="182" xr3:uid="{F4200749-A791-43A1-AF76-E2655AA07BDE}" name="NetApp Cloud Volumes ONTAP"/>
    <tableColumn id="183" xr3:uid="{181A9971-70BD-4B59-A9B5-6366B33D318D}" name="JHipster"/>
    <tableColumn id="184" xr3:uid="{7B72E2B7-BF2D-4B6A-A9C3-CCACA00C8484}" name="Jfrog Artifactory"/>
    <tableColumn id="185" xr3:uid="{523EB469-FEC8-4020-B059-5A30CB7BFF84}" name="Resolve"/>
    <tableColumn id="186" xr3:uid="{E2BBBBE4-061A-4A73-95CE-075F14A21759}" name="Densify"/>
    <tableColumn id="187" xr3:uid="{13B50A4E-AD24-400D-A50A-E2F0DA2020B2}" name="Dynatrace Virtualization Monitoring"/>
    <tableColumn id="188" xr3:uid="{2F1B1779-AAAC-47DA-BD74-5799A8A2844A}" name="MicroFocus"/>
    <tableColumn id="189" xr3:uid="{1BDAB80D-8709-4CE2-8DC3-1144B1E58325}" name="Mist.io"/>
    <tableColumn id="190" xr3:uid="{90BA4FBF-B648-4620-9EF0-6C30B2C02323}" name="Quest Cloud Manager"/>
    <tableColumn id="191" xr3:uid="{8A9F527F-3C2B-4AB6-B9D7-AE3A34699F5F}" name="Rundeck"/>
    <tableColumn id="192" xr3:uid="{AF691A46-CA12-4EDE-BCF7-770D67803C2E}" name="Scalr"/>
    <tableColumn id="193" xr3:uid="{41CB1B53-9BC6-4A9A-B2C4-9AAF9364FA13}" name="Bunnyshell"/>
    <tableColumn id="194" xr3:uid="{E6D77024-99C6-44B8-8ABC-D388C7DE6741}" name="Datadog"/>
    <tableColumn id="195" xr3:uid="{D0229F97-22E2-436C-B9F5-CB89ED2161BF}" name="Augeas"/>
    <tableColumn id="196" xr3:uid="{F0E3DC13-8072-4F66-B05D-489801D8D158}" name="Flyway"/>
    <tableColumn id="197" xr3:uid="{2C2B52D1-6E40-48E7-9403-131884865EEC}" name="Apache Hadoop YARN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9EEACEA-9CC9-49F9-A607-A4655E39C9E8}" name="Table12" displayName="Table12" ref="A1:C52" totalsRowShown="0">
  <autoFilter ref="A1:C52" xr:uid="{F9EEACEA-9CC9-49F9-A607-A4655E39C9E8}"/>
  <tableColumns count="3">
    <tableColumn id="1" xr3:uid="{41DFCA17-1AEE-4300-823A-A3709267C72B}" name="#"/>
    <tableColumn id="3" xr3:uid="{E51F7185-4FBC-4A7C-8D76-4E632304161D}" name="F/I (Formal/Informal)"/>
    <tableColumn id="2" xr3:uid="{201E0DE5-7AD0-4D3B-B392-3E63C3F16E16}" name="Categorie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92D8D1-2EB5-4AAA-9BA0-DACF2FC1DD45}" name="Tabelle1" displayName="Tabelle1" ref="A1:F81" totalsRowShown="0">
  <autoFilter ref="A1:F81" xr:uid="{C692D8D1-2EB5-4AAA-9BA0-DACF2FC1DD4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CF4F343-8D7C-43D4-8624-CBFA1DB06AE9}" name="Title"/>
    <tableColumn id="2" xr3:uid="{B0021BAF-70DA-4C23-BE69-7CF22DDBEBD7}" name="Link"/>
    <tableColumn id="3" xr3:uid="{0991EC2A-5D47-4830-BF0B-088AE1B71286}" name="Reason"/>
    <tableColumn id="4" xr3:uid="{9E1D45FD-AAD5-4C70-8107-B1D4CAF72762}" name="Year"/>
    <tableColumn id="5" xr3:uid="{4DC1DA19-86A6-4FA1-9099-2F7E08C657A4}" name="Author"/>
    <tableColumn id="6" xr3:uid="{8DFA7F3C-21C6-466F-BDB9-99A776A25E9A}" name="Search String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B9F232-188F-4823-913C-9AD693CCD2ED}" name="Table3" displayName="Table3" ref="A2:FF135" totalsRowCount="1">
  <autoFilter ref="A2:FF134" xr:uid="{67B9F232-188F-4823-913C-9AD693CCD2ED}"/>
  <tableColumns count="162">
    <tableColumn id="93" xr3:uid="{04453205-C453-4D31-B230-170EC2C7E040}" name="#" totalsRowLabel="Total"/>
    <tableColumn id="1" xr3:uid="{2D98D193-75FA-465F-A6EF-A6322C26D74B}" name="Resource Name"/>
    <tableColumn id="2" xr3:uid="{DF2FFCDB-5FAB-45E1-90A3-B72E24803A34}" name="Link"/>
    <tableColumn id="94" xr3:uid="{EC7536CD-E5D0-41A0-89EF-DABDF0D5D84A}" name="C / J / W / M / S / B / T / JA / N"/>
    <tableColumn id="4" xr3:uid="{0D924CD0-C69B-4DD9-B81B-96AC34FE1F36}" name="Year"/>
    <tableColumn id="3" xr3:uid="{78D47437-EB22-4615-BF85-9FB726D7C522}" name="Author"/>
    <tableColumn id="95" xr3:uid="{8ED542DD-881B-4EF2-9169-BD1B297CFA58}" name="Comment"/>
    <tableColumn id="96" xr3:uid="{FB6EEBD2-6197-4A17-AC6F-C4B0CF40256E}" name="Applied Search String"/>
    <tableColumn id="5" xr3:uid="{D28308B2-803D-4B00-BAC1-A5577B2891E8}" name="# Mentions" totalsRowFunction="custom" dataDxfId="7" totalsRowDxfId="6">
      <totalsRowFormula>SUM(I3:I134)</totalsRowFormula>
    </tableColumn>
    <tableColumn id="7" xr3:uid="{19D2C2CE-45DA-4714-81F7-D1574A095879}" name="terraform validate" totalsRowFunction="custom">
      <totalsRowFormula>COUNTIF(J3:J134,"x")</totalsRowFormula>
    </tableColumn>
    <tableColumn id="8" xr3:uid="{1DE95A69-3109-4E03-85BF-418A4AB55C83}" name="TFLint" totalsRowFunction="custom">
      <totalsRowFormula>COUNTIF(K3:K134,"x")</totalsRowFormula>
    </tableColumn>
    <tableColumn id="9" xr3:uid="{C69BA3BD-1E8A-44F4-8817-DEED7C111EF3}" name="puppet parser validate" totalsRowFunction="custom">
      <totalsRowFormula>COUNTIF(L3:L134,"x")</totalsRowFormula>
    </tableColumn>
    <tableColumn id="11" xr3:uid="{DFB2334B-69C0-45E6-9EF6-8634E803CD2A}" name="goss" totalsRowFunction="custom">
      <totalsRowFormula>COUNTIF(M3:M134,"x")</totalsRowFormula>
    </tableColumn>
    <tableColumn id="13" xr3:uid="{7BED95B4-168A-46A5-9658-C71074DF6727}" name="Trivy" totalsRowFunction="custom">
      <totalsRowFormula>COUNTIF(N3:N134,"x")</totalsRowFormula>
    </tableColumn>
    <tableColumn id="14" xr3:uid="{E8BE3DF7-4491-4013-A04E-7681F14EB5AA}" name="tfsec" totalsRowFunction="custom">
      <totalsRowFormula>COUNTIF(O3:O134,"x")</totalsRowFormula>
    </tableColumn>
    <tableColumn id="15" xr3:uid="{9CA3A0BA-98E9-4D27-B886-E93E1C45FBA1}" name="cfn-lint" totalsRowFunction="custom">
      <totalsRowFormula>COUNTIF(P3:P134,"x")</totalsRowFormula>
    </tableColumn>
    <tableColumn id="16" xr3:uid="{C89E3336-7233-4A7A-8DBB-39A69E078CFA}" name="conftest" totalsRowFunction="custom">
      <totalsRowFormula>COUNTIF(Q3:Q134,"x")</totalsRowFormula>
    </tableColumn>
    <tableColumn id="17" xr3:uid="{704DC367-302F-4DF2-921D-3A8A38DE371F}" name="terraform validator" totalsRowFunction="custom">
      <totalsRowFormula>COUNTIF(R3:R134,"x")</totalsRowFormula>
    </tableColumn>
    <tableColumn id="19" xr3:uid="{ACD496D0-0E64-42BE-94D0-2CF2628B3DC8}" name="Cloud Carbon Footprint (CCF)" totalsRowFunction="custom">
      <totalsRowFormula>COUNTIF(S3:S134,"x")</totalsRowFormula>
    </tableColumn>
    <tableColumn id="20" xr3:uid="{05E71F31-BC30-4014-BD50-0443C115A1F7}" name="kube-score" totalsRowFunction="custom">
      <totalsRowFormula>COUNTIF(T3:T134,"x")</totalsRowFormula>
    </tableColumn>
    <tableColumn id="21" xr3:uid="{D137516B-9BE7-40D5-8806-52EBF8F84824}" name="infracost" totalsRowFunction="custom">
      <totalsRowFormula>COUNTIF(U3:U134,"x")</totalsRowFormula>
    </tableColumn>
    <tableColumn id="22" xr3:uid="{44AC5C0E-7557-4F18-8E60-CDCBC4AA5A02}" name="terratest" totalsRowFunction="custom">
      <totalsRowFormula>COUNTIF(V3:V134,"x")</totalsRowFormula>
    </tableColumn>
    <tableColumn id="23" xr3:uid="{4A2FA2A0-FD41-461B-9F9D-9C2F68B19341}" name="OPA" totalsRowFunction="custom">
      <totalsRowFormula>COUNTIF(W3:W134,"x")</totalsRowFormula>
    </tableColumn>
    <tableColumn id="24" xr3:uid="{5E1CE7E5-E3BF-40E6-A0F2-67F9A1056DA3}" name="foodcritic" totalsRowFunction="custom">
      <totalsRowFormula>COUNTIF(X3:X134,"x")</totalsRowFormula>
    </tableColumn>
    <tableColumn id="25" xr3:uid="{F7DB1059-9C84-4997-A91A-5FB3800BD23C}" name="molecule" totalsRowFunction="custom">
      <totalsRowFormula>COUNTIF(Y3:Y134,"x")</totalsRowFormula>
    </tableColumn>
    <tableColumn id="26" xr3:uid="{1E4C8A24-64C7-41DC-B7CF-0BC0B59F45BC}" name="ansible-lint" totalsRowFunction="custom">
      <totalsRowFormula>COUNTIF(Z3:Z134,"x")</totalsRowFormula>
    </tableColumn>
    <tableColumn id="27" xr3:uid="{F1F09F98-CFAD-4C29-9337-67447E242C11}" name="sentinel" totalsRowFunction="custom">
      <totalsRowFormula>COUNTIF(AA3:AA134,"x")</totalsRowFormula>
    </tableColumn>
    <tableColumn id="28" xr3:uid="{69FB2ADA-F3E4-4788-9BB4-1199F3C66F21}" name="checkov" totalsRowFunction="custom">
      <totalsRowFormula>COUNTIF(AB3:AB134,"x")</totalsRowFormula>
    </tableColumn>
    <tableColumn id="29" xr3:uid="{2570B8D4-1BFF-4A44-8721-F457866C5537}" name="terraform-compliance" totalsRowFunction="custom">
      <totalsRowFormula>COUNTIF(AC3:AC134,"x")</totalsRowFormula>
    </tableColumn>
    <tableColumn id="30" xr3:uid="{0A7A13D8-E076-4D64-962D-14D27C4573C7}" name="terrascan" totalsRowFunction="custom">
      <totalsRowFormula>COUNTIF(AD3:AD134,"x")</totalsRowFormula>
    </tableColumn>
    <tableColumn id="31" xr3:uid="{A679B046-F3EA-4FB8-A822-9AB0CDFB944D}" name="inspec" totalsRowFunction="custom">
      <totalsRowFormula>COUNTIF(AE3:AE134,"x")</totalsRowFormula>
    </tableColumn>
    <tableColumn id="32" xr3:uid="{722C40FB-583F-41AF-9C9C-F903D916579A}" name="serverspec" totalsRowFunction="custom">
      <totalsRowFormula>COUNTIF(AF3:AF134,"x")</totalsRowFormula>
    </tableColumn>
    <tableColumn id="33" xr3:uid="{FA39390F-0AE7-4F83-A58B-38A25FB32803}" name="cfn_nag" totalsRowFunction="custom">
      <totalsRowFormula>COUNTIF(AG3:AG134,"x")</totalsRowFormula>
    </tableColumn>
    <tableColumn id="34" xr3:uid="{BF434E6E-72F3-4C98-B508-8318DEEB351C}" name="awspec" totalsRowFunction="custom">
      <totalsRowFormula>COUNTIF(AH3:AH134,"x")</totalsRowFormula>
    </tableColumn>
    <tableColumn id="35" xr3:uid="{C8CB4937-06EE-489E-B014-F3438BC79DFB}" name="clarity" totalsRowFunction="custom">
      <totalsRowFormula>COUNTIF(AI3:AI134,"x")</totalsRowFormula>
    </tableColumn>
    <tableColumn id="36" xr3:uid="{9EC346E8-EDBB-483B-9ED8-ACBAB9E6BB14}" name="taskcat" totalsRowFunction="custom">
      <totalsRowFormula>COUNTIF(AJ3:AJ134,"x")</totalsRowFormula>
    </tableColumn>
    <tableColumn id="38" xr3:uid="{E4C28BCC-9420-459E-982B-FE3BE58F5858}" name="ansible-later" totalsRowFunction="custom">
      <totalsRowFormula>COUNTIF(AK3:AK134,"x")</totalsRowFormula>
    </tableColumn>
    <tableColumn id="39" xr3:uid="{226C655F-1FC1-4189-92AD-73FDDB217E8E}" name="TestInfra" totalsRowFunction="custom">
      <totalsRowFormula>COUNTIF(AL3:AL134,"x")</totalsRowFormula>
    </tableColumn>
    <tableColumn id="40" xr3:uid="{F77B5745-E163-434F-829B-FDE07D61FFAE}" name="helm lint" totalsRowFunction="custom">
      <totalsRowFormula>COUNTIF(AM3:AM134,"x")</totalsRowFormula>
    </tableColumn>
    <tableColumn id="41" xr3:uid="{A45A9766-4120-4E1E-8E4D-CE2205657D8B}" name="helm --dry-run" totalsRowFunction="custom">
      <totalsRowFormula>COUNTIF(AN3:AN134,"x")</totalsRowFormula>
    </tableColumn>
    <tableColumn id="42" xr3:uid="{BACA364B-D1F1-4475-98D5-028AAB81CC79}" name="helm validate" totalsRowFunction="custom">
      <totalsRowFormula>COUNTIF(AO3:AO134,"x")</totalsRowFormula>
    </tableColumn>
    <tableColumn id="44" xr3:uid="{F4332ECB-6325-4E43-BCAB-481551C8309F}" name="puppet-lint" totalsRowFunction="custom">
      <totalsRowFormula>COUNTIF(AP3:AP134,"x")</totalsRowFormula>
    </tableColumn>
    <tableColumn id="45" xr3:uid="{5AF97A8F-8A82-40F4-8F92-8AA9537BF919}" name="Rehearsal" totalsRowFunction="custom">
      <totalsRowFormula>COUNTIF(AQ3:AQ134,"x")</totalsRowFormula>
    </tableColumn>
    <tableColumn id="46" xr3:uid="{27C990D8-E76B-4FC7-BFB0-B997633C3CA9}" name="Snyk" totalsRowFunction="custom">
      <totalsRowFormula>COUNTIF(AR3:AR134,"x")</totalsRowFormula>
    </tableColumn>
    <tableColumn id="47" xr3:uid="{8371F45D-74D0-4A1E-89C1-24E0C6D61009}" name="Anylint" totalsRowFunction="custom">
      <totalsRowFormula>COUNTIF(AS3:AS134,"x")</totalsRowFormula>
    </tableColumn>
    <tableColumn id="48" xr3:uid="{BEED27F9-5562-40B0-BA3C-409D466E5434}" name="Super-linter" totalsRowFunction="custom">
      <totalsRowFormula>COUNTIF(AT3:AT134,"x")</totalsRowFormula>
    </tableColumn>
    <tableColumn id="49" xr3:uid="{EEA90345-E163-46CB-B3D2-947F98970E05}" name="Mega-linter" totalsRowFunction="custom">
      <totalsRowFormula>COUNTIF(AU3:AU134,"x")</totalsRowFormula>
    </tableColumn>
    <tableColumn id="50" xr3:uid="{55D50E5D-2833-4F9C-9232-5DB825121837}" name="CloudSploit" totalsRowFunction="custom">
      <totalsRowFormula>COUNTIF(AV3:AV134,"x")</totalsRowFormula>
    </tableColumn>
    <tableColumn id="51" xr3:uid="{A2B6CA91-BEBB-4991-B1E9-065B81AE7D07}" name="Terrafirma" totalsRowFunction="custom">
      <totalsRowFormula>COUNTIF(AW3:AW134,"x")</totalsRowFormula>
    </tableColumn>
    <tableColumn id="52" xr3:uid="{011C8041-2286-4E04-8B26-ACEAEB2581BA}" name="Cookstyle" totalsRowFunction="custom">
      <totalsRowFormula>COUNTIF(AX3:AX134,"x")</totalsRowFormula>
    </tableColumn>
    <tableColumn id="53" xr3:uid="{1E63F219-8EFE-4430-B200-974276B48E5B}" name="tosca-parser" totalsRowFunction="custom">
      <totalsRowFormula>COUNTIF(AY3:AY134,"x")</totalsRowFormula>
    </tableColumn>
    <tableColumn id="54" xr3:uid="{F578BAA9-AE36-4A43-923B-DA25329248D1}" name="x-opera-opera" totalsRowFunction="custom">
      <totalsRowFormula>COUNTIF(AZ3:AZ134,"x")</totalsRowFormula>
    </tableColumn>
    <tableColumn id="55" xr3:uid="{1F5313F6-C20D-4F3B-BA83-BA61FA530E5A}" name="hadolint" totalsRowFunction="custom">
      <totalsRowFormula>COUNTIF(BA3:BA134,"x")</totalsRowFormula>
    </tableColumn>
    <tableColumn id="56" xr3:uid="{4A0A94FA-5499-4FF3-A8BF-70262DE85143}" name="pylint" totalsRowFunction="custom">
      <totalsRowFormula>COUNTIF(BB3:BB134,"x")</totalsRowFormula>
    </tableColumn>
    <tableColumn id="57" xr3:uid="{3274D9F8-DBAB-4939-ADD6-D3C210A8217C}" name="bandit" totalsRowFunction="custom">
      <totalsRowFormula>COUNTIF(BC3:BC134,"x")</totalsRowFormula>
    </tableColumn>
    <tableColumn id="58" xr3:uid="{AC633FC5-FE58-4427-8CAE-FDABD4C11F55}" name="pyup" totalsRowFunction="custom">
      <totalsRowFormula>COUNTIF(BD3:BD134,"x")</totalsRowFormula>
    </tableColumn>
    <tableColumn id="59" xr3:uid="{E703A357-3355-4032-86C4-328C93CA3DEA}" name="checkstyle" totalsRowFunction="custom">
      <totalsRowFormula>COUNTIF(BE3:BE134,"x")</totalsRowFormula>
    </tableColumn>
    <tableColumn id="60" xr3:uid="{6D327410-0E4A-4A81-9D74-5845555693BD}" name="htmllint" totalsRowFunction="custom">
      <totalsRowFormula>COUNTIF(BF3:BF134,"x")</totalsRowFormula>
    </tableColumn>
    <tableColumn id="61" xr3:uid="{B98F3886-2E5D-4297-B77E-75D601298C72}" name="eslint" totalsRowFunction="custom">
      <totalsRowFormula>COUNTIF(BG3:BG134,"x")</totalsRowFormula>
    </tableColumn>
    <tableColumn id="62" xr3:uid="{99A925F4-5C28-49B7-B81A-F806E0B0FFE8}" name="TypeScript Eslint" totalsRowFunction="custom">
      <totalsRowFormula>COUNTIF(BH3:BH134,"x")</totalsRowFormula>
    </tableColumn>
    <tableColumn id="63" xr3:uid="{755E9F1A-CE3C-4F54-80B9-EA90E2612C17}" name="ShellCheck" totalsRowFunction="custom">
      <totalsRowFormula>COUNTIF(BI3:BI134,"x")</totalsRowFormula>
    </tableColumn>
    <tableColumn id="64" xr3:uid="{A79E0553-00E7-421F-9D2A-B66915F19E55}" name="GitLeaks" totalsRowFunction="custom">
      <totalsRowFormula>COUNTIF(BJ3:BJ134,"x")</totalsRowFormula>
    </tableColumn>
    <tableColumn id="65" xr3:uid="{031971A0-5979-4C87-BD5D-E5AF4C129F5A}" name="git-secrets" totalsRowFunction="custom">
      <totalsRowFormula>COUNTIF(BK3:BK134,"x")</totalsRowFormula>
    </tableColumn>
    <tableColumn id="66" xr3:uid="{BD35B8F4-FC0D-47AA-8C89-5C42508A0522}" name="Markdown lint" totalsRowFunction="custom">
      <totalsRowFormula>COUNTIF(BL3:BL134,"x")</totalsRowFormula>
    </tableColumn>
    <tableColumn id="67" xr3:uid="{0E9650CB-ABBE-4212-8E19-5BB4D92FBA18}" name="Gixy" totalsRowFunction="custom">
      <totalsRowFormula>COUNTIF(BM3:BM134,"x")</totalsRowFormula>
    </tableColumn>
    <tableColumn id="68" xr3:uid="{4B8480BF-55C1-4A3F-8C3E-B80C9DF6C589}" name="yamllint" totalsRowFunction="custom">
      <totalsRowFormula>COUNTIF(BN3:BN134,"x")</totalsRowFormula>
    </tableColumn>
    <tableColumn id="69" xr3:uid="{BBABFEAE-D40D-48CC-8C72-39DFEB433B50}" name="Dependency-Check" totalsRowFunction="custom">
      <totalsRowFormula>COUNTIF(BO3:BO134,"x")</totalsRowFormula>
    </tableColumn>
    <tableColumn id="70" xr3:uid="{54A5085E-E162-4586-A877-22B7A5C87C7F}" name="kubescan" totalsRowFunction="custom">
      <totalsRowFormula>COUNTIF(BP3:BP134,"x")</totalsRowFormula>
    </tableColumn>
    <tableColumn id="71" xr3:uid="{DDEC3F82-0E64-4CC9-89AE-3D28DAE3945F}" name="docker-linter" totalsRowFunction="custom">
      <totalsRowFormula>COUNTIF(BQ3:BQ134,"x")</totalsRowFormula>
    </tableColumn>
    <tableColumn id="72" xr3:uid="{6344BCA6-4FC9-4F93-9BA7-ABEBBF93C80B}" name="docker-vulnerability-extension" totalsRowFunction="custom">
      <totalsRowFormula>COUNTIF(BR3:BR134,"x")</totalsRowFormula>
    </tableColumn>
    <tableColumn id="73" xr3:uid="{5F78C7C3-5C69-49FA-B3B8-583FCCFF237B}" name="TruffleHog" totalsRowFunction="custom">
      <totalsRowFormula>COUNTIF(BS3:BS134,"x")</totalsRowFormula>
    </tableColumn>
    <tableColumn id="74" xr3:uid="{A29D7D8E-A65A-4C31-9E07-6FFA8E15179B}" name="GitGuardian" totalsRowFunction="custom">
      <totalsRowFormula>COUNTIF(BT3:BT134,"x")</totalsRowFormula>
    </tableColumn>
    <tableColumn id="75" xr3:uid="{5E5DF64E-232E-4418-BD68-65C79298314F}" name="Coverity" totalsRowFunction="custom">
      <totalsRowFormula>COUNTIF(BU3:BU134,"x")</totalsRowFormula>
    </tableColumn>
    <tableColumn id="76" xr3:uid="{2485C62C-8CF4-4782-8D24-4F8F02FF6F7E}" name="Dagda" totalsRowFunction="custom">
      <totalsRowFormula>COUNTIF(BV3:BV134,"x")</totalsRowFormula>
    </tableColumn>
    <tableColumn id="77" xr3:uid="{DBCE2604-BFB5-4E53-A6A5-F9065A822BB1}" name="Clair" totalsRowFunction="custom">
      <totalsRowFormula>COUNTIF(BW3:BW134,"x")</totalsRowFormula>
    </tableColumn>
    <tableColumn id="78" xr3:uid="{FAB878B1-FC7F-4F4A-9077-D6B497FBECDF}" name="RuboCop" totalsRowFunction="custom">
      <totalsRowFormula>COUNTIF(BX3:BX134,"x")</totalsRowFormula>
    </tableColumn>
    <tableColumn id="79" xr3:uid="{C3D8D350-19EE-4D6B-BD18-B133FFFDE7EB}" name="Tortoise" totalsRowFunction="custom">
      <totalsRowFormula>COUNTIF(BY3:BY134,"x")</totalsRowFormula>
    </tableColumn>
    <tableColumn id="80" xr3:uid="{12380030-1A37-4181-BFBB-904BA4BD880A}" name="ConfigValidator" totalsRowFunction="custom">
      <totalsRowFormula>COUNTIF(BZ3:BZ134,"x")</totalsRowFormula>
    </tableColumn>
    <tableColumn id="81" xr3:uid="{562ACF81-CDDA-4A1E-B4D4-426EF38215A7}" name="ansible --syntax-check" totalsRowFunction="custom">
      <totalsRowFormula>COUNTIF(CA3:CA134,"x")</totalsRowFormula>
    </tableColumn>
    <tableColumn id="82" xr3:uid="{6627ECDF-7909-4797-B952-CC31E38AD1BA}" name="ansible --check" totalsRowFunction="custom">
      <totalsRowFormula>COUNTIF(CB3:CB134,"x")</totalsRowFormula>
    </tableColumn>
    <tableColumn id="83" xr3:uid="{5B9F499E-2468-4903-8166-5AD8A08C146A}" name="ValidIaC" totalsRowFunction="custom">
      <totalsRowFormula>COUNTIF(CC3:CC134,"x")</totalsRowFormula>
    </tableColumn>
    <tableColumn id="84" xr3:uid="{400C7401-1259-424A-9F07-7CC97F958034}" name="ValidKube" totalsRowFunction="custom">
      <totalsRowFormula>COUNTIF(CD3:CD134,"x")</totalsRowFormula>
    </tableColumn>
    <tableColumn id="85" xr3:uid="{66E48FE1-D2AB-436D-B4E4-1180431196E7}" name="Regula" totalsRowFunction="custom">
      <totalsRowFormula>COUNTIF(CE3:CE134,"x")</totalsRowFormula>
    </tableColumn>
    <tableColumn id="86" xr3:uid="{0714BA1E-1FF4-4306-A6FD-B9C3102B56BB}" name="SpectralOps" totalsRowFunction="custom">
      <totalsRowFormula>COUNTIF(CF3:CF134,"x")</totalsRowFormula>
    </tableColumn>
    <tableColumn id="87" xr3:uid="{2AAAD83B-69B0-4351-B6A2-ADDBDF2325FE}" name="env0" totalsRowFunction="custom">
      <totalsRowFormula>COUNTIF(CG3:CG134,"x")</totalsRowFormula>
    </tableColumn>
    <tableColumn id="88" xr3:uid="{4909B6BA-BBAF-4994-A4F7-32E07FE218F8}" name="oak9" totalsRowFunction="custom">
      <totalsRowFormula>COUNTIF(CH3:CH134,"x")</totalsRowFormula>
    </tableColumn>
    <tableColumn id="90" xr3:uid="{51763552-0A20-4AEA-B001-03CA88891715}" name="Fugue" totalsRowFunction="custom">
      <totalsRowFormula>COUNTIF(CI3:CI134,"x")</totalsRowFormula>
    </tableColumn>
    <tableColumn id="6" xr3:uid="{310B4769-15FB-4C8E-97F8-C4AC0CC5F0AC}" name="bridgecrew Cloud" totalsRowFunction="custom">
      <totalsRowFormula>COUNTIF(CJ3:CJ134,"x")</totalsRowFormula>
    </tableColumn>
    <tableColumn id="10" xr3:uid="{A61DA708-B257-44E1-9832-B5D5825908E6}" name="terraform fmt" totalsRowFunction="custom">
      <totalsRowFormula>COUNTIF(CK3:CK134,"x")</totalsRowFormula>
    </tableColumn>
    <tableColumn id="18" xr3:uid="{6B2B2E7F-69F6-45E9-9E9E-8A0346B9470B}" name="KubeLinter" totalsRowFunction="custom">
      <totalsRowFormula>COUNTIF(CL3:CL134,"x")</totalsRowFormula>
    </tableColumn>
    <tableColumn id="43" xr3:uid="{2358330C-8962-4D01-8D68-B8E4E18CE4B3}" name="Anchore" totalsRowFunction="custom">
      <totalsRowFormula>COUNTIF(CM3:CM134,"x")</totalsRowFormula>
    </tableColumn>
    <tableColumn id="91" xr3:uid="{7858ABC2-3F20-4F3C-8A9C-F97EE814435F}" name="Accurics" totalsRowFunction="custom">
      <totalsRowFormula>COUNTIF(CN3:CN134,"x")</totalsRowFormula>
    </tableColumn>
    <tableColumn id="92" xr3:uid="{B94AEC46-F59D-48BB-BAA3-DBE5FBD9B5DD}" name="Prisma Cloud" totalsRowFunction="custom">
      <totalsRowFormula>COUNTIF(CO3:CO134,"x")</totalsRowFormula>
    </tableColumn>
    <tableColumn id="98" xr3:uid="{45B03894-EB51-455D-8C5A-2E063C475977}" name="KICS" totalsRowFunction="custom">
      <totalsRowFormula>COUNTIF(CP3:CP134,"x")</totalsRowFormula>
    </tableColumn>
    <tableColumn id="99" xr3:uid="{1FCB02E5-57AD-4758-BC1B-60B07E64EE67}" name="Semgrep" totalsRowFunction="custom">
      <totalsRowFormula>COUNTIF(CQ3:CQ134,"x")</totalsRowFormula>
    </tableColumn>
    <tableColumn id="100" xr3:uid="{592845C7-66C9-460D-90E8-449929303C0C}" name="Steampipe's Terraform plugin" totalsRowFunction="custom">
      <totalsRowFormula>COUNTIF(CR3:CR134,"x")</totalsRowFormula>
    </tableColumn>
    <tableColumn id="101" xr3:uid="{48273F1D-1932-4D02-B80B-E01E3DCBBE03}" name="Häyhä" totalsRowFunction="custom">
      <totalsRowFormula>COUNTIF(CS3:CS134,"x")</totalsRowFormula>
    </tableColumn>
    <tableColumn id="102" xr3:uid="{135834A8-E8AA-468F-B407-9846FBBDA470}" name="cloudformation-guard" totalsRowFunction="custom">
      <totalsRowFormula>COUNTIF(CT3:CT134,"x")</totalsRowFormula>
    </tableColumn>
    <tableColumn id="103" xr3:uid="{9AE00274-D0E6-49E8-AB58-4953A9A41A45}" name="Cloudrail" totalsRowFunction="custom">
      <totalsRowFormula>COUNTIF(CU3:CU134,"x")</totalsRowFormula>
    </tableColumn>
    <tableColumn id="104" xr3:uid="{0E40ED2E-BCA8-4CE0-B752-6BAACF571541}" name="Lacework" totalsRowFunction="custom">
      <totalsRowFormula>COUNTIF(CV3:CV134,"x")</totalsRowFormula>
    </tableColumn>
    <tableColumn id="105" xr3:uid="{7FB76151-7317-432F-8D48-A553568BBD82}" name="Gatekeeper" totalsRowFunction="custom">
      <totalsRowFormula>COUNTIF(CW3:CW134,"x")</totalsRowFormula>
    </tableColumn>
    <tableColumn id="106" xr3:uid="{C41E3EB9-3324-44CA-927A-EEDA2793DC0C}" name="Rapid Scan SAST (Synopsys)" totalsRowFunction="custom">
      <totalsRowFormula>COUNTIF(CX3:CX134,"x")</totalsRowFormula>
    </tableColumn>
    <tableColumn id="107" xr3:uid="{4FBFF8AD-5EAA-4623-BF4A-4B2D35B634C0}" name="Prancer" totalsRowFunction="custom">
      <totalsRowFormula>COUNTIF(CY3:CY134,"x")</totalsRowFormula>
    </tableColumn>
    <tableColumn id="108" xr3:uid="{D1A419B4-5F7A-43C5-A3B0-AF53272BFC81}" name="SLIC" totalsRowFunction="custom">
      <totalsRowFormula>COUNTIF(CZ3:CZ134,"x")</totalsRowFormula>
    </tableColumn>
    <tableColumn id="109" xr3:uid="{305FAA45-82D3-4764-AE53-CD44B14E81FA}" name="kitchen-terraform" totalsRowFunction="custom">
      <totalsRowFormula>COUNTIF(DA3:DA134,"x")</totalsRowFormula>
    </tableColumn>
    <tableColumn id="110" xr3:uid="{EC6CF2F5-45AE-4056-99B2-C19540A1A530}" name="tf-parliament" totalsRowFunction="custom">
      <totalsRowFormula>COUNTIF(DB3:DB134,"x")</totalsRowFormula>
    </tableColumn>
    <tableColumn id="111" xr3:uid="{FE65B43F-00F6-4F1A-8BD4-0821CBBF5554}" name="yor" totalsRowFunction="custom">
      <totalsRowFormula>COUNTIF(DC3:DC134,"x")</totalsRowFormula>
    </tableColumn>
    <tableColumn id="112" xr3:uid="{8FCEDD57-E890-43C7-BF0A-2950A22BEAA2}" name="cfripper" totalsRowFunction="custom">
      <totalsRowFormula>COUNTIF(DD3:DD134,"x")</totalsRowFormula>
    </tableColumn>
    <tableColumn id="113" xr3:uid="{4BFF4F39-9828-4287-A8A8-0E470F068BCC}" name="tern" totalsRowFunction="custom">
      <totalsRowFormula>COUNTIF(DE3:DE134,"x")</totalsRowFormula>
    </tableColumn>
    <tableColumn id="114" xr3:uid="{CA5A644D-37DA-4369-8EA5-B42B09618270}" name="dockle" totalsRowFunction="custom">
      <totalsRowFormula>COUNTIF(DF3:DF134,"x")</totalsRowFormula>
    </tableColumn>
    <tableColumn id="115" xr3:uid="{7BEF9DC5-4DA7-4491-B75D-CD494223A78A}" name="grype" totalsRowFunction="custom">
      <totalsRowFormula>COUNTIF(DG3:DG134,"x")</totalsRowFormula>
    </tableColumn>
    <tableColumn id="116" xr3:uid="{CFF97D1A-4430-4FCC-9370-C88C54F25833}" name="container-scan" totalsRowFunction="custom">
      <totalsRowFormula>COUNTIF(DH3:DH134,"x")</totalsRowFormula>
    </tableColumn>
    <tableColumn id="117" xr3:uid="{9D63AF7B-A40B-41DD-9818-F5855B06F8F3}" name="fossa-action" totalsRowFunction="custom">
      <totalsRowFormula>COUNTIF(DI3:DI134,"x")</totalsRowFormula>
    </tableColumn>
    <tableColumn id="119" xr3:uid="{0383A974-5E83-4691-9F15-A506818A5980}" name="kubeclarity" totalsRowFunction="custom">
      <totalsRowFormula>COUNTIF(DJ3:DJ134,"x")</totalsRowFormula>
    </tableColumn>
    <tableColumn id="120" xr3:uid="{9376EF4A-1228-4EA8-A06E-1274A579C88E}" name="version-checker" totalsRowFunction="custom">
      <totalsRowFormula>COUNTIF(DK3:DK134,"x")</totalsRowFormula>
    </tableColumn>
    <tableColumn id="121" xr3:uid="{A4095C0E-6FDE-43BA-822D-82EF85CBBF4F}" name="chart-testing" totalsRowFunction="custom">
      <totalsRowFormula>COUNTIF(DL3:DL134,"x")</totalsRowFormula>
    </tableColumn>
    <tableColumn id="122" xr3:uid="{DEE078CF-6ED7-44BD-BBC7-5C1E7C342A4C}" name="helm-scanner" totalsRowFunction="custom">
      <totalsRowFormula>COUNTIF(DM3:DM134,"x")</totalsRowFormula>
    </tableColumn>
    <tableColumn id="123" xr3:uid="{41C20443-0CB8-49F0-A151-AA700959581D}" name="inframap" totalsRowFunction="custom">
      <totalsRowFormula>COUNTIF(DN3:DN134,"x")</totalsRowFormula>
    </tableColumn>
    <tableColumn id="124" xr3:uid="{BD5FFB4D-A9CD-4A22-8BB0-8CB3C5A1DECF}" name="trunk" totalsRowFunction="custom">
      <totalsRowFormula>COUNTIF(DO3:DO134,"x")</totalsRowFormula>
    </tableColumn>
    <tableColumn id="125" xr3:uid="{CB129CC7-EF17-4D72-9CEE-CB0BB57C49BC}" name="shisho" totalsRowFunction="custom">
      <totalsRowFormula>COUNTIF(DP3:DP134,"x")</totalsRowFormula>
    </tableColumn>
    <tableColumn id="126" xr3:uid="{697EABE5-1D29-4513-A300-94F5F01BBABF}" name="SecureCode" totalsRowFunction="custom">
      <totalsRowFormula>COUNTIF(DQ3:DQ134,"x")</totalsRowFormula>
    </tableColumn>
    <tableColumn id="127" xr3:uid="{C8C1A8C8-9135-4522-9D1C-80B37C132057}" name="SLAC" totalsRowFunction="custom">
      <totalsRowFormula>COUNTIF(DR3:DR134,"x")</totalsRowFormula>
    </tableColumn>
    <tableColumn id="128" xr3:uid="{F6457847-6D85-417E-9B40-1543072FC407}" name="GLITCH" totalsRowFunction="custom">
      <totalsRowFormula>COUNTIF(DS3:DS134,"x")</totalsRowFormula>
    </tableColumn>
    <tableColumn id="129" xr3:uid="{21675EF3-8DF5-4910-BD45-704154568A42}" name="DeepConfig" totalsRowFunction="custom">
      <totalsRowFormula>COUNTIF(DT3:DT134,"x")</totalsRowFormula>
    </tableColumn>
    <tableColumn id="130" xr3:uid="{85FBFB81-C020-4160-A759-D0F2E611E7EB}" name="docker-bench-security" totalsRowFunction="custom">
      <totalsRowFormula>COUNTIF(DU3:DU134,"x")</totalsRowFormula>
    </tableColumn>
    <tableColumn id="131" xr3:uid="{C5981230-79DC-4A80-AC75-D36891D255D5}" name="kubectl-kubesec" totalsRowFunction="custom">
      <totalsRowFormula>COUNTIF(DV3:DV134,"x")</totalsRowFormula>
    </tableColumn>
    <tableColumn id="132" xr3:uid="{AD6B8E20-2B33-4A30-A48D-F9CA1D6118E6}" name="credscan" totalsRowFunction="custom">
      <totalsRowFormula>COUNTIF(DW3:DW134,"x")</totalsRowFormula>
    </tableColumn>
    <tableColumn id="133" xr3:uid="{48D37882-32F0-437E-B78F-10AD7DFB459D}" name="detect-secrets" totalsRowFunction="custom">
      <totalsRowFormula>COUNTIF(DX3:DX134,"x")</totalsRowFormula>
    </tableColumn>
    <tableColumn id="134" xr3:uid="{14E43711-9F33-4F92-B36B-92A00ADBAFD6}" name="repo-supervisor" totalsRowFunction="custom">
      <totalsRowFormula>COUNTIF(DY3:DY134,"x")</totalsRowFormula>
    </tableColumn>
    <tableColumn id="135" xr3:uid="{C67C0FA5-85F7-4E0C-A84D-607880E65994}" name="dotenv linter" totalsRowFunction="custom">
      <totalsRowFormula>COUNTIF(DZ3:DZ134,"x")</totalsRowFormula>
    </tableColumn>
    <tableColumn id="136" xr3:uid="{EC612AA5-3473-4CC0-8620-9D894DC72FE5}" name="AzTs" totalsRowFunction="custom">
      <totalsRowFormula>COUNTIF(EA3:EA134,"x")</totalsRowFormula>
    </tableColumn>
    <tableColumn id="137" xr3:uid="{748972F9-A26C-4838-8A00-8BF04F63F30B}" name="clusterlint" totalsRowFunction="custom">
      <totalsRowFormula>COUNTIF(EB3:EB134,"x")</totalsRowFormula>
    </tableColumn>
    <tableColumn id="138" xr3:uid="{6C830F3B-AC5D-42D4-86C8-2C032AB6C19D}" name="datree" totalsRowFunction="custom">
      <totalsRowFormula>COUNTIF(EC3:EC134,"x")</totalsRowFormula>
    </tableColumn>
    <tableColumn id="139" xr3:uid="{56A7E013-A379-42DB-8D75-BB47C999ECDA}" name="kube-lint" totalsRowFunction="custom">
      <totalsRowFormula>COUNTIF(ED3:ED134,"x")</totalsRowFormula>
    </tableColumn>
    <tableColumn id="140" xr3:uid="{BA0C3613-8C81-4B4A-B1AC-D8D51802E54C}" name="kubeval" totalsRowFunction="custom">
      <totalsRowFormula>COUNTIF(EE3:EE134,"x")</totalsRowFormula>
    </tableColumn>
    <tableColumn id="141" xr3:uid="{80321316-388A-483F-917B-7D9B0DCB693A}" name="metadata-json-lint" totalsRowFunction="custom">
      <totalsRowFormula>COUNTIF(EF3:EF134,"x")</totalsRowFormula>
    </tableColumn>
    <tableColumn id="142" xr3:uid="{E5953345-3803-4785-8A90-20389341A20C}" name="puppet-sec-lint" totalsRowFunction="custom">
      <totalsRowFormula>COUNTIF(EG3:EG134,"x")</totalsRowFormula>
    </tableColumn>
    <tableColumn id="143" xr3:uid="{2D0CB59B-E11C-464B-8CBF-D5F627400F89}" name="helm template" totalsRowFunction="custom">
      <totalsRowFormula>COUNTIF(EH3:EH134,"x")</totalsRowFormula>
    </tableColumn>
    <tableColumn id="144" xr3:uid="{2318EB03-86C3-4FF3-AB9B-5A112EB24563}" name="dockerlint" totalsRowFunction="custom">
      <totalsRowFormula>COUNTIF(EI3:EI134,"x")</totalsRowFormula>
    </tableColumn>
    <tableColumn id="145" xr3:uid="{2332637B-B2EC-4718-9579-16A1131C8B45}" name="dockerfile_lint" totalsRowFunction="custom">
      <totalsRowFormula>COUNTIF(EJ3:EJ134,"x")</totalsRowFormula>
    </tableColumn>
    <tableColumn id="146" xr3:uid="{FBA61B0D-FCC4-447F-827E-B140D1DF5CE8}" name="dockerfilelint" totalsRowFunction="custom">
      <totalsRowFormula>COUNTIF(EK3:EK134,"x")</totalsRowFormula>
    </tableColumn>
    <tableColumn id="147" xr3:uid="{C4D5241A-F673-494A-B212-721849B6C18A}" name="kubeconform" totalsRowFunction="custom">
      <totalsRowFormula>COUNTIF(EL3:EL134,"x")</totalsRowFormula>
    </tableColumn>
    <tableColumn id="148" xr3:uid="{A32D1636-01DA-48E0-879F-DE35BA277AC5}" name="ansible-test" totalsRowFunction="custom">
      <totalsRowFormula>COUNTIF(EM3:EM134,"x")</totalsRowFormula>
    </tableColumn>
    <tableColumn id="149" xr3:uid="{6BA6011D-9A75-4FB8-9FE1-101E0FDAE246}" name="rolespec" totalsRowFunction="custom">
      <totalsRowFormula>COUNTIF(EN3:EN134,"x")</totalsRowFormula>
    </tableColumn>
    <tableColumn id="150" xr3:uid="{DAD6EBA1-6223-4FF0-9DC1-0B1934A675F4}" name="polaris" totalsRowFunction="custom">
      <totalsRowFormula>COUNTIF(EO3:EO134,"x")</totalsRowFormula>
    </tableColumn>
    <tableColumn id="151" xr3:uid="{74D6F7BC-0319-4F9E-BAB8-BACD649DABEA}" name="kubectl-neat" totalsRowFunction="custom">
      <totalsRowFormula>COUNTIF(EP3:EP134,"x")</totalsRowFormula>
    </tableColumn>
    <tableColumn id="152" xr3:uid="{86379BAB-583E-426D-9E97-E12E7AA24F32}" name="kubescape" totalsRowFunction="custom">
      <totalsRowFormula>COUNTIF(EQ3:EQ134,"x")</totalsRowFormula>
    </tableColumn>
    <tableColumn id="153" xr3:uid="{BDF89E5A-E4B3-4787-85F8-17070F4FCB68}" name="parliament" totalsRowFunction="custom">
      <totalsRowFormula>COUNTIF(ER3:ER134,"x")</totalsRowFormula>
    </tableColumn>
    <tableColumn id="154" xr3:uid="{8F67F769-4FF6-4A5B-99B0-9F6B254B13CF}" name="terraform-validator" totalsRowFunction="custom">
      <totalsRowFormula>COUNTIF(ES3:ES134,"x")</totalsRowFormula>
    </tableColumn>
    <tableColumn id="155" xr3:uid="{E588CFC2-8E8C-4C5C-999A-7E845C7211D3}" name="config-validator" totalsRowFunction="custom">
      <totalsRowFormula>COUNTIF(ET3:ET134,"x")</totalsRowFormula>
    </tableColumn>
    <tableColumn id="156" xr3:uid="{BA5513D6-2324-4483-A08A-FDD19033415B}" name="kubectl --dry-run=client" totalsRowFunction="custom">
      <totalsRowFormula>COUNTIF(EU3:EU134,"x")</totalsRowFormula>
    </tableColumn>
    <tableColumn id="157" xr3:uid="{3D7B75E7-1AEE-403E-A70C-670634D078AA}" name="helm verify" totalsRowFunction="custom">
      <totalsRowFormula>COUNTIF(EV3:EV134,"x")</totalsRowFormula>
    </tableColumn>
    <tableColumn id="12" xr3:uid="{6599A821-3682-457D-ADBE-074FC65675BD}" name="AnsibleMetrics" totalsRowFunction="custom">
      <totalsRowFormula>COUNTIF(EW3:EW134,"x")</totalsRowFormula>
    </tableColumn>
    <tableColumn id="37" xr3:uid="{C38D6ACC-7B80-4259-85B0-E1FABA3FC6D1}" name="ACID" totalsRowFunction="custom">
      <totalsRowFormula>COUNTIF(EX3:EX134,"x")</totalsRowFormula>
    </tableColumn>
    <tableColumn id="89" xr3:uid="{F2C7F561-2257-4181-8423-81B1584552E3}" name="Barrel" totalsRowFunction="custom">
      <totalsRowFormula>COUNTIF(EY3:EY134,"x")</totalsRowFormula>
    </tableColumn>
    <tableColumn id="118" xr3:uid="{38CEA9E7-7B1F-415B-A41D-3F70AF62AF9E}" name="DeepIaC" totalsRowFunction="custom">
      <totalsRowFormula>COUNTIF(EZ3:EZ134,"x")</totalsRowFormula>
    </tableColumn>
    <tableColumn id="158" xr3:uid="{D21F337F-8756-46B3-B79D-EF16F1FB48BD}" name="Puppeteer" totalsRowFunction="custom">
      <totalsRowFormula>COUNTIF(FA3:FA134,"x")</totalsRowFormula>
    </tableColumn>
    <tableColumn id="159" xr3:uid="{69851218-7F6E-420D-96D1-508AB4EBA17A}" name="SecGuru" totalsRowFunction="custom">
      <totalsRowFormula>COUNTIF(FB3:FB134,"x")</totalsRowFormula>
    </tableColumn>
    <tableColumn id="160" xr3:uid="{360BDAC2-D133-4E70-8B99-9F1C1CCFB65B}" name="SODALITE" totalsRowFunction="custom">
      <totalsRowFormula>COUNTIF(FC3:FC134,"x")</totalsRowFormula>
    </tableColumn>
    <tableColumn id="161" xr3:uid="{F05E4DE2-3C83-4247-912A-97F213F04D4C}" name="Sommelier" totalsRowFunction="custom">
      <totalsRowFormula>COUNTIF(FD3:FD134,"x")</totalsRowFormula>
    </tableColumn>
    <tableColumn id="162" xr3:uid="{48C5D719-EFAE-4F33-8DEA-7CEBE5942C63}" name="docker-compose-viz" totalsRowFunction="custom">
      <totalsRowFormula>COUNTIF(FE3:FE134,"x")</totalsRowFormula>
    </tableColumn>
    <tableColumn id="163" xr3:uid="{8EAA0EF6-8325-4E36-AA18-A32A581B4B57}" name="salt-lint" totalsRowFunction="custom">
      <totalsRowFormula>COUNTIF(FF3:FF134,"x")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4FF7F1C-4FF9-4E4B-9AAF-4EE22C931BFF}" name="Table9" displayName="Table9" ref="I137:FF155" headerRowDxfId="5">
  <autoFilter ref="I137:FF155" xr:uid="{B4FF7F1C-4FF9-4E4B-9AAF-4EE22C931BF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</autoFilter>
  <tableColumns count="154">
    <tableColumn id="1" xr3:uid="{FC9ACFBB-BE97-47FF-A9B6-2FA5C71C8771}" name="Criterion" totalsRowLabel="Total"/>
    <tableColumn id="2" xr3:uid="{2E10B17D-2840-449F-A869-90B15E06506B}" name="terraform validate"/>
    <tableColumn id="3" xr3:uid="{B8F8CCA3-814A-4BD7-8485-52F8C59BD3D8}" name="TFLint"/>
    <tableColumn id="4" xr3:uid="{838778D1-E8ED-45B5-BE84-922FA4CD4848}" name="puppet parser validate"/>
    <tableColumn id="5" xr3:uid="{D333D763-5F1C-484C-9DFD-88A2EA5D833E}" name="goss"/>
    <tableColumn id="7" xr3:uid="{A9AA088F-D9ED-4D07-B434-E94CE33C7367}" name="Trivy"/>
    <tableColumn id="8" xr3:uid="{108FB71B-3DA0-4149-853B-BC9FE42BEEE2}" name="tfsec"/>
    <tableColumn id="9" xr3:uid="{B3686310-426D-4CCE-B3C8-0C0D4FE37172}" name="cfn-lint"/>
    <tableColumn id="10" xr3:uid="{9EED87AE-8E0F-4A97-8F22-6EA42DD9B80B}" name="conftest"/>
    <tableColumn id="11" xr3:uid="{D389CDEF-8108-432E-96CF-E7E88C9EC59D}" name="terraform validator"/>
    <tableColumn id="12" xr3:uid="{938E66F6-5121-4269-866B-9F21A0A05339}" name="Cloud Carbon Footprint (CCF)"/>
    <tableColumn id="13" xr3:uid="{A4A7D42A-F520-46F7-A3D8-484BADC62D8B}" name="kube-score"/>
    <tableColumn id="14" xr3:uid="{E2849D2E-6959-4465-98FD-5F0B12AE8467}" name="infracost"/>
    <tableColumn id="15" xr3:uid="{51F96EB7-73BD-4625-98BE-EE8D66E09180}" name="terratest"/>
    <tableColumn id="16" xr3:uid="{21C065CA-F429-425E-904F-C023599B0724}" name="OPA"/>
    <tableColumn id="17" xr3:uid="{5A52D075-494D-4764-8E95-CB2981FE1F04}" name="foodcritic"/>
    <tableColumn id="18" xr3:uid="{D88EA643-5538-4A15-8BB3-5B316E770565}" name="molecule"/>
    <tableColumn id="19" xr3:uid="{161B781C-6F67-47BB-B415-A4C974F9E59A}" name="ansible-lint"/>
    <tableColumn id="20" xr3:uid="{63CACEEB-F122-4AAA-B3CF-9CD206DCA60D}" name="sentinel"/>
    <tableColumn id="21" xr3:uid="{E4A0B1A4-9288-46EC-997F-646F33A4565D}" name="checkov"/>
    <tableColumn id="22" xr3:uid="{6420F348-73FA-4D54-A4B6-12CBBBEA1584}" name="terraform-compliance"/>
    <tableColumn id="23" xr3:uid="{3AFCF0B0-D577-4E4B-B9A0-17A8E57BB772}" name="terrascan"/>
    <tableColumn id="24" xr3:uid="{09D9FFB1-C0F8-4AA9-863B-0FA8F26C3C16}" name="inspec"/>
    <tableColumn id="25" xr3:uid="{83D31402-7EED-4E27-86FE-AB3988DFE289}" name="serverspec"/>
    <tableColumn id="26" xr3:uid="{BCA3AA4D-5F65-4D59-BE12-53B9B688D1F8}" name="cfn_nag"/>
    <tableColumn id="27" xr3:uid="{E294EED4-61C4-4E05-9A57-B3C2AD23CE1F}" name="awspec"/>
    <tableColumn id="28" xr3:uid="{A62FC2D1-5376-490E-BBFD-4847BA863323}" name="clarity"/>
    <tableColumn id="29" xr3:uid="{9A5A9ECA-2087-4ADB-BA9A-F3D92535F4F2}" name="taskcat"/>
    <tableColumn id="31" xr3:uid="{D2149939-65FA-408E-80BE-9DAF49B65C91}" name="ansible-later"/>
    <tableColumn id="32" xr3:uid="{6E264976-4F20-4A8D-89E6-9764BE685AED}" name="TestInfra"/>
    <tableColumn id="33" xr3:uid="{64D98443-6F71-4FA1-A502-2D8107C5080D}" name="helm lint"/>
    <tableColumn id="34" xr3:uid="{ADE4BFF3-55A6-4317-9913-149AF91CD431}" name="helm --dry-run"/>
    <tableColumn id="35" xr3:uid="{6F6689A6-3DD8-48BD-8F37-240061FD2DD4}" name="helm --validate"/>
    <tableColumn id="36" xr3:uid="{E83E9B3D-E18A-4DE9-AD6F-662B30EAA9B8}" name="puppet-lint"/>
    <tableColumn id="37" xr3:uid="{793A7E06-C7B2-4BB6-B5C9-5ECBDECB4D19}" name="Rehearsal"/>
    <tableColumn id="38" xr3:uid="{85AF4165-273E-40C4-A0AD-2B314825224F}" name="Snyk"/>
    <tableColumn id="39" xr3:uid="{C2692627-E962-4BCC-B4E5-F9E4273DB4B6}" name="Anylint"/>
    <tableColumn id="40" xr3:uid="{27250F7D-9687-41EB-91C8-9BE72BEA8130}" name="Super-linter"/>
    <tableColumn id="41" xr3:uid="{C80F6BD7-3619-4891-A7C5-993B31179F02}" name="Mega-linter"/>
    <tableColumn id="42" xr3:uid="{2D75B161-026F-4601-AE93-265CD4B49F2C}" name="CloudSploit"/>
    <tableColumn id="43" xr3:uid="{BA6CAE79-7616-4458-891B-3ED1A5F5DA7F}" name="Terrafirma"/>
    <tableColumn id="44" xr3:uid="{323D94F7-CB27-474D-8B47-5F4D781331D5}" name="Cookstyle"/>
    <tableColumn id="45" xr3:uid="{62AD26D8-DEFD-4264-A5EE-E9E7831B1FB6}" name="tosca-parser"/>
    <tableColumn id="46" xr3:uid="{CC84A36E-8F39-433D-91AC-06218835DAB9}" name="x-opera-opera"/>
    <tableColumn id="47" xr3:uid="{D88514DA-FB9F-4FD5-A48F-C3A7E14C0B55}" name="hadolint"/>
    <tableColumn id="48" xr3:uid="{3C8F16BD-62C4-468B-8471-FAD0FDDB1C09}" name="pylint"/>
    <tableColumn id="49" xr3:uid="{6E70AE82-D0EB-46F8-AC74-A071A6397020}" name="bandit"/>
    <tableColumn id="50" xr3:uid="{284D1B57-96AE-49F1-AF42-43CCF08F8C2C}" name="pyup"/>
    <tableColumn id="51" xr3:uid="{82E3A750-1FC1-4B09-A799-E335707141BB}" name="checkstyle"/>
    <tableColumn id="52" xr3:uid="{81E1C4F9-95C1-4184-A653-70894A01E671}" name="htmllint"/>
    <tableColumn id="53" xr3:uid="{BAE8EDA1-708B-4D8F-9E34-BAE288B9CC24}" name="eslint"/>
    <tableColumn id="54" xr3:uid="{D059EFB9-A62E-4564-9866-77444E72DF67}" name="TypeScript Eslint"/>
    <tableColumn id="55" xr3:uid="{41F00B05-9285-4E3A-83F0-1416CFD3C2EA}" name="ShellCheck"/>
    <tableColumn id="56" xr3:uid="{3C951693-F014-497D-82D3-2E83663ACAAD}" name="GitLeaks"/>
    <tableColumn id="57" xr3:uid="{11318BFE-48D8-4E55-82CD-0FEAF88C4E90}" name="git-secrets"/>
    <tableColumn id="58" xr3:uid="{FE2DD368-C4F4-4A74-A487-145945BB0E5C}" name="Markdown lint"/>
    <tableColumn id="59" xr3:uid="{CFE10EB9-E245-4491-BE63-F1472C604FFC}" name="Gixy"/>
    <tableColumn id="60" xr3:uid="{5CD8767B-6AAD-4731-A633-F4B4732C1CC9}" name="yamllint"/>
    <tableColumn id="61" xr3:uid="{BFC44CE9-74E0-4391-83FF-284559FDE6A4}" name="Dependency-Check"/>
    <tableColumn id="62" xr3:uid="{E2BB5270-539C-4026-9F64-C903ED20EA4D}" name="kubescan"/>
    <tableColumn id="63" xr3:uid="{8D826045-4E8F-43D9-945C-B46CE92D4B4E}" name="docker-linter"/>
    <tableColumn id="64" xr3:uid="{A44BAAC0-5BCB-4F28-8D62-E8DE847C53AC}" name="docker-vulnerability-extension"/>
    <tableColumn id="65" xr3:uid="{E82287D2-26F7-405F-AB6C-2E987A3275BC}" name="TruffleHog"/>
    <tableColumn id="66" xr3:uid="{E313971F-D5CA-4D8D-8DC6-A79C9FBCB08F}" name="GitGuardian"/>
    <tableColumn id="67" xr3:uid="{AE269721-BFA2-46C6-9602-AFE2B9315E19}" name="Coverity"/>
    <tableColumn id="68" xr3:uid="{EFBEF565-14FD-4C6C-8000-6077697F8DF9}" name="Dagda"/>
    <tableColumn id="69" xr3:uid="{34FB611E-E17C-4806-A604-29CF32364893}" name="Clair"/>
    <tableColumn id="70" xr3:uid="{1C57FB8C-186F-4727-9083-289524E4B26C}" name="RuboCop"/>
    <tableColumn id="71" xr3:uid="{F2E5D7FE-7406-4415-8407-1B8E67E60F39}" name="Tortoise"/>
    <tableColumn id="72" xr3:uid="{A85257B9-9347-45C3-88D3-DDA38E9D8CD2}" name="ConfigValidator"/>
    <tableColumn id="73" xr3:uid="{20A9AD02-7536-497C-BAC2-0BFB55905D50}" name="ansible --syntax-check"/>
    <tableColumn id="74" xr3:uid="{67FF708F-21B9-4192-97D0-078DFD22A4A9}" name="ansible --check"/>
    <tableColumn id="75" xr3:uid="{693A61EC-B9F6-4CCF-8CE5-18F3ACAD0BE8}" name="ValidIaC"/>
    <tableColumn id="76" xr3:uid="{69D5EE90-CA68-48CA-AE93-A64E1D4214A3}" name="ValidKube"/>
    <tableColumn id="77" xr3:uid="{5823B005-BB98-4CBE-A270-8AC256C85271}" name="Regula"/>
    <tableColumn id="78" xr3:uid="{A4731FB4-84C4-48F6-9E3A-7329A741C282}" name="SpectralOps"/>
    <tableColumn id="79" xr3:uid="{F03B7037-58D1-4C27-849B-6447B74D05FD}" name="env0"/>
    <tableColumn id="80" xr3:uid="{0FBBE660-66DC-4CF0-80B9-CB803D536279}" name="oak9"/>
    <tableColumn id="82" xr3:uid="{352E238E-B16F-42B2-9D16-CD7CE241A565}" name="Fugue"/>
    <tableColumn id="83" xr3:uid="{11AF11B1-16E7-48A1-A9B7-F989394FE569}" name="bridgecrew Cloud"/>
    <tableColumn id="84" xr3:uid="{90100DE9-45B8-4F0A-9131-7431CEC6EE72}" name="terraform fmt"/>
    <tableColumn id="85" xr3:uid="{C19AEF91-D373-45ED-B3C7-904D610C3E4A}" name="KubeLinter"/>
    <tableColumn id="86" xr3:uid="{31299987-A483-496C-9B70-D9819B6E34A5}" name="Anchore"/>
    <tableColumn id="87" xr3:uid="{5B511AEE-7718-44DD-9530-81AD2521C157}" name="Accurics"/>
    <tableColumn id="88" xr3:uid="{F1F4402D-4F2E-457A-BA99-237FCDEAEABF}" name="Prisma Cloud"/>
    <tableColumn id="89" xr3:uid="{692EFE4D-55BE-487B-B993-E39A32114013}" name="KICS"/>
    <tableColumn id="90" xr3:uid="{DDCA0E60-9A50-4BF0-9A0B-D9E0460ADDA2}" name="Semgrep"/>
    <tableColumn id="91" xr3:uid="{5D014406-F216-48CE-A028-5550234BA87B}" name="Steampipe's Terraform plugin"/>
    <tableColumn id="92" xr3:uid="{C76BCD25-048E-439B-8BCD-4E61AABBCD71}" name="Häyhä"/>
    <tableColumn id="93" xr3:uid="{4FB6FD9F-7E58-44BC-AB00-FC09F58F3C5E}" name="cloudformation-guard"/>
    <tableColumn id="94" xr3:uid="{02CA910B-3568-4E75-BD0F-C55A2A618F9C}" name="Cloudrail"/>
    <tableColumn id="95" xr3:uid="{2C57A147-B5B6-4792-9A69-D5A6E6AA002F}" name="Lacework"/>
    <tableColumn id="96" xr3:uid="{1DA2071A-FEF0-4961-B9AA-E36A3D6FF5A0}" name="Gatekeeper"/>
    <tableColumn id="97" xr3:uid="{CB79AFB4-B9AA-42F1-84C5-9C5F359B755B}" name="Rapid Scan SAST (Synopsys)"/>
    <tableColumn id="98" xr3:uid="{F7FA2F4B-4F79-458E-BB51-06739E548721}" name="Prancer"/>
    <tableColumn id="99" xr3:uid="{531E88EA-DBB1-47DF-9405-33E3DB496C2D}" name="SLIC"/>
    <tableColumn id="100" xr3:uid="{111BD46F-7006-4A76-BC8B-C7D375B961E8}" name="kitchen-terraform"/>
    <tableColumn id="101" xr3:uid="{1B40CF46-57AF-4C3E-9C04-F7048E08849C}" name="tf-parliament"/>
    <tableColumn id="102" xr3:uid="{1E53252E-6A18-4B37-BCD2-3CFCB4D2FF6D}" name="yor"/>
    <tableColumn id="103" xr3:uid="{76744745-3F50-4069-895F-731413E5525A}" name="cfripper"/>
    <tableColumn id="104" xr3:uid="{5196F786-B554-4F48-9268-7D07B5CAB277}" name="tern"/>
    <tableColumn id="105" xr3:uid="{6651B15D-D451-4514-9537-655DEA4297F8}" name="dockle"/>
    <tableColumn id="106" xr3:uid="{87EF3238-C135-4467-A16D-6CB89FA65D89}" name="grype"/>
    <tableColumn id="107" xr3:uid="{21D2FDF6-B42E-4431-AE0C-55F3001C3626}" name="container-scan"/>
    <tableColumn id="108" xr3:uid="{D9E3F183-C8B0-4EED-ACDD-4B64F6567C1E}" name="fossa-action"/>
    <tableColumn id="110" xr3:uid="{96BD3471-6643-46E8-8CE2-56730843AA56}" name="kubeclarity"/>
    <tableColumn id="111" xr3:uid="{21D34823-FA84-4909-A9A9-84BDCCB421DB}" name="version-checker"/>
    <tableColumn id="112" xr3:uid="{8DD31002-B7CE-4183-B252-3D3D20B10978}" name="chart-testing"/>
    <tableColumn id="113" xr3:uid="{CE2414B1-D487-4D1D-91C4-8BF1239522C1}" name="helm-scanner"/>
    <tableColumn id="114" xr3:uid="{BBC6C17B-7951-44DF-A31D-BF135A0DEA58}" name="inframap"/>
    <tableColumn id="115" xr3:uid="{35A33E9D-86F8-4E2D-A14D-8DD68614D488}" name="trunk"/>
    <tableColumn id="116" xr3:uid="{09B256CE-B924-4A33-B628-E69DD0255E0D}" name="shisho"/>
    <tableColumn id="117" xr3:uid="{71B54A6E-20FC-4FC0-A47E-BECD7EA839FC}" name="SecureCode"/>
    <tableColumn id="118" xr3:uid="{2F669070-1B6D-4945-86F2-E48070647B56}" name="SLAC"/>
    <tableColumn id="119" xr3:uid="{0A2623C3-B1B6-45E9-A2A1-66CD2D2561E5}" name="GLITCH"/>
    <tableColumn id="120" xr3:uid="{293FD336-3F3F-4379-A6B1-584E9C4B362A}" name="DeepConfig"/>
    <tableColumn id="121" xr3:uid="{A8289E25-128A-41A2-B417-4920274358CC}" name="docker-bench-security"/>
    <tableColumn id="122" xr3:uid="{950396D1-7D7E-478D-8871-432BF96D9074}" name="kubectl-kubesec"/>
    <tableColumn id="123" xr3:uid="{55BDBFC2-13CD-4BEE-AC11-503678EA03C4}" name="credscan"/>
    <tableColumn id="124" xr3:uid="{029B3E4A-842C-4B80-830D-57620A442ADE}" name="detect-secrets"/>
    <tableColumn id="125" xr3:uid="{5309BF7D-4E89-45CA-A9A6-0BEE9051D30B}" name="repo-supervisor"/>
    <tableColumn id="126" xr3:uid="{376C657C-CDA1-4268-8F36-6C0FAFDF2603}" name="dotenv linter"/>
    <tableColumn id="127" xr3:uid="{EA062304-CF5C-4868-B03F-C010C925E121}" name="AzTs"/>
    <tableColumn id="128" xr3:uid="{3F6824AF-FCC4-47C9-8933-188A4256D97F}" name="clusterlint"/>
    <tableColumn id="129" xr3:uid="{21B1B8D4-3E73-445E-BD85-6C24CF421798}" name="datree"/>
    <tableColumn id="130" xr3:uid="{09AEBEF0-008B-4B01-836D-277455802C40}" name="kube-lint"/>
    <tableColumn id="131" xr3:uid="{03B56115-C2AE-4393-8BD8-821BDCD0175E}" name="kubeval"/>
    <tableColumn id="132" xr3:uid="{0DD3B193-8873-4EC1-95E8-7BD3EA64C970}" name="metadata-json-lint"/>
    <tableColumn id="133" xr3:uid="{97D3AB7A-6E65-482D-B58F-9266CD6C5A32}" name="puppet-sec-lint" totalsRowFunction="count"/>
    <tableColumn id="134" xr3:uid="{3D5627B6-BFD5-4E9A-B47D-C4C44C83CAF9}" name="helm template"/>
    <tableColumn id="135" xr3:uid="{5A4AA34B-CCBB-41EC-AEDC-3004FD8F8349}" name="dockerlint"/>
    <tableColumn id="136" xr3:uid="{F5A32FB8-B8AD-4A65-B9C7-96BED70E3F5F}" name="dockerfile_lint"/>
    <tableColumn id="137" xr3:uid="{EDAE9C5E-5191-4936-A42E-82FBDF6E7CBD}" name="dockerfilelint"/>
    <tableColumn id="138" xr3:uid="{DE5F8550-18E9-4714-9022-8F7B137D6377}" name="kubeconform"/>
    <tableColumn id="139" xr3:uid="{E6C57330-AD6C-4E40-A232-E63DB33158B8}" name="ansible-test"/>
    <tableColumn id="140" xr3:uid="{B37CC09B-7345-4856-815B-AF69F054CBF1}" name="rolespec"/>
    <tableColumn id="141" xr3:uid="{839448CB-43D1-4732-B1DC-1FEDA97F000F}" name="polaris"/>
    <tableColumn id="142" xr3:uid="{C5D90CBA-7A24-431D-B937-17FBF5F29C50}" name="kubectl-neat"/>
    <tableColumn id="143" xr3:uid="{4A60A57C-EDAB-499C-A691-8B637CF3FDA7}" name="kubescape"/>
    <tableColumn id="144" xr3:uid="{D391F074-C821-4746-9B81-B63DE2EDAB5E}" name="parliament"/>
    <tableColumn id="145" xr3:uid="{876B22AA-A288-4011-89DF-F1ABB6C6BE72}" name="terraform-validator"/>
    <tableColumn id="146" xr3:uid="{3DC2C09C-CECC-4179-AF1A-2B811901139F}" name="config-validator"/>
    <tableColumn id="147" xr3:uid="{6B82FD3B-1672-4F70-8D58-76A6E1CD24FF}" name="kubectl --dry-run=client"/>
    <tableColumn id="148" xr3:uid="{E7D7D802-34CD-4D5B-A773-209E87CE5F50}" name="helm verify"/>
    <tableColumn id="6" xr3:uid="{E1ED4EEA-1DC2-4F5C-98E7-B7D003CAD7F5}" name="AnsibleMetrics"/>
    <tableColumn id="30" xr3:uid="{F6ED886F-2BF3-48CF-972A-93B7A093BF08}" name="ACID"/>
    <tableColumn id="81" xr3:uid="{257C3CDD-5D91-42CA-AD9F-C1DAC68B1D63}" name="Barrel"/>
    <tableColumn id="109" xr3:uid="{C0FD8B3B-2580-4805-8815-1D5CB420B748}" name="DeepIaC"/>
    <tableColumn id="149" xr3:uid="{793E01D3-BB56-44D0-AA2D-A0E4DB8B554F}" name="Puppeteer"/>
    <tableColumn id="150" xr3:uid="{0C1F9292-C1E2-4A43-9EE3-EB4B8A5C29B8}" name="SecGuru"/>
    <tableColumn id="151" xr3:uid="{13C98C2A-7746-4C7C-A97C-171BC1AC9439}" name="SODALITE"/>
    <tableColumn id="152" xr3:uid="{AD5D7F60-82E8-48AC-BBC9-634AE9907210}" name="Sommelier"/>
    <tableColumn id="153" xr3:uid="{67E6352C-3579-4123-9730-7283181BB522}" name="docker-compose-viz"/>
    <tableColumn id="154" xr3:uid="{D571F099-7201-4715-BC3B-A49C6306ECED}" name="salt-lint"/>
  </tableColumns>
  <tableStyleInfo name="TableStyleMedium1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B5065AA-A214-481A-B793-CA251456662B}" name="Tabelle10" displayName="Tabelle10" ref="I162:J165" totalsRowShown="0">
  <autoFilter ref="I162:J165" xr:uid="{DB5065AA-A214-481A-B793-CA251456662B}"/>
  <tableColumns count="2">
    <tableColumn id="1" xr3:uid="{90F3E81A-78BF-404D-99F2-B223B05F1BE2}" name="Value"/>
    <tableColumn id="2" xr3:uid="{4C6CE9A3-485E-483F-B36C-4B1B93E31F34}" name="Descriptions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CFFB99C-E329-4E83-A476-298535BB35C4}" name="Table11" displayName="Table11" ref="A1:C20" totalsRowShown="0">
  <autoFilter ref="A1:C20" xr:uid="{5CFFB99C-E329-4E83-A476-298535BB35C4}"/>
  <tableColumns count="3">
    <tableColumn id="1" xr3:uid="{AF7CD4A4-1FC6-4814-9AB5-D7893BECE538}" name="#"/>
    <tableColumn id="3" xr3:uid="{4AFA4AED-9D54-4CA2-9550-A62AF655D6C4}" name="F/I (Formal/Informal)"/>
    <tableColumn id="2" xr3:uid="{DC102907-B823-4F28-BD5D-D31BC5A42E82}" name="Categories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5CDB02E-C9AE-45DA-AA37-173BE9FEF5FB}" name="Table7" displayName="Table7" ref="A1:F87" totalsRowShown="0" headerRowDxfId="4" headerRowBorderDxfId="3" tableBorderDxfId="2">
  <autoFilter ref="A1:F87" xr:uid="{E5CDB02E-C9AE-45DA-AA37-173BE9FEF5FB}"/>
  <tableColumns count="6">
    <tableColumn id="1" xr3:uid="{3CD9938F-F8B0-451F-99EB-AFB0B094E028}" name="Title"/>
    <tableColumn id="2" xr3:uid="{23E59AA0-2103-49DF-8B71-A9806ABC54CF}" name="Link"/>
    <tableColumn id="3" xr3:uid="{BA6E83CB-935B-4B2C-936F-7AD1D62D4348}" name="Reason"/>
    <tableColumn id="4" xr3:uid="{3AACCEFF-2019-42AF-B28E-7D7739691082}" name="Year"/>
    <tableColumn id="5" xr3:uid="{558541F1-927B-477F-88D2-51C25E6BC396}" name="Author"/>
    <tableColumn id="6" xr3:uid="{A9080F76-9F8F-4095-9F21-5981B4A0E610}" name="Search String" dataDxfId="1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0E42EE-9369-4980-9540-8AD92C638071}" name="Table2" displayName="Table2" ref="B2:C11" totalsRowShown="0">
  <autoFilter ref="B2:C11" xr:uid="{610E42EE-9369-4980-9540-8AD92C638071}"/>
  <tableColumns count="2">
    <tableColumn id="1" xr3:uid="{C4505BFF-BCF5-4BE3-8802-AFC871876BB7}" name="Rule Implementation*" dataDxfId="0"/>
    <tableColumn id="2" xr3:uid="{09D14DD8-EE68-41D9-B70B-A72D0594DA68}" name="#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C1800D4-0C83-4977-B421-91C6A37FFB3A}" name="Table8" displayName="Table8" ref="E2:F21" totalsRowShown="0">
  <autoFilter ref="E2:F21" xr:uid="{BC1800D4-0C83-4977-B421-91C6A37FFB3A}"/>
  <tableColumns count="2">
    <tableColumn id="1" xr3:uid="{7A0A56A6-310B-4649-9A43-26E1D973CAC8}" name="Tool Support*"/>
    <tableColumn id="2" xr3:uid="{ADC9BDB9-46F1-457A-807A-603BE3E19A65}" name="#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1B4B854-58B3-4C0C-BCCE-DC0E124F21DD}" name="Table13" displayName="Table13" ref="H2:I14" totalsRowShown="0">
  <autoFilter ref="H2:I14" xr:uid="{41B4B854-58B3-4C0C-BCCE-DC0E124F21DD}"/>
  <tableColumns count="2">
    <tableColumn id="1" xr3:uid="{26DC74E5-9EFE-4C71-8A7A-02B9A62D0F0A}" name="Programming Languages*"/>
    <tableColumn id="2" xr3:uid="{384F13C8-FB15-4E6F-BD07-AA7ED0E546FB}" name="#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47FE08D-DB16-45B8-B5F0-77870E3C0F51}" name="Table14" displayName="Table14" ref="K2:L17" totalsRowShown="0">
  <autoFilter ref="K2:L17" xr:uid="{747FE08D-DB16-45B8-B5F0-77870E3C0F51}"/>
  <tableColumns count="2">
    <tableColumn id="1" xr3:uid="{6616FE60-BB72-4405-A2F2-EC0B3007EF11}" name="File Support*"/>
    <tableColumn id="2" xr3:uid="{D1C7AE7C-D5FA-464A-B5E9-364DCEA4CAAA}" name="#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AF839A0-4877-4F4A-BEC7-AFCA2AC16003}" name="Table15" displayName="Table15" ref="N2:O64" totalsRowShown="0">
  <autoFilter ref="N2:O64" xr:uid="{2AF839A0-4877-4F4A-BEC7-AFCA2AC16003}"/>
  <tableColumns count="2">
    <tableColumn id="1" xr3:uid="{202504A0-A429-40BE-A8D2-F149B9F17056}" name="Output*"/>
    <tableColumn id="2" xr3:uid="{56A04F61-C43D-45A5-9CD1-CE2E67EFDD20}" name="#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68A6195-A906-4ADA-8708-E40A0C1CED6D}" name="Table16" displayName="Table16" ref="Q2:R12" totalsRowShown="0">
  <autoFilter ref="Q2:R12" xr:uid="{F68A6195-A906-4ADA-8708-E40A0C1CED6D}"/>
  <tableColumns count="2">
    <tableColumn id="1" xr3:uid="{2D1A691D-BCB3-46DA-84D1-9747E9EADBC6}" name="Categories*"/>
    <tableColumn id="2" xr3:uid="{D4253ED1-8811-4C70-B92B-F62930404C00}" name="#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56E5DA6-674D-45BE-B2C8-3CEA52CD26F6}" name="Table17" displayName="Table17" ref="T2:U28" totalsRowShown="0">
  <autoFilter ref="T2:U28" xr:uid="{A56E5DA6-674D-45BE-B2C8-3CEA52CD26F6}"/>
  <tableColumns count="2">
    <tableColumn id="1" xr3:uid="{1B41F141-8E6F-4C3B-B498-28CFAE4235CB}" name="Included Tools*"/>
    <tableColumn id="2" xr3:uid="{0DDBAAE8-6F0A-4B4F-AF84-57626D50647F}" name="#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886524A-CB38-4F90-932D-F8A0B681BE90}" name="Table18" displayName="Table18" ref="W2:X6" totalsRowShown="0">
  <autoFilter ref="W2:X6" xr:uid="{B886524A-CB38-4F90-932D-F8A0B681BE90}"/>
  <tableColumns count="2">
    <tableColumn id="1" xr3:uid="{24E1C908-759C-4E98-97C3-AE89A73AEDED}" name="Tool Support of built-in tools*"/>
    <tableColumn id="2" xr3:uid="{1707B4C9-0BD0-4AAF-BF82-0B0450046027}" name="#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E17366C-3F51-4119-A79D-C63848D97DB9}" name="Table19" displayName="Table19" ref="Z2:AA9" totalsRowShown="0">
  <autoFilter ref="Z2:AA9" xr:uid="{8E17366C-3F51-4119-A79D-C63848D97DB9}"/>
  <tableColumns count="2">
    <tableColumn id="1" xr3:uid="{C445AFD5-67B4-46A9-BC4C-5DF433AFFD96}" name="Licenses*"/>
    <tableColumn id="2" xr3:uid="{15201FB4-FA15-497C-AA08-7921CF19E59A}" name="#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d2iq.com/mesosphere/dcos/2.2/deploying-services/config-universe-service/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apiumhub.com/tech-blog-barcelona/infrastructure-as-code-benefits-and-tools/" TargetMode="External"/><Relationship Id="rId7" Type="http://schemas.openxmlformats.org/officeDocument/2006/relationships/hyperlink" Target="https://www.digitalocean.com/community/tutorials/an-introduction-to-mesospher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n-ix.com/infrastructure-as-code-tips/" TargetMode="External"/><Relationship Id="rId1" Type="http://schemas.openxmlformats.org/officeDocument/2006/relationships/hyperlink" Target="https://www.computerwoche.de/a/was-ist-infrastructure-as-code,3552400" TargetMode="External"/><Relationship Id="rId6" Type="http://schemas.openxmlformats.org/officeDocument/2006/relationships/hyperlink" Target="https://puppet.com/docs/bolt/latest/bolt.html" TargetMode="External"/><Relationship Id="rId11" Type="http://schemas.openxmlformats.org/officeDocument/2006/relationships/hyperlink" Target="https://resolve.io/" TargetMode="External"/><Relationship Id="rId5" Type="http://schemas.openxmlformats.org/officeDocument/2006/relationships/hyperlink" Target="https://www.hyscale.io/" TargetMode="External"/><Relationship Id="rId15" Type="http://schemas.openxmlformats.org/officeDocument/2006/relationships/table" Target="../tables/table3.xml"/><Relationship Id="rId10" Type="http://schemas.openxmlformats.org/officeDocument/2006/relationships/hyperlink" Target="https://www.rundeck.com/" TargetMode="External"/><Relationship Id="rId4" Type="http://schemas.openxmlformats.org/officeDocument/2006/relationships/hyperlink" Target="https://openupthecloud.com/infrastructure-as-code-ultimate-guide/" TargetMode="External"/><Relationship Id="rId9" Type="http://schemas.openxmlformats.org/officeDocument/2006/relationships/hyperlink" Target="https://www.inflectra.com/SpiraTeam/" TargetMode="External"/><Relationship Id="rId1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en.wikipedia.org/wiki/Orchestration_(computing)" TargetMode="External"/><Relationship Id="rId7" Type="http://schemas.openxmlformats.org/officeDocument/2006/relationships/hyperlink" Target="https://yannmjl.medium.com/?source=post_page-----4bf07b9c79db--------------------------------" TargetMode="External"/><Relationship Id="rId2" Type="http://schemas.openxmlformats.org/officeDocument/2006/relationships/hyperlink" Target="https://thenewstack.io/author/sean-porter/" TargetMode="External"/><Relationship Id="rId1" Type="http://schemas.openxmlformats.org/officeDocument/2006/relationships/hyperlink" Target="https://www.paloaltonetworks.de/prisma/cloud/infrastructure-as-code-security" TargetMode="External"/><Relationship Id="rId6" Type="http://schemas.openxmlformats.org/officeDocument/2006/relationships/hyperlink" Target="https://medium.com/@brikis98?source=post_page-----7989dad2865c--------------------------------" TargetMode="External"/><Relationship Id="rId5" Type="http://schemas.openxmlformats.org/officeDocument/2006/relationships/hyperlink" Target="https://www.advsyscon.com/blog/author/brian-mchugh/" TargetMode="External"/><Relationship Id="rId4" Type="http://schemas.openxmlformats.org/officeDocument/2006/relationships/hyperlink" Target="https://www.cisco.com/c/en/us/products/cloud-systems-management/network-services-orchestrator/index.html" TargetMode="External"/><Relationship Id="rId9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radon-h2020/radon-ansible-metrics" TargetMode="Externa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3" Type="http://schemas.openxmlformats.org/officeDocument/2006/relationships/table" Target="../tables/table12.xml"/><Relationship Id="rId7" Type="http://schemas.openxmlformats.org/officeDocument/2006/relationships/table" Target="../tables/table16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10" Type="http://schemas.openxmlformats.org/officeDocument/2006/relationships/table" Target="../tables/table19.xml"/><Relationship Id="rId4" Type="http://schemas.openxmlformats.org/officeDocument/2006/relationships/table" Target="../tables/table13.xml"/><Relationship Id="rId9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00E9-B2FA-49D0-A82D-8667D0682380}">
  <sheetPr>
    <tabColor theme="4"/>
  </sheetPr>
  <dimension ref="A1:GY259"/>
  <sheetViews>
    <sheetView tabSelected="1" zoomScale="85" zoomScaleNormal="85" workbookViewId="0">
      <selection sqref="A1:C1"/>
    </sheetView>
  </sheetViews>
  <sheetFormatPr defaultColWidth="8.77734375" defaultRowHeight="14.4" x14ac:dyDescent="0.3"/>
  <cols>
    <col min="1" max="1" width="5.21875" bestFit="1" customWidth="1"/>
    <col min="2" max="2" width="56" customWidth="1"/>
    <col min="3" max="3" width="26.88671875" customWidth="1"/>
    <col min="4" max="4" width="6.21875" customWidth="1"/>
    <col min="5" max="5" width="8.77734375" customWidth="1"/>
    <col min="6" max="6" width="26.88671875" customWidth="1"/>
    <col min="7" max="7" width="33.33203125" customWidth="1"/>
    <col min="8" max="8" width="33.109375" customWidth="1"/>
    <col min="9" max="9" width="32.88671875" bestFit="1" customWidth="1"/>
    <col min="10" max="10" width="24.77734375" customWidth="1"/>
    <col min="11" max="11" width="18" customWidth="1"/>
    <col min="12" max="12" width="10.88671875" customWidth="1"/>
    <col min="13" max="13" width="10.44140625" customWidth="1"/>
    <col min="14" max="14" width="10.109375" customWidth="1"/>
    <col min="15" max="15" width="11" customWidth="1"/>
    <col min="16" max="16" width="11.77734375" customWidth="1"/>
    <col min="17" max="17" width="10.77734375" customWidth="1"/>
    <col min="18" max="18" width="11.5546875" customWidth="1"/>
    <col min="19" max="19" width="10" customWidth="1"/>
    <col min="20" max="20" width="10.33203125" customWidth="1"/>
    <col min="21" max="21" width="10" customWidth="1"/>
    <col min="22" max="22" width="10.44140625" customWidth="1"/>
    <col min="23" max="23" width="12.109375" customWidth="1"/>
    <col min="24" max="24" width="9" customWidth="1"/>
    <col min="25" max="25" width="8.88671875" customWidth="1"/>
    <col min="26" max="26" width="9.88671875" customWidth="1"/>
    <col min="27" max="27" width="8.77734375" customWidth="1"/>
    <col min="28" max="28" width="24" customWidth="1"/>
    <col min="29" max="29" width="13.21875" customWidth="1"/>
    <col min="30" max="30" width="9" customWidth="1"/>
    <col min="31" max="31" width="9.33203125" customWidth="1"/>
    <col min="32" max="32" width="17.6640625" customWidth="1"/>
    <col min="33" max="33" width="10.109375" customWidth="1"/>
    <col min="34" max="34" width="13.77734375" customWidth="1"/>
    <col min="35" max="35" width="17.6640625" customWidth="1"/>
    <col min="36" max="36" width="13.6640625" customWidth="1"/>
    <col min="37" max="37" width="9.5546875" customWidth="1"/>
    <col min="38" max="38" width="8.77734375" customWidth="1"/>
    <col min="39" max="39" width="9.88671875" customWidth="1"/>
    <col min="40" max="40" width="10.6640625" customWidth="1"/>
    <col min="41" max="41" width="38.5546875" customWidth="1"/>
    <col min="42" max="42" width="16.77734375" customWidth="1"/>
    <col min="43" max="43" width="10.33203125" customWidth="1"/>
    <col min="44" max="44" width="13.77734375" customWidth="1"/>
    <col min="45" max="45" width="13.33203125" customWidth="1"/>
    <col min="46" max="46" width="17.109375" customWidth="1"/>
    <col min="47" max="47" width="48.88671875" customWidth="1"/>
    <col min="48" max="48" width="8.77734375" customWidth="1"/>
    <col min="49" max="49" width="28.44140625" customWidth="1"/>
    <col min="50" max="50" width="17.44140625" customWidth="1"/>
    <col min="51" max="51" width="12.33203125" customWidth="1"/>
    <col min="52" max="52" width="9.21875" customWidth="1"/>
    <col min="53" max="53" width="11.109375" customWidth="1"/>
    <col min="54" max="54" width="22.33203125" customWidth="1"/>
    <col min="55" max="55" width="10.6640625" customWidth="1"/>
    <col min="56" max="56" width="9.88671875" customWidth="1"/>
    <col min="57" max="57" width="10.33203125" customWidth="1"/>
    <col min="58" max="58" width="8.77734375" customWidth="1"/>
    <col min="59" max="59" width="9.33203125" customWidth="1"/>
    <col min="60" max="60" width="8.77734375" customWidth="1"/>
    <col min="61" max="61" width="11" customWidth="1"/>
    <col min="62" max="62" width="15.5546875" customWidth="1"/>
    <col min="63" max="63" width="16.77734375" customWidth="1"/>
    <col min="64" max="64" width="18.77734375" customWidth="1"/>
    <col min="65" max="65" width="23.109375" customWidth="1"/>
    <col min="66" max="66" width="13" customWidth="1"/>
    <col min="67" max="67" width="27.77734375" customWidth="1"/>
    <col min="68" max="68" width="15.88671875" customWidth="1"/>
    <col min="69" max="69" width="18.21875" customWidth="1"/>
    <col min="70" max="70" width="13.44140625" customWidth="1"/>
    <col min="71" max="71" width="11.77734375" customWidth="1"/>
    <col min="72" max="72" width="17.44140625" customWidth="1"/>
    <col min="73" max="73" width="18.88671875" customWidth="1"/>
    <col min="74" max="74" width="8.77734375" customWidth="1"/>
    <col min="75" max="75" width="29" customWidth="1"/>
    <col min="76" max="76" width="18.44140625" customWidth="1"/>
    <col min="77" max="77" width="11.21875" customWidth="1"/>
    <col min="78" max="78" width="20.44140625" customWidth="1"/>
    <col min="79" max="79" width="12.88671875" customWidth="1"/>
    <col min="80" max="80" width="22.33203125" customWidth="1"/>
    <col min="81" max="81" width="9.33203125" customWidth="1"/>
    <col min="82" max="82" width="12.88671875" customWidth="1"/>
    <col min="83" max="83" width="8.77734375" customWidth="1"/>
    <col min="84" max="84" width="14.33203125" customWidth="1"/>
    <col min="85" max="85" width="14.44140625" customWidth="1"/>
    <col min="86" max="86" width="12.88671875" customWidth="1"/>
    <col min="87" max="88" width="8.77734375" customWidth="1"/>
    <col min="89" max="89" width="10.77734375" customWidth="1"/>
    <col min="90" max="90" width="8.88671875" customWidth="1"/>
    <col min="91" max="91" width="28.88671875" customWidth="1"/>
    <col min="92" max="92" width="22.33203125" customWidth="1"/>
    <col min="93" max="93" width="20.6640625" customWidth="1"/>
    <col min="94" max="94" width="11.109375" customWidth="1"/>
    <col min="95" max="95" width="13.6640625" customWidth="1"/>
    <col min="96" max="96" width="23.44140625" customWidth="1"/>
    <col min="97" max="97" width="8.77734375" customWidth="1"/>
    <col min="98" max="98" width="13.6640625" customWidth="1"/>
    <col min="99" max="99" width="17" customWidth="1"/>
    <col min="100" max="100" width="10.88671875" customWidth="1"/>
    <col min="101" max="101" width="16.77734375" customWidth="1"/>
    <col min="102" max="102" width="10.6640625" customWidth="1"/>
    <col min="103" max="103" width="11.21875" customWidth="1"/>
    <col min="104" max="104" width="9.33203125" customWidth="1"/>
    <col min="105" max="105" width="8.77734375" customWidth="1"/>
    <col min="106" max="106" width="25.88671875" customWidth="1"/>
    <col min="107" max="107" width="17.109375" customWidth="1"/>
    <col min="108" max="108" width="8.88671875" customWidth="1"/>
    <col min="109" max="109" width="11.109375" customWidth="1"/>
    <col min="110" max="110" width="15.21875" customWidth="1"/>
    <col min="111" max="111" width="17.6640625" customWidth="1"/>
    <col min="112" max="112" width="10.109375" customWidth="1"/>
    <col min="113" max="113" width="15.44140625" customWidth="1"/>
    <col min="114" max="114" width="8.77734375" customWidth="1"/>
    <col min="115" max="115" width="12.88671875" customWidth="1"/>
    <col min="116" max="116" width="8.77734375" customWidth="1"/>
    <col min="117" max="117" width="12" customWidth="1"/>
    <col min="118" max="118" width="32.6640625" customWidth="1"/>
    <col min="119" max="119" width="8.88671875" customWidth="1"/>
    <col min="120" max="120" width="27" customWidth="1"/>
    <col min="121" max="121" width="22.33203125" customWidth="1"/>
    <col min="122" max="122" width="26.33203125" customWidth="1"/>
    <col min="123" max="123" width="24.33203125" customWidth="1"/>
    <col min="124" max="124" width="39.33203125" customWidth="1"/>
    <col min="125" max="125" width="8.77734375" customWidth="1"/>
    <col min="126" max="126" width="34.44140625" customWidth="1"/>
    <col min="127" max="127" width="27.77734375" customWidth="1"/>
    <col min="128" max="128" width="26.6640625" customWidth="1"/>
    <col min="129" max="129" width="8.77734375" customWidth="1"/>
    <col min="130" max="130" width="14.5546875" customWidth="1"/>
    <col min="131" max="131" width="10.33203125" customWidth="1"/>
    <col min="132" max="132" width="10.77734375" customWidth="1"/>
    <col min="133" max="133" width="12.88671875" customWidth="1"/>
    <col min="134" max="134" width="11.21875" customWidth="1"/>
    <col min="135" max="135" width="12.109375" customWidth="1"/>
    <col min="136" max="136" width="12.5546875" customWidth="1"/>
    <col min="137" max="137" width="24.109375" customWidth="1"/>
    <col min="138" max="138" width="23.44140625" customWidth="1"/>
    <col min="139" max="139" width="26.77734375" customWidth="1"/>
    <col min="140" max="140" width="18.5546875" customWidth="1"/>
    <col min="141" max="141" width="44.77734375" customWidth="1"/>
    <col min="142" max="142" width="30.77734375" customWidth="1"/>
    <col min="143" max="143" width="44.5546875" customWidth="1"/>
    <col min="144" max="144" width="8.77734375" customWidth="1"/>
    <col min="145" max="145" width="14.109375" customWidth="1"/>
    <col min="146" max="146" width="17" customWidth="1"/>
    <col min="147" max="147" width="11.77734375" customWidth="1"/>
    <col min="148" max="148" width="35.88671875" customWidth="1"/>
    <col min="149" max="149" width="11.88671875" customWidth="1"/>
    <col min="150" max="150" width="32.88671875" customWidth="1"/>
    <col min="151" max="151" width="29.88671875" customWidth="1"/>
    <col min="152" max="152" width="17.44140625" customWidth="1"/>
    <col min="153" max="153" width="51.44140625" customWidth="1"/>
    <col min="154" max="154" width="30.33203125" customWidth="1"/>
    <col min="155" max="155" width="14.33203125" customWidth="1"/>
    <col min="156" max="156" width="13.33203125" customWidth="1"/>
    <col min="157" max="157" width="13.21875" customWidth="1"/>
    <col min="158" max="158" width="19" customWidth="1"/>
    <col min="159" max="159" width="9.33203125" customWidth="1"/>
    <col min="160" max="160" width="21.44140625" customWidth="1"/>
    <col min="161" max="161" width="13.33203125" customWidth="1"/>
    <col min="162" max="162" width="10.33203125" customWidth="1"/>
    <col min="163" max="163" width="32.109375" customWidth="1"/>
    <col min="164" max="164" width="11.44140625" customWidth="1"/>
    <col min="165" max="165" width="8.77734375" customWidth="1"/>
    <col min="166" max="166" width="35.88671875" customWidth="1"/>
    <col min="167" max="167" width="8.77734375" customWidth="1"/>
    <col min="168" max="168" width="17.6640625" customWidth="1"/>
    <col min="169" max="169" width="13" customWidth="1"/>
    <col min="170" max="170" width="11.44140625" customWidth="1"/>
    <col min="171" max="171" width="22.21875" customWidth="1"/>
    <col min="172" max="172" width="13.33203125" customWidth="1"/>
    <col min="173" max="173" width="24.5546875" customWidth="1"/>
    <col min="174" max="174" width="15.44140625" customWidth="1"/>
    <col min="175" max="175" width="30.109375" customWidth="1"/>
    <col min="176" max="176" width="17.44140625" customWidth="1"/>
    <col min="177" max="177" width="16" customWidth="1"/>
    <col min="178" max="178" width="11.88671875" customWidth="1"/>
    <col min="179" max="179" width="23.21875" customWidth="1"/>
    <col min="180" max="180" width="12.21875" customWidth="1"/>
    <col min="181" max="181" width="38.44140625" customWidth="1"/>
    <col min="182" max="182" width="21.77734375" customWidth="1"/>
    <col min="183" max="183" width="15.21875" customWidth="1"/>
    <col min="184" max="184" width="35.21875" customWidth="1"/>
    <col min="185" max="185" width="41" customWidth="1"/>
    <col min="186" max="186" width="15.77734375" customWidth="1"/>
    <col min="187" max="187" width="8.77734375" customWidth="1"/>
    <col min="188" max="188" width="12.21875" customWidth="1"/>
    <col min="189" max="189" width="12.88671875" customWidth="1"/>
    <col min="190" max="190" width="24.33203125" customWidth="1"/>
    <col min="191" max="191" width="36.33203125" customWidth="1"/>
    <col min="192" max="192" width="30" customWidth="1"/>
    <col min="193" max="193" width="10" customWidth="1"/>
    <col min="194" max="194" width="17" customWidth="1"/>
    <col min="195" max="195" width="9.6640625" customWidth="1"/>
    <col min="196" max="196" width="27.33203125" customWidth="1"/>
    <col min="197" max="197" width="34.77734375" customWidth="1"/>
    <col min="198" max="198" width="13.33203125" customWidth="1"/>
    <col min="199" max="199" width="14.109375" customWidth="1"/>
    <col min="200" max="200" width="21.88671875" customWidth="1"/>
    <col min="201" max="201" width="10.33203125" customWidth="1"/>
    <col min="203" max="203" width="12.6640625" customWidth="1"/>
    <col min="204" max="204" width="10.33203125" customWidth="1"/>
    <col min="205" max="205" width="9.21875" customWidth="1"/>
    <col min="206" max="206" width="9" customWidth="1"/>
    <col min="207" max="207" width="21.88671875" customWidth="1"/>
  </cols>
  <sheetData>
    <row r="1" spans="1:207" x14ac:dyDescent="0.3">
      <c r="A1" s="63" t="s">
        <v>551</v>
      </c>
      <c r="B1" s="63"/>
      <c r="C1" s="63"/>
      <c r="D1" s="64" t="s">
        <v>2</v>
      </c>
      <c r="E1" s="64"/>
      <c r="F1" s="64"/>
      <c r="G1" s="64"/>
      <c r="H1" s="14"/>
      <c r="K1" s="9"/>
      <c r="L1" s="65" t="s">
        <v>26</v>
      </c>
      <c r="M1" s="66"/>
      <c r="N1" s="66"/>
      <c r="O1" s="66"/>
      <c r="P1" s="66"/>
      <c r="Q1" s="66"/>
      <c r="R1" s="66"/>
      <c r="S1" s="66"/>
      <c r="T1" s="66"/>
      <c r="U1" s="66"/>
      <c r="V1" s="66"/>
      <c r="W1" s="67"/>
      <c r="X1" s="68" t="s">
        <v>25</v>
      </c>
      <c r="Y1" s="69"/>
      <c r="Z1" s="69"/>
      <c r="AA1" s="69"/>
      <c r="AB1" s="70"/>
      <c r="AC1" s="71" t="s">
        <v>30</v>
      </c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3"/>
      <c r="AS1" s="60" t="s">
        <v>36</v>
      </c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2"/>
      <c r="BJ1" s="22" t="s">
        <v>1399</v>
      </c>
      <c r="BK1" s="57" t="s">
        <v>1213</v>
      </c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8"/>
      <c r="CO1" s="58"/>
      <c r="CP1" s="58"/>
      <c r="CQ1" s="58"/>
      <c r="CR1" s="58"/>
      <c r="CS1" s="58"/>
      <c r="CT1" s="58"/>
      <c r="CU1" s="58"/>
      <c r="CV1" s="58"/>
      <c r="CW1" s="58"/>
      <c r="CX1" s="58"/>
      <c r="CY1" s="58"/>
      <c r="CZ1" s="58"/>
      <c r="DA1" s="58"/>
      <c r="DB1" s="58"/>
      <c r="DC1" s="58"/>
      <c r="DD1" s="58"/>
      <c r="DE1" s="58"/>
      <c r="DF1" s="58"/>
      <c r="DG1" s="58"/>
      <c r="DH1" s="58"/>
      <c r="DI1" s="58"/>
      <c r="DJ1" s="58"/>
      <c r="DK1" s="58"/>
      <c r="DL1" s="58"/>
      <c r="DM1" s="58"/>
      <c r="DN1" s="58"/>
      <c r="DO1" s="58"/>
      <c r="DP1" s="58"/>
      <c r="DQ1" s="58"/>
      <c r="DR1" s="58"/>
      <c r="DS1" s="58"/>
      <c r="DT1" s="58"/>
      <c r="DU1" s="58"/>
      <c r="DV1" s="58"/>
      <c r="DW1" s="58"/>
      <c r="DX1" s="58"/>
      <c r="DY1" s="58"/>
      <c r="DZ1" s="58"/>
      <c r="EA1" s="58"/>
      <c r="EB1" s="58"/>
      <c r="EC1" s="58"/>
      <c r="ED1" s="58"/>
      <c r="EE1" s="58"/>
      <c r="EF1" s="58"/>
      <c r="EG1" s="58"/>
      <c r="EH1" s="58"/>
      <c r="EI1" s="58"/>
      <c r="EJ1" s="58"/>
      <c r="EK1" s="58"/>
      <c r="EL1" s="58"/>
      <c r="EM1" s="58"/>
      <c r="EN1" s="58"/>
      <c r="EO1" s="58"/>
      <c r="EP1" s="58"/>
      <c r="EQ1" s="58"/>
      <c r="ER1" s="58"/>
      <c r="ES1" s="58"/>
      <c r="ET1" s="58"/>
      <c r="EU1" s="58"/>
      <c r="EV1" s="58"/>
      <c r="EW1" s="58"/>
      <c r="EX1" s="58"/>
      <c r="EY1" s="58"/>
      <c r="EZ1" s="58"/>
      <c r="FA1" s="58"/>
      <c r="FB1" s="58"/>
      <c r="FC1" s="58"/>
      <c r="FD1" s="58"/>
      <c r="FE1" s="58"/>
      <c r="FF1" s="58"/>
      <c r="FG1" s="58"/>
      <c r="FH1" s="58"/>
      <c r="FI1" s="58"/>
      <c r="FJ1" s="58"/>
      <c r="FK1" s="58"/>
      <c r="FL1" s="58"/>
      <c r="FM1" s="58"/>
      <c r="FN1" s="58"/>
      <c r="FO1" s="58"/>
      <c r="FP1" s="58"/>
      <c r="FQ1" s="58"/>
      <c r="FR1" s="58"/>
      <c r="FS1" s="58"/>
      <c r="FT1" s="58"/>
      <c r="FU1" s="58"/>
      <c r="FV1" s="58"/>
      <c r="FW1" s="58"/>
      <c r="FX1" s="58"/>
      <c r="FY1" s="58"/>
      <c r="FZ1" s="58"/>
      <c r="GA1" s="58"/>
      <c r="GB1" s="58"/>
      <c r="GC1" s="58"/>
      <c r="GD1" s="58"/>
      <c r="GE1" s="58"/>
      <c r="GF1" s="58"/>
      <c r="GG1" s="58"/>
      <c r="GH1" s="58"/>
      <c r="GI1" s="58"/>
      <c r="GJ1" s="58"/>
      <c r="GK1" s="58"/>
      <c r="GL1" s="58"/>
      <c r="GM1" s="58"/>
      <c r="GN1" s="58"/>
      <c r="GO1" s="58"/>
      <c r="GP1" s="58"/>
      <c r="GQ1" s="58"/>
      <c r="GR1" s="58"/>
      <c r="GS1" s="58"/>
      <c r="GT1" s="58"/>
      <c r="GU1" s="58"/>
      <c r="GV1" s="58"/>
      <c r="GW1" s="58"/>
      <c r="GX1" s="58"/>
      <c r="GY1" s="59"/>
    </row>
    <row r="2" spans="1:207" x14ac:dyDescent="0.3">
      <c r="A2" s="5" t="s">
        <v>0</v>
      </c>
      <c r="B2" s="5" t="s">
        <v>1430</v>
      </c>
      <c r="C2" s="5" t="s">
        <v>1</v>
      </c>
      <c r="D2" s="3" t="s">
        <v>1083</v>
      </c>
      <c r="E2" s="4" t="s">
        <v>3</v>
      </c>
      <c r="F2" s="4" t="s">
        <v>1304</v>
      </c>
      <c r="G2" s="4" t="s">
        <v>6</v>
      </c>
      <c r="H2" s="4" t="s">
        <v>645</v>
      </c>
      <c r="I2" s="7" t="s">
        <v>569</v>
      </c>
      <c r="J2" s="8" t="s">
        <v>132</v>
      </c>
      <c r="K2" s="10" t="s">
        <v>443</v>
      </c>
      <c r="L2" s="18" t="s">
        <v>21</v>
      </c>
      <c r="M2" s="17" t="s">
        <v>22</v>
      </c>
      <c r="N2" s="17" t="s">
        <v>23</v>
      </c>
      <c r="O2" s="17" t="s">
        <v>24</v>
      </c>
      <c r="P2" s="17" t="s">
        <v>96</v>
      </c>
      <c r="Q2" s="17" t="s">
        <v>153</v>
      </c>
      <c r="R2" s="17" t="s">
        <v>191</v>
      </c>
      <c r="S2" s="17" t="s">
        <v>832</v>
      </c>
      <c r="T2" s="17" t="s">
        <v>833</v>
      </c>
      <c r="U2" s="17" t="s">
        <v>1229</v>
      </c>
      <c r="V2" s="17" t="s">
        <v>931</v>
      </c>
      <c r="W2" s="17" t="s">
        <v>1292</v>
      </c>
      <c r="X2" s="19" t="s">
        <v>27</v>
      </c>
      <c r="Y2" s="19" t="s">
        <v>28</v>
      </c>
      <c r="Z2" s="19" t="s">
        <v>29</v>
      </c>
      <c r="AA2" s="19" t="s">
        <v>154</v>
      </c>
      <c r="AB2" s="19" t="s">
        <v>312</v>
      </c>
      <c r="AC2" s="6" t="s">
        <v>31</v>
      </c>
      <c r="AD2" s="6" t="s">
        <v>34</v>
      </c>
      <c r="AE2" s="6" t="s">
        <v>35</v>
      </c>
      <c r="AF2" s="6" t="s">
        <v>550</v>
      </c>
      <c r="AG2" s="6" t="s">
        <v>122</v>
      </c>
      <c r="AH2" s="6" t="s">
        <v>232</v>
      </c>
      <c r="AI2" s="6" t="s">
        <v>419</v>
      </c>
      <c r="AJ2" s="6" t="s">
        <v>534</v>
      </c>
      <c r="AK2" s="13" t="s">
        <v>573</v>
      </c>
      <c r="AL2" s="13" t="s">
        <v>1347</v>
      </c>
      <c r="AM2" s="13" t="s">
        <v>712</v>
      </c>
      <c r="AN2" s="13" t="s">
        <v>733</v>
      </c>
      <c r="AO2" s="13" t="s">
        <v>1239</v>
      </c>
      <c r="AP2" s="13" t="s">
        <v>1040</v>
      </c>
      <c r="AQ2" s="13" t="s">
        <v>995</v>
      </c>
      <c r="AR2" s="13" t="s">
        <v>582</v>
      </c>
      <c r="AS2" s="20" t="s">
        <v>37</v>
      </c>
      <c r="AT2" s="20" t="s">
        <v>38</v>
      </c>
      <c r="AU2" s="20" t="s">
        <v>1398</v>
      </c>
      <c r="AV2" s="20" t="s">
        <v>83</v>
      </c>
      <c r="AW2" s="20" t="s">
        <v>39</v>
      </c>
      <c r="AX2" s="20" t="s">
        <v>40</v>
      </c>
      <c r="AY2" s="20" t="s">
        <v>77</v>
      </c>
      <c r="AZ2" s="20" t="s">
        <v>42</v>
      </c>
      <c r="BA2" s="20" t="s">
        <v>118</v>
      </c>
      <c r="BB2" s="20" t="s">
        <v>208</v>
      </c>
      <c r="BC2" s="20" t="s">
        <v>353</v>
      </c>
      <c r="BD2" s="20" t="s">
        <v>354</v>
      </c>
      <c r="BE2" s="20" t="s">
        <v>422</v>
      </c>
      <c r="BF2" s="20" t="s">
        <v>431</v>
      </c>
      <c r="BG2" s="20" t="s">
        <v>437</v>
      </c>
      <c r="BH2" s="20" t="s">
        <v>532</v>
      </c>
      <c r="BI2" s="20" t="s">
        <v>861</v>
      </c>
      <c r="BJ2" s="23" t="s">
        <v>235</v>
      </c>
      <c r="BK2" s="16" t="s">
        <v>423</v>
      </c>
      <c r="BL2" s="16" t="s">
        <v>311</v>
      </c>
      <c r="BM2" s="16" t="s">
        <v>60</v>
      </c>
      <c r="BN2" s="16" t="s">
        <v>117</v>
      </c>
      <c r="BO2" s="16" t="s">
        <v>957</v>
      </c>
      <c r="BP2" s="16" t="s">
        <v>695</v>
      </c>
      <c r="BQ2" s="16" t="s">
        <v>32</v>
      </c>
      <c r="BR2" s="16" t="s">
        <v>33</v>
      </c>
      <c r="BS2" s="16" t="s">
        <v>59</v>
      </c>
      <c r="BT2" s="16" t="s">
        <v>358</v>
      </c>
      <c r="BU2" s="16" t="s">
        <v>187</v>
      </c>
      <c r="BV2" s="16" t="s">
        <v>420</v>
      </c>
      <c r="BW2" s="16" t="s">
        <v>541</v>
      </c>
      <c r="BX2" s="16" t="s">
        <v>576</v>
      </c>
      <c r="BY2" s="16" t="s">
        <v>580</v>
      </c>
      <c r="BZ2" s="16" t="s">
        <v>593</v>
      </c>
      <c r="CA2" s="16" t="s">
        <v>971</v>
      </c>
      <c r="CB2" s="16" t="s">
        <v>1036</v>
      </c>
      <c r="CC2" s="16" t="s">
        <v>1129</v>
      </c>
      <c r="CD2" s="16" t="s">
        <v>371</v>
      </c>
      <c r="CE2" s="16" t="s">
        <v>421</v>
      </c>
      <c r="CF2" s="21" t="s">
        <v>209</v>
      </c>
      <c r="CG2" s="21" t="s">
        <v>138</v>
      </c>
      <c r="CH2" s="16" t="s">
        <v>43</v>
      </c>
      <c r="CI2" s="21" t="s">
        <v>109</v>
      </c>
      <c r="CJ2" s="21" t="s">
        <v>110</v>
      </c>
      <c r="CK2" s="21" t="s">
        <v>535</v>
      </c>
      <c r="CL2" s="21" t="s">
        <v>536</v>
      </c>
      <c r="CM2" s="21" t="s">
        <v>951</v>
      </c>
      <c r="CN2" s="21" t="s">
        <v>959</v>
      </c>
      <c r="CO2" s="21" t="s">
        <v>1279</v>
      </c>
      <c r="CP2" s="21" t="s">
        <v>1075</v>
      </c>
      <c r="CQ2" s="16" t="s">
        <v>244</v>
      </c>
      <c r="CR2" s="16" t="s">
        <v>531</v>
      </c>
      <c r="CS2" s="16" t="s">
        <v>586</v>
      </c>
      <c r="CT2" s="16" t="s">
        <v>45</v>
      </c>
      <c r="CU2" s="16" t="s">
        <v>137</v>
      </c>
      <c r="CV2" s="16" t="s">
        <v>139</v>
      </c>
      <c r="CW2" s="16" t="s">
        <v>140</v>
      </c>
      <c r="CX2" s="16" t="s">
        <v>81</v>
      </c>
      <c r="CY2" s="16" t="s">
        <v>155</v>
      </c>
      <c r="CZ2" s="16" t="s">
        <v>163</v>
      </c>
      <c r="DA2" s="16" t="s">
        <v>165</v>
      </c>
      <c r="DB2" s="16" t="s">
        <v>240</v>
      </c>
      <c r="DC2" s="16" t="s">
        <v>336</v>
      </c>
      <c r="DD2" s="16" t="s">
        <v>337</v>
      </c>
      <c r="DE2" s="16" t="s">
        <v>338</v>
      </c>
      <c r="DF2" s="16" t="s">
        <v>424</v>
      </c>
      <c r="DG2" s="16" t="s">
        <v>533</v>
      </c>
      <c r="DH2" s="16" t="s">
        <v>558</v>
      </c>
      <c r="DI2" s="16" t="s">
        <v>559</v>
      </c>
      <c r="DJ2" s="16" t="s">
        <v>560</v>
      </c>
      <c r="DK2" s="16" t="s">
        <v>561</v>
      </c>
      <c r="DL2" s="16" t="s">
        <v>562</v>
      </c>
      <c r="DM2" s="16" t="s">
        <v>563</v>
      </c>
      <c r="DN2" s="16" t="s">
        <v>574</v>
      </c>
      <c r="DO2" s="16" t="s">
        <v>575</v>
      </c>
      <c r="DP2" s="16" t="s">
        <v>581</v>
      </c>
      <c r="DQ2" s="16" t="s">
        <v>592</v>
      </c>
      <c r="DR2" s="16" t="s">
        <v>599</v>
      </c>
      <c r="DS2" s="16" t="s">
        <v>679</v>
      </c>
      <c r="DT2" s="16" t="s">
        <v>1424</v>
      </c>
      <c r="DU2" s="16" t="s">
        <v>694</v>
      </c>
      <c r="DV2" s="16" t="s">
        <v>696</v>
      </c>
      <c r="DW2" s="16" t="s">
        <v>697</v>
      </c>
      <c r="DX2" s="16" t="s">
        <v>704</v>
      </c>
      <c r="DY2" s="16" t="s">
        <v>708</v>
      </c>
      <c r="DZ2" s="16" t="s">
        <v>454</v>
      </c>
      <c r="EA2" s="16" t="s">
        <v>865</v>
      </c>
      <c r="EB2" s="16" t="s">
        <v>866</v>
      </c>
      <c r="EC2" s="16" t="s">
        <v>867</v>
      </c>
      <c r="ED2" s="16" t="s">
        <v>868</v>
      </c>
      <c r="EE2" s="16" t="s">
        <v>705</v>
      </c>
      <c r="EF2" s="16" t="s">
        <v>706</v>
      </c>
      <c r="EG2" s="16" t="s">
        <v>707</v>
      </c>
      <c r="EH2" s="16" t="s">
        <v>709</v>
      </c>
      <c r="EI2" s="16" t="s">
        <v>710</v>
      </c>
      <c r="EJ2" s="16" t="s">
        <v>711</v>
      </c>
      <c r="EK2" s="16" t="s">
        <v>713</v>
      </c>
      <c r="EL2" s="16" t="s">
        <v>722</v>
      </c>
      <c r="EM2" s="16" t="s">
        <v>723</v>
      </c>
      <c r="EN2" s="16" t="s">
        <v>724</v>
      </c>
      <c r="EO2" s="16" t="s">
        <v>725</v>
      </c>
      <c r="EP2" s="16" t="s">
        <v>746</v>
      </c>
      <c r="EQ2" s="16" t="s">
        <v>747</v>
      </c>
      <c r="ER2" s="16" t="s">
        <v>748</v>
      </c>
      <c r="ES2" s="16" t="s">
        <v>1218</v>
      </c>
      <c r="ET2" s="16" t="s">
        <v>754</v>
      </c>
      <c r="EU2" s="16" t="s">
        <v>755</v>
      </c>
      <c r="EV2" s="16" t="s">
        <v>756</v>
      </c>
      <c r="EW2" s="16" t="s">
        <v>1220</v>
      </c>
      <c r="EX2" s="16" t="s">
        <v>757</v>
      </c>
      <c r="EY2" s="16" t="s">
        <v>767</v>
      </c>
      <c r="EZ2" s="16" t="s">
        <v>768</v>
      </c>
      <c r="FA2" s="16" t="s">
        <v>769</v>
      </c>
      <c r="FB2" s="16" t="s">
        <v>770</v>
      </c>
      <c r="FC2" s="16" t="s">
        <v>771</v>
      </c>
      <c r="FD2" s="16" t="s">
        <v>772</v>
      </c>
      <c r="FE2" s="16" t="s">
        <v>773</v>
      </c>
      <c r="FF2" s="16" t="s">
        <v>774</v>
      </c>
      <c r="FG2" s="16" t="s">
        <v>775</v>
      </c>
      <c r="FH2" s="16" t="s">
        <v>776</v>
      </c>
      <c r="FI2" s="16" t="s">
        <v>777</v>
      </c>
      <c r="FJ2" s="16" t="s">
        <v>778</v>
      </c>
      <c r="FK2" s="16" t="s">
        <v>779</v>
      </c>
      <c r="FL2" s="16" t="s">
        <v>780</v>
      </c>
      <c r="FM2" s="16" t="s">
        <v>781</v>
      </c>
      <c r="FN2" s="16" t="s">
        <v>816</v>
      </c>
      <c r="FO2" s="16" t="s">
        <v>837</v>
      </c>
      <c r="FP2" s="16" t="s">
        <v>846</v>
      </c>
      <c r="FQ2" s="16" t="s">
        <v>847</v>
      </c>
      <c r="FR2" s="16" t="s">
        <v>848</v>
      </c>
      <c r="FS2" s="16" t="s">
        <v>849</v>
      </c>
      <c r="FT2" s="16" t="s">
        <v>850</v>
      </c>
      <c r="FU2" s="16" t="s">
        <v>1039</v>
      </c>
      <c r="FV2" s="16" t="s">
        <v>862</v>
      </c>
      <c r="FW2" s="16" t="s">
        <v>901</v>
      </c>
      <c r="FX2" s="16" t="s">
        <v>902</v>
      </c>
      <c r="FY2" s="16" t="s">
        <v>903</v>
      </c>
      <c r="FZ2" s="16" t="s">
        <v>904</v>
      </c>
      <c r="GA2" s="16" t="s">
        <v>905</v>
      </c>
      <c r="GB2" s="16" t="s">
        <v>906</v>
      </c>
      <c r="GC2" s="16" t="s">
        <v>922</v>
      </c>
      <c r="GD2" s="16" t="s">
        <v>936</v>
      </c>
      <c r="GE2" s="16" t="s">
        <v>937</v>
      </c>
      <c r="GF2" s="16" t="s">
        <v>938</v>
      </c>
      <c r="GG2" s="16" t="s">
        <v>939</v>
      </c>
      <c r="GH2" s="16" t="s">
        <v>940</v>
      </c>
      <c r="GI2" s="16" t="s">
        <v>958</v>
      </c>
      <c r="GJ2" s="16" t="s">
        <v>960</v>
      </c>
      <c r="GK2" s="16" t="s">
        <v>968</v>
      </c>
      <c r="GL2" s="16" t="s">
        <v>969</v>
      </c>
      <c r="GM2" s="16" t="s">
        <v>970</v>
      </c>
      <c r="GN2" s="16" t="s">
        <v>1025</v>
      </c>
      <c r="GO2" s="16" t="s">
        <v>1026</v>
      </c>
      <c r="GP2" s="16" t="s">
        <v>1027</v>
      </c>
      <c r="GQ2" s="16" t="s">
        <v>1028</v>
      </c>
      <c r="GR2" s="16" t="s">
        <v>1029</v>
      </c>
      <c r="GS2" s="16" t="s">
        <v>1030</v>
      </c>
      <c r="GT2" s="16" t="s">
        <v>1031</v>
      </c>
      <c r="GU2" s="16" t="s">
        <v>1032</v>
      </c>
      <c r="GV2" s="16" t="s">
        <v>1051</v>
      </c>
      <c r="GW2" s="16" t="s">
        <v>1107</v>
      </c>
      <c r="GX2" s="16" t="s">
        <v>1128</v>
      </c>
      <c r="GY2" s="16" t="s">
        <v>1151</v>
      </c>
    </row>
    <row r="3" spans="1:207" x14ac:dyDescent="0.3">
      <c r="A3">
        <v>1</v>
      </c>
      <c r="B3" t="s">
        <v>5</v>
      </c>
      <c r="C3" t="s">
        <v>4</v>
      </c>
      <c r="D3" t="s">
        <v>17</v>
      </c>
      <c r="E3" t="s">
        <v>111</v>
      </c>
      <c r="F3" t="s">
        <v>64</v>
      </c>
      <c r="G3" t="s">
        <v>7</v>
      </c>
      <c r="H3" s="2" t="s">
        <v>202</v>
      </c>
      <c r="I3" t="s">
        <v>405</v>
      </c>
      <c r="J3" s="2" t="s">
        <v>202</v>
      </c>
      <c r="K3" s="10">
        <f t="shared" ref="K3:K66" si="0">COUNTIF(L3:XFD3,"x")</f>
        <v>10</v>
      </c>
      <c r="L3" t="s">
        <v>41</v>
      </c>
      <c r="M3" t="s">
        <v>41</v>
      </c>
      <c r="N3" t="s">
        <v>41</v>
      </c>
      <c r="Z3" t="s">
        <v>41</v>
      </c>
      <c r="AS3" t="s">
        <v>41</v>
      </c>
      <c r="AT3" t="s">
        <v>41</v>
      </c>
      <c r="AU3" t="s">
        <v>41</v>
      </c>
      <c r="AW3" t="s">
        <v>41</v>
      </c>
      <c r="AZ3" t="s">
        <v>41</v>
      </c>
      <c r="CH3" t="s">
        <v>41</v>
      </c>
    </row>
    <row r="4" spans="1:207" x14ac:dyDescent="0.3">
      <c r="A4">
        <v>2</v>
      </c>
      <c r="B4" t="s">
        <v>10</v>
      </c>
      <c r="C4" t="s">
        <v>8</v>
      </c>
      <c r="D4" t="s">
        <v>17</v>
      </c>
      <c r="E4">
        <v>2022</v>
      </c>
      <c r="F4" t="s">
        <v>44</v>
      </c>
      <c r="G4" t="s">
        <v>9</v>
      </c>
      <c r="H4" s="2" t="s">
        <v>202</v>
      </c>
      <c r="I4" t="s">
        <v>405</v>
      </c>
      <c r="J4" s="2" t="s">
        <v>202</v>
      </c>
      <c r="K4" s="10">
        <f t="shared" si="0"/>
        <v>10</v>
      </c>
      <c r="L4" t="s">
        <v>41</v>
      </c>
      <c r="M4" t="s">
        <v>41</v>
      </c>
      <c r="N4" t="s">
        <v>41</v>
      </c>
      <c r="O4" t="s">
        <v>41</v>
      </c>
      <c r="Q4" t="s">
        <v>41</v>
      </c>
      <c r="Z4" t="s">
        <v>41</v>
      </c>
      <c r="AS4" t="s">
        <v>41</v>
      </c>
      <c r="AT4" t="s">
        <v>41</v>
      </c>
      <c r="AU4" t="s">
        <v>41</v>
      </c>
      <c r="AW4" t="s">
        <v>41</v>
      </c>
    </row>
    <row r="5" spans="1:207" x14ac:dyDescent="0.3">
      <c r="A5">
        <v>3</v>
      </c>
      <c r="B5" t="s">
        <v>13</v>
      </c>
      <c r="C5" t="s">
        <v>11</v>
      </c>
      <c r="D5" t="s">
        <v>17</v>
      </c>
      <c r="E5">
        <v>2021</v>
      </c>
      <c r="F5" t="s">
        <v>66</v>
      </c>
      <c r="G5" t="s">
        <v>12</v>
      </c>
      <c r="H5" s="2" t="s">
        <v>202</v>
      </c>
      <c r="I5" t="s">
        <v>405</v>
      </c>
      <c r="J5" s="2" t="s">
        <v>202</v>
      </c>
      <c r="K5" s="10">
        <f t="shared" si="0"/>
        <v>8</v>
      </c>
      <c r="L5" t="s">
        <v>41</v>
      </c>
      <c r="M5" t="s">
        <v>41</v>
      </c>
      <c r="N5" t="s">
        <v>41</v>
      </c>
      <c r="O5" t="s">
        <v>41</v>
      </c>
      <c r="AS5" t="s">
        <v>41</v>
      </c>
      <c r="AT5" t="s">
        <v>41</v>
      </c>
      <c r="AU5" t="s">
        <v>41</v>
      </c>
      <c r="AW5" t="s">
        <v>41</v>
      </c>
    </row>
    <row r="6" spans="1:207" x14ac:dyDescent="0.3">
      <c r="A6">
        <v>4</v>
      </c>
      <c r="B6" t="s">
        <v>15</v>
      </c>
      <c r="C6" t="s">
        <v>16</v>
      </c>
      <c r="D6" t="s">
        <v>17</v>
      </c>
      <c r="E6">
        <v>2021</v>
      </c>
      <c r="F6" t="s">
        <v>45</v>
      </c>
      <c r="G6" t="s">
        <v>14</v>
      </c>
      <c r="H6" s="2" t="s">
        <v>202</v>
      </c>
      <c r="I6" t="s">
        <v>405</v>
      </c>
      <c r="J6" s="2" t="s">
        <v>202</v>
      </c>
      <c r="K6" s="10">
        <f t="shared" si="0"/>
        <v>10</v>
      </c>
      <c r="L6" t="s">
        <v>41</v>
      </c>
      <c r="M6" t="s">
        <v>41</v>
      </c>
      <c r="O6" t="s">
        <v>41</v>
      </c>
      <c r="Z6" t="s">
        <v>41</v>
      </c>
      <c r="AS6" t="s">
        <v>41</v>
      </c>
      <c r="AT6" t="s">
        <v>41</v>
      </c>
      <c r="AU6" t="s">
        <v>41</v>
      </c>
      <c r="AW6" t="s">
        <v>41</v>
      </c>
      <c r="AZ6" t="s">
        <v>41</v>
      </c>
      <c r="CT6" t="s">
        <v>41</v>
      </c>
    </row>
    <row r="7" spans="1:207" x14ac:dyDescent="0.3">
      <c r="A7">
        <v>5</v>
      </c>
      <c r="B7" t="s">
        <v>20</v>
      </c>
      <c r="C7" t="s">
        <v>18</v>
      </c>
      <c r="D7" t="s">
        <v>17</v>
      </c>
      <c r="E7">
        <v>2021</v>
      </c>
      <c r="F7" t="s">
        <v>46</v>
      </c>
      <c r="G7" t="s">
        <v>19</v>
      </c>
      <c r="H7" s="2" t="s">
        <v>202</v>
      </c>
      <c r="I7" t="s">
        <v>405</v>
      </c>
      <c r="J7" s="2" t="s">
        <v>202</v>
      </c>
      <c r="K7" s="10">
        <f t="shared" si="0"/>
        <v>6</v>
      </c>
      <c r="L7" t="s">
        <v>41</v>
      </c>
      <c r="M7" t="s">
        <v>41</v>
      </c>
      <c r="N7" t="s">
        <v>41</v>
      </c>
      <c r="X7" t="s">
        <v>41</v>
      </c>
      <c r="AS7" t="s">
        <v>41</v>
      </c>
      <c r="AT7" t="s">
        <v>41</v>
      </c>
    </row>
    <row r="8" spans="1:207" x14ac:dyDescent="0.3">
      <c r="A8">
        <v>6</v>
      </c>
      <c r="B8" t="s">
        <v>48</v>
      </c>
      <c r="C8" t="s">
        <v>47</v>
      </c>
      <c r="D8" t="s">
        <v>17</v>
      </c>
      <c r="E8">
        <v>2021</v>
      </c>
      <c r="F8" t="s">
        <v>49</v>
      </c>
      <c r="G8" t="s">
        <v>12</v>
      </c>
      <c r="H8" s="2" t="s">
        <v>202</v>
      </c>
      <c r="I8" t="s">
        <v>405</v>
      </c>
      <c r="J8" s="2" t="s">
        <v>202</v>
      </c>
      <c r="K8" s="10">
        <f t="shared" si="0"/>
        <v>8</v>
      </c>
      <c r="L8" t="s">
        <v>41</v>
      </c>
      <c r="M8" t="s">
        <v>41</v>
      </c>
      <c r="N8" t="s">
        <v>41</v>
      </c>
      <c r="O8" t="s">
        <v>41</v>
      </c>
      <c r="AS8" t="s">
        <v>41</v>
      </c>
      <c r="AT8" t="s">
        <v>41</v>
      </c>
      <c r="AU8" t="s">
        <v>41</v>
      </c>
      <c r="AW8" t="s">
        <v>41</v>
      </c>
    </row>
    <row r="9" spans="1:207" x14ac:dyDescent="0.3">
      <c r="A9">
        <v>7</v>
      </c>
      <c r="B9" t="s">
        <v>53</v>
      </c>
      <c r="C9" t="s">
        <v>50</v>
      </c>
      <c r="D9" t="s">
        <v>17</v>
      </c>
      <c r="E9">
        <v>2022</v>
      </c>
      <c r="F9" t="s">
        <v>51</v>
      </c>
      <c r="G9" t="s">
        <v>52</v>
      </c>
      <c r="H9" s="2" t="s">
        <v>202</v>
      </c>
      <c r="I9" t="s">
        <v>405</v>
      </c>
      <c r="J9" s="2" t="s">
        <v>202</v>
      </c>
      <c r="K9" s="10">
        <f t="shared" si="0"/>
        <v>10</v>
      </c>
      <c r="L9" t="s">
        <v>41</v>
      </c>
      <c r="M9" t="s">
        <v>41</v>
      </c>
      <c r="N9" t="s">
        <v>41</v>
      </c>
      <c r="O9" t="s">
        <v>41</v>
      </c>
      <c r="X9" t="s">
        <v>41</v>
      </c>
      <c r="AS9" t="s">
        <v>41</v>
      </c>
      <c r="AT9" t="s">
        <v>41</v>
      </c>
      <c r="AU9" t="s">
        <v>41</v>
      </c>
      <c r="AW9" t="s">
        <v>41</v>
      </c>
      <c r="AZ9" t="s">
        <v>41</v>
      </c>
    </row>
    <row r="10" spans="1:207" x14ac:dyDescent="0.3">
      <c r="A10">
        <v>8</v>
      </c>
      <c r="B10" t="s">
        <v>55</v>
      </c>
      <c r="C10" t="s">
        <v>54</v>
      </c>
      <c r="D10" t="s">
        <v>17</v>
      </c>
      <c r="E10">
        <v>2022</v>
      </c>
      <c r="F10" s="2" t="s">
        <v>202</v>
      </c>
      <c r="G10" t="s">
        <v>67</v>
      </c>
      <c r="H10" s="2" t="s">
        <v>202</v>
      </c>
      <c r="I10" t="s">
        <v>405</v>
      </c>
      <c r="J10" s="2" t="s">
        <v>202</v>
      </c>
      <c r="K10" s="10">
        <f t="shared" si="0"/>
        <v>5</v>
      </c>
      <c r="N10" t="s">
        <v>41</v>
      </c>
      <c r="AS10" t="s">
        <v>41</v>
      </c>
      <c r="AT10" t="s">
        <v>41</v>
      </c>
      <c r="AU10" t="s">
        <v>41</v>
      </c>
      <c r="AW10" t="s">
        <v>41</v>
      </c>
    </row>
    <row r="11" spans="1:207" x14ac:dyDescent="0.3">
      <c r="A11">
        <v>9</v>
      </c>
      <c r="B11" t="s">
        <v>57</v>
      </c>
      <c r="C11" t="s">
        <v>58</v>
      </c>
      <c r="D11" t="s">
        <v>17</v>
      </c>
      <c r="E11">
        <v>2021</v>
      </c>
      <c r="F11" t="s">
        <v>56</v>
      </c>
      <c r="G11" t="s">
        <v>71</v>
      </c>
      <c r="H11" s="2" t="s">
        <v>202</v>
      </c>
      <c r="I11" t="s">
        <v>405</v>
      </c>
      <c r="J11" s="2" t="s">
        <v>202</v>
      </c>
      <c r="K11" s="10">
        <f t="shared" si="0"/>
        <v>14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X11" t="s">
        <v>41</v>
      </c>
      <c r="Y11" t="s">
        <v>41</v>
      </c>
      <c r="Z11" t="s">
        <v>41</v>
      </c>
      <c r="AC11" t="s">
        <v>41</v>
      </c>
      <c r="AS11" t="s">
        <v>41</v>
      </c>
      <c r="AT11" t="s">
        <v>41</v>
      </c>
      <c r="AZ11" t="s">
        <v>41</v>
      </c>
      <c r="BM11" t="s">
        <v>41</v>
      </c>
      <c r="BS11" t="s">
        <v>41</v>
      </c>
    </row>
    <row r="12" spans="1:207" x14ac:dyDescent="0.3">
      <c r="A12">
        <v>10</v>
      </c>
      <c r="B12" t="s">
        <v>63</v>
      </c>
      <c r="C12" t="s">
        <v>61</v>
      </c>
      <c r="D12" t="s">
        <v>17</v>
      </c>
      <c r="E12">
        <v>2021</v>
      </c>
      <c r="F12" t="s">
        <v>62</v>
      </c>
      <c r="G12" t="s">
        <v>65</v>
      </c>
      <c r="H12" s="2" t="s">
        <v>202</v>
      </c>
      <c r="I12" t="s">
        <v>405</v>
      </c>
      <c r="J12" s="2" t="s">
        <v>202</v>
      </c>
      <c r="K12" s="10">
        <f t="shared" si="0"/>
        <v>6</v>
      </c>
      <c r="L12" t="s">
        <v>41</v>
      </c>
      <c r="N12" t="s">
        <v>41</v>
      </c>
      <c r="AS12" t="s">
        <v>41</v>
      </c>
      <c r="AT12" t="s">
        <v>41</v>
      </c>
      <c r="AU12" t="s">
        <v>41</v>
      </c>
      <c r="AW12" t="s">
        <v>41</v>
      </c>
    </row>
    <row r="13" spans="1:207" x14ac:dyDescent="0.3">
      <c r="A13">
        <v>11</v>
      </c>
      <c r="B13" t="s">
        <v>68</v>
      </c>
      <c r="C13" t="s">
        <v>69</v>
      </c>
      <c r="D13" t="s">
        <v>17</v>
      </c>
      <c r="E13">
        <v>2020</v>
      </c>
      <c r="F13" t="s">
        <v>70</v>
      </c>
      <c r="G13" s="1" t="s">
        <v>1426</v>
      </c>
      <c r="H13" s="54" t="s">
        <v>202</v>
      </c>
      <c r="I13" t="s">
        <v>405</v>
      </c>
      <c r="J13" s="2" t="s">
        <v>202</v>
      </c>
      <c r="K13" s="10">
        <f t="shared" si="0"/>
        <v>7</v>
      </c>
      <c r="L13" t="s">
        <v>41</v>
      </c>
      <c r="M13" t="s">
        <v>41</v>
      </c>
      <c r="N13" t="s">
        <v>41</v>
      </c>
      <c r="Y13" t="s">
        <v>41</v>
      </c>
      <c r="AS13" t="s">
        <v>41</v>
      </c>
      <c r="AT13" t="s">
        <v>41</v>
      </c>
      <c r="AW13" t="s">
        <v>41</v>
      </c>
    </row>
    <row r="14" spans="1:207" x14ac:dyDescent="0.3">
      <c r="A14">
        <v>12</v>
      </c>
      <c r="B14" t="s">
        <v>72</v>
      </c>
      <c r="C14" t="s">
        <v>1303</v>
      </c>
      <c r="D14" s="1" t="s">
        <v>17</v>
      </c>
      <c r="E14">
        <v>2020</v>
      </c>
      <c r="F14" s="2" t="s">
        <v>202</v>
      </c>
      <c r="G14" t="s">
        <v>73</v>
      </c>
      <c r="H14" s="54" t="s">
        <v>202</v>
      </c>
      <c r="I14" t="s">
        <v>405</v>
      </c>
      <c r="J14" s="2" t="s">
        <v>202</v>
      </c>
      <c r="K14" s="10">
        <f t="shared" si="0"/>
        <v>4</v>
      </c>
      <c r="L14" t="s">
        <v>41</v>
      </c>
      <c r="M14" t="s">
        <v>41</v>
      </c>
      <c r="N14" t="s">
        <v>41</v>
      </c>
      <c r="AS14" t="s">
        <v>41</v>
      </c>
    </row>
    <row r="15" spans="1:207" ht="14.4" customHeight="1" x14ac:dyDescent="0.3">
      <c r="A15">
        <v>13</v>
      </c>
      <c r="B15" t="s">
        <v>78</v>
      </c>
      <c r="C15" t="s">
        <v>74</v>
      </c>
      <c r="D15" t="s">
        <v>17</v>
      </c>
      <c r="E15">
        <v>2022</v>
      </c>
      <c r="F15" t="s">
        <v>75</v>
      </c>
      <c r="G15" t="s">
        <v>76</v>
      </c>
      <c r="H15" s="2" t="s">
        <v>202</v>
      </c>
      <c r="I15" t="s">
        <v>405</v>
      </c>
      <c r="J15" s="2" t="s">
        <v>202</v>
      </c>
      <c r="K15" s="10">
        <f t="shared" si="0"/>
        <v>9</v>
      </c>
      <c r="L15" t="s">
        <v>41</v>
      </c>
      <c r="M15" t="s">
        <v>41</v>
      </c>
      <c r="N15" t="s">
        <v>41</v>
      </c>
      <c r="O15" t="s">
        <v>41</v>
      </c>
      <c r="AS15" t="s">
        <v>41</v>
      </c>
      <c r="AT15" t="s">
        <v>41</v>
      </c>
      <c r="AU15" t="s">
        <v>41</v>
      </c>
      <c r="AW15" t="s">
        <v>41</v>
      </c>
      <c r="AY15" t="s">
        <v>41</v>
      </c>
    </row>
    <row r="16" spans="1:207" x14ac:dyDescent="0.3">
      <c r="A16">
        <v>14</v>
      </c>
      <c r="B16" t="s">
        <v>79</v>
      </c>
      <c r="C16" t="s">
        <v>80</v>
      </c>
      <c r="D16" t="s">
        <v>17</v>
      </c>
      <c r="E16">
        <v>2021</v>
      </c>
      <c r="F16" t="s">
        <v>81</v>
      </c>
      <c r="G16" t="s">
        <v>82</v>
      </c>
      <c r="H16" s="2" t="s">
        <v>202</v>
      </c>
      <c r="I16" t="s">
        <v>405</v>
      </c>
      <c r="J16" s="2" t="s">
        <v>202</v>
      </c>
      <c r="K16" s="10">
        <f t="shared" si="0"/>
        <v>4</v>
      </c>
      <c r="AS16" t="s">
        <v>41</v>
      </c>
      <c r="AU16" t="s">
        <v>41</v>
      </c>
      <c r="AV16" t="s">
        <v>41</v>
      </c>
      <c r="AZ16" t="s">
        <v>41</v>
      </c>
    </row>
    <row r="17" spans="1:103" x14ac:dyDescent="0.3">
      <c r="A17">
        <v>15</v>
      </c>
      <c r="B17" t="s">
        <v>91</v>
      </c>
      <c r="C17" t="s">
        <v>84</v>
      </c>
      <c r="D17" t="s">
        <v>17</v>
      </c>
      <c r="E17">
        <v>2020</v>
      </c>
      <c r="F17" t="s">
        <v>85</v>
      </c>
      <c r="G17" t="s">
        <v>86</v>
      </c>
      <c r="H17" s="2" t="s">
        <v>202</v>
      </c>
      <c r="I17" t="s">
        <v>405</v>
      </c>
      <c r="J17" s="2" t="s">
        <v>202</v>
      </c>
      <c r="K17" s="10">
        <f t="shared" si="0"/>
        <v>4</v>
      </c>
      <c r="L17" t="s">
        <v>41</v>
      </c>
      <c r="M17" t="s">
        <v>41</v>
      </c>
      <c r="N17" t="s">
        <v>41</v>
      </c>
      <c r="AS17" t="s">
        <v>41</v>
      </c>
    </row>
    <row r="18" spans="1:103" x14ac:dyDescent="0.3">
      <c r="A18">
        <v>16</v>
      </c>
      <c r="B18" t="s">
        <v>89</v>
      </c>
      <c r="C18" t="s">
        <v>90</v>
      </c>
      <c r="D18" t="s">
        <v>17</v>
      </c>
      <c r="E18">
        <v>2022</v>
      </c>
      <c r="F18" t="s">
        <v>87</v>
      </c>
      <c r="G18" t="s">
        <v>88</v>
      </c>
      <c r="H18" s="2" t="s">
        <v>202</v>
      </c>
      <c r="I18" t="s">
        <v>405</v>
      </c>
      <c r="J18" s="2" t="s">
        <v>202</v>
      </c>
      <c r="K18" s="10">
        <f t="shared" si="0"/>
        <v>5</v>
      </c>
      <c r="L18" t="s">
        <v>41</v>
      </c>
      <c r="M18" t="s">
        <v>41</v>
      </c>
      <c r="N18" t="s">
        <v>41</v>
      </c>
      <c r="AS18" t="s">
        <v>41</v>
      </c>
      <c r="AT18" t="s">
        <v>41</v>
      </c>
    </row>
    <row r="19" spans="1:103" x14ac:dyDescent="0.3">
      <c r="A19">
        <v>17</v>
      </c>
      <c r="B19" t="s">
        <v>93</v>
      </c>
      <c r="C19" t="s">
        <v>92</v>
      </c>
      <c r="D19" t="s">
        <v>17</v>
      </c>
      <c r="E19">
        <v>2021</v>
      </c>
      <c r="F19" t="s">
        <v>94</v>
      </c>
      <c r="G19" t="s">
        <v>95</v>
      </c>
      <c r="H19" s="54" t="s">
        <v>202</v>
      </c>
      <c r="I19" t="s">
        <v>405</v>
      </c>
      <c r="J19" s="2" t="s">
        <v>202</v>
      </c>
      <c r="K19" s="10">
        <f t="shared" si="0"/>
        <v>8</v>
      </c>
      <c r="L19" t="s">
        <v>41</v>
      </c>
      <c r="M19" t="s">
        <v>41</v>
      </c>
      <c r="N19" t="s">
        <v>41</v>
      </c>
      <c r="P19" t="s">
        <v>41</v>
      </c>
      <c r="AS19" t="s">
        <v>41</v>
      </c>
      <c r="AT19" t="s">
        <v>41</v>
      </c>
      <c r="AU19" t="s">
        <v>41</v>
      </c>
      <c r="AZ19" t="s">
        <v>41</v>
      </c>
    </row>
    <row r="20" spans="1:103" x14ac:dyDescent="0.3">
      <c r="A20">
        <v>18</v>
      </c>
      <c r="B20" t="s">
        <v>99</v>
      </c>
      <c r="C20" t="s">
        <v>97</v>
      </c>
      <c r="D20" t="s">
        <v>17</v>
      </c>
      <c r="E20">
        <v>2020</v>
      </c>
      <c r="F20" t="s">
        <v>98</v>
      </c>
      <c r="G20" t="s">
        <v>164</v>
      </c>
      <c r="H20" s="2" t="s">
        <v>202</v>
      </c>
      <c r="I20" t="s">
        <v>405</v>
      </c>
      <c r="J20" s="2" t="s">
        <v>202</v>
      </c>
      <c r="K20" s="10">
        <f t="shared" si="0"/>
        <v>6</v>
      </c>
      <c r="L20" t="s">
        <v>41</v>
      </c>
      <c r="M20" t="s">
        <v>41</v>
      </c>
      <c r="N20" t="s">
        <v>41</v>
      </c>
      <c r="O20" t="s">
        <v>41</v>
      </c>
      <c r="AS20" t="s">
        <v>41</v>
      </c>
      <c r="AZ20" t="s">
        <v>41</v>
      </c>
    </row>
    <row r="21" spans="1:103" x14ac:dyDescent="0.3">
      <c r="A21">
        <v>19</v>
      </c>
      <c r="B21" t="s">
        <v>102</v>
      </c>
      <c r="C21" t="s">
        <v>100</v>
      </c>
      <c r="D21" t="s">
        <v>17</v>
      </c>
      <c r="E21">
        <v>2020</v>
      </c>
      <c r="F21" t="s">
        <v>101</v>
      </c>
      <c r="G21" t="s">
        <v>111</v>
      </c>
      <c r="H21" s="2" t="s">
        <v>202</v>
      </c>
      <c r="I21" t="s">
        <v>405</v>
      </c>
      <c r="J21" s="2" t="s">
        <v>202</v>
      </c>
      <c r="K21" s="10">
        <f t="shared" si="0"/>
        <v>6</v>
      </c>
      <c r="L21" t="s">
        <v>41</v>
      </c>
      <c r="M21" t="s">
        <v>41</v>
      </c>
      <c r="N21" t="s">
        <v>41</v>
      </c>
      <c r="O21" t="s">
        <v>41</v>
      </c>
      <c r="AS21" t="s">
        <v>41</v>
      </c>
      <c r="AT21" t="s">
        <v>41</v>
      </c>
    </row>
    <row r="22" spans="1:103" x14ac:dyDescent="0.3">
      <c r="A22">
        <v>20</v>
      </c>
      <c r="B22" t="s">
        <v>106</v>
      </c>
      <c r="C22" t="s">
        <v>104</v>
      </c>
      <c r="D22" t="s">
        <v>17</v>
      </c>
      <c r="E22">
        <v>2020</v>
      </c>
      <c r="F22" t="s">
        <v>105</v>
      </c>
      <c r="G22" t="s">
        <v>103</v>
      </c>
      <c r="H22" s="2" t="s">
        <v>202</v>
      </c>
      <c r="I22" t="s">
        <v>405</v>
      </c>
      <c r="J22" s="2" t="s">
        <v>202</v>
      </c>
      <c r="K22" s="10">
        <f t="shared" si="0"/>
        <v>5</v>
      </c>
      <c r="AS22" t="s">
        <v>41</v>
      </c>
      <c r="AT22" t="s">
        <v>41</v>
      </c>
      <c r="AU22" t="s">
        <v>41</v>
      </c>
      <c r="AW22" t="s">
        <v>41</v>
      </c>
      <c r="AZ22" t="s">
        <v>41</v>
      </c>
    </row>
    <row r="23" spans="1:103" x14ac:dyDescent="0.3">
      <c r="A23">
        <v>21</v>
      </c>
      <c r="B23" t="s">
        <v>108</v>
      </c>
      <c r="C23" t="s">
        <v>107</v>
      </c>
      <c r="D23" t="s">
        <v>17</v>
      </c>
      <c r="E23" t="s">
        <v>111</v>
      </c>
      <c r="F23" t="s">
        <v>112</v>
      </c>
      <c r="G23" t="s">
        <v>111</v>
      </c>
      <c r="H23" s="2" t="s">
        <v>202</v>
      </c>
      <c r="I23" t="s">
        <v>405</v>
      </c>
      <c r="J23" s="2" t="s">
        <v>202</v>
      </c>
      <c r="K23" s="10">
        <f t="shared" si="0"/>
        <v>10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X23" t="s">
        <v>41</v>
      </c>
      <c r="Y23" t="s">
        <v>41</v>
      </c>
      <c r="AS23" t="s">
        <v>41</v>
      </c>
      <c r="AT23" t="s">
        <v>41</v>
      </c>
      <c r="CJ23" t="s">
        <v>41</v>
      </c>
    </row>
    <row r="24" spans="1:103" x14ac:dyDescent="0.3">
      <c r="A24">
        <v>22</v>
      </c>
      <c r="B24" t="s">
        <v>115</v>
      </c>
      <c r="C24" t="s">
        <v>113</v>
      </c>
      <c r="D24" t="s">
        <v>17</v>
      </c>
      <c r="E24">
        <v>2020</v>
      </c>
      <c r="F24" s="2" t="s">
        <v>202</v>
      </c>
      <c r="G24" t="s">
        <v>114</v>
      </c>
      <c r="H24" s="2" t="s">
        <v>202</v>
      </c>
      <c r="I24" t="s">
        <v>405</v>
      </c>
      <c r="J24" s="2" t="s">
        <v>202</v>
      </c>
      <c r="K24" s="10">
        <f t="shared" si="0"/>
        <v>3</v>
      </c>
      <c r="M24" t="s">
        <v>41</v>
      </c>
      <c r="AS24" t="s">
        <v>41</v>
      </c>
      <c r="AT24" t="s">
        <v>41</v>
      </c>
    </row>
    <row r="25" spans="1:103" x14ac:dyDescent="0.3">
      <c r="A25">
        <v>23</v>
      </c>
      <c r="B25" t="s">
        <v>121</v>
      </c>
      <c r="C25" t="s">
        <v>116</v>
      </c>
      <c r="D25" t="s">
        <v>17</v>
      </c>
      <c r="E25">
        <v>2021</v>
      </c>
      <c r="F25" t="s">
        <v>119</v>
      </c>
      <c r="G25" t="s">
        <v>120</v>
      </c>
      <c r="H25" s="2" t="s">
        <v>202</v>
      </c>
      <c r="I25" t="s">
        <v>405</v>
      </c>
      <c r="J25" s="2" t="s">
        <v>202</v>
      </c>
      <c r="K25" s="10">
        <f t="shared" si="0"/>
        <v>5</v>
      </c>
      <c r="L25" t="s">
        <v>41</v>
      </c>
      <c r="M25" t="s">
        <v>41</v>
      </c>
      <c r="N25" t="s">
        <v>41</v>
      </c>
      <c r="AS25" t="s">
        <v>41</v>
      </c>
      <c r="AT25" t="s">
        <v>41</v>
      </c>
    </row>
    <row r="26" spans="1:103" x14ac:dyDescent="0.3">
      <c r="A26">
        <v>24</v>
      </c>
      <c r="B26" t="s">
        <v>123</v>
      </c>
      <c r="C26" t="s">
        <v>124</v>
      </c>
      <c r="D26" t="s">
        <v>17</v>
      </c>
      <c r="E26">
        <v>2022</v>
      </c>
      <c r="F26" t="s">
        <v>125</v>
      </c>
      <c r="G26" t="s">
        <v>126</v>
      </c>
      <c r="H26" s="2" t="s">
        <v>202</v>
      </c>
      <c r="I26" t="s">
        <v>405</v>
      </c>
      <c r="J26" s="2" t="s">
        <v>202</v>
      </c>
      <c r="K26" s="10">
        <f t="shared" si="0"/>
        <v>9</v>
      </c>
      <c r="L26" t="s">
        <v>41</v>
      </c>
      <c r="M26" t="s">
        <v>41</v>
      </c>
      <c r="N26" t="s">
        <v>41</v>
      </c>
      <c r="X26" t="s">
        <v>41</v>
      </c>
      <c r="AG26" t="s">
        <v>41</v>
      </c>
      <c r="AS26" t="s">
        <v>41</v>
      </c>
      <c r="AT26" t="s">
        <v>41</v>
      </c>
      <c r="AU26" t="s">
        <v>41</v>
      </c>
      <c r="AZ26" t="s">
        <v>41</v>
      </c>
    </row>
    <row r="27" spans="1:103" x14ac:dyDescent="0.3">
      <c r="A27">
        <v>25</v>
      </c>
      <c r="B27" t="s">
        <v>130</v>
      </c>
      <c r="C27" t="s">
        <v>129</v>
      </c>
      <c r="D27" t="s">
        <v>17</v>
      </c>
      <c r="E27">
        <v>2020</v>
      </c>
      <c r="F27" t="s">
        <v>127</v>
      </c>
      <c r="G27" t="s">
        <v>128</v>
      </c>
      <c r="H27" s="2" t="s">
        <v>202</v>
      </c>
      <c r="I27" t="s">
        <v>405</v>
      </c>
      <c r="J27" s="2" t="s">
        <v>202</v>
      </c>
      <c r="K27" s="10">
        <f t="shared" si="0"/>
        <v>7</v>
      </c>
      <c r="L27" t="s">
        <v>41</v>
      </c>
      <c r="M27" t="s">
        <v>41</v>
      </c>
      <c r="N27" t="s">
        <v>41</v>
      </c>
      <c r="X27" t="s">
        <v>41</v>
      </c>
      <c r="Y27" t="s">
        <v>41</v>
      </c>
      <c r="AC27" t="s">
        <v>41</v>
      </c>
      <c r="AS27" t="s">
        <v>41</v>
      </c>
    </row>
    <row r="28" spans="1:103" x14ac:dyDescent="0.3">
      <c r="A28">
        <v>26</v>
      </c>
      <c r="B28" t="s">
        <v>135</v>
      </c>
      <c r="C28" t="s">
        <v>131</v>
      </c>
      <c r="D28" t="s">
        <v>17</v>
      </c>
      <c r="E28" t="s">
        <v>111</v>
      </c>
      <c r="F28" t="s">
        <v>134</v>
      </c>
      <c r="G28" t="s">
        <v>136</v>
      </c>
      <c r="H28" s="2" t="s">
        <v>202</v>
      </c>
      <c r="I28" t="s">
        <v>405</v>
      </c>
      <c r="J28" t="s">
        <v>133</v>
      </c>
      <c r="K28" s="10">
        <f t="shared" si="0"/>
        <v>13</v>
      </c>
      <c r="L28" t="s">
        <v>41</v>
      </c>
      <c r="M28" t="s">
        <v>41</v>
      </c>
      <c r="N28" t="s">
        <v>41</v>
      </c>
      <c r="O28" t="s">
        <v>41</v>
      </c>
      <c r="AS28" t="s">
        <v>41</v>
      </c>
      <c r="AU28" t="s">
        <v>41</v>
      </c>
      <c r="AW28" t="s">
        <v>41</v>
      </c>
      <c r="AX28" t="s">
        <v>41</v>
      </c>
      <c r="CG28" t="s">
        <v>41</v>
      </c>
      <c r="CU28" t="s">
        <v>41</v>
      </c>
      <c r="CV28" t="s">
        <v>41</v>
      </c>
      <c r="CW28" t="s">
        <v>41</v>
      </c>
      <c r="CX28" t="s">
        <v>41</v>
      </c>
    </row>
    <row r="29" spans="1:103" x14ac:dyDescent="0.3">
      <c r="A29">
        <v>27</v>
      </c>
      <c r="B29" t="s">
        <v>144</v>
      </c>
      <c r="C29" t="s">
        <v>141</v>
      </c>
      <c r="D29" t="s">
        <v>17</v>
      </c>
      <c r="E29">
        <v>2021</v>
      </c>
      <c r="F29" t="s">
        <v>142</v>
      </c>
      <c r="G29" t="s">
        <v>143</v>
      </c>
      <c r="H29" s="2" t="s">
        <v>202</v>
      </c>
      <c r="I29" t="s">
        <v>405</v>
      </c>
      <c r="J29" s="2" t="s">
        <v>202</v>
      </c>
      <c r="K29" s="10">
        <f t="shared" si="0"/>
        <v>6</v>
      </c>
      <c r="L29" t="s">
        <v>41</v>
      </c>
      <c r="N29" t="s">
        <v>41</v>
      </c>
      <c r="AS29" t="s">
        <v>41</v>
      </c>
      <c r="AT29" t="s">
        <v>41</v>
      </c>
      <c r="AU29" t="s">
        <v>41</v>
      </c>
      <c r="AW29" t="s">
        <v>41</v>
      </c>
    </row>
    <row r="30" spans="1:103" x14ac:dyDescent="0.3">
      <c r="A30">
        <v>28</v>
      </c>
      <c r="B30" t="s">
        <v>148</v>
      </c>
      <c r="C30" t="s">
        <v>145</v>
      </c>
      <c r="D30" t="s">
        <v>17</v>
      </c>
      <c r="E30">
        <v>2022</v>
      </c>
      <c r="F30" t="s">
        <v>146</v>
      </c>
      <c r="G30" t="s">
        <v>147</v>
      </c>
      <c r="H30" s="2" t="s">
        <v>202</v>
      </c>
      <c r="I30" t="s">
        <v>405</v>
      </c>
      <c r="J30" s="2" t="s">
        <v>202</v>
      </c>
      <c r="K30" s="10">
        <f t="shared" si="0"/>
        <v>4</v>
      </c>
      <c r="N30" t="s">
        <v>41</v>
      </c>
      <c r="AS30" t="s">
        <v>41</v>
      </c>
      <c r="AT30" t="s">
        <v>41</v>
      </c>
      <c r="AZ30" t="s">
        <v>41</v>
      </c>
    </row>
    <row r="31" spans="1:103" x14ac:dyDescent="0.3">
      <c r="A31">
        <v>29</v>
      </c>
      <c r="B31" t="s">
        <v>149</v>
      </c>
      <c r="C31" t="s">
        <v>150</v>
      </c>
      <c r="D31" t="s">
        <v>17</v>
      </c>
      <c r="E31">
        <v>2020</v>
      </c>
      <c r="F31" t="s">
        <v>151</v>
      </c>
      <c r="G31" t="s">
        <v>152</v>
      </c>
      <c r="H31" s="2" t="s">
        <v>202</v>
      </c>
      <c r="I31" t="s">
        <v>405</v>
      </c>
      <c r="J31" s="2" t="s">
        <v>202</v>
      </c>
      <c r="K31" s="10">
        <f t="shared" si="0"/>
        <v>15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X31" t="s">
        <v>41</v>
      </c>
      <c r="Z31" t="s">
        <v>41</v>
      </c>
      <c r="AA31" t="s">
        <v>41</v>
      </c>
      <c r="AS31" t="s">
        <v>41</v>
      </c>
      <c r="AT31" t="s">
        <v>41</v>
      </c>
      <c r="AU31" t="s">
        <v>41</v>
      </c>
      <c r="AW31" t="s">
        <v>41</v>
      </c>
      <c r="CI31" t="s">
        <v>41</v>
      </c>
      <c r="CY31" t="s">
        <v>41</v>
      </c>
    </row>
    <row r="32" spans="1:103" x14ac:dyDescent="0.3">
      <c r="A32">
        <v>30</v>
      </c>
      <c r="B32" t="s">
        <v>156</v>
      </c>
      <c r="C32" t="s">
        <v>157</v>
      </c>
      <c r="D32" t="s">
        <v>17</v>
      </c>
      <c r="E32">
        <v>2022</v>
      </c>
      <c r="F32" t="s">
        <v>159</v>
      </c>
      <c r="G32" t="s">
        <v>158</v>
      </c>
      <c r="H32" s="2" t="s">
        <v>202</v>
      </c>
      <c r="I32" t="s">
        <v>405</v>
      </c>
      <c r="J32" s="2" t="s">
        <v>202</v>
      </c>
      <c r="K32" s="10">
        <f t="shared" si="0"/>
        <v>6</v>
      </c>
      <c r="AS32" t="s">
        <v>41</v>
      </c>
      <c r="AT32" t="s">
        <v>41</v>
      </c>
      <c r="AU32" t="s">
        <v>41</v>
      </c>
      <c r="AW32" t="s">
        <v>41</v>
      </c>
      <c r="AZ32" t="s">
        <v>41</v>
      </c>
      <c r="BA32" t="s">
        <v>41</v>
      </c>
    </row>
    <row r="33" spans="1:105" x14ac:dyDescent="0.3">
      <c r="A33">
        <v>31</v>
      </c>
      <c r="B33" t="s">
        <v>160</v>
      </c>
      <c r="C33" t="s">
        <v>161</v>
      </c>
      <c r="D33" t="s">
        <v>17</v>
      </c>
      <c r="E33">
        <v>2020</v>
      </c>
      <c r="F33" t="s">
        <v>162</v>
      </c>
      <c r="G33" t="s">
        <v>111</v>
      </c>
      <c r="H33" s="2" t="s">
        <v>202</v>
      </c>
      <c r="I33" t="s">
        <v>405</v>
      </c>
      <c r="J33" s="2" t="s">
        <v>202</v>
      </c>
      <c r="K33" s="10">
        <f t="shared" si="0"/>
        <v>7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AS33" t="s">
        <v>41</v>
      </c>
      <c r="CZ33" t="s">
        <v>41</v>
      </c>
    </row>
    <row r="34" spans="1:105" x14ac:dyDescent="0.3">
      <c r="A34">
        <v>32</v>
      </c>
      <c r="B34" t="s">
        <v>169</v>
      </c>
      <c r="C34" t="s">
        <v>166</v>
      </c>
      <c r="D34" t="s">
        <v>17</v>
      </c>
      <c r="E34">
        <v>2020</v>
      </c>
      <c r="F34" t="s">
        <v>167</v>
      </c>
      <c r="G34" t="s">
        <v>168</v>
      </c>
      <c r="H34" s="2" t="s">
        <v>202</v>
      </c>
      <c r="I34" t="s">
        <v>405</v>
      </c>
      <c r="J34" s="2" t="s">
        <v>202</v>
      </c>
      <c r="K34" s="10">
        <f t="shared" si="0"/>
        <v>10</v>
      </c>
      <c r="L34" t="s">
        <v>41</v>
      </c>
      <c r="M34" t="s">
        <v>41</v>
      </c>
      <c r="N34" t="s">
        <v>41</v>
      </c>
      <c r="X34" t="s">
        <v>41</v>
      </c>
      <c r="Y34" t="s">
        <v>41</v>
      </c>
      <c r="Z34" t="s">
        <v>41</v>
      </c>
      <c r="AS34" t="s">
        <v>41</v>
      </c>
      <c r="AT34" t="s">
        <v>41</v>
      </c>
      <c r="AX34" t="s">
        <v>41</v>
      </c>
      <c r="DA34" t="s">
        <v>41</v>
      </c>
    </row>
    <row r="35" spans="1:105" x14ac:dyDescent="0.3">
      <c r="A35">
        <v>33</v>
      </c>
      <c r="B35" t="s">
        <v>172</v>
      </c>
      <c r="C35" t="s">
        <v>170</v>
      </c>
      <c r="D35" t="s">
        <v>17</v>
      </c>
      <c r="E35" t="s">
        <v>111</v>
      </c>
      <c r="F35" t="s">
        <v>171</v>
      </c>
      <c r="G35" t="s">
        <v>111</v>
      </c>
      <c r="H35" s="2" t="s">
        <v>202</v>
      </c>
      <c r="I35" t="s">
        <v>405</v>
      </c>
      <c r="J35" s="2" t="s">
        <v>202</v>
      </c>
      <c r="K35" s="10">
        <f t="shared" si="0"/>
        <v>7</v>
      </c>
      <c r="M35" t="s">
        <v>41</v>
      </c>
      <c r="N35" t="s">
        <v>41</v>
      </c>
      <c r="Y35" t="s">
        <v>41</v>
      </c>
      <c r="AC35" t="s">
        <v>41</v>
      </c>
      <c r="AS35" t="s">
        <v>41</v>
      </c>
      <c r="AT35" t="s">
        <v>41</v>
      </c>
      <c r="AW35" t="s">
        <v>41</v>
      </c>
    </row>
    <row r="36" spans="1:105" x14ac:dyDescent="0.3">
      <c r="A36">
        <v>34</v>
      </c>
      <c r="B36" t="s">
        <v>174</v>
      </c>
      <c r="C36" t="s">
        <v>173</v>
      </c>
      <c r="D36" t="s">
        <v>17</v>
      </c>
      <c r="E36">
        <v>2020</v>
      </c>
      <c r="F36" t="s">
        <v>175</v>
      </c>
      <c r="G36" t="s">
        <v>176</v>
      </c>
      <c r="H36" s="2" t="s">
        <v>202</v>
      </c>
      <c r="I36" t="s">
        <v>405</v>
      </c>
      <c r="J36" s="2" t="s">
        <v>202</v>
      </c>
      <c r="K36" s="10">
        <f t="shared" si="0"/>
        <v>7</v>
      </c>
      <c r="L36" t="s">
        <v>41</v>
      </c>
      <c r="M36" t="s">
        <v>41</v>
      </c>
      <c r="N36" t="s">
        <v>41</v>
      </c>
      <c r="O36" t="s">
        <v>41</v>
      </c>
      <c r="AS36" t="s">
        <v>41</v>
      </c>
      <c r="AT36" t="s">
        <v>41</v>
      </c>
      <c r="AX36" t="s">
        <v>41</v>
      </c>
    </row>
    <row r="37" spans="1:105" x14ac:dyDescent="0.3">
      <c r="A37">
        <v>35</v>
      </c>
      <c r="B37" t="s">
        <v>179</v>
      </c>
      <c r="C37" t="s">
        <v>177</v>
      </c>
      <c r="D37" t="s">
        <v>17</v>
      </c>
      <c r="E37" t="s">
        <v>111</v>
      </c>
      <c r="F37" t="s">
        <v>178</v>
      </c>
      <c r="G37" t="s">
        <v>111</v>
      </c>
      <c r="H37" s="2" t="s">
        <v>202</v>
      </c>
      <c r="I37" t="s">
        <v>405</v>
      </c>
      <c r="J37" s="2" t="s">
        <v>202</v>
      </c>
      <c r="K37" s="10">
        <f t="shared" si="0"/>
        <v>6</v>
      </c>
      <c r="L37" t="s">
        <v>41</v>
      </c>
      <c r="M37" t="s">
        <v>41</v>
      </c>
      <c r="N37" t="s">
        <v>41</v>
      </c>
      <c r="O37" t="s">
        <v>41</v>
      </c>
      <c r="AS37" t="s">
        <v>41</v>
      </c>
      <c r="AT37" t="s">
        <v>41</v>
      </c>
    </row>
    <row r="38" spans="1:105" x14ac:dyDescent="0.3">
      <c r="A38">
        <v>36</v>
      </c>
      <c r="B38" t="s">
        <v>180</v>
      </c>
      <c r="C38" t="s">
        <v>181</v>
      </c>
      <c r="D38" t="s">
        <v>17</v>
      </c>
      <c r="E38">
        <v>2021</v>
      </c>
      <c r="F38" t="s">
        <v>183</v>
      </c>
      <c r="G38" t="s">
        <v>182</v>
      </c>
      <c r="H38" s="2" t="s">
        <v>202</v>
      </c>
      <c r="I38" t="s">
        <v>405</v>
      </c>
      <c r="J38" s="2" t="s">
        <v>202</v>
      </c>
      <c r="K38" s="10">
        <f t="shared" si="0"/>
        <v>9</v>
      </c>
      <c r="L38" t="s">
        <v>41</v>
      </c>
      <c r="M38" t="s">
        <v>41</v>
      </c>
      <c r="N38" t="s">
        <v>41</v>
      </c>
      <c r="O38" t="s">
        <v>41</v>
      </c>
      <c r="AS38" t="s">
        <v>41</v>
      </c>
      <c r="AT38" t="s">
        <v>41</v>
      </c>
      <c r="AU38" t="s">
        <v>41</v>
      </c>
      <c r="AW38" t="s">
        <v>41</v>
      </c>
      <c r="AZ38" t="s">
        <v>41</v>
      </c>
    </row>
    <row r="39" spans="1:105" x14ac:dyDescent="0.3">
      <c r="A39">
        <v>37</v>
      </c>
      <c r="B39" t="s">
        <v>184</v>
      </c>
      <c r="C39" t="s">
        <v>186</v>
      </c>
      <c r="D39" t="s">
        <v>17</v>
      </c>
      <c r="E39">
        <v>2022</v>
      </c>
      <c r="F39" t="s">
        <v>185</v>
      </c>
      <c r="G39" t="s">
        <v>111</v>
      </c>
      <c r="H39" s="2" t="s">
        <v>202</v>
      </c>
      <c r="I39" t="s">
        <v>405</v>
      </c>
      <c r="J39" s="2" t="s">
        <v>202</v>
      </c>
      <c r="K39" s="10">
        <f t="shared" si="0"/>
        <v>5</v>
      </c>
      <c r="L39" t="s">
        <v>41</v>
      </c>
      <c r="M39" t="s">
        <v>41</v>
      </c>
      <c r="O39" t="s">
        <v>41</v>
      </c>
      <c r="AS39" t="s">
        <v>41</v>
      </c>
      <c r="BU39" t="s">
        <v>41</v>
      </c>
    </row>
    <row r="40" spans="1:105" x14ac:dyDescent="0.3">
      <c r="A40">
        <v>38</v>
      </c>
      <c r="B40" t="s">
        <v>189</v>
      </c>
      <c r="C40" t="s">
        <v>188</v>
      </c>
      <c r="D40" t="s">
        <v>17</v>
      </c>
      <c r="E40">
        <v>2021</v>
      </c>
      <c r="F40" s="2" t="s">
        <v>202</v>
      </c>
      <c r="G40" t="s">
        <v>190</v>
      </c>
      <c r="H40" s="2" t="s">
        <v>202</v>
      </c>
      <c r="I40" t="s">
        <v>405</v>
      </c>
      <c r="J40" s="2" t="s">
        <v>202</v>
      </c>
      <c r="K40" s="10">
        <f t="shared" si="0"/>
        <v>10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R40" t="s">
        <v>41</v>
      </c>
      <c r="Y40" t="s">
        <v>41</v>
      </c>
      <c r="Z40" t="s">
        <v>41</v>
      </c>
      <c r="AS40" t="s">
        <v>41</v>
      </c>
      <c r="AT40" t="s">
        <v>41</v>
      </c>
    </row>
    <row r="41" spans="1:105" x14ac:dyDescent="0.3">
      <c r="A41">
        <v>39</v>
      </c>
      <c r="B41" t="s">
        <v>200</v>
      </c>
      <c r="C41" t="s">
        <v>201</v>
      </c>
      <c r="D41" t="s">
        <v>17</v>
      </c>
      <c r="E41" t="s">
        <v>111</v>
      </c>
      <c r="F41" t="s">
        <v>203</v>
      </c>
      <c r="G41" t="s">
        <v>111</v>
      </c>
      <c r="H41" s="2" t="s">
        <v>202</v>
      </c>
      <c r="I41" t="s">
        <v>405</v>
      </c>
      <c r="J41" s="2" t="s">
        <v>202</v>
      </c>
      <c r="K41" s="10">
        <f t="shared" si="0"/>
        <v>7</v>
      </c>
      <c r="M41" t="s">
        <v>41</v>
      </c>
      <c r="N41" t="s">
        <v>41</v>
      </c>
      <c r="AS41" t="s">
        <v>41</v>
      </c>
      <c r="AT41" t="s">
        <v>41</v>
      </c>
      <c r="AU41" t="s">
        <v>41</v>
      </c>
      <c r="AW41" t="s">
        <v>41</v>
      </c>
      <c r="AZ41" t="s">
        <v>41</v>
      </c>
    </row>
    <row r="42" spans="1:105" x14ac:dyDescent="0.3">
      <c r="A42">
        <v>40</v>
      </c>
      <c r="B42" t="s">
        <v>205</v>
      </c>
      <c r="C42" t="s">
        <v>204</v>
      </c>
      <c r="D42" t="s">
        <v>17</v>
      </c>
      <c r="E42">
        <v>2021</v>
      </c>
      <c r="F42" t="s">
        <v>207</v>
      </c>
      <c r="G42" t="s">
        <v>206</v>
      </c>
      <c r="H42" s="2" t="s">
        <v>202</v>
      </c>
      <c r="I42" t="s">
        <v>405</v>
      </c>
      <c r="J42" s="2" t="s">
        <v>202</v>
      </c>
      <c r="K42" s="10">
        <f t="shared" si="0"/>
        <v>9</v>
      </c>
      <c r="N42" t="s">
        <v>41</v>
      </c>
      <c r="AH42" t="s">
        <v>41</v>
      </c>
      <c r="AS42" t="s">
        <v>41</v>
      </c>
      <c r="AT42" t="s">
        <v>41</v>
      </c>
      <c r="AU42" t="s">
        <v>41</v>
      </c>
      <c r="AW42" t="s">
        <v>41</v>
      </c>
      <c r="AZ42" t="s">
        <v>41</v>
      </c>
      <c r="BB42" t="s">
        <v>41</v>
      </c>
      <c r="CF42" t="s">
        <v>41</v>
      </c>
    </row>
    <row r="43" spans="1:105" x14ac:dyDescent="0.3">
      <c r="A43">
        <v>41</v>
      </c>
      <c r="B43" t="s">
        <v>213</v>
      </c>
      <c r="C43" t="s">
        <v>210</v>
      </c>
      <c r="D43" t="s">
        <v>17</v>
      </c>
      <c r="E43" t="s">
        <v>111</v>
      </c>
      <c r="F43" t="s">
        <v>212</v>
      </c>
      <c r="G43" t="s">
        <v>211</v>
      </c>
      <c r="H43" s="2" t="s">
        <v>202</v>
      </c>
      <c r="I43" t="s">
        <v>405</v>
      </c>
      <c r="J43" s="2" t="s">
        <v>202</v>
      </c>
      <c r="K43" s="10">
        <f t="shared" si="0"/>
        <v>4</v>
      </c>
      <c r="L43" t="s">
        <v>41</v>
      </c>
      <c r="N43" t="s">
        <v>41</v>
      </c>
      <c r="O43" t="s">
        <v>41</v>
      </c>
      <c r="AS43" t="s">
        <v>41</v>
      </c>
    </row>
    <row r="44" spans="1:105" x14ac:dyDescent="0.3">
      <c r="A44">
        <v>42</v>
      </c>
      <c r="B44" t="s">
        <v>218</v>
      </c>
      <c r="C44" t="s">
        <v>197</v>
      </c>
      <c r="D44" t="s">
        <v>17</v>
      </c>
      <c r="E44">
        <v>2020</v>
      </c>
      <c r="F44" t="s">
        <v>219</v>
      </c>
      <c r="G44" t="s">
        <v>2425</v>
      </c>
      <c r="H44" s="2" t="s">
        <v>202</v>
      </c>
      <c r="I44" t="s">
        <v>405</v>
      </c>
      <c r="J44" s="2" t="s">
        <v>202</v>
      </c>
      <c r="K44" s="10">
        <f t="shared" si="0"/>
        <v>5</v>
      </c>
      <c r="L44" t="s">
        <v>41</v>
      </c>
      <c r="N44" t="s">
        <v>41</v>
      </c>
      <c r="AS44" t="s">
        <v>41</v>
      </c>
      <c r="AT44" t="s">
        <v>41</v>
      </c>
      <c r="AZ44" t="s">
        <v>41</v>
      </c>
    </row>
    <row r="45" spans="1:105" x14ac:dyDescent="0.3">
      <c r="A45">
        <v>43</v>
      </c>
      <c r="B45" t="s">
        <v>222</v>
      </c>
      <c r="C45" t="s">
        <v>221</v>
      </c>
      <c r="D45" t="s">
        <v>17</v>
      </c>
      <c r="E45" t="s">
        <v>111</v>
      </c>
      <c r="F45" t="s">
        <v>224</v>
      </c>
      <c r="G45" t="s">
        <v>111</v>
      </c>
      <c r="H45" s="2" t="s">
        <v>202</v>
      </c>
      <c r="I45" t="s">
        <v>405</v>
      </c>
      <c r="J45" s="2" t="s">
        <v>202</v>
      </c>
      <c r="K45" s="10">
        <f t="shared" si="0"/>
        <v>5</v>
      </c>
      <c r="N45" t="s">
        <v>41</v>
      </c>
      <c r="AS45" t="s">
        <v>41</v>
      </c>
      <c r="AT45" t="s">
        <v>41</v>
      </c>
      <c r="AU45" t="s">
        <v>41</v>
      </c>
      <c r="AZ45" t="s">
        <v>41</v>
      </c>
    </row>
    <row r="46" spans="1:105" x14ac:dyDescent="0.3">
      <c r="A46">
        <v>44</v>
      </c>
      <c r="B46" t="s">
        <v>108</v>
      </c>
      <c r="C46" t="s">
        <v>225</v>
      </c>
      <c r="D46" t="s">
        <v>17</v>
      </c>
      <c r="E46">
        <v>2022</v>
      </c>
      <c r="F46" t="s">
        <v>226</v>
      </c>
      <c r="G46" t="s">
        <v>111</v>
      </c>
      <c r="H46" s="2" t="s">
        <v>202</v>
      </c>
      <c r="I46" t="s">
        <v>405</v>
      </c>
      <c r="J46" s="2" t="s">
        <v>202</v>
      </c>
      <c r="K46" s="10">
        <f t="shared" si="0"/>
        <v>7</v>
      </c>
      <c r="L46" t="s">
        <v>41</v>
      </c>
      <c r="M46" t="s">
        <v>41</v>
      </c>
      <c r="Z46" t="s">
        <v>41</v>
      </c>
      <c r="AS46" t="s">
        <v>41</v>
      </c>
      <c r="AT46" t="s">
        <v>41</v>
      </c>
      <c r="AU46" t="s">
        <v>41</v>
      </c>
      <c r="AW46" t="s">
        <v>41</v>
      </c>
    </row>
    <row r="47" spans="1:105" x14ac:dyDescent="0.3">
      <c r="A47">
        <v>45</v>
      </c>
      <c r="B47" t="s">
        <v>231</v>
      </c>
      <c r="C47" t="s">
        <v>228</v>
      </c>
      <c r="D47" t="s">
        <v>17</v>
      </c>
      <c r="E47">
        <v>2020</v>
      </c>
      <c r="F47" t="s">
        <v>230</v>
      </c>
      <c r="G47" t="s">
        <v>229</v>
      </c>
      <c r="H47" s="2" t="s">
        <v>202</v>
      </c>
      <c r="I47" t="s">
        <v>405</v>
      </c>
      <c r="J47" s="2" t="s">
        <v>202</v>
      </c>
      <c r="K47" s="10">
        <f t="shared" si="0"/>
        <v>8</v>
      </c>
      <c r="L47" t="s">
        <v>41</v>
      </c>
      <c r="M47" t="s">
        <v>41</v>
      </c>
      <c r="N47" t="s">
        <v>41</v>
      </c>
      <c r="O47" t="s">
        <v>41</v>
      </c>
      <c r="Y47" t="s">
        <v>41</v>
      </c>
      <c r="AC47" t="s">
        <v>41</v>
      </c>
      <c r="AS47" t="s">
        <v>41</v>
      </c>
      <c r="AT47" t="s">
        <v>41</v>
      </c>
    </row>
    <row r="48" spans="1:105" x14ac:dyDescent="0.3">
      <c r="A48">
        <v>46</v>
      </c>
      <c r="B48" t="s">
        <v>234</v>
      </c>
      <c r="C48" t="s">
        <v>233</v>
      </c>
      <c r="D48" t="s">
        <v>17</v>
      </c>
      <c r="E48">
        <v>2021</v>
      </c>
      <c r="F48" t="s">
        <v>109</v>
      </c>
      <c r="G48" t="s">
        <v>111</v>
      </c>
      <c r="H48" s="2" t="s">
        <v>202</v>
      </c>
      <c r="I48" t="s">
        <v>405</v>
      </c>
      <c r="J48" s="2" t="s">
        <v>202</v>
      </c>
      <c r="K48" s="10">
        <f t="shared" si="0"/>
        <v>4</v>
      </c>
      <c r="AS48" t="s">
        <v>41</v>
      </c>
      <c r="AT48" t="s">
        <v>41</v>
      </c>
      <c r="AZ48" t="s">
        <v>41</v>
      </c>
      <c r="BJ48" t="s">
        <v>41</v>
      </c>
    </row>
    <row r="49" spans="1:106" x14ac:dyDescent="0.3">
      <c r="A49">
        <v>47</v>
      </c>
      <c r="B49" t="s">
        <v>236</v>
      </c>
      <c r="C49" t="s">
        <v>237</v>
      </c>
      <c r="D49" t="s">
        <v>17</v>
      </c>
      <c r="E49">
        <v>2020</v>
      </c>
      <c r="F49" t="s">
        <v>238</v>
      </c>
      <c r="G49" t="s">
        <v>239</v>
      </c>
      <c r="H49" s="2" t="s">
        <v>202</v>
      </c>
      <c r="I49" t="s">
        <v>405</v>
      </c>
      <c r="J49" s="2" t="s">
        <v>202</v>
      </c>
      <c r="K49" s="10">
        <f t="shared" si="0"/>
        <v>10</v>
      </c>
      <c r="L49" t="s">
        <v>41</v>
      </c>
      <c r="M49" t="s">
        <v>41</v>
      </c>
      <c r="N49" t="s">
        <v>41</v>
      </c>
      <c r="X49" t="s">
        <v>41</v>
      </c>
      <c r="AS49" t="s">
        <v>41</v>
      </c>
      <c r="AT49" t="s">
        <v>41</v>
      </c>
      <c r="AU49" t="s">
        <v>41</v>
      </c>
      <c r="AW49" t="s">
        <v>41</v>
      </c>
      <c r="AZ49" t="s">
        <v>41</v>
      </c>
      <c r="DB49" t="s">
        <v>41</v>
      </c>
    </row>
    <row r="50" spans="1:106" x14ac:dyDescent="0.3">
      <c r="A50">
        <v>48</v>
      </c>
      <c r="B50" t="s">
        <v>68</v>
      </c>
      <c r="C50" t="s">
        <v>243</v>
      </c>
      <c r="D50" t="s">
        <v>17</v>
      </c>
      <c r="E50">
        <v>2020</v>
      </c>
      <c r="F50" t="s">
        <v>242</v>
      </c>
      <c r="G50" t="s">
        <v>241</v>
      </c>
      <c r="H50" s="54" t="s">
        <v>202</v>
      </c>
      <c r="I50" t="s">
        <v>405</v>
      </c>
      <c r="J50" s="2" t="s">
        <v>202</v>
      </c>
      <c r="K50" s="10">
        <f t="shared" si="0"/>
        <v>9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Z50" t="s">
        <v>41</v>
      </c>
      <c r="AE50" t="s">
        <v>41</v>
      </c>
      <c r="AS50" t="s">
        <v>41</v>
      </c>
      <c r="CQ50" t="s">
        <v>41</v>
      </c>
    </row>
    <row r="51" spans="1:106" x14ac:dyDescent="0.3">
      <c r="A51">
        <v>49</v>
      </c>
      <c r="B51" t="s">
        <v>251</v>
      </c>
      <c r="C51" t="s">
        <v>248</v>
      </c>
      <c r="D51" t="s">
        <v>17</v>
      </c>
      <c r="E51">
        <v>2021</v>
      </c>
      <c r="F51" t="s">
        <v>250</v>
      </c>
      <c r="G51" t="s">
        <v>249</v>
      </c>
      <c r="H51" s="2" t="s">
        <v>202</v>
      </c>
      <c r="I51" t="s">
        <v>405</v>
      </c>
      <c r="J51" s="2" t="s">
        <v>202</v>
      </c>
      <c r="K51" s="10">
        <f t="shared" si="0"/>
        <v>4</v>
      </c>
      <c r="N51" t="s">
        <v>41</v>
      </c>
      <c r="AC51" t="s">
        <v>41</v>
      </c>
      <c r="AS51" t="s">
        <v>41</v>
      </c>
      <c r="AT51" t="s">
        <v>41</v>
      </c>
    </row>
    <row r="52" spans="1:106" x14ac:dyDescent="0.3">
      <c r="A52">
        <v>50</v>
      </c>
      <c r="B52" t="s">
        <v>259</v>
      </c>
      <c r="C52" t="s">
        <v>256</v>
      </c>
      <c r="D52" t="s">
        <v>17</v>
      </c>
      <c r="E52">
        <v>2021</v>
      </c>
      <c r="F52" t="s">
        <v>258</v>
      </c>
      <c r="G52" t="s">
        <v>257</v>
      </c>
      <c r="H52" s="2" t="s">
        <v>202</v>
      </c>
      <c r="I52" t="s">
        <v>405</v>
      </c>
      <c r="J52" s="2" t="s">
        <v>202</v>
      </c>
      <c r="K52" s="10">
        <f t="shared" si="0"/>
        <v>4</v>
      </c>
      <c r="L52" t="s">
        <v>41</v>
      </c>
      <c r="M52" t="s">
        <v>41</v>
      </c>
      <c r="N52" t="s">
        <v>41</v>
      </c>
      <c r="AS52" t="s">
        <v>41</v>
      </c>
    </row>
    <row r="53" spans="1:106" x14ac:dyDescent="0.3">
      <c r="A53">
        <v>51</v>
      </c>
      <c r="B53" t="s">
        <v>260</v>
      </c>
      <c r="C53" t="s">
        <v>261</v>
      </c>
      <c r="D53" t="s">
        <v>17</v>
      </c>
      <c r="E53">
        <v>2021</v>
      </c>
      <c r="F53" t="s">
        <v>262</v>
      </c>
      <c r="G53" t="s">
        <v>263</v>
      </c>
      <c r="H53" s="2" t="s">
        <v>202</v>
      </c>
      <c r="I53" t="s">
        <v>405</v>
      </c>
      <c r="J53" s="2" t="s">
        <v>202</v>
      </c>
      <c r="K53" s="10">
        <f t="shared" si="0"/>
        <v>7</v>
      </c>
      <c r="L53" t="s">
        <v>41</v>
      </c>
      <c r="M53" t="s">
        <v>41</v>
      </c>
      <c r="N53" t="s">
        <v>41</v>
      </c>
      <c r="O53" t="s">
        <v>41</v>
      </c>
      <c r="AS53" t="s">
        <v>41</v>
      </c>
      <c r="AZ53" t="s">
        <v>41</v>
      </c>
      <c r="BM53" t="s">
        <v>41</v>
      </c>
    </row>
    <row r="54" spans="1:106" x14ac:dyDescent="0.3">
      <c r="A54">
        <v>52</v>
      </c>
      <c r="B54" t="s">
        <v>266</v>
      </c>
      <c r="C54" t="s">
        <v>265</v>
      </c>
      <c r="D54" t="s">
        <v>17</v>
      </c>
      <c r="E54">
        <v>2020</v>
      </c>
      <c r="F54" t="s">
        <v>268</v>
      </c>
      <c r="G54" t="s">
        <v>267</v>
      </c>
      <c r="H54" s="2" t="s">
        <v>202</v>
      </c>
      <c r="I54" t="s">
        <v>405</v>
      </c>
      <c r="J54" s="2" t="s">
        <v>202</v>
      </c>
      <c r="K54" s="10">
        <f t="shared" si="0"/>
        <v>6</v>
      </c>
      <c r="AS54" t="s">
        <v>41</v>
      </c>
      <c r="AT54" t="s">
        <v>41</v>
      </c>
      <c r="AU54" t="s">
        <v>41</v>
      </c>
      <c r="AW54" t="s">
        <v>41</v>
      </c>
      <c r="AZ54" t="s">
        <v>41</v>
      </c>
      <c r="BA54" t="s">
        <v>41</v>
      </c>
    </row>
    <row r="55" spans="1:106" x14ac:dyDescent="0.3">
      <c r="A55">
        <v>53</v>
      </c>
      <c r="B55" t="s">
        <v>271</v>
      </c>
      <c r="C55" t="s">
        <v>269</v>
      </c>
      <c r="D55" t="s">
        <v>17</v>
      </c>
      <c r="E55">
        <v>2022</v>
      </c>
      <c r="F55" t="s">
        <v>270</v>
      </c>
      <c r="G55" t="s">
        <v>272</v>
      </c>
      <c r="H55" s="2" t="s">
        <v>202</v>
      </c>
      <c r="I55" t="s">
        <v>405</v>
      </c>
      <c r="J55" s="2" t="s">
        <v>202</v>
      </c>
      <c r="K55" s="10">
        <f t="shared" si="0"/>
        <v>5</v>
      </c>
      <c r="M55" t="s">
        <v>41</v>
      </c>
      <c r="N55" t="s">
        <v>41</v>
      </c>
      <c r="AS55" t="s">
        <v>41</v>
      </c>
      <c r="AT55" t="s">
        <v>41</v>
      </c>
      <c r="AZ55" t="s">
        <v>41</v>
      </c>
    </row>
    <row r="56" spans="1:106" x14ac:dyDescent="0.3">
      <c r="A56">
        <v>54</v>
      </c>
      <c r="B56" t="s">
        <v>213</v>
      </c>
      <c r="C56" t="s">
        <v>273</v>
      </c>
      <c r="D56" t="s">
        <v>17</v>
      </c>
      <c r="E56" t="s">
        <v>111</v>
      </c>
      <c r="F56" t="s">
        <v>274</v>
      </c>
      <c r="G56" t="s">
        <v>111</v>
      </c>
      <c r="H56" s="2" t="s">
        <v>202</v>
      </c>
      <c r="I56" t="s">
        <v>405</v>
      </c>
      <c r="J56" s="2" t="s">
        <v>202</v>
      </c>
      <c r="K56" s="10">
        <f t="shared" si="0"/>
        <v>9</v>
      </c>
      <c r="L56" t="s">
        <v>41</v>
      </c>
      <c r="M56" t="s">
        <v>41</v>
      </c>
      <c r="N56" t="s">
        <v>41</v>
      </c>
      <c r="O56" t="s">
        <v>41</v>
      </c>
      <c r="Z56" t="s">
        <v>41</v>
      </c>
      <c r="AS56" t="s">
        <v>41</v>
      </c>
      <c r="AT56" t="s">
        <v>41</v>
      </c>
      <c r="AU56" t="s">
        <v>41</v>
      </c>
      <c r="AW56" t="s">
        <v>41</v>
      </c>
    </row>
    <row r="57" spans="1:106" x14ac:dyDescent="0.3">
      <c r="A57">
        <v>55</v>
      </c>
      <c r="B57" t="s">
        <v>108</v>
      </c>
      <c r="C57" t="s">
        <v>275</v>
      </c>
      <c r="D57" t="s">
        <v>17</v>
      </c>
      <c r="E57" t="s">
        <v>111</v>
      </c>
      <c r="F57" t="s">
        <v>276</v>
      </c>
      <c r="G57" t="s">
        <v>111</v>
      </c>
      <c r="H57" s="2" t="s">
        <v>202</v>
      </c>
      <c r="I57" t="s">
        <v>405</v>
      </c>
      <c r="J57" s="2" t="s">
        <v>202</v>
      </c>
      <c r="K57" s="10">
        <f t="shared" si="0"/>
        <v>3</v>
      </c>
      <c r="N57" t="s">
        <v>41</v>
      </c>
      <c r="AS57" t="s">
        <v>41</v>
      </c>
      <c r="AT57" t="s">
        <v>41</v>
      </c>
    </row>
    <row r="58" spans="1:106" x14ac:dyDescent="0.3">
      <c r="A58">
        <v>56</v>
      </c>
      <c r="B58" t="s">
        <v>286</v>
      </c>
      <c r="C58" t="s">
        <v>283</v>
      </c>
      <c r="D58" t="s">
        <v>17</v>
      </c>
      <c r="E58">
        <v>2021</v>
      </c>
      <c r="F58" t="s">
        <v>284</v>
      </c>
      <c r="G58" t="s">
        <v>285</v>
      </c>
      <c r="H58" s="2" t="s">
        <v>202</v>
      </c>
      <c r="I58" t="s">
        <v>405</v>
      </c>
      <c r="J58" s="2" t="s">
        <v>202</v>
      </c>
      <c r="K58" s="10">
        <f t="shared" si="0"/>
        <v>4</v>
      </c>
      <c r="N58" t="s">
        <v>41</v>
      </c>
      <c r="AS58" t="s">
        <v>41</v>
      </c>
      <c r="AT58" t="s">
        <v>41</v>
      </c>
      <c r="AU58" t="s">
        <v>41</v>
      </c>
    </row>
    <row r="59" spans="1:106" x14ac:dyDescent="0.3">
      <c r="A59">
        <v>57</v>
      </c>
      <c r="B59" t="s">
        <v>293</v>
      </c>
      <c r="C59" t="s">
        <v>290</v>
      </c>
      <c r="D59" t="s">
        <v>17</v>
      </c>
      <c r="E59">
        <v>2021</v>
      </c>
      <c r="F59" t="s">
        <v>292</v>
      </c>
      <c r="G59" t="s">
        <v>291</v>
      </c>
      <c r="H59" s="2" t="s">
        <v>202</v>
      </c>
      <c r="I59" t="s">
        <v>405</v>
      </c>
      <c r="J59" s="2" t="s">
        <v>202</v>
      </c>
      <c r="K59" s="10">
        <f t="shared" si="0"/>
        <v>5</v>
      </c>
      <c r="M59" t="s">
        <v>41</v>
      </c>
      <c r="N59" t="s">
        <v>41</v>
      </c>
      <c r="X59" t="s">
        <v>41</v>
      </c>
      <c r="AS59" t="s">
        <v>41</v>
      </c>
      <c r="AT59" t="s">
        <v>41</v>
      </c>
    </row>
    <row r="60" spans="1:106" x14ac:dyDescent="0.3">
      <c r="A60">
        <v>58</v>
      </c>
      <c r="B60" t="s">
        <v>303</v>
      </c>
      <c r="C60" t="s">
        <v>302</v>
      </c>
      <c r="D60" t="s">
        <v>17</v>
      </c>
      <c r="E60">
        <v>2021</v>
      </c>
      <c r="F60" t="s">
        <v>304</v>
      </c>
      <c r="G60" t="s">
        <v>305</v>
      </c>
      <c r="H60" s="2" t="s">
        <v>202</v>
      </c>
      <c r="I60" t="s">
        <v>405</v>
      </c>
      <c r="J60" s="2" t="s">
        <v>202</v>
      </c>
      <c r="K60" s="10">
        <f t="shared" si="0"/>
        <v>11</v>
      </c>
      <c r="L60" t="s">
        <v>41</v>
      </c>
      <c r="M60" t="s">
        <v>41</v>
      </c>
      <c r="N60" t="s">
        <v>41</v>
      </c>
      <c r="X60" t="s">
        <v>41</v>
      </c>
      <c r="Y60" t="s">
        <v>41</v>
      </c>
      <c r="Z60" t="s">
        <v>41</v>
      </c>
      <c r="AS60" t="s">
        <v>41</v>
      </c>
      <c r="AT60" t="s">
        <v>41</v>
      </c>
      <c r="AU60" t="s">
        <v>41</v>
      </c>
      <c r="AX60" t="s">
        <v>41</v>
      </c>
      <c r="DA60" t="s">
        <v>41</v>
      </c>
    </row>
    <row r="61" spans="1:106" x14ac:dyDescent="0.3">
      <c r="A61">
        <v>59</v>
      </c>
      <c r="B61" t="s">
        <v>108</v>
      </c>
      <c r="C61" t="s">
        <v>309</v>
      </c>
      <c r="D61" t="s">
        <v>308</v>
      </c>
      <c r="E61">
        <v>2021</v>
      </c>
      <c r="F61" t="s">
        <v>111</v>
      </c>
      <c r="G61" t="s">
        <v>310</v>
      </c>
      <c r="H61" s="2" t="s">
        <v>202</v>
      </c>
      <c r="I61" t="s">
        <v>405</v>
      </c>
      <c r="J61" s="2" t="s">
        <v>202</v>
      </c>
      <c r="K61" s="10">
        <f t="shared" si="0"/>
        <v>15</v>
      </c>
      <c r="L61" t="s">
        <v>41</v>
      </c>
      <c r="M61" t="s">
        <v>41</v>
      </c>
      <c r="N61" t="s">
        <v>41</v>
      </c>
      <c r="O61" t="s">
        <v>41</v>
      </c>
      <c r="P61" t="s">
        <v>41</v>
      </c>
      <c r="X61" t="s">
        <v>41</v>
      </c>
      <c r="Y61" t="s">
        <v>41</v>
      </c>
      <c r="AB61" t="s">
        <v>41</v>
      </c>
      <c r="AC61" t="s">
        <v>41</v>
      </c>
      <c r="AS61" t="s">
        <v>41</v>
      </c>
      <c r="AT61" t="s">
        <v>41</v>
      </c>
      <c r="AU61" t="s">
        <v>41</v>
      </c>
      <c r="AW61" t="s">
        <v>41</v>
      </c>
      <c r="AZ61" t="s">
        <v>41</v>
      </c>
      <c r="BL61" t="s">
        <v>41</v>
      </c>
    </row>
    <row r="62" spans="1:106" x14ac:dyDescent="0.3">
      <c r="A62">
        <v>60</v>
      </c>
      <c r="B62" t="s">
        <v>314</v>
      </c>
      <c r="C62" t="s">
        <v>313</v>
      </c>
      <c r="D62" t="s">
        <v>17</v>
      </c>
      <c r="E62" t="s">
        <v>111</v>
      </c>
      <c r="F62" t="s">
        <v>315</v>
      </c>
      <c r="G62" t="s">
        <v>111</v>
      </c>
      <c r="H62" s="2" t="s">
        <v>202</v>
      </c>
      <c r="I62" t="s">
        <v>405</v>
      </c>
      <c r="J62" s="2" t="s">
        <v>202</v>
      </c>
      <c r="K62" s="10">
        <f t="shared" si="0"/>
        <v>5</v>
      </c>
      <c r="L62" t="s">
        <v>41</v>
      </c>
      <c r="M62" t="s">
        <v>41</v>
      </c>
      <c r="N62" t="s">
        <v>41</v>
      </c>
      <c r="AS62" t="s">
        <v>41</v>
      </c>
      <c r="AT62" t="s">
        <v>41</v>
      </c>
    </row>
    <row r="63" spans="1:106" x14ac:dyDescent="0.3">
      <c r="A63">
        <v>61</v>
      </c>
      <c r="B63" t="s">
        <v>323</v>
      </c>
      <c r="C63" t="s">
        <v>322</v>
      </c>
      <c r="D63" t="s">
        <v>17</v>
      </c>
      <c r="E63">
        <v>2022</v>
      </c>
      <c r="F63" t="s">
        <v>321</v>
      </c>
      <c r="G63" t="s">
        <v>320</v>
      </c>
      <c r="H63" s="2" t="s">
        <v>202</v>
      </c>
      <c r="I63" t="s">
        <v>405</v>
      </c>
      <c r="J63" s="2" t="s">
        <v>202</v>
      </c>
      <c r="K63" s="10">
        <f t="shared" si="0"/>
        <v>9</v>
      </c>
      <c r="L63" t="s">
        <v>41</v>
      </c>
      <c r="M63" t="s">
        <v>41</v>
      </c>
      <c r="N63" t="s">
        <v>41</v>
      </c>
      <c r="P63" t="s">
        <v>41</v>
      </c>
      <c r="AS63" t="s">
        <v>41</v>
      </c>
      <c r="AT63" t="s">
        <v>41</v>
      </c>
      <c r="AU63" t="s">
        <v>41</v>
      </c>
      <c r="AW63" t="s">
        <v>41</v>
      </c>
      <c r="AZ63" t="s">
        <v>41</v>
      </c>
    </row>
    <row r="64" spans="1:106" x14ac:dyDescent="0.3">
      <c r="A64">
        <v>62</v>
      </c>
      <c r="B64" t="s">
        <v>108</v>
      </c>
      <c r="C64" t="s">
        <v>324</v>
      </c>
      <c r="D64" t="s">
        <v>17</v>
      </c>
      <c r="E64">
        <v>2021</v>
      </c>
      <c r="F64" t="s">
        <v>325</v>
      </c>
      <c r="G64" t="s">
        <v>326</v>
      </c>
      <c r="H64" s="54" t="s">
        <v>202</v>
      </c>
      <c r="I64" t="s">
        <v>405</v>
      </c>
      <c r="J64" s="2" t="s">
        <v>202</v>
      </c>
      <c r="K64" s="10">
        <f t="shared" si="0"/>
        <v>5</v>
      </c>
      <c r="L64" t="s">
        <v>41</v>
      </c>
      <c r="M64" t="s">
        <v>41</v>
      </c>
      <c r="N64" t="s">
        <v>41</v>
      </c>
      <c r="AS64" t="s">
        <v>41</v>
      </c>
      <c r="AT64" t="s">
        <v>41</v>
      </c>
    </row>
    <row r="65" spans="1:109" x14ac:dyDescent="0.3">
      <c r="A65">
        <v>63</v>
      </c>
      <c r="B65" t="s">
        <v>327</v>
      </c>
      <c r="C65" t="s">
        <v>328</v>
      </c>
      <c r="D65" t="s">
        <v>17</v>
      </c>
      <c r="E65" t="s">
        <v>111</v>
      </c>
      <c r="F65" t="s">
        <v>329</v>
      </c>
      <c r="G65" t="s">
        <v>330</v>
      </c>
      <c r="H65" s="2" t="s">
        <v>202</v>
      </c>
      <c r="I65" t="s">
        <v>405</v>
      </c>
      <c r="J65" s="2" t="s">
        <v>202</v>
      </c>
      <c r="K65" s="10">
        <f t="shared" si="0"/>
        <v>8</v>
      </c>
      <c r="L65" t="s">
        <v>41</v>
      </c>
      <c r="M65" t="s">
        <v>41</v>
      </c>
      <c r="N65" t="s">
        <v>41</v>
      </c>
      <c r="O65" t="s">
        <v>41</v>
      </c>
      <c r="Z65" t="s">
        <v>41</v>
      </c>
      <c r="AS65" t="s">
        <v>41</v>
      </c>
      <c r="AT65" t="s">
        <v>41</v>
      </c>
      <c r="AU65" t="s">
        <v>41</v>
      </c>
    </row>
    <row r="66" spans="1:109" x14ac:dyDescent="0.3">
      <c r="A66">
        <v>64</v>
      </c>
      <c r="B66" t="s">
        <v>331</v>
      </c>
      <c r="C66" t="s">
        <v>333</v>
      </c>
      <c r="D66" t="s">
        <v>17</v>
      </c>
      <c r="E66">
        <v>2022</v>
      </c>
      <c r="F66" t="s">
        <v>335</v>
      </c>
      <c r="G66" t="s">
        <v>332</v>
      </c>
      <c r="H66" s="2" t="s">
        <v>202</v>
      </c>
      <c r="I66" t="s">
        <v>405</v>
      </c>
      <c r="J66" s="2" t="s">
        <v>202</v>
      </c>
      <c r="K66" s="10">
        <f t="shared" si="0"/>
        <v>20</v>
      </c>
      <c r="L66" t="s">
        <v>41</v>
      </c>
      <c r="M66" t="s">
        <v>41</v>
      </c>
      <c r="N66" t="s">
        <v>41</v>
      </c>
      <c r="O66" t="s">
        <v>41</v>
      </c>
      <c r="P66" t="s">
        <v>41</v>
      </c>
      <c r="Q66" t="s">
        <v>41</v>
      </c>
      <c r="X66" t="s">
        <v>41</v>
      </c>
      <c r="Z66" t="s">
        <v>41</v>
      </c>
      <c r="AS66" t="s">
        <v>41</v>
      </c>
      <c r="AT66" t="s">
        <v>41</v>
      </c>
      <c r="AU66" t="s">
        <v>41</v>
      </c>
      <c r="AW66" t="s">
        <v>41</v>
      </c>
      <c r="AZ66" t="s">
        <v>41</v>
      </c>
      <c r="BM66" t="s">
        <v>41</v>
      </c>
      <c r="CI66" t="s">
        <v>41</v>
      </c>
      <c r="CT66" t="s">
        <v>41</v>
      </c>
      <c r="CZ66" t="s">
        <v>41</v>
      </c>
      <c r="DC66" t="s">
        <v>41</v>
      </c>
      <c r="DD66" t="s">
        <v>41</v>
      </c>
      <c r="DE66" t="s">
        <v>41</v>
      </c>
    </row>
    <row r="67" spans="1:109" x14ac:dyDescent="0.3">
      <c r="A67">
        <v>65</v>
      </c>
      <c r="B67" t="s">
        <v>340</v>
      </c>
      <c r="C67" t="s">
        <v>339</v>
      </c>
      <c r="D67" t="s">
        <v>17</v>
      </c>
      <c r="E67">
        <v>2021</v>
      </c>
      <c r="F67" t="s">
        <v>341</v>
      </c>
      <c r="G67" t="s">
        <v>342</v>
      </c>
      <c r="H67" s="2" t="s">
        <v>202</v>
      </c>
      <c r="I67" t="s">
        <v>405</v>
      </c>
      <c r="J67" s="2" t="s">
        <v>202</v>
      </c>
      <c r="K67" s="10">
        <f t="shared" ref="K67:K130" si="1">COUNTIF(L67:XFD67,"x")</f>
        <v>4</v>
      </c>
      <c r="N67" t="s">
        <v>41</v>
      </c>
      <c r="AS67" t="s">
        <v>41</v>
      </c>
      <c r="AZ67" t="s">
        <v>41</v>
      </c>
      <c r="CH67" t="s">
        <v>41</v>
      </c>
    </row>
    <row r="68" spans="1:109" x14ac:dyDescent="0.3">
      <c r="A68">
        <v>66</v>
      </c>
      <c r="B68" t="s">
        <v>344</v>
      </c>
      <c r="C68" t="s">
        <v>343</v>
      </c>
      <c r="D68" t="s">
        <v>17</v>
      </c>
      <c r="E68">
        <v>2020</v>
      </c>
      <c r="F68" t="s">
        <v>345</v>
      </c>
      <c r="G68" t="s">
        <v>111</v>
      </c>
      <c r="H68" s="2" t="s">
        <v>202</v>
      </c>
      <c r="I68" t="s">
        <v>405</v>
      </c>
      <c r="J68" s="2" t="s">
        <v>202</v>
      </c>
      <c r="K68" s="10">
        <f t="shared" si="1"/>
        <v>4</v>
      </c>
      <c r="M68" t="s">
        <v>41</v>
      </c>
      <c r="AS68" t="s">
        <v>41</v>
      </c>
      <c r="AT68" t="s">
        <v>41</v>
      </c>
      <c r="AU68" t="s">
        <v>41</v>
      </c>
    </row>
    <row r="69" spans="1:109" x14ac:dyDescent="0.3">
      <c r="A69">
        <v>67</v>
      </c>
      <c r="B69" t="s">
        <v>347</v>
      </c>
      <c r="C69" t="s">
        <v>346</v>
      </c>
      <c r="D69" t="s">
        <v>17</v>
      </c>
      <c r="E69" t="s">
        <v>111</v>
      </c>
      <c r="F69" t="s">
        <v>349</v>
      </c>
      <c r="G69" t="s">
        <v>348</v>
      </c>
      <c r="H69" s="2" t="s">
        <v>202</v>
      </c>
      <c r="I69" t="s">
        <v>405</v>
      </c>
      <c r="J69" s="2" t="s">
        <v>202</v>
      </c>
      <c r="K69" s="10">
        <f t="shared" si="1"/>
        <v>3</v>
      </c>
      <c r="AS69" t="s">
        <v>41</v>
      </c>
      <c r="AT69" t="s">
        <v>41</v>
      </c>
      <c r="AU69" t="s">
        <v>41</v>
      </c>
    </row>
    <row r="70" spans="1:109" x14ac:dyDescent="0.3">
      <c r="A70">
        <v>68</v>
      </c>
      <c r="B70" t="s">
        <v>350</v>
      </c>
      <c r="C70" t="s">
        <v>351</v>
      </c>
      <c r="D70" t="s">
        <v>17</v>
      </c>
      <c r="E70">
        <v>2021</v>
      </c>
      <c r="F70" s="2" t="s">
        <v>202</v>
      </c>
      <c r="G70" t="s">
        <v>352</v>
      </c>
      <c r="H70" s="2" t="s">
        <v>202</v>
      </c>
      <c r="I70" t="s">
        <v>405</v>
      </c>
      <c r="J70" s="2" t="s">
        <v>202</v>
      </c>
      <c r="K70" s="10">
        <f t="shared" si="1"/>
        <v>2</v>
      </c>
      <c r="AS70" t="s">
        <v>41</v>
      </c>
      <c r="BC70" t="s">
        <v>41</v>
      </c>
    </row>
    <row r="71" spans="1:109" x14ac:dyDescent="0.3">
      <c r="A71">
        <v>69</v>
      </c>
      <c r="B71" t="s">
        <v>355</v>
      </c>
      <c r="C71" t="s">
        <v>359</v>
      </c>
      <c r="D71" t="s">
        <v>17</v>
      </c>
      <c r="E71">
        <v>2021</v>
      </c>
      <c r="F71" t="s">
        <v>357</v>
      </c>
      <c r="G71" t="s">
        <v>356</v>
      </c>
      <c r="H71" s="2" t="s">
        <v>202</v>
      </c>
      <c r="I71" t="s">
        <v>405</v>
      </c>
      <c r="J71" s="2" t="s">
        <v>202</v>
      </c>
      <c r="K71" s="10">
        <f t="shared" si="1"/>
        <v>7</v>
      </c>
      <c r="AH71" t="s">
        <v>41</v>
      </c>
      <c r="AS71" t="s">
        <v>41</v>
      </c>
      <c r="AT71" t="s">
        <v>41</v>
      </c>
      <c r="AZ71" t="s">
        <v>41</v>
      </c>
      <c r="BA71" t="s">
        <v>41</v>
      </c>
      <c r="BD71" t="s">
        <v>41</v>
      </c>
      <c r="BT71" t="s">
        <v>41</v>
      </c>
    </row>
    <row r="72" spans="1:109" x14ac:dyDescent="0.3">
      <c r="A72">
        <v>70</v>
      </c>
      <c r="B72" t="s">
        <v>365</v>
      </c>
      <c r="C72" t="s">
        <v>364</v>
      </c>
      <c r="D72" t="s">
        <v>17</v>
      </c>
      <c r="E72" t="s">
        <v>111</v>
      </c>
      <c r="F72" t="s">
        <v>366</v>
      </c>
      <c r="G72" t="s">
        <v>111</v>
      </c>
      <c r="H72" s="2" t="s">
        <v>202</v>
      </c>
      <c r="I72" t="s">
        <v>405</v>
      </c>
      <c r="J72" s="2" t="s">
        <v>202</v>
      </c>
      <c r="K72" s="10">
        <f t="shared" si="1"/>
        <v>4</v>
      </c>
      <c r="AS72" t="s">
        <v>41</v>
      </c>
      <c r="AT72" t="s">
        <v>41</v>
      </c>
      <c r="AU72" t="s">
        <v>41</v>
      </c>
      <c r="AW72" t="s">
        <v>41</v>
      </c>
    </row>
    <row r="73" spans="1:109" x14ac:dyDescent="0.3">
      <c r="A73">
        <v>71</v>
      </c>
      <c r="B73" t="s">
        <v>367</v>
      </c>
      <c r="C73" t="s">
        <v>368</v>
      </c>
      <c r="D73" t="s">
        <v>17</v>
      </c>
      <c r="E73">
        <v>2021</v>
      </c>
      <c r="F73" t="s">
        <v>369</v>
      </c>
      <c r="G73" t="s">
        <v>370</v>
      </c>
      <c r="H73" s="2" t="s">
        <v>202</v>
      </c>
      <c r="I73" t="s">
        <v>405</v>
      </c>
      <c r="J73" s="2" t="s">
        <v>202</v>
      </c>
      <c r="K73" s="10">
        <f t="shared" si="1"/>
        <v>9</v>
      </c>
      <c r="L73" t="s">
        <v>41</v>
      </c>
      <c r="M73" t="s">
        <v>41</v>
      </c>
      <c r="N73" t="s">
        <v>41</v>
      </c>
      <c r="O73" t="s">
        <v>41</v>
      </c>
      <c r="X73" t="s">
        <v>41</v>
      </c>
      <c r="AC73" t="s">
        <v>41</v>
      </c>
      <c r="AT73" t="s">
        <v>41</v>
      </c>
      <c r="AW73" t="s">
        <v>41</v>
      </c>
      <c r="CD73" t="s">
        <v>41</v>
      </c>
    </row>
    <row r="74" spans="1:109" x14ac:dyDescent="0.3">
      <c r="A74">
        <v>72</v>
      </c>
      <c r="B74" t="s">
        <v>375</v>
      </c>
      <c r="C74" t="s">
        <v>374</v>
      </c>
      <c r="D74" t="s">
        <v>17</v>
      </c>
      <c r="E74">
        <v>2020</v>
      </c>
      <c r="F74" t="s">
        <v>373</v>
      </c>
      <c r="G74" t="s">
        <v>372</v>
      </c>
      <c r="H74" s="2" t="s">
        <v>202</v>
      </c>
      <c r="I74" t="s">
        <v>405</v>
      </c>
      <c r="J74" s="2" t="s">
        <v>202</v>
      </c>
      <c r="K74" s="10">
        <f t="shared" si="1"/>
        <v>8</v>
      </c>
      <c r="L74" t="s">
        <v>41</v>
      </c>
      <c r="M74" t="s">
        <v>41</v>
      </c>
      <c r="N74" t="s">
        <v>41</v>
      </c>
      <c r="X74" t="s">
        <v>41</v>
      </c>
      <c r="Y74" t="s">
        <v>41</v>
      </c>
      <c r="AC74" t="s">
        <v>41</v>
      </c>
      <c r="AS74" t="s">
        <v>41</v>
      </c>
      <c r="AT74" t="s">
        <v>41</v>
      </c>
    </row>
    <row r="75" spans="1:109" x14ac:dyDescent="0.3">
      <c r="A75">
        <v>73</v>
      </c>
      <c r="B75" t="s">
        <v>378</v>
      </c>
      <c r="C75" t="s">
        <v>377</v>
      </c>
      <c r="D75" t="s">
        <v>17</v>
      </c>
      <c r="E75">
        <v>2020</v>
      </c>
      <c r="F75" t="s">
        <v>379</v>
      </c>
      <c r="G75" t="s">
        <v>376</v>
      </c>
      <c r="H75" s="2" t="s">
        <v>202</v>
      </c>
      <c r="I75" t="s">
        <v>405</v>
      </c>
      <c r="J75" s="2" t="s">
        <v>202</v>
      </c>
      <c r="K75" s="10">
        <f t="shared" si="1"/>
        <v>6</v>
      </c>
      <c r="L75" t="s">
        <v>41</v>
      </c>
      <c r="M75" t="s">
        <v>41</v>
      </c>
      <c r="N75" t="s">
        <v>41</v>
      </c>
      <c r="AS75" t="s">
        <v>41</v>
      </c>
      <c r="AT75" t="s">
        <v>41</v>
      </c>
      <c r="AZ75" t="s">
        <v>41</v>
      </c>
    </row>
    <row r="76" spans="1:109" x14ac:dyDescent="0.3">
      <c r="A76">
        <v>74</v>
      </c>
      <c r="B76" t="s">
        <v>380</v>
      </c>
      <c r="C76" t="s">
        <v>381</v>
      </c>
      <c r="D76" t="s">
        <v>17</v>
      </c>
      <c r="E76">
        <v>2020</v>
      </c>
      <c r="F76" t="s">
        <v>382</v>
      </c>
      <c r="G76" t="s">
        <v>383</v>
      </c>
      <c r="H76" s="2" t="s">
        <v>202</v>
      </c>
      <c r="I76" t="s">
        <v>405</v>
      </c>
      <c r="J76" s="2" t="s">
        <v>202</v>
      </c>
      <c r="K76" s="10">
        <f t="shared" si="1"/>
        <v>2</v>
      </c>
      <c r="AS76" t="s">
        <v>41</v>
      </c>
      <c r="AZ76" t="s">
        <v>41</v>
      </c>
    </row>
    <row r="77" spans="1:109" x14ac:dyDescent="0.3">
      <c r="A77">
        <v>75</v>
      </c>
      <c r="B77" t="s">
        <v>53</v>
      </c>
      <c r="C77" t="s">
        <v>390</v>
      </c>
      <c r="D77" t="s">
        <v>17</v>
      </c>
      <c r="E77">
        <v>2020</v>
      </c>
      <c r="F77" t="s">
        <v>389</v>
      </c>
      <c r="G77" t="s">
        <v>388</v>
      </c>
      <c r="H77" s="2" t="s">
        <v>202</v>
      </c>
      <c r="I77" t="s">
        <v>405</v>
      </c>
      <c r="J77" s="2" t="s">
        <v>202</v>
      </c>
      <c r="K77" s="10">
        <f t="shared" si="1"/>
        <v>9</v>
      </c>
      <c r="L77" t="s">
        <v>41</v>
      </c>
      <c r="M77" t="s">
        <v>41</v>
      </c>
      <c r="N77" t="s">
        <v>41</v>
      </c>
      <c r="O77" t="s">
        <v>41</v>
      </c>
      <c r="P77" t="s">
        <v>41</v>
      </c>
      <c r="AS77" t="s">
        <v>41</v>
      </c>
      <c r="AT77" t="s">
        <v>41</v>
      </c>
      <c r="AU77" t="s">
        <v>41</v>
      </c>
      <c r="AW77" t="s">
        <v>41</v>
      </c>
    </row>
    <row r="78" spans="1:109" x14ac:dyDescent="0.3">
      <c r="A78">
        <v>76</v>
      </c>
      <c r="B78" t="s">
        <v>391</v>
      </c>
      <c r="C78" t="s">
        <v>392</v>
      </c>
      <c r="D78" t="s">
        <v>17</v>
      </c>
      <c r="E78">
        <v>2020</v>
      </c>
      <c r="F78" t="s">
        <v>393</v>
      </c>
      <c r="G78" t="s">
        <v>394</v>
      </c>
      <c r="H78" s="2" t="s">
        <v>202</v>
      </c>
      <c r="I78" t="s">
        <v>405</v>
      </c>
      <c r="J78" s="2" t="s">
        <v>202</v>
      </c>
      <c r="K78" s="10">
        <f t="shared" si="1"/>
        <v>7</v>
      </c>
      <c r="L78" t="s">
        <v>41</v>
      </c>
      <c r="M78" t="s">
        <v>41</v>
      </c>
      <c r="N78" t="s">
        <v>41</v>
      </c>
      <c r="O78" t="s">
        <v>41</v>
      </c>
      <c r="AS78" t="s">
        <v>41</v>
      </c>
      <c r="AU78" t="s">
        <v>41</v>
      </c>
      <c r="AW78" t="s">
        <v>41</v>
      </c>
    </row>
    <row r="79" spans="1:109" x14ac:dyDescent="0.3">
      <c r="A79">
        <v>77</v>
      </c>
      <c r="B79" t="s">
        <v>396</v>
      </c>
      <c r="C79" t="s">
        <v>395</v>
      </c>
      <c r="D79" s="1" t="s">
        <v>1423</v>
      </c>
      <c r="E79">
        <v>2020</v>
      </c>
      <c r="F79" t="s">
        <v>397</v>
      </c>
      <c r="G79" t="s">
        <v>398</v>
      </c>
      <c r="H79" s="2" t="s">
        <v>202</v>
      </c>
      <c r="I79" t="s">
        <v>405</v>
      </c>
      <c r="J79" s="2" t="s">
        <v>202</v>
      </c>
      <c r="K79" s="10">
        <f t="shared" si="1"/>
        <v>7</v>
      </c>
      <c r="M79" t="s">
        <v>41</v>
      </c>
      <c r="N79" t="s">
        <v>41</v>
      </c>
      <c r="AC79" t="s">
        <v>41</v>
      </c>
      <c r="AS79" t="s">
        <v>41</v>
      </c>
      <c r="AT79" t="s">
        <v>41</v>
      </c>
      <c r="AU79" t="s">
        <v>41</v>
      </c>
      <c r="BB79" t="s">
        <v>41</v>
      </c>
    </row>
    <row r="80" spans="1:109" x14ac:dyDescent="0.3">
      <c r="A80">
        <v>78</v>
      </c>
      <c r="B80" t="s">
        <v>400</v>
      </c>
      <c r="C80" t="s">
        <v>399</v>
      </c>
      <c r="D80" t="s">
        <v>1423</v>
      </c>
      <c r="E80">
        <v>2021</v>
      </c>
      <c r="F80" t="s">
        <v>401</v>
      </c>
      <c r="G80" t="s">
        <v>111</v>
      </c>
      <c r="H80" s="2" t="s">
        <v>202</v>
      </c>
      <c r="I80" t="s">
        <v>405</v>
      </c>
      <c r="J80" s="2" t="s">
        <v>202</v>
      </c>
      <c r="K80" s="10">
        <f t="shared" si="1"/>
        <v>7</v>
      </c>
      <c r="L80" t="s">
        <v>41</v>
      </c>
      <c r="M80" t="s">
        <v>41</v>
      </c>
      <c r="N80" t="s">
        <v>41</v>
      </c>
      <c r="AS80" t="s">
        <v>41</v>
      </c>
      <c r="AT80" t="s">
        <v>41</v>
      </c>
      <c r="AU80" t="s">
        <v>41</v>
      </c>
      <c r="AW80" t="s">
        <v>41</v>
      </c>
    </row>
    <row r="81" spans="1:110" x14ac:dyDescent="0.3">
      <c r="A81">
        <v>79</v>
      </c>
      <c r="B81" t="s">
        <v>403</v>
      </c>
      <c r="C81" t="s">
        <v>402</v>
      </c>
      <c r="D81" t="s">
        <v>1423</v>
      </c>
      <c r="E81">
        <v>2021</v>
      </c>
      <c r="F81" s="2" t="s">
        <v>202</v>
      </c>
      <c r="G81" t="s">
        <v>404</v>
      </c>
      <c r="H81" s="2" t="s">
        <v>202</v>
      </c>
      <c r="I81" t="s">
        <v>405</v>
      </c>
      <c r="J81" s="2" t="s">
        <v>202</v>
      </c>
      <c r="K81" s="10">
        <f t="shared" si="1"/>
        <v>6</v>
      </c>
      <c r="L81" t="s">
        <v>41</v>
      </c>
      <c r="M81" t="s">
        <v>41</v>
      </c>
      <c r="N81" t="s">
        <v>41</v>
      </c>
      <c r="O81" t="s">
        <v>41</v>
      </c>
      <c r="AS81" t="s">
        <v>41</v>
      </c>
      <c r="AZ81" t="s">
        <v>41</v>
      </c>
    </row>
    <row r="82" spans="1:110" x14ac:dyDescent="0.3">
      <c r="A82">
        <v>80</v>
      </c>
      <c r="B82" t="s">
        <v>407</v>
      </c>
      <c r="C82" t="s">
        <v>406</v>
      </c>
      <c r="D82" t="s">
        <v>1423</v>
      </c>
      <c r="E82">
        <v>2021</v>
      </c>
      <c r="F82" t="s">
        <v>408</v>
      </c>
      <c r="G82" t="s">
        <v>111</v>
      </c>
      <c r="H82" s="2" t="s">
        <v>202</v>
      </c>
      <c r="I82" t="s">
        <v>405</v>
      </c>
      <c r="J82" s="2" t="s">
        <v>202</v>
      </c>
      <c r="K82" s="10">
        <f t="shared" si="1"/>
        <v>1</v>
      </c>
      <c r="AZ82" t="s">
        <v>41</v>
      </c>
    </row>
    <row r="83" spans="1:110" x14ac:dyDescent="0.3">
      <c r="A83">
        <v>81</v>
      </c>
      <c r="B83" t="s">
        <v>410</v>
      </c>
      <c r="C83" t="s">
        <v>409</v>
      </c>
      <c r="D83" t="s">
        <v>1423</v>
      </c>
      <c r="E83">
        <v>2017</v>
      </c>
      <c r="F83" t="s">
        <v>411</v>
      </c>
      <c r="G83" t="s">
        <v>111</v>
      </c>
      <c r="H83" s="2" t="s">
        <v>202</v>
      </c>
      <c r="I83" t="s">
        <v>405</v>
      </c>
      <c r="J83" s="2" t="s">
        <v>202</v>
      </c>
      <c r="K83" s="10">
        <f t="shared" si="1"/>
        <v>4</v>
      </c>
      <c r="L83" t="s">
        <v>41</v>
      </c>
      <c r="M83" t="s">
        <v>41</v>
      </c>
      <c r="N83" t="s">
        <v>41</v>
      </c>
      <c r="O83" t="s">
        <v>41</v>
      </c>
    </row>
    <row r="84" spans="1:110" x14ac:dyDescent="0.3">
      <c r="A84">
        <v>82</v>
      </c>
      <c r="B84" t="s">
        <v>413</v>
      </c>
      <c r="C84" s="2" t="s">
        <v>202</v>
      </c>
      <c r="D84" t="s">
        <v>334</v>
      </c>
      <c r="E84">
        <v>2021</v>
      </c>
      <c r="F84" s="2" t="s">
        <v>202</v>
      </c>
      <c r="G84" t="s">
        <v>412</v>
      </c>
      <c r="H84" s="2" t="s">
        <v>202</v>
      </c>
      <c r="I84" t="s">
        <v>1305</v>
      </c>
      <c r="J84" s="2" t="s">
        <v>202</v>
      </c>
      <c r="K84" s="10">
        <f t="shared" si="1"/>
        <v>3</v>
      </c>
      <c r="L84" t="s">
        <v>41</v>
      </c>
      <c r="M84" t="s">
        <v>41</v>
      </c>
      <c r="N84" t="s">
        <v>41</v>
      </c>
    </row>
    <row r="85" spans="1:110" x14ac:dyDescent="0.3">
      <c r="A85">
        <v>83</v>
      </c>
      <c r="B85" t="s">
        <v>415</v>
      </c>
      <c r="C85" s="2" t="s">
        <v>202</v>
      </c>
      <c r="D85" t="s">
        <v>308</v>
      </c>
      <c r="E85">
        <v>2021</v>
      </c>
      <c r="F85" s="2" t="s">
        <v>202</v>
      </c>
      <c r="G85" t="s">
        <v>414</v>
      </c>
      <c r="H85" s="2" t="s">
        <v>202</v>
      </c>
      <c r="I85" t="s">
        <v>1305</v>
      </c>
      <c r="J85" s="2" t="s">
        <v>202</v>
      </c>
      <c r="K85" s="10">
        <f t="shared" si="1"/>
        <v>6</v>
      </c>
      <c r="L85" t="s">
        <v>41</v>
      </c>
      <c r="N85" t="s">
        <v>41</v>
      </c>
      <c r="X85" t="s">
        <v>41</v>
      </c>
      <c r="Y85" t="s">
        <v>41</v>
      </c>
      <c r="Z85" t="s">
        <v>41</v>
      </c>
      <c r="AS85" t="s">
        <v>41</v>
      </c>
    </row>
    <row r="86" spans="1:110" x14ac:dyDescent="0.3">
      <c r="A86">
        <v>84</v>
      </c>
      <c r="B86" t="s">
        <v>418</v>
      </c>
      <c r="C86" s="2" t="s">
        <v>202</v>
      </c>
      <c r="D86" t="s">
        <v>334</v>
      </c>
      <c r="E86">
        <v>2019</v>
      </c>
      <c r="F86" s="2" t="s">
        <v>202</v>
      </c>
      <c r="G86" t="s">
        <v>416</v>
      </c>
      <c r="H86" s="2" t="s">
        <v>202</v>
      </c>
      <c r="I86" t="s">
        <v>1305</v>
      </c>
      <c r="J86" t="s">
        <v>417</v>
      </c>
      <c r="K86" s="10">
        <f t="shared" si="1"/>
        <v>15</v>
      </c>
      <c r="L86" t="s">
        <v>41</v>
      </c>
      <c r="M86" t="s">
        <v>41</v>
      </c>
      <c r="N86" t="s">
        <v>41</v>
      </c>
      <c r="O86" t="s">
        <v>41</v>
      </c>
      <c r="X86" t="s">
        <v>41</v>
      </c>
      <c r="Z86" t="s">
        <v>41</v>
      </c>
      <c r="AC86" t="s">
        <v>41</v>
      </c>
      <c r="AI86" t="s">
        <v>41</v>
      </c>
      <c r="AS86" t="s">
        <v>41</v>
      </c>
      <c r="AT86" t="s">
        <v>41</v>
      </c>
      <c r="BE86" t="s">
        <v>41</v>
      </c>
      <c r="BK86" t="s">
        <v>41</v>
      </c>
      <c r="BV86" t="s">
        <v>41</v>
      </c>
      <c r="CE86" t="s">
        <v>41</v>
      </c>
      <c r="DF86" t="s">
        <v>41</v>
      </c>
    </row>
    <row r="87" spans="1:110" x14ac:dyDescent="0.3">
      <c r="A87">
        <v>85</v>
      </c>
      <c r="B87" t="s">
        <v>427</v>
      </c>
      <c r="C87" s="2" t="s">
        <v>202</v>
      </c>
      <c r="D87" t="s">
        <v>428</v>
      </c>
      <c r="E87">
        <v>2020</v>
      </c>
      <c r="F87" s="2" t="s">
        <v>202</v>
      </c>
      <c r="G87" t="s">
        <v>425</v>
      </c>
      <c r="H87" s="2" t="s">
        <v>202</v>
      </c>
      <c r="I87" t="s">
        <v>1305</v>
      </c>
      <c r="J87" t="s">
        <v>426</v>
      </c>
      <c r="K87" s="10">
        <f t="shared" si="1"/>
        <v>5</v>
      </c>
      <c r="L87" t="s">
        <v>41</v>
      </c>
      <c r="M87" t="s">
        <v>41</v>
      </c>
      <c r="N87" t="s">
        <v>41</v>
      </c>
      <c r="AS87" t="s">
        <v>41</v>
      </c>
      <c r="AT87" t="s">
        <v>41</v>
      </c>
    </row>
    <row r="88" spans="1:110" x14ac:dyDescent="0.3">
      <c r="A88">
        <v>86</v>
      </c>
      <c r="B88" t="s">
        <v>213</v>
      </c>
      <c r="C88" s="2" t="s">
        <v>202</v>
      </c>
      <c r="D88" t="s">
        <v>308</v>
      </c>
      <c r="E88">
        <v>2020</v>
      </c>
      <c r="F88" s="2" t="s">
        <v>202</v>
      </c>
      <c r="G88" t="s">
        <v>430</v>
      </c>
      <c r="H88" s="2" t="s">
        <v>202</v>
      </c>
      <c r="I88" t="s">
        <v>1305</v>
      </c>
      <c r="J88" t="s">
        <v>429</v>
      </c>
      <c r="K88" s="10">
        <f t="shared" si="1"/>
        <v>14</v>
      </c>
      <c r="L88" t="s">
        <v>41</v>
      </c>
      <c r="M88" t="s">
        <v>41</v>
      </c>
      <c r="N88" t="s">
        <v>41</v>
      </c>
      <c r="O88" t="s">
        <v>41</v>
      </c>
      <c r="P88" t="s">
        <v>41</v>
      </c>
      <c r="Y88" t="s">
        <v>41</v>
      </c>
      <c r="AS88" t="s">
        <v>41</v>
      </c>
      <c r="AT88" t="s">
        <v>41</v>
      </c>
      <c r="AU88" t="s">
        <v>41</v>
      </c>
      <c r="AW88" t="s">
        <v>41</v>
      </c>
      <c r="AX88" t="s">
        <v>41</v>
      </c>
      <c r="AZ88" t="s">
        <v>41</v>
      </c>
      <c r="BF88" t="s">
        <v>41</v>
      </c>
      <c r="BJ88" t="s">
        <v>41</v>
      </c>
    </row>
    <row r="89" spans="1:110" x14ac:dyDescent="0.3">
      <c r="A89">
        <v>87</v>
      </c>
      <c r="B89" t="s">
        <v>432</v>
      </c>
      <c r="C89" s="2" t="s">
        <v>202</v>
      </c>
      <c r="D89" t="s">
        <v>308</v>
      </c>
      <c r="E89">
        <v>2020</v>
      </c>
      <c r="F89" s="2" t="s">
        <v>202</v>
      </c>
      <c r="G89" t="s">
        <v>433</v>
      </c>
      <c r="H89" s="2" t="s">
        <v>202</v>
      </c>
      <c r="I89" t="s">
        <v>1305</v>
      </c>
      <c r="J89" s="2" t="s">
        <v>202</v>
      </c>
      <c r="K89" s="10">
        <f t="shared" si="1"/>
        <v>10</v>
      </c>
      <c r="L89" t="s">
        <v>41</v>
      </c>
      <c r="M89" t="s">
        <v>41</v>
      </c>
      <c r="N89" t="s">
        <v>41</v>
      </c>
      <c r="O89" t="s">
        <v>41</v>
      </c>
      <c r="X89" t="s">
        <v>41</v>
      </c>
      <c r="Y89" t="s">
        <v>41</v>
      </c>
      <c r="AC89" t="s">
        <v>41</v>
      </c>
      <c r="AS89" t="s">
        <v>41</v>
      </c>
      <c r="AT89" t="s">
        <v>41</v>
      </c>
      <c r="AX89" t="s">
        <v>41</v>
      </c>
    </row>
    <row r="90" spans="1:110" x14ac:dyDescent="0.3">
      <c r="A90">
        <v>88</v>
      </c>
      <c r="B90" t="s">
        <v>23</v>
      </c>
      <c r="C90" s="2" t="s">
        <v>202</v>
      </c>
      <c r="D90" t="s">
        <v>308</v>
      </c>
      <c r="E90">
        <v>2022</v>
      </c>
      <c r="F90" s="2" t="s">
        <v>202</v>
      </c>
      <c r="G90" t="s">
        <v>434</v>
      </c>
      <c r="H90" s="2" t="s">
        <v>202</v>
      </c>
      <c r="I90" t="s">
        <v>1305</v>
      </c>
      <c r="J90" s="2" t="s">
        <v>202</v>
      </c>
      <c r="K90" s="10">
        <f t="shared" si="1"/>
        <v>4</v>
      </c>
      <c r="L90" t="s">
        <v>41</v>
      </c>
      <c r="M90" t="s">
        <v>41</v>
      </c>
      <c r="N90" t="s">
        <v>41</v>
      </c>
      <c r="O90" t="s">
        <v>41</v>
      </c>
    </row>
    <row r="91" spans="1:110" x14ac:dyDescent="0.3">
      <c r="A91">
        <v>89</v>
      </c>
      <c r="B91" t="s">
        <v>436</v>
      </c>
      <c r="C91" s="2" t="s">
        <v>202</v>
      </c>
      <c r="D91" t="s">
        <v>308</v>
      </c>
      <c r="E91">
        <v>2016</v>
      </c>
      <c r="F91" s="2" t="s">
        <v>202</v>
      </c>
      <c r="G91" t="s">
        <v>435</v>
      </c>
      <c r="H91" s="2" t="s">
        <v>202</v>
      </c>
      <c r="I91" t="s">
        <v>1305</v>
      </c>
      <c r="J91" s="2" t="s">
        <v>202</v>
      </c>
      <c r="K91" s="10">
        <f t="shared" si="1"/>
        <v>7</v>
      </c>
      <c r="L91" t="s">
        <v>41</v>
      </c>
      <c r="M91" t="s">
        <v>41</v>
      </c>
      <c r="N91" t="s">
        <v>41</v>
      </c>
      <c r="O91" t="s">
        <v>41</v>
      </c>
      <c r="P91" t="s">
        <v>41</v>
      </c>
      <c r="Z91" t="s">
        <v>41</v>
      </c>
      <c r="BF91" t="s">
        <v>41</v>
      </c>
    </row>
    <row r="92" spans="1:110" x14ac:dyDescent="0.3">
      <c r="A92">
        <v>90</v>
      </c>
      <c r="B92" t="s">
        <v>439</v>
      </c>
      <c r="C92" s="2" t="s">
        <v>202</v>
      </c>
      <c r="D92" t="s">
        <v>334</v>
      </c>
      <c r="E92">
        <v>2013</v>
      </c>
      <c r="F92" s="2" t="s">
        <v>202</v>
      </c>
      <c r="G92" t="s">
        <v>438</v>
      </c>
      <c r="H92" s="2" t="s">
        <v>202</v>
      </c>
      <c r="I92" t="s">
        <v>1305</v>
      </c>
      <c r="J92" s="2" t="s">
        <v>202</v>
      </c>
      <c r="K92" s="10">
        <f t="shared" si="1"/>
        <v>6</v>
      </c>
      <c r="L92" t="s">
        <v>41</v>
      </c>
      <c r="M92" t="s">
        <v>41</v>
      </c>
      <c r="P92" t="s">
        <v>41</v>
      </c>
      <c r="Z92" t="s">
        <v>41</v>
      </c>
      <c r="BG92" t="s">
        <v>41</v>
      </c>
      <c r="CI92" t="s">
        <v>41</v>
      </c>
    </row>
    <row r="93" spans="1:110" x14ac:dyDescent="0.3">
      <c r="A93">
        <v>91</v>
      </c>
      <c r="B93" t="s">
        <v>445</v>
      </c>
      <c r="C93" s="2" t="s">
        <v>202</v>
      </c>
      <c r="D93" t="s">
        <v>334</v>
      </c>
      <c r="E93">
        <v>2019</v>
      </c>
      <c r="F93" s="2" t="s">
        <v>202</v>
      </c>
      <c r="G93" t="s">
        <v>446</v>
      </c>
      <c r="H93" s="2" t="s">
        <v>202</v>
      </c>
      <c r="I93" t="s">
        <v>1305</v>
      </c>
      <c r="J93" s="2" t="s">
        <v>202</v>
      </c>
      <c r="K93" s="10">
        <f t="shared" si="1"/>
        <v>1</v>
      </c>
      <c r="N93" t="s">
        <v>41</v>
      </c>
    </row>
    <row r="94" spans="1:110" x14ac:dyDescent="0.3">
      <c r="A94">
        <v>92</v>
      </c>
      <c r="B94" t="s">
        <v>448</v>
      </c>
      <c r="C94" s="2" t="s">
        <v>202</v>
      </c>
      <c r="D94" t="s">
        <v>334</v>
      </c>
      <c r="E94">
        <v>2020</v>
      </c>
      <c r="F94" s="2" t="s">
        <v>202</v>
      </c>
      <c r="G94" t="s">
        <v>447</v>
      </c>
      <c r="H94" s="2" t="s">
        <v>202</v>
      </c>
      <c r="I94" t="s">
        <v>1305</v>
      </c>
      <c r="J94" s="2" t="s">
        <v>202</v>
      </c>
      <c r="K94" s="10">
        <f t="shared" si="1"/>
        <v>2</v>
      </c>
      <c r="L94" t="s">
        <v>41</v>
      </c>
      <c r="N94" t="s">
        <v>41</v>
      </c>
    </row>
    <row r="95" spans="1:110" x14ac:dyDescent="0.3">
      <c r="A95">
        <v>93</v>
      </c>
      <c r="B95" t="s">
        <v>477</v>
      </c>
      <c r="C95" s="2" t="s">
        <v>202</v>
      </c>
      <c r="D95" t="s">
        <v>428</v>
      </c>
      <c r="E95">
        <v>2021</v>
      </c>
      <c r="F95" s="2" t="s">
        <v>202</v>
      </c>
      <c r="G95" t="s">
        <v>476</v>
      </c>
      <c r="H95" s="2" t="s">
        <v>202</v>
      </c>
      <c r="I95" t="s">
        <v>1305</v>
      </c>
      <c r="J95" s="2" t="s">
        <v>202</v>
      </c>
      <c r="K95" s="10">
        <f t="shared" si="1"/>
        <v>8</v>
      </c>
      <c r="L95" t="s">
        <v>41</v>
      </c>
      <c r="M95" t="s">
        <v>41</v>
      </c>
      <c r="N95" t="s">
        <v>41</v>
      </c>
      <c r="Y95" t="s">
        <v>41</v>
      </c>
      <c r="AC95" t="s">
        <v>41</v>
      </c>
      <c r="AD95" t="s">
        <v>41</v>
      </c>
      <c r="AS95" t="s">
        <v>41</v>
      </c>
      <c r="BE95" t="s">
        <v>41</v>
      </c>
    </row>
    <row r="96" spans="1:110" x14ac:dyDescent="0.3">
      <c r="A96">
        <v>94</v>
      </c>
      <c r="B96" t="s">
        <v>478</v>
      </c>
      <c r="C96" s="2" t="s">
        <v>202</v>
      </c>
      <c r="D96" t="s">
        <v>334</v>
      </c>
      <c r="E96">
        <v>2018</v>
      </c>
      <c r="F96" s="2" t="s">
        <v>202</v>
      </c>
      <c r="G96" t="s">
        <v>479</v>
      </c>
      <c r="H96" s="2" t="s">
        <v>202</v>
      </c>
      <c r="I96" t="s">
        <v>1305</v>
      </c>
      <c r="J96" s="2" t="s">
        <v>202</v>
      </c>
      <c r="K96" s="10">
        <f t="shared" si="1"/>
        <v>2</v>
      </c>
      <c r="M96" t="s">
        <v>41</v>
      </c>
      <c r="N96" t="s">
        <v>41</v>
      </c>
    </row>
    <row r="97" spans="1:119" x14ac:dyDescent="0.3">
      <c r="A97">
        <v>95</v>
      </c>
      <c r="B97" t="s">
        <v>480</v>
      </c>
      <c r="C97" s="2" t="s">
        <v>202</v>
      </c>
      <c r="D97" t="s">
        <v>17</v>
      </c>
      <c r="E97">
        <v>2018</v>
      </c>
      <c r="F97" s="2" t="s">
        <v>202</v>
      </c>
      <c r="G97" t="s">
        <v>479</v>
      </c>
      <c r="H97" s="2" t="s">
        <v>202</v>
      </c>
      <c r="I97" t="s">
        <v>1305</v>
      </c>
      <c r="J97" s="2" t="s">
        <v>202</v>
      </c>
      <c r="K97" s="10">
        <f t="shared" si="1"/>
        <v>1</v>
      </c>
      <c r="M97" t="s">
        <v>41</v>
      </c>
    </row>
    <row r="98" spans="1:119" x14ac:dyDescent="0.3">
      <c r="A98">
        <v>96</v>
      </c>
      <c r="B98" t="s">
        <v>481</v>
      </c>
      <c r="C98" s="2" t="s">
        <v>202</v>
      </c>
      <c r="D98" t="s">
        <v>334</v>
      </c>
      <c r="E98">
        <v>2020</v>
      </c>
      <c r="F98" s="2" t="s">
        <v>202</v>
      </c>
      <c r="G98" t="s">
        <v>483</v>
      </c>
      <c r="H98" s="2" t="s">
        <v>202</v>
      </c>
      <c r="I98" t="s">
        <v>1305</v>
      </c>
      <c r="J98" s="2" t="s">
        <v>202</v>
      </c>
      <c r="K98" s="10">
        <f t="shared" si="1"/>
        <v>2</v>
      </c>
      <c r="M98" t="s">
        <v>41</v>
      </c>
      <c r="AS98" t="s">
        <v>41</v>
      </c>
    </row>
    <row r="99" spans="1:119" x14ac:dyDescent="0.3">
      <c r="A99">
        <v>97</v>
      </c>
      <c r="B99" t="s">
        <v>482</v>
      </c>
      <c r="C99" s="2" t="s">
        <v>202</v>
      </c>
      <c r="D99" t="s">
        <v>334</v>
      </c>
      <c r="E99">
        <v>2018</v>
      </c>
      <c r="F99" s="2" t="s">
        <v>202</v>
      </c>
      <c r="G99" t="s">
        <v>484</v>
      </c>
      <c r="H99" s="2" t="s">
        <v>202</v>
      </c>
      <c r="I99" t="s">
        <v>1305</v>
      </c>
      <c r="J99" s="2" t="s">
        <v>202</v>
      </c>
      <c r="K99" s="10">
        <f t="shared" si="1"/>
        <v>6</v>
      </c>
      <c r="L99" t="s">
        <v>41</v>
      </c>
      <c r="M99" t="s">
        <v>41</v>
      </c>
      <c r="N99" t="s">
        <v>41</v>
      </c>
      <c r="O99" t="s">
        <v>41</v>
      </c>
      <c r="X99" t="s">
        <v>41</v>
      </c>
      <c r="AS99" t="s">
        <v>41</v>
      </c>
    </row>
    <row r="100" spans="1:119" x14ac:dyDescent="0.3">
      <c r="A100">
        <v>98</v>
      </c>
      <c r="B100" t="s">
        <v>523</v>
      </c>
      <c r="C100" s="2" t="s">
        <v>202</v>
      </c>
      <c r="D100" t="s">
        <v>334</v>
      </c>
      <c r="E100">
        <v>2017</v>
      </c>
      <c r="F100" s="2" t="s">
        <v>202</v>
      </c>
      <c r="G100" t="s">
        <v>524</v>
      </c>
      <c r="H100" s="2" t="s">
        <v>202</v>
      </c>
      <c r="I100" t="s">
        <v>1305</v>
      </c>
      <c r="J100" s="2" t="s">
        <v>202</v>
      </c>
      <c r="K100" s="10">
        <f t="shared" si="1"/>
        <v>2</v>
      </c>
      <c r="L100" t="s">
        <v>41</v>
      </c>
      <c r="M100" t="s">
        <v>41</v>
      </c>
    </row>
    <row r="101" spans="1:119" x14ac:dyDescent="0.3">
      <c r="A101">
        <v>99</v>
      </c>
      <c r="B101" t="s">
        <v>525</v>
      </c>
      <c r="C101" s="2" t="s">
        <v>202</v>
      </c>
      <c r="D101" t="s">
        <v>334</v>
      </c>
      <c r="E101">
        <v>2013</v>
      </c>
      <c r="F101" s="2" t="s">
        <v>202</v>
      </c>
      <c r="G101" t="s">
        <v>526</v>
      </c>
      <c r="H101" s="2" t="s">
        <v>202</v>
      </c>
      <c r="I101" t="s">
        <v>1305</v>
      </c>
      <c r="J101" s="2" t="s">
        <v>202</v>
      </c>
      <c r="K101" s="10">
        <f t="shared" si="1"/>
        <v>3</v>
      </c>
      <c r="L101" t="s">
        <v>41</v>
      </c>
      <c r="M101" t="s">
        <v>41</v>
      </c>
      <c r="P101" t="s">
        <v>41</v>
      </c>
    </row>
    <row r="102" spans="1:119" x14ac:dyDescent="0.3">
      <c r="A102">
        <v>100</v>
      </c>
      <c r="B102" t="s">
        <v>527</v>
      </c>
      <c r="C102" s="2" t="s">
        <v>202</v>
      </c>
      <c r="D102" t="s">
        <v>428</v>
      </c>
      <c r="E102">
        <v>2019</v>
      </c>
      <c r="F102" s="2" t="s">
        <v>202</v>
      </c>
      <c r="G102" t="s">
        <v>528</v>
      </c>
      <c r="H102" s="2" t="s">
        <v>202</v>
      </c>
      <c r="I102" t="s">
        <v>1305</v>
      </c>
      <c r="J102" s="2" t="s">
        <v>202</v>
      </c>
      <c r="K102" s="10">
        <f t="shared" si="1"/>
        <v>14</v>
      </c>
      <c r="L102" t="s">
        <v>41</v>
      </c>
      <c r="M102" t="s">
        <v>41</v>
      </c>
      <c r="N102" t="s">
        <v>41</v>
      </c>
      <c r="X102" t="s">
        <v>41</v>
      </c>
      <c r="Z102" t="s">
        <v>41</v>
      </c>
      <c r="AJ102" t="s">
        <v>41</v>
      </c>
      <c r="BG102" t="s">
        <v>41</v>
      </c>
      <c r="BH102" t="s">
        <v>41</v>
      </c>
      <c r="BV102" t="s">
        <v>41</v>
      </c>
      <c r="CI102" t="s">
        <v>41</v>
      </c>
      <c r="CK102" t="s">
        <v>41</v>
      </c>
      <c r="CL102" t="s">
        <v>41</v>
      </c>
      <c r="CR102" t="s">
        <v>41</v>
      </c>
      <c r="DG102" t="s">
        <v>41</v>
      </c>
    </row>
    <row r="103" spans="1:119" x14ac:dyDescent="0.3">
      <c r="A103">
        <v>101</v>
      </c>
      <c r="B103" t="s">
        <v>537</v>
      </c>
      <c r="C103" s="2" t="s">
        <v>202</v>
      </c>
      <c r="D103" t="s">
        <v>334</v>
      </c>
      <c r="E103">
        <v>2018</v>
      </c>
      <c r="F103" s="2" t="s">
        <v>202</v>
      </c>
      <c r="G103" t="s">
        <v>538</v>
      </c>
      <c r="H103" s="2" t="s">
        <v>202</v>
      </c>
      <c r="I103" t="s">
        <v>1305</v>
      </c>
      <c r="J103" s="2" t="s">
        <v>202</v>
      </c>
      <c r="K103" s="10">
        <f t="shared" si="1"/>
        <v>3</v>
      </c>
      <c r="L103" t="s">
        <v>41</v>
      </c>
      <c r="M103" t="s">
        <v>41</v>
      </c>
      <c r="X103" t="s">
        <v>41</v>
      </c>
    </row>
    <row r="104" spans="1:119" x14ac:dyDescent="0.3">
      <c r="A104">
        <v>102</v>
      </c>
      <c r="B104" t="s">
        <v>539</v>
      </c>
      <c r="C104" s="2" t="s">
        <v>202</v>
      </c>
      <c r="D104" t="s">
        <v>334</v>
      </c>
      <c r="E104">
        <v>2018</v>
      </c>
      <c r="F104" s="2" t="s">
        <v>202</v>
      </c>
      <c r="G104" t="s">
        <v>540</v>
      </c>
      <c r="H104" s="2" t="s">
        <v>202</v>
      </c>
      <c r="I104" t="s">
        <v>1305</v>
      </c>
      <c r="J104" s="2" t="s">
        <v>202</v>
      </c>
      <c r="K104" s="10">
        <f t="shared" si="1"/>
        <v>9</v>
      </c>
      <c r="L104" t="s">
        <v>41</v>
      </c>
      <c r="M104" t="s">
        <v>41</v>
      </c>
      <c r="P104" t="s">
        <v>41</v>
      </c>
      <c r="X104" t="s">
        <v>41</v>
      </c>
      <c r="Z104" t="s">
        <v>41</v>
      </c>
      <c r="AA104" t="s">
        <v>41</v>
      </c>
      <c r="BV104" t="s">
        <v>41</v>
      </c>
      <c r="BW104" t="s">
        <v>41</v>
      </c>
      <c r="CD104" t="s">
        <v>41</v>
      </c>
    </row>
    <row r="105" spans="1:119" x14ac:dyDescent="0.3">
      <c r="A105">
        <v>103</v>
      </c>
      <c r="B105" t="s">
        <v>542</v>
      </c>
      <c r="C105" s="2" t="s">
        <v>202</v>
      </c>
      <c r="D105" t="s">
        <v>334</v>
      </c>
      <c r="E105">
        <v>2018</v>
      </c>
      <c r="F105" s="2" t="s">
        <v>202</v>
      </c>
      <c r="G105" t="s">
        <v>543</v>
      </c>
      <c r="H105" s="2" t="s">
        <v>202</v>
      </c>
      <c r="I105" t="s">
        <v>1305</v>
      </c>
      <c r="J105" s="2" t="s">
        <v>202</v>
      </c>
      <c r="K105" s="10">
        <f t="shared" si="1"/>
        <v>3</v>
      </c>
      <c r="L105" t="s">
        <v>41</v>
      </c>
      <c r="M105" t="s">
        <v>41</v>
      </c>
      <c r="N105" t="s">
        <v>41</v>
      </c>
    </row>
    <row r="106" spans="1:119" x14ac:dyDescent="0.3">
      <c r="A106">
        <v>104</v>
      </c>
      <c r="B106" t="s">
        <v>545</v>
      </c>
      <c r="C106" s="2" t="s">
        <v>202</v>
      </c>
      <c r="D106" t="s">
        <v>428</v>
      </c>
      <c r="E106">
        <v>2019</v>
      </c>
      <c r="F106" s="2" t="s">
        <v>202</v>
      </c>
      <c r="G106" t="s">
        <v>546</v>
      </c>
      <c r="H106" s="2" t="s">
        <v>202</v>
      </c>
      <c r="I106" t="s">
        <v>1305</v>
      </c>
      <c r="J106" s="2" t="s">
        <v>202</v>
      </c>
      <c r="K106" s="10">
        <f t="shared" si="1"/>
        <v>3</v>
      </c>
      <c r="L106" t="s">
        <v>41</v>
      </c>
      <c r="X106" t="s">
        <v>41</v>
      </c>
      <c r="BV106" t="s">
        <v>41</v>
      </c>
    </row>
    <row r="107" spans="1:119" x14ac:dyDescent="0.3">
      <c r="A107">
        <v>105</v>
      </c>
      <c r="B107" t="s">
        <v>547</v>
      </c>
      <c r="C107" s="2" t="s">
        <v>202</v>
      </c>
      <c r="D107" t="s">
        <v>17</v>
      </c>
      <c r="E107">
        <v>2021</v>
      </c>
      <c r="F107" s="2" t="s">
        <v>202</v>
      </c>
      <c r="G107" t="s">
        <v>369</v>
      </c>
      <c r="H107" s="2" t="s">
        <v>202</v>
      </c>
      <c r="I107" t="s">
        <v>1305</v>
      </c>
      <c r="J107" s="2" t="s">
        <v>202</v>
      </c>
      <c r="K107" s="10">
        <f t="shared" si="1"/>
        <v>7</v>
      </c>
      <c r="L107" t="s">
        <v>41</v>
      </c>
      <c r="M107" t="s">
        <v>41</v>
      </c>
      <c r="N107" t="s">
        <v>41</v>
      </c>
      <c r="X107" t="s">
        <v>41</v>
      </c>
      <c r="AC107" t="s">
        <v>41</v>
      </c>
      <c r="AS107" t="s">
        <v>41</v>
      </c>
      <c r="AZ107" t="s">
        <v>41</v>
      </c>
    </row>
    <row r="108" spans="1:119" x14ac:dyDescent="0.3">
      <c r="A108">
        <v>106</v>
      </c>
      <c r="B108" t="s">
        <v>549</v>
      </c>
      <c r="C108" s="2" t="s">
        <v>202</v>
      </c>
      <c r="D108" t="s">
        <v>17</v>
      </c>
      <c r="E108">
        <v>2021</v>
      </c>
      <c r="F108" s="2" t="s">
        <v>202</v>
      </c>
      <c r="G108" t="s">
        <v>548</v>
      </c>
      <c r="H108" s="2" t="s">
        <v>202</v>
      </c>
      <c r="I108" t="s">
        <v>1305</v>
      </c>
      <c r="J108" s="2" t="s">
        <v>202</v>
      </c>
      <c r="K108" s="10">
        <f t="shared" si="1"/>
        <v>10</v>
      </c>
      <c r="N108" t="s">
        <v>41</v>
      </c>
      <c r="AC108" t="s">
        <v>41</v>
      </c>
      <c r="AF108" t="s">
        <v>41</v>
      </c>
      <c r="AS108" t="s">
        <v>41</v>
      </c>
      <c r="AT108" t="s">
        <v>41</v>
      </c>
      <c r="AU108" t="s">
        <v>41</v>
      </c>
      <c r="AW108" t="s">
        <v>41</v>
      </c>
      <c r="BA108" t="s">
        <v>41</v>
      </c>
      <c r="BB108" t="s">
        <v>41</v>
      </c>
      <c r="BJ108" t="s">
        <v>41</v>
      </c>
    </row>
    <row r="109" spans="1:119" x14ac:dyDescent="0.3">
      <c r="A109">
        <v>107</v>
      </c>
      <c r="B109" t="s">
        <v>552</v>
      </c>
      <c r="C109" t="s">
        <v>440</v>
      </c>
      <c r="D109" t="s">
        <v>17</v>
      </c>
      <c r="E109">
        <v>2022</v>
      </c>
      <c r="F109" t="s">
        <v>553</v>
      </c>
      <c r="G109" t="s">
        <v>554</v>
      </c>
      <c r="H109" s="2" t="s">
        <v>202</v>
      </c>
      <c r="I109" t="s">
        <v>555</v>
      </c>
      <c r="J109" s="2" t="s">
        <v>202</v>
      </c>
      <c r="K109" s="10">
        <f t="shared" si="1"/>
        <v>12</v>
      </c>
      <c r="L109" t="s">
        <v>41</v>
      </c>
      <c r="M109" t="s">
        <v>41</v>
      </c>
      <c r="N109" t="s">
        <v>41</v>
      </c>
      <c r="O109" t="s">
        <v>41</v>
      </c>
      <c r="X109" t="s">
        <v>41</v>
      </c>
      <c r="Y109" t="s">
        <v>41</v>
      </c>
      <c r="Z109" t="s">
        <v>41</v>
      </c>
      <c r="AC109" t="s">
        <v>41</v>
      </c>
      <c r="AS109" t="s">
        <v>41</v>
      </c>
      <c r="AZ109" t="s">
        <v>41</v>
      </c>
      <c r="BJ109" t="s">
        <v>41</v>
      </c>
      <c r="CZ109" t="s">
        <v>41</v>
      </c>
    </row>
    <row r="110" spans="1:119" x14ac:dyDescent="0.3">
      <c r="A110">
        <v>108</v>
      </c>
      <c r="B110" t="s">
        <v>570</v>
      </c>
      <c r="C110" t="s">
        <v>441</v>
      </c>
      <c r="D110" t="s">
        <v>17</v>
      </c>
      <c r="E110">
        <v>2022</v>
      </c>
      <c r="F110" t="s">
        <v>175</v>
      </c>
      <c r="G110" t="s">
        <v>556</v>
      </c>
      <c r="H110" s="2" t="s">
        <v>202</v>
      </c>
      <c r="I110" t="s">
        <v>557</v>
      </c>
      <c r="J110" s="2" t="s">
        <v>202</v>
      </c>
      <c r="K110" s="10">
        <f t="shared" si="1"/>
        <v>14</v>
      </c>
      <c r="X110" t="s">
        <v>41</v>
      </c>
      <c r="AC110" t="s">
        <v>41</v>
      </c>
      <c r="AD110" t="s">
        <v>41</v>
      </c>
      <c r="AE110" t="s">
        <v>41</v>
      </c>
      <c r="AF110" t="s">
        <v>41</v>
      </c>
      <c r="BE110" t="s">
        <v>41</v>
      </c>
      <c r="BQ110" t="s">
        <v>41</v>
      </c>
      <c r="BS110" t="s">
        <v>41</v>
      </c>
      <c r="DH110" t="s">
        <v>41</v>
      </c>
      <c r="DI110" t="s">
        <v>41</v>
      </c>
      <c r="DJ110" t="s">
        <v>41</v>
      </c>
      <c r="DK110" t="s">
        <v>41</v>
      </c>
      <c r="DL110" t="s">
        <v>41</v>
      </c>
      <c r="DM110" t="s">
        <v>41</v>
      </c>
    </row>
    <row r="111" spans="1:119" x14ac:dyDescent="0.3">
      <c r="A111">
        <v>109</v>
      </c>
      <c r="B111" t="s">
        <v>566</v>
      </c>
      <c r="C111" t="s">
        <v>442</v>
      </c>
      <c r="D111" t="s">
        <v>17</v>
      </c>
      <c r="E111">
        <v>2021</v>
      </c>
      <c r="F111" t="s">
        <v>565</v>
      </c>
      <c r="G111" t="s">
        <v>564</v>
      </c>
      <c r="H111" s="2" t="s">
        <v>202</v>
      </c>
      <c r="I111" t="s">
        <v>555</v>
      </c>
      <c r="J111" s="2" t="s">
        <v>202</v>
      </c>
      <c r="K111" s="10">
        <f t="shared" si="1"/>
        <v>7</v>
      </c>
      <c r="L111" t="s">
        <v>41</v>
      </c>
      <c r="M111" t="s">
        <v>41</v>
      </c>
      <c r="N111" t="s">
        <v>41</v>
      </c>
      <c r="O111" t="s">
        <v>41</v>
      </c>
      <c r="AC111" t="s">
        <v>41</v>
      </c>
      <c r="AS111" t="s">
        <v>41</v>
      </c>
      <c r="AT111" t="s">
        <v>41</v>
      </c>
    </row>
    <row r="112" spans="1:119" x14ac:dyDescent="0.3">
      <c r="A112">
        <v>110</v>
      </c>
      <c r="B112" t="s">
        <v>571</v>
      </c>
      <c r="C112" t="s">
        <v>572</v>
      </c>
      <c r="D112" t="s">
        <v>17</v>
      </c>
      <c r="E112">
        <v>2022</v>
      </c>
      <c r="F112" t="s">
        <v>553</v>
      </c>
      <c r="G112" t="s">
        <v>554</v>
      </c>
      <c r="H112" s="2" t="s">
        <v>202</v>
      </c>
      <c r="I112" t="s">
        <v>557</v>
      </c>
      <c r="J112" s="2" t="s">
        <v>202</v>
      </c>
      <c r="K112" s="10">
        <f t="shared" si="1"/>
        <v>15</v>
      </c>
      <c r="X112" t="s">
        <v>41</v>
      </c>
      <c r="AC112" t="s">
        <v>41</v>
      </c>
      <c r="AD112" t="s">
        <v>41</v>
      </c>
      <c r="AE112" t="s">
        <v>41</v>
      </c>
      <c r="AG112" t="s">
        <v>41</v>
      </c>
      <c r="AK112" t="s">
        <v>41</v>
      </c>
      <c r="BQ112" t="s">
        <v>41</v>
      </c>
      <c r="BR112" t="s">
        <v>41</v>
      </c>
      <c r="BS112" t="s">
        <v>41</v>
      </c>
      <c r="BX112" t="s">
        <v>41</v>
      </c>
      <c r="DH112" t="s">
        <v>41</v>
      </c>
      <c r="DL112" t="s">
        <v>41</v>
      </c>
      <c r="DM112" t="s">
        <v>41</v>
      </c>
      <c r="DN112" t="s">
        <v>41</v>
      </c>
      <c r="DO112" t="s">
        <v>41</v>
      </c>
    </row>
    <row r="113" spans="1:141" x14ac:dyDescent="0.3">
      <c r="A113">
        <v>111</v>
      </c>
      <c r="B113" t="s">
        <v>577</v>
      </c>
      <c r="C113" t="s">
        <v>578</v>
      </c>
      <c r="D113" t="s">
        <v>17</v>
      </c>
      <c r="E113" t="s">
        <v>111</v>
      </c>
      <c r="F113" t="s">
        <v>579</v>
      </c>
      <c r="G113" t="s">
        <v>111</v>
      </c>
      <c r="H113" s="2" t="s">
        <v>202</v>
      </c>
      <c r="I113" t="s">
        <v>557</v>
      </c>
      <c r="J113" s="2" t="s">
        <v>202</v>
      </c>
      <c r="K113" s="10">
        <f t="shared" si="1"/>
        <v>8</v>
      </c>
      <c r="AC113" t="s">
        <v>41</v>
      </c>
      <c r="AE113" t="s">
        <v>41</v>
      </c>
      <c r="AR113" t="s">
        <v>41</v>
      </c>
      <c r="BQ113" t="s">
        <v>41</v>
      </c>
      <c r="BY113" t="s">
        <v>41</v>
      </c>
      <c r="DH113" t="s">
        <v>41</v>
      </c>
      <c r="DK113" t="s">
        <v>41</v>
      </c>
      <c r="DP113" t="s">
        <v>41</v>
      </c>
    </row>
    <row r="114" spans="1:141" x14ac:dyDescent="0.3">
      <c r="A114">
        <v>112</v>
      </c>
      <c r="B114" t="s">
        <v>583</v>
      </c>
      <c r="C114" t="s">
        <v>584</v>
      </c>
      <c r="D114" t="s">
        <v>17</v>
      </c>
      <c r="E114">
        <v>2021</v>
      </c>
      <c r="F114" t="s">
        <v>585</v>
      </c>
      <c r="G114" t="s">
        <v>111</v>
      </c>
      <c r="H114" s="2" t="s">
        <v>202</v>
      </c>
      <c r="I114" t="s">
        <v>557</v>
      </c>
      <c r="J114" s="2" t="s">
        <v>202</v>
      </c>
      <c r="K114" s="10">
        <f t="shared" si="1"/>
        <v>10</v>
      </c>
      <c r="AC114" t="s">
        <v>41</v>
      </c>
      <c r="AD114" t="s">
        <v>41</v>
      </c>
      <c r="BQ114" t="s">
        <v>41</v>
      </c>
      <c r="BR114" t="s">
        <v>41</v>
      </c>
      <c r="BS114" t="s">
        <v>41</v>
      </c>
      <c r="BZ114" t="s">
        <v>41</v>
      </c>
      <c r="CS114" t="s">
        <v>41</v>
      </c>
      <c r="DK114" t="s">
        <v>41</v>
      </c>
      <c r="DM114" t="s">
        <v>41</v>
      </c>
      <c r="DP114" t="s">
        <v>41</v>
      </c>
    </row>
    <row r="115" spans="1:141" x14ac:dyDescent="0.3">
      <c r="A115">
        <v>113</v>
      </c>
      <c r="B115" t="s">
        <v>589</v>
      </c>
      <c r="C115" t="s">
        <v>591</v>
      </c>
      <c r="D115" t="s">
        <v>17</v>
      </c>
      <c r="E115">
        <v>2020</v>
      </c>
      <c r="F115" t="s">
        <v>98</v>
      </c>
      <c r="G115" t="s">
        <v>590</v>
      </c>
      <c r="H115" s="2" t="s">
        <v>202</v>
      </c>
      <c r="I115" t="s">
        <v>557</v>
      </c>
      <c r="J115" s="2" t="s">
        <v>202</v>
      </c>
      <c r="K115" s="10">
        <f t="shared" si="1"/>
        <v>9</v>
      </c>
      <c r="X115" t="s">
        <v>41</v>
      </c>
      <c r="AC115" t="s">
        <v>41</v>
      </c>
      <c r="AD115" t="s">
        <v>41</v>
      </c>
      <c r="BR115" t="s">
        <v>41</v>
      </c>
      <c r="BZ115" t="s">
        <v>41</v>
      </c>
      <c r="CS115" t="s">
        <v>41</v>
      </c>
      <c r="DL115" t="s">
        <v>41</v>
      </c>
      <c r="DM115" t="s">
        <v>41</v>
      </c>
      <c r="DQ115" t="s">
        <v>41</v>
      </c>
    </row>
    <row r="116" spans="1:141" x14ac:dyDescent="0.3">
      <c r="A116">
        <v>114</v>
      </c>
      <c r="B116" t="s">
        <v>597</v>
      </c>
      <c r="C116" t="s">
        <v>598</v>
      </c>
      <c r="D116" t="s">
        <v>17</v>
      </c>
      <c r="E116" t="s">
        <v>111</v>
      </c>
      <c r="F116" t="s">
        <v>422</v>
      </c>
      <c r="G116" t="s">
        <v>111</v>
      </c>
      <c r="H116" s="2" t="s">
        <v>202</v>
      </c>
      <c r="I116" t="s">
        <v>557</v>
      </c>
      <c r="J116" s="2" t="s">
        <v>202</v>
      </c>
      <c r="K116" s="10">
        <f t="shared" si="1"/>
        <v>6</v>
      </c>
      <c r="N116" t="s">
        <v>41</v>
      </c>
      <c r="AD116" t="s">
        <v>41</v>
      </c>
      <c r="AS116" t="s">
        <v>41</v>
      </c>
      <c r="BE116" t="s">
        <v>41</v>
      </c>
      <c r="BR116" t="s">
        <v>41</v>
      </c>
      <c r="DR116" t="s">
        <v>41</v>
      </c>
    </row>
    <row r="117" spans="1:141" x14ac:dyDescent="0.3">
      <c r="A117">
        <v>115</v>
      </c>
      <c r="B117" t="s">
        <v>603</v>
      </c>
      <c r="C117" t="s">
        <v>604</v>
      </c>
      <c r="D117" t="s">
        <v>17</v>
      </c>
      <c r="E117">
        <v>2022</v>
      </c>
      <c r="F117" t="s">
        <v>49</v>
      </c>
      <c r="G117" t="s">
        <v>605</v>
      </c>
      <c r="H117" s="2" t="s">
        <v>202</v>
      </c>
      <c r="I117" t="s">
        <v>557</v>
      </c>
      <c r="J117" s="2" t="s">
        <v>202</v>
      </c>
      <c r="K117" s="10">
        <f t="shared" si="1"/>
        <v>3</v>
      </c>
      <c r="AC117" t="s">
        <v>41</v>
      </c>
      <c r="AE117" t="s">
        <v>41</v>
      </c>
      <c r="DH117" t="s">
        <v>41</v>
      </c>
    </row>
    <row r="118" spans="1:141" x14ac:dyDescent="0.3">
      <c r="A118">
        <v>116</v>
      </c>
      <c r="B118" t="s">
        <v>610</v>
      </c>
      <c r="C118" t="s">
        <v>611</v>
      </c>
      <c r="D118" t="s">
        <v>17</v>
      </c>
      <c r="E118">
        <v>2021</v>
      </c>
      <c r="F118" t="s">
        <v>612</v>
      </c>
      <c r="G118" t="s">
        <v>613</v>
      </c>
      <c r="H118" s="2" t="s">
        <v>202</v>
      </c>
      <c r="I118" t="s">
        <v>557</v>
      </c>
      <c r="J118" s="2" t="s">
        <v>202</v>
      </c>
      <c r="K118" s="10">
        <f t="shared" si="1"/>
        <v>5</v>
      </c>
      <c r="AC118" t="s">
        <v>41</v>
      </c>
      <c r="AD118" t="s">
        <v>41</v>
      </c>
      <c r="AE118" t="s">
        <v>41</v>
      </c>
      <c r="AF118" t="s">
        <v>41</v>
      </c>
      <c r="BS118" t="s">
        <v>41</v>
      </c>
    </row>
    <row r="119" spans="1:141" x14ac:dyDescent="0.3">
      <c r="A119">
        <v>117</v>
      </c>
      <c r="B119" t="s">
        <v>616</v>
      </c>
      <c r="C119" t="s">
        <v>617</v>
      </c>
      <c r="D119" t="s">
        <v>17</v>
      </c>
      <c r="E119">
        <v>2021</v>
      </c>
      <c r="F119" t="s">
        <v>618</v>
      </c>
      <c r="G119" t="s">
        <v>111</v>
      </c>
      <c r="H119" s="2" t="s">
        <v>202</v>
      </c>
      <c r="I119" t="s">
        <v>557</v>
      </c>
      <c r="J119" s="2" t="s">
        <v>202</v>
      </c>
      <c r="K119" s="10">
        <f t="shared" si="1"/>
        <v>4</v>
      </c>
      <c r="AC119" t="s">
        <v>41</v>
      </c>
      <c r="AD119" t="s">
        <v>41</v>
      </c>
      <c r="AE119" t="s">
        <v>41</v>
      </c>
      <c r="BQ119" t="s">
        <v>41</v>
      </c>
    </row>
    <row r="120" spans="1:141" x14ac:dyDescent="0.3">
      <c r="A120">
        <v>118</v>
      </c>
      <c r="B120" t="s">
        <v>627</v>
      </c>
      <c r="C120" t="s">
        <v>626</v>
      </c>
      <c r="D120" t="s">
        <v>17</v>
      </c>
      <c r="E120" t="s">
        <v>111</v>
      </c>
      <c r="F120" t="s">
        <v>628</v>
      </c>
      <c r="G120" t="s">
        <v>111</v>
      </c>
      <c r="H120" s="2" t="s">
        <v>202</v>
      </c>
      <c r="I120" t="s">
        <v>557</v>
      </c>
      <c r="J120" s="2" t="s">
        <v>202</v>
      </c>
      <c r="K120" s="10">
        <f t="shared" si="1"/>
        <v>4</v>
      </c>
      <c r="AC120" t="s">
        <v>41</v>
      </c>
      <c r="BQ120" t="s">
        <v>41</v>
      </c>
      <c r="BR120" t="s">
        <v>41</v>
      </c>
      <c r="DL120" t="s">
        <v>41</v>
      </c>
    </row>
    <row r="121" spans="1:141" x14ac:dyDescent="0.3">
      <c r="A121">
        <v>119</v>
      </c>
      <c r="B121" t="s">
        <v>632</v>
      </c>
      <c r="C121" t="s">
        <v>633</v>
      </c>
      <c r="D121" t="s">
        <v>17</v>
      </c>
      <c r="E121" t="s">
        <v>111</v>
      </c>
      <c r="F121" t="s">
        <v>634</v>
      </c>
      <c r="G121" t="s">
        <v>111</v>
      </c>
      <c r="H121" s="2" t="s">
        <v>202</v>
      </c>
      <c r="I121" t="s">
        <v>557</v>
      </c>
      <c r="J121" s="2" t="s">
        <v>202</v>
      </c>
      <c r="K121" s="10">
        <f t="shared" si="1"/>
        <v>12</v>
      </c>
      <c r="L121" t="s">
        <v>41</v>
      </c>
      <c r="M121" t="s">
        <v>41</v>
      </c>
      <c r="N121" t="s">
        <v>41</v>
      </c>
      <c r="O121" t="s">
        <v>41</v>
      </c>
      <c r="AC121" t="s">
        <v>41</v>
      </c>
      <c r="AD121" t="s">
        <v>41</v>
      </c>
      <c r="AL121" t="s">
        <v>41</v>
      </c>
      <c r="AS121" t="s">
        <v>41</v>
      </c>
      <c r="BJ121" t="s">
        <v>41</v>
      </c>
      <c r="BQ121" t="s">
        <v>41</v>
      </c>
      <c r="CI121" t="s">
        <v>41</v>
      </c>
      <c r="DH121" t="s">
        <v>41</v>
      </c>
    </row>
    <row r="122" spans="1:141" x14ac:dyDescent="0.3">
      <c r="A122">
        <v>120</v>
      </c>
      <c r="B122" t="s">
        <v>641</v>
      </c>
      <c r="C122" t="s">
        <v>642</v>
      </c>
      <c r="D122" t="s">
        <v>17</v>
      </c>
      <c r="E122">
        <v>2022</v>
      </c>
      <c r="F122" t="s">
        <v>644</v>
      </c>
      <c r="G122" t="s">
        <v>643</v>
      </c>
      <c r="H122" t="s">
        <v>646</v>
      </c>
      <c r="I122" t="s">
        <v>557</v>
      </c>
      <c r="J122" s="2" t="s">
        <v>202</v>
      </c>
      <c r="K122" s="10">
        <f t="shared" si="1"/>
        <v>10</v>
      </c>
      <c r="L122" t="s">
        <v>41</v>
      </c>
      <c r="M122" t="s">
        <v>41</v>
      </c>
      <c r="N122" t="s">
        <v>41</v>
      </c>
      <c r="O122" t="s">
        <v>41</v>
      </c>
      <c r="X122" t="s">
        <v>41</v>
      </c>
      <c r="Y122" t="s">
        <v>41</v>
      </c>
      <c r="AC122" t="s">
        <v>41</v>
      </c>
      <c r="AS122" t="s">
        <v>41</v>
      </c>
      <c r="AT122" t="s">
        <v>41</v>
      </c>
      <c r="AX122" t="s">
        <v>41</v>
      </c>
    </row>
    <row r="123" spans="1:141" x14ac:dyDescent="0.3">
      <c r="A123">
        <v>121</v>
      </c>
      <c r="B123" t="s">
        <v>675</v>
      </c>
      <c r="C123" t="s">
        <v>676</v>
      </c>
      <c r="D123" t="s">
        <v>17</v>
      </c>
      <c r="E123">
        <v>2020</v>
      </c>
      <c r="F123" t="s">
        <v>677</v>
      </c>
      <c r="G123" t="s">
        <v>678</v>
      </c>
      <c r="H123" s="2" t="s">
        <v>202</v>
      </c>
      <c r="I123" t="s">
        <v>25</v>
      </c>
      <c r="J123" s="2" t="s">
        <v>202</v>
      </c>
      <c r="K123" s="10">
        <f t="shared" si="1"/>
        <v>1</v>
      </c>
      <c r="DS123" t="s">
        <v>41</v>
      </c>
    </row>
    <row r="124" spans="1:141" x14ac:dyDescent="0.3">
      <c r="A124">
        <v>122</v>
      </c>
      <c r="B124" t="s">
        <v>684</v>
      </c>
      <c r="C124" t="s">
        <v>685</v>
      </c>
      <c r="D124" t="s">
        <v>17</v>
      </c>
      <c r="E124">
        <v>2022</v>
      </c>
      <c r="F124" t="s">
        <v>686</v>
      </c>
      <c r="G124" t="s">
        <v>687</v>
      </c>
      <c r="H124" s="2" t="s">
        <v>202</v>
      </c>
      <c r="I124" t="s">
        <v>25</v>
      </c>
      <c r="J124" s="2" t="s">
        <v>202</v>
      </c>
      <c r="K124" s="10">
        <f t="shared" si="1"/>
        <v>7</v>
      </c>
      <c r="L124" t="s">
        <v>41</v>
      </c>
      <c r="M124" t="s">
        <v>41</v>
      </c>
      <c r="N124" t="s">
        <v>41</v>
      </c>
      <c r="AS124" t="s">
        <v>41</v>
      </c>
      <c r="AU124" t="s">
        <v>41</v>
      </c>
      <c r="AV124" t="s">
        <v>41</v>
      </c>
      <c r="AZ124" t="s">
        <v>41</v>
      </c>
    </row>
    <row r="125" spans="1:141" x14ac:dyDescent="0.3">
      <c r="A125">
        <v>123</v>
      </c>
      <c r="B125" t="s">
        <v>691</v>
      </c>
      <c r="C125" t="s">
        <v>692</v>
      </c>
      <c r="D125" t="s">
        <v>17</v>
      </c>
      <c r="E125">
        <v>2022</v>
      </c>
      <c r="F125" t="s">
        <v>693</v>
      </c>
      <c r="G125" t="s">
        <v>111</v>
      </c>
      <c r="H125" s="2" t="s">
        <v>202</v>
      </c>
      <c r="I125" t="s">
        <v>26</v>
      </c>
      <c r="J125" s="2" t="s">
        <v>202</v>
      </c>
      <c r="K125" s="10">
        <f t="shared" si="1"/>
        <v>12</v>
      </c>
      <c r="L125" t="s">
        <v>41</v>
      </c>
      <c r="M125" t="s">
        <v>41</v>
      </c>
      <c r="N125" t="s">
        <v>41</v>
      </c>
      <c r="O125" t="s">
        <v>41</v>
      </c>
      <c r="P125" t="s">
        <v>41</v>
      </c>
      <c r="BK125" t="s">
        <v>41</v>
      </c>
      <c r="BP125" t="s">
        <v>41</v>
      </c>
      <c r="CI125" t="s">
        <v>41</v>
      </c>
      <c r="DT125" t="s">
        <v>41</v>
      </c>
      <c r="DU125" t="s">
        <v>41</v>
      </c>
      <c r="DV125" t="s">
        <v>41</v>
      </c>
      <c r="DW125" t="s">
        <v>41</v>
      </c>
    </row>
    <row r="126" spans="1:141" x14ac:dyDescent="0.3">
      <c r="A126">
        <v>124</v>
      </c>
      <c r="B126" t="s">
        <v>698</v>
      </c>
      <c r="C126" t="s">
        <v>699</v>
      </c>
      <c r="D126" t="s">
        <v>17</v>
      </c>
      <c r="E126">
        <v>2021</v>
      </c>
      <c r="F126" t="s">
        <v>175</v>
      </c>
      <c r="G126" t="s">
        <v>700</v>
      </c>
      <c r="H126" s="2" t="s">
        <v>202</v>
      </c>
      <c r="I126" t="s">
        <v>26</v>
      </c>
      <c r="J126" s="2" t="s">
        <v>202</v>
      </c>
      <c r="K126" s="10">
        <f t="shared" si="1"/>
        <v>5</v>
      </c>
      <c r="L126" t="s">
        <v>41</v>
      </c>
      <c r="M126" t="s">
        <v>41</v>
      </c>
      <c r="N126" t="s">
        <v>41</v>
      </c>
      <c r="O126" t="s">
        <v>41</v>
      </c>
      <c r="P126" t="s">
        <v>41</v>
      </c>
    </row>
    <row r="127" spans="1:141" x14ac:dyDescent="0.3">
      <c r="A127">
        <v>125</v>
      </c>
      <c r="B127" t="s">
        <v>701</v>
      </c>
      <c r="C127" t="s">
        <v>702</v>
      </c>
      <c r="D127" t="s">
        <v>17</v>
      </c>
      <c r="E127">
        <v>2021</v>
      </c>
      <c r="F127" t="s">
        <v>703</v>
      </c>
      <c r="G127" t="s">
        <v>111</v>
      </c>
      <c r="H127" s="2" t="s">
        <v>202</v>
      </c>
      <c r="I127" t="s">
        <v>26</v>
      </c>
      <c r="J127" s="2" t="s">
        <v>202</v>
      </c>
      <c r="K127" s="10">
        <f t="shared" si="1"/>
        <v>23</v>
      </c>
      <c r="L127" t="s">
        <v>41</v>
      </c>
      <c r="M127" t="s">
        <v>41</v>
      </c>
      <c r="N127" t="s">
        <v>41</v>
      </c>
      <c r="O127" t="s">
        <v>41</v>
      </c>
      <c r="P127" t="s">
        <v>41</v>
      </c>
      <c r="X127" t="s">
        <v>41</v>
      </c>
      <c r="AM127" t="s">
        <v>41</v>
      </c>
      <c r="BK127" t="s">
        <v>41</v>
      </c>
      <c r="BP127" t="s">
        <v>41</v>
      </c>
      <c r="CD127" t="s">
        <v>41</v>
      </c>
      <c r="CI127" t="s">
        <v>41</v>
      </c>
      <c r="DT127" t="s">
        <v>41</v>
      </c>
      <c r="DV127" t="s">
        <v>41</v>
      </c>
      <c r="DW127" t="s">
        <v>41</v>
      </c>
      <c r="DX127" t="s">
        <v>41</v>
      </c>
      <c r="DY127" t="s">
        <v>41</v>
      </c>
      <c r="EE127" t="s">
        <v>41</v>
      </c>
      <c r="EF127" t="s">
        <v>41</v>
      </c>
      <c r="EG127" t="s">
        <v>41</v>
      </c>
      <c r="EH127" t="s">
        <v>41</v>
      </c>
      <c r="EI127" t="s">
        <v>41</v>
      </c>
      <c r="EJ127" t="s">
        <v>41</v>
      </c>
      <c r="EK127" t="s">
        <v>41</v>
      </c>
    </row>
    <row r="128" spans="1:141" x14ac:dyDescent="0.3">
      <c r="A128">
        <v>126</v>
      </c>
      <c r="B128" t="s">
        <v>715</v>
      </c>
      <c r="C128" t="s">
        <v>714</v>
      </c>
      <c r="D128" t="s">
        <v>17</v>
      </c>
      <c r="E128" t="s">
        <v>111</v>
      </c>
      <c r="F128" t="s">
        <v>716</v>
      </c>
      <c r="G128" t="s">
        <v>717</v>
      </c>
      <c r="H128" s="2" t="s">
        <v>202</v>
      </c>
      <c r="I128" t="s">
        <v>26</v>
      </c>
      <c r="J128" s="2" t="s">
        <v>202</v>
      </c>
      <c r="K128" s="10">
        <f t="shared" si="1"/>
        <v>5</v>
      </c>
      <c r="L128" t="s">
        <v>41</v>
      </c>
      <c r="M128" t="s">
        <v>41</v>
      </c>
      <c r="N128" t="s">
        <v>41</v>
      </c>
      <c r="O128" t="s">
        <v>41</v>
      </c>
      <c r="P128" t="s">
        <v>41</v>
      </c>
    </row>
    <row r="129" spans="1:170" x14ac:dyDescent="0.3">
      <c r="A129">
        <v>127</v>
      </c>
      <c r="B129" t="s">
        <v>718</v>
      </c>
      <c r="C129" t="s">
        <v>721</v>
      </c>
      <c r="D129" t="s">
        <v>17</v>
      </c>
      <c r="E129">
        <v>2022</v>
      </c>
      <c r="F129" t="s">
        <v>720</v>
      </c>
      <c r="G129" t="s">
        <v>719</v>
      </c>
      <c r="H129" s="2" t="s">
        <v>202</v>
      </c>
      <c r="I129" t="s">
        <v>26</v>
      </c>
      <c r="J129" s="2" t="s">
        <v>202</v>
      </c>
      <c r="K129" s="10">
        <f t="shared" si="1"/>
        <v>10</v>
      </c>
      <c r="N129" t="s">
        <v>41</v>
      </c>
      <c r="O129" t="s">
        <v>41</v>
      </c>
      <c r="BK129" t="s">
        <v>41</v>
      </c>
      <c r="BP129" t="s">
        <v>41</v>
      </c>
      <c r="CI129" t="s">
        <v>41</v>
      </c>
      <c r="DW129" t="s">
        <v>41</v>
      </c>
      <c r="EL129" t="s">
        <v>41</v>
      </c>
      <c r="EM129" t="s">
        <v>41</v>
      </c>
      <c r="EN129" t="s">
        <v>41</v>
      </c>
      <c r="EO129" t="s">
        <v>41</v>
      </c>
    </row>
    <row r="130" spans="1:170" x14ac:dyDescent="0.3">
      <c r="A130">
        <v>128</v>
      </c>
      <c r="B130" t="s">
        <v>726</v>
      </c>
      <c r="C130" t="s">
        <v>727</v>
      </c>
      <c r="D130" t="s">
        <v>17</v>
      </c>
      <c r="E130">
        <v>2022</v>
      </c>
      <c r="F130" t="s">
        <v>728</v>
      </c>
      <c r="G130" t="s">
        <v>729</v>
      </c>
      <c r="H130" s="2" t="s">
        <v>202</v>
      </c>
      <c r="I130" t="s">
        <v>26</v>
      </c>
      <c r="J130" s="2" t="s">
        <v>202</v>
      </c>
      <c r="K130" s="10">
        <f t="shared" si="1"/>
        <v>8</v>
      </c>
      <c r="L130" t="s">
        <v>41</v>
      </c>
      <c r="M130" t="s">
        <v>41</v>
      </c>
      <c r="N130" t="s">
        <v>41</v>
      </c>
      <c r="O130" t="s">
        <v>41</v>
      </c>
      <c r="P130" t="s">
        <v>41</v>
      </c>
      <c r="BP130" t="s">
        <v>41</v>
      </c>
      <c r="CI130" t="s">
        <v>41</v>
      </c>
      <c r="DU130" t="s">
        <v>41</v>
      </c>
    </row>
    <row r="131" spans="1:170" x14ac:dyDescent="0.3">
      <c r="A131">
        <v>129</v>
      </c>
      <c r="B131" t="s">
        <v>730</v>
      </c>
      <c r="C131" t="s">
        <v>731</v>
      </c>
      <c r="D131" t="s">
        <v>17</v>
      </c>
      <c r="E131">
        <v>2021</v>
      </c>
      <c r="F131" t="s">
        <v>732</v>
      </c>
      <c r="G131" t="s">
        <v>111</v>
      </c>
      <c r="H131" s="2" t="s">
        <v>202</v>
      </c>
      <c r="I131" t="s">
        <v>26</v>
      </c>
      <c r="J131" s="2" t="s">
        <v>202</v>
      </c>
      <c r="K131" s="10">
        <f t="shared" ref="K131:K194" si="2">COUNTIF(L131:XFD131,"x")</f>
        <v>11</v>
      </c>
      <c r="L131" t="s">
        <v>41</v>
      </c>
      <c r="M131" t="s">
        <v>41</v>
      </c>
      <c r="N131" t="s">
        <v>41</v>
      </c>
      <c r="O131" t="s">
        <v>41</v>
      </c>
      <c r="P131" t="s">
        <v>41</v>
      </c>
      <c r="Z131" t="s">
        <v>41</v>
      </c>
      <c r="AN131" t="s">
        <v>41</v>
      </c>
      <c r="CI131" t="s">
        <v>41</v>
      </c>
      <c r="DT131" t="s">
        <v>41</v>
      </c>
      <c r="EE131" t="s">
        <v>41</v>
      </c>
      <c r="EK131" t="s">
        <v>41</v>
      </c>
    </row>
    <row r="132" spans="1:170" x14ac:dyDescent="0.3">
      <c r="A132">
        <v>130</v>
      </c>
      <c r="B132" t="s">
        <v>734</v>
      </c>
      <c r="C132" t="s">
        <v>735</v>
      </c>
      <c r="D132" t="s">
        <v>17</v>
      </c>
      <c r="E132">
        <v>2020</v>
      </c>
      <c r="F132" t="s">
        <v>736</v>
      </c>
      <c r="G132" t="s">
        <v>737</v>
      </c>
      <c r="H132" s="2" t="s">
        <v>202</v>
      </c>
      <c r="I132" t="s">
        <v>26</v>
      </c>
      <c r="J132" s="2" t="s">
        <v>202</v>
      </c>
      <c r="K132" s="10">
        <f t="shared" si="2"/>
        <v>6</v>
      </c>
      <c r="L132" t="s">
        <v>41</v>
      </c>
      <c r="M132" t="s">
        <v>41</v>
      </c>
      <c r="N132" t="s">
        <v>41</v>
      </c>
      <c r="O132" t="s">
        <v>41</v>
      </c>
      <c r="P132" t="s">
        <v>41</v>
      </c>
      <c r="AS132" t="s">
        <v>41</v>
      </c>
    </row>
    <row r="133" spans="1:170" x14ac:dyDescent="0.3">
      <c r="A133">
        <v>131</v>
      </c>
      <c r="B133" t="s">
        <v>738</v>
      </c>
      <c r="C133" t="s">
        <v>739</v>
      </c>
      <c r="D133" t="s">
        <v>17</v>
      </c>
      <c r="E133">
        <v>2020</v>
      </c>
      <c r="F133" t="s">
        <v>740</v>
      </c>
      <c r="G133" t="s">
        <v>741</v>
      </c>
      <c r="H133" s="2" t="s">
        <v>202</v>
      </c>
      <c r="I133" t="s">
        <v>26</v>
      </c>
      <c r="J133" s="2" t="s">
        <v>202</v>
      </c>
      <c r="K133" s="10">
        <f t="shared" si="2"/>
        <v>6</v>
      </c>
      <c r="L133" t="s">
        <v>41</v>
      </c>
      <c r="M133" t="s">
        <v>41</v>
      </c>
      <c r="N133" t="s">
        <v>41</v>
      </c>
      <c r="O133" t="s">
        <v>41</v>
      </c>
      <c r="AQ133" t="s">
        <v>41</v>
      </c>
      <c r="AS133" t="s">
        <v>41</v>
      </c>
    </row>
    <row r="134" spans="1:170" x14ac:dyDescent="0.3">
      <c r="A134">
        <v>132</v>
      </c>
      <c r="B134" t="s">
        <v>742</v>
      </c>
      <c r="C134" t="s">
        <v>743</v>
      </c>
      <c r="D134" t="s">
        <v>17</v>
      </c>
      <c r="E134">
        <v>2022</v>
      </c>
      <c r="F134" t="s">
        <v>744</v>
      </c>
      <c r="G134" t="s">
        <v>745</v>
      </c>
      <c r="H134" s="2" t="s">
        <v>202</v>
      </c>
      <c r="I134" t="s">
        <v>26</v>
      </c>
      <c r="J134" s="2" t="s">
        <v>202</v>
      </c>
      <c r="K134" s="10">
        <f t="shared" si="2"/>
        <v>19</v>
      </c>
      <c r="L134" t="s">
        <v>41</v>
      </c>
      <c r="M134" t="s">
        <v>41</v>
      </c>
      <c r="N134" t="s">
        <v>41</v>
      </c>
      <c r="O134" t="s">
        <v>41</v>
      </c>
      <c r="P134" t="s">
        <v>41</v>
      </c>
      <c r="AM134" t="s">
        <v>41</v>
      </c>
      <c r="BK134" t="s">
        <v>41</v>
      </c>
      <c r="BP134" t="s">
        <v>41</v>
      </c>
      <c r="CI134" t="s">
        <v>41</v>
      </c>
      <c r="DT134" t="s">
        <v>41</v>
      </c>
      <c r="DU134" t="s">
        <v>41</v>
      </c>
      <c r="DW134" t="s">
        <v>41</v>
      </c>
      <c r="DX134" t="s">
        <v>41</v>
      </c>
      <c r="EE134" t="s">
        <v>41</v>
      </c>
      <c r="EG134" t="s">
        <v>41</v>
      </c>
      <c r="EK134" t="s">
        <v>41</v>
      </c>
      <c r="EP134" t="s">
        <v>41</v>
      </c>
      <c r="EQ134" t="s">
        <v>41</v>
      </c>
      <c r="ER134" t="s">
        <v>41</v>
      </c>
    </row>
    <row r="135" spans="1:170" x14ac:dyDescent="0.3">
      <c r="A135">
        <v>133</v>
      </c>
      <c r="B135" t="s">
        <v>753</v>
      </c>
      <c r="C135" t="s">
        <v>752</v>
      </c>
      <c r="D135" t="s">
        <v>17</v>
      </c>
      <c r="E135">
        <v>2021</v>
      </c>
      <c r="F135" t="s">
        <v>51</v>
      </c>
      <c r="G135" t="s">
        <v>111</v>
      </c>
      <c r="H135" s="2" t="s">
        <v>202</v>
      </c>
      <c r="I135" t="s">
        <v>26</v>
      </c>
      <c r="J135" s="2" t="s">
        <v>202</v>
      </c>
      <c r="K135" s="10">
        <f t="shared" si="2"/>
        <v>10</v>
      </c>
      <c r="M135" t="s">
        <v>41</v>
      </c>
      <c r="N135" t="s">
        <v>41</v>
      </c>
      <c r="O135" t="s">
        <v>41</v>
      </c>
      <c r="AS135" t="s">
        <v>41</v>
      </c>
      <c r="ES135" t="s">
        <v>41</v>
      </c>
      <c r="ET135" t="s">
        <v>41</v>
      </c>
      <c r="EU135" t="s">
        <v>41</v>
      </c>
      <c r="EV135" t="s">
        <v>41</v>
      </c>
      <c r="EW135" t="s">
        <v>41</v>
      </c>
      <c r="EX135" t="s">
        <v>41</v>
      </c>
    </row>
    <row r="136" spans="1:170" x14ac:dyDescent="0.3">
      <c r="A136">
        <v>134</v>
      </c>
      <c r="B136" t="s">
        <v>26</v>
      </c>
      <c r="C136" t="s">
        <v>758</v>
      </c>
      <c r="D136" t="s">
        <v>17</v>
      </c>
      <c r="E136" t="s">
        <v>111</v>
      </c>
      <c r="F136" t="s">
        <v>759</v>
      </c>
      <c r="G136" t="s">
        <v>111</v>
      </c>
      <c r="H136" s="2" t="s">
        <v>202</v>
      </c>
      <c r="I136" t="s">
        <v>26</v>
      </c>
      <c r="J136" s="2" t="s">
        <v>202</v>
      </c>
      <c r="K136" s="10">
        <f t="shared" si="2"/>
        <v>3</v>
      </c>
      <c r="L136" t="s">
        <v>41</v>
      </c>
      <c r="M136" t="s">
        <v>41</v>
      </c>
      <c r="N136" t="s">
        <v>41</v>
      </c>
    </row>
    <row r="137" spans="1:170" x14ac:dyDescent="0.3">
      <c r="A137">
        <v>135</v>
      </c>
      <c r="B137" t="s">
        <v>761</v>
      </c>
      <c r="C137" t="s">
        <v>760</v>
      </c>
      <c r="D137" t="s">
        <v>17</v>
      </c>
      <c r="E137" t="s">
        <v>111</v>
      </c>
      <c r="F137" t="s">
        <v>763</v>
      </c>
      <c r="G137" t="s">
        <v>762</v>
      </c>
      <c r="H137" s="2" t="s">
        <v>202</v>
      </c>
      <c r="I137" t="s">
        <v>26</v>
      </c>
      <c r="J137" s="2" t="s">
        <v>202</v>
      </c>
      <c r="K137" s="10">
        <f t="shared" si="2"/>
        <v>10</v>
      </c>
      <c r="L137" t="s">
        <v>41</v>
      </c>
      <c r="M137" t="s">
        <v>41</v>
      </c>
      <c r="N137" t="s">
        <v>41</v>
      </c>
      <c r="O137" t="s">
        <v>41</v>
      </c>
      <c r="Z137" t="s">
        <v>41</v>
      </c>
      <c r="AS137" t="s">
        <v>41</v>
      </c>
      <c r="BK137" t="s">
        <v>41</v>
      </c>
      <c r="BN137" t="s">
        <v>41</v>
      </c>
      <c r="DW137" t="s">
        <v>41</v>
      </c>
      <c r="EW137" t="s">
        <v>41</v>
      </c>
    </row>
    <row r="138" spans="1:170" x14ac:dyDescent="0.3">
      <c r="A138">
        <v>136</v>
      </c>
      <c r="B138" t="s">
        <v>764</v>
      </c>
      <c r="C138" t="s">
        <v>765</v>
      </c>
      <c r="D138" t="s">
        <v>17</v>
      </c>
      <c r="E138" t="s">
        <v>111</v>
      </c>
      <c r="F138" t="s">
        <v>766</v>
      </c>
      <c r="G138" t="s">
        <v>111</v>
      </c>
      <c r="H138" t="s">
        <v>782</v>
      </c>
      <c r="I138" t="s">
        <v>26</v>
      </c>
      <c r="J138" s="2" t="s">
        <v>202</v>
      </c>
      <c r="K138" s="10">
        <f t="shared" si="2"/>
        <v>29</v>
      </c>
      <c r="L138" t="s">
        <v>41</v>
      </c>
      <c r="M138" t="s">
        <v>41</v>
      </c>
      <c r="N138" t="s">
        <v>41</v>
      </c>
      <c r="O138" t="s">
        <v>41</v>
      </c>
      <c r="AS138" t="s">
        <v>41</v>
      </c>
      <c r="BK138" t="s">
        <v>41</v>
      </c>
      <c r="BN138" t="s">
        <v>41</v>
      </c>
      <c r="BP138" t="s">
        <v>41</v>
      </c>
      <c r="DT138" t="s">
        <v>41</v>
      </c>
      <c r="DV138" t="s">
        <v>41</v>
      </c>
      <c r="DW138" t="s">
        <v>41</v>
      </c>
      <c r="DZ138" t="s">
        <v>41</v>
      </c>
      <c r="EG138" t="s">
        <v>41</v>
      </c>
      <c r="EH138" t="s">
        <v>41</v>
      </c>
      <c r="EY138" t="s">
        <v>41</v>
      </c>
      <c r="EZ138" t="s">
        <v>41</v>
      </c>
      <c r="FA138" t="s">
        <v>41</v>
      </c>
      <c r="FB138" t="s">
        <v>41</v>
      </c>
      <c r="FC138" t="s">
        <v>41</v>
      </c>
      <c r="FD138" t="s">
        <v>41</v>
      </c>
      <c r="FE138" t="s">
        <v>41</v>
      </c>
      <c r="FF138" t="s">
        <v>41</v>
      </c>
      <c r="FG138" t="s">
        <v>41</v>
      </c>
      <c r="FH138" t="s">
        <v>41</v>
      </c>
      <c r="FI138" t="s">
        <v>41</v>
      </c>
      <c r="FJ138" t="s">
        <v>41</v>
      </c>
      <c r="FK138" t="s">
        <v>41</v>
      </c>
      <c r="FL138" t="s">
        <v>41</v>
      </c>
      <c r="FM138" t="s">
        <v>41</v>
      </c>
    </row>
    <row r="139" spans="1:170" x14ac:dyDescent="0.3">
      <c r="A139">
        <v>137</v>
      </c>
      <c r="B139" t="s">
        <v>786</v>
      </c>
      <c r="C139" t="s">
        <v>787</v>
      </c>
      <c r="D139" t="s">
        <v>17</v>
      </c>
      <c r="E139">
        <v>2020</v>
      </c>
      <c r="F139" t="s">
        <v>788</v>
      </c>
      <c r="G139" t="s">
        <v>789</v>
      </c>
      <c r="H139" s="2" t="s">
        <v>202</v>
      </c>
      <c r="I139" t="s">
        <v>26</v>
      </c>
      <c r="J139" s="2" t="s">
        <v>202</v>
      </c>
      <c r="K139" s="10">
        <f t="shared" si="2"/>
        <v>5</v>
      </c>
      <c r="L139" t="s">
        <v>41</v>
      </c>
      <c r="M139" t="s">
        <v>41</v>
      </c>
      <c r="N139" t="s">
        <v>41</v>
      </c>
      <c r="O139" t="s">
        <v>41</v>
      </c>
      <c r="AS139" t="s">
        <v>41</v>
      </c>
    </row>
    <row r="140" spans="1:170" x14ac:dyDescent="0.3">
      <c r="A140">
        <v>138</v>
      </c>
      <c r="B140" t="s">
        <v>790</v>
      </c>
      <c r="C140" t="s">
        <v>791</v>
      </c>
      <c r="D140" t="s">
        <v>17</v>
      </c>
      <c r="E140">
        <v>2020</v>
      </c>
      <c r="F140" t="s">
        <v>792</v>
      </c>
      <c r="G140" t="s">
        <v>793</v>
      </c>
      <c r="H140" s="2" t="s">
        <v>202</v>
      </c>
      <c r="I140" t="s">
        <v>26</v>
      </c>
      <c r="J140" s="2" t="s">
        <v>202</v>
      </c>
      <c r="K140" s="10">
        <f t="shared" si="2"/>
        <v>4</v>
      </c>
      <c r="L140" t="s">
        <v>41</v>
      </c>
      <c r="M140" t="s">
        <v>41</v>
      </c>
      <c r="N140" t="s">
        <v>41</v>
      </c>
      <c r="O140" t="s">
        <v>41</v>
      </c>
    </row>
    <row r="141" spans="1:170" x14ac:dyDescent="0.3">
      <c r="A141">
        <v>139</v>
      </c>
      <c r="B141" t="s">
        <v>799</v>
      </c>
      <c r="C141" t="s">
        <v>802</v>
      </c>
      <c r="D141" t="s">
        <v>17</v>
      </c>
      <c r="E141">
        <v>2020</v>
      </c>
      <c r="F141" t="s">
        <v>801</v>
      </c>
      <c r="G141" t="s">
        <v>800</v>
      </c>
      <c r="H141" s="2" t="s">
        <v>202</v>
      </c>
      <c r="I141" t="s">
        <v>26</v>
      </c>
      <c r="J141" s="2" t="s">
        <v>202</v>
      </c>
      <c r="K141" s="10">
        <f t="shared" si="2"/>
        <v>4</v>
      </c>
      <c r="L141" t="s">
        <v>41</v>
      </c>
      <c r="M141" t="s">
        <v>41</v>
      </c>
      <c r="N141" t="s">
        <v>41</v>
      </c>
      <c r="O141" t="s">
        <v>41</v>
      </c>
    </row>
    <row r="142" spans="1:170" x14ac:dyDescent="0.3">
      <c r="A142">
        <v>140</v>
      </c>
      <c r="B142" t="s">
        <v>764</v>
      </c>
      <c r="C142" t="s">
        <v>803</v>
      </c>
      <c r="D142" t="s">
        <v>17</v>
      </c>
      <c r="E142" t="s">
        <v>111</v>
      </c>
      <c r="F142" t="s">
        <v>804</v>
      </c>
      <c r="G142" t="s">
        <v>111</v>
      </c>
      <c r="H142" t="s">
        <v>805</v>
      </c>
      <c r="I142" t="s">
        <v>26</v>
      </c>
      <c r="J142" s="2" t="s">
        <v>202</v>
      </c>
      <c r="K142" s="10">
        <f t="shared" si="2"/>
        <v>8</v>
      </c>
      <c r="M142" t="s">
        <v>41</v>
      </c>
      <c r="N142" t="s">
        <v>41</v>
      </c>
      <c r="AS142" t="s">
        <v>41</v>
      </c>
      <c r="ES142" t="s">
        <v>41</v>
      </c>
      <c r="EU142" t="s">
        <v>41</v>
      </c>
      <c r="EV142" t="s">
        <v>41</v>
      </c>
      <c r="EW142" t="s">
        <v>41</v>
      </c>
      <c r="EX142" t="s">
        <v>41</v>
      </c>
    </row>
    <row r="143" spans="1:170" x14ac:dyDescent="0.3">
      <c r="A143">
        <v>141</v>
      </c>
      <c r="B143" t="s">
        <v>806</v>
      </c>
      <c r="C143" t="s">
        <v>807</v>
      </c>
      <c r="D143" t="s">
        <v>17</v>
      </c>
      <c r="E143" t="s">
        <v>111</v>
      </c>
      <c r="F143" t="s">
        <v>808</v>
      </c>
      <c r="G143" t="s">
        <v>809</v>
      </c>
      <c r="H143" s="2" t="s">
        <v>202</v>
      </c>
      <c r="I143" t="s">
        <v>26</v>
      </c>
      <c r="J143" s="2" t="s">
        <v>202</v>
      </c>
      <c r="K143" s="10">
        <f t="shared" si="2"/>
        <v>9</v>
      </c>
      <c r="L143" t="s">
        <v>41</v>
      </c>
      <c r="M143" t="s">
        <v>41</v>
      </c>
      <c r="N143" t="s">
        <v>41</v>
      </c>
      <c r="O143" t="s">
        <v>41</v>
      </c>
      <c r="BP143" t="s">
        <v>41</v>
      </c>
      <c r="CI143" t="s">
        <v>41</v>
      </c>
      <c r="DW143" t="s">
        <v>41</v>
      </c>
      <c r="EE143" t="s">
        <v>41</v>
      </c>
      <c r="EK143" t="s">
        <v>41</v>
      </c>
    </row>
    <row r="144" spans="1:170" x14ac:dyDescent="0.3">
      <c r="A144">
        <v>142</v>
      </c>
      <c r="B144" t="s">
        <v>813</v>
      </c>
      <c r="C144" t="s">
        <v>814</v>
      </c>
      <c r="D144" t="s">
        <v>17</v>
      </c>
      <c r="E144">
        <v>2020</v>
      </c>
      <c r="F144" t="s">
        <v>815</v>
      </c>
      <c r="G144" t="s">
        <v>111</v>
      </c>
      <c r="H144" s="2" t="s">
        <v>202</v>
      </c>
      <c r="I144" t="s">
        <v>26</v>
      </c>
      <c r="J144" s="2" t="s">
        <v>202</v>
      </c>
      <c r="K144" s="10">
        <f t="shared" si="2"/>
        <v>21</v>
      </c>
      <c r="L144" t="s">
        <v>41</v>
      </c>
      <c r="M144" t="s">
        <v>41</v>
      </c>
      <c r="N144" t="s">
        <v>41</v>
      </c>
      <c r="O144" t="s">
        <v>41</v>
      </c>
      <c r="P144" t="s">
        <v>41</v>
      </c>
      <c r="AM144" t="s">
        <v>41</v>
      </c>
      <c r="BK144" t="s">
        <v>41</v>
      </c>
      <c r="BP144" t="s">
        <v>41</v>
      </c>
      <c r="CI144" t="s">
        <v>41</v>
      </c>
      <c r="DV144" t="s">
        <v>41</v>
      </c>
      <c r="DW144" t="s">
        <v>41</v>
      </c>
      <c r="DX144" t="s">
        <v>41</v>
      </c>
      <c r="DY144" t="s">
        <v>41</v>
      </c>
      <c r="EE144" t="s">
        <v>41</v>
      </c>
      <c r="EG144" t="s">
        <v>41</v>
      </c>
      <c r="EH144" t="s">
        <v>41</v>
      </c>
      <c r="EI144" t="s">
        <v>41</v>
      </c>
      <c r="EJ144" t="s">
        <v>41</v>
      </c>
      <c r="EK144" t="s">
        <v>41</v>
      </c>
      <c r="EQ144" t="s">
        <v>41</v>
      </c>
      <c r="FN144" t="s">
        <v>41</v>
      </c>
    </row>
    <row r="145" spans="1:190" x14ac:dyDescent="0.3">
      <c r="A145">
        <v>143</v>
      </c>
      <c r="B145" t="s">
        <v>817</v>
      </c>
      <c r="C145" t="s">
        <v>819</v>
      </c>
      <c r="D145" t="s">
        <v>17</v>
      </c>
      <c r="E145">
        <v>2021</v>
      </c>
      <c r="F145" t="s">
        <v>111</v>
      </c>
      <c r="G145" t="s">
        <v>818</v>
      </c>
      <c r="H145" s="2" t="s">
        <v>202</v>
      </c>
      <c r="I145" t="s">
        <v>26</v>
      </c>
      <c r="J145" s="2" t="s">
        <v>202</v>
      </c>
      <c r="K145" s="10">
        <f t="shared" si="2"/>
        <v>6</v>
      </c>
      <c r="L145" t="s">
        <v>41</v>
      </c>
      <c r="M145" t="s">
        <v>41</v>
      </c>
      <c r="N145" t="s">
        <v>41</v>
      </c>
      <c r="AS145" t="s">
        <v>41</v>
      </c>
      <c r="AT145" t="s">
        <v>41</v>
      </c>
      <c r="AU145" t="s">
        <v>41</v>
      </c>
    </row>
    <row r="146" spans="1:190" x14ac:dyDescent="0.3">
      <c r="A146">
        <v>144</v>
      </c>
      <c r="B146" t="s">
        <v>828</v>
      </c>
      <c r="C146" t="s">
        <v>829</v>
      </c>
      <c r="D146" t="s">
        <v>17</v>
      </c>
      <c r="E146">
        <v>2020</v>
      </c>
      <c r="F146" t="s">
        <v>830</v>
      </c>
      <c r="G146" t="s">
        <v>831</v>
      </c>
      <c r="H146" s="2" t="s">
        <v>202</v>
      </c>
      <c r="I146" t="s">
        <v>26</v>
      </c>
      <c r="J146" s="2" t="s">
        <v>202</v>
      </c>
      <c r="K146" s="10">
        <f t="shared" si="2"/>
        <v>10</v>
      </c>
      <c r="L146" t="s">
        <v>41</v>
      </c>
      <c r="M146" t="s">
        <v>41</v>
      </c>
      <c r="N146" t="s">
        <v>41</v>
      </c>
      <c r="O146" t="s">
        <v>41</v>
      </c>
      <c r="P146" t="s">
        <v>41</v>
      </c>
      <c r="S146" t="s">
        <v>41</v>
      </c>
      <c r="T146" t="s">
        <v>41</v>
      </c>
      <c r="U146" t="s">
        <v>41</v>
      </c>
      <c r="BP146" t="s">
        <v>41</v>
      </c>
      <c r="CI146" t="s">
        <v>41</v>
      </c>
    </row>
    <row r="147" spans="1:190" x14ac:dyDescent="0.3">
      <c r="A147">
        <v>145</v>
      </c>
      <c r="B147" t="s">
        <v>834</v>
      </c>
      <c r="C147" t="s">
        <v>835</v>
      </c>
      <c r="D147" t="s">
        <v>17</v>
      </c>
      <c r="E147">
        <v>2022</v>
      </c>
      <c r="F147" t="s">
        <v>836</v>
      </c>
      <c r="G147" t="s">
        <v>111</v>
      </c>
      <c r="H147" s="2" t="s">
        <v>202</v>
      </c>
      <c r="I147" t="s">
        <v>26</v>
      </c>
      <c r="J147" s="2" t="s">
        <v>202</v>
      </c>
      <c r="K147" s="10">
        <f t="shared" si="2"/>
        <v>13</v>
      </c>
      <c r="L147" t="s">
        <v>41</v>
      </c>
      <c r="M147" t="s">
        <v>41</v>
      </c>
      <c r="N147" t="s">
        <v>41</v>
      </c>
      <c r="O147" t="s">
        <v>41</v>
      </c>
      <c r="P147" t="s">
        <v>41</v>
      </c>
      <c r="X147" t="s">
        <v>41</v>
      </c>
      <c r="BK147" t="s">
        <v>41</v>
      </c>
      <c r="BP147" t="s">
        <v>41</v>
      </c>
      <c r="CI147" t="s">
        <v>41</v>
      </c>
      <c r="DT147" t="s">
        <v>41</v>
      </c>
      <c r="DV147" t="s">
        <v>41</v>
      </c>
      <c r="EZ147" t="s">
        <v>41</v>
      </c>
      <c r="FO147" t="s">
        <v>41</v>
      </c>
    </row>
    <row r="148" spans="1:190" x14ac:dyDescent="0.3">
      <c r="A148">
        <v>146</v>
      </c>
      <c r="B148" t="s">
        <v>844</v>
      </c>
      <c r="C148" t="s">
        <v>843</v>
      </c>
      <c r="D148" t="s">
        <v>17</v>
      </c>
      <c r="E148" t="s">
        <v>111</v>
      </c>
      <c r="F148" t="s">
        <v>845</v>
      </c>
      <c r="G148" t="s">
        <v>111</v>
      </c>
      <c r="H148" t="s">
        <v>851</v>
      </c>
      <c r="I148" t="s">
        <v>26</v>
      </c>
      <c r="J148" s="2" t="s">
        <v>202</v>
      </c>
      <c r="K148" s="10">
        <f t="shared" si="2"/>
        <v>17</v>
      </c>
      <c r="L148" t="s">
        <v>41</v>
      </c>
      <c r="M148" t="s">
        <v>41</v>
      </c>
      <c r="N148" t="s">
        <v>41</v>
      </c>
      <c r="O148" t="s">
        <v>41</v>
      </c>
      <c r="P148" t="s">
        <v>41</v>
      </c>
      <c r="BP148" t="s">
        <v>41</v>
      </c>
      <c r="CZ148" t="s">
        <v>41</v>
      </c>
      <c r="DV148" t="s">
        <v>41</v>
      </c>
      <c r="EH148" t="s">
        <v>41</v>
      </c>
      <c r="FD148" t="s">
        <v>41</v>
      </c>
      <c r="FM148" t="s">
        <v>41</v>
      </c>
      <c r="FO148" t="s">
        <v>41</v>
      </c>
      <c r="FP148" t="s">
        <v>41</v>
      </c>
      <c r="FQ148" t="s">
        <v>41</v>
      </c>
      <c r="FR148" t="s">
        <v>41</v>
      </c>
      <c r="FS148" t="s">
        <v>41</v>
      </c>
      <c r="FT148" t="s">
        <v>41</v>
      </c>
    </row>
    <row r="149" spans="1:190" x14ac:dyDescent="0.3">
      <c r="A149">
        <v>147</v>
      </c>
      <c r="B149" t="s">
        <v>858</v>
      </c>
      <c r="C149" t="s">
        <v>857</v>
      </c>
      <c r="D149" t="s">
        <v>17</v>
      </c>
      <c r="E149">
        <v>2020</v>
      </c>
      <c r="F149" t="s">
        <v>859</v>
      </c>
      <c r="G149" t="s">
        <v>860</v>
      </c>
      <c r="H149" s="2" t="s">
        <v>202</v>
      </c>
      <c r="I149" t="s">
        <v>26</v>
      </c>
      <c r="J149" s="2" t="s">
        <v>202</v>
      </c>
      <c r="K149" s="10">
        <f t="shared" si="2"/>
        <v>8</v>
      </c>
      <c r="AO149" t="s">
        <v>41</v>
      </c>
      <c r="AT149" t="s">
        <v>41</v>
      </c>
      <c r="AZ149" t="s">
        <v>41</v>
      </c>
      <c r="BA149" t="s">
        <v>41</v>
      </c>
      <c r="BB149" t="s">
        <v>41</v>
      </c>
      <c r="BI149" t="s">
        <v>41</v>
      </c>
      <c r="CF149" t="s">
        <v>41</v>
      </c>
      <c r="FV149" t="s">
        <v>41</v>
      </c>
    </row>
    <row r="150" spans="1:190" x14ac:dyDescent="0.3">
      <c r="A150">
        <v>148</v>
      </c>
      <c r="B150" t="s">
        <v>863</v>
      </c>
      <c r="C150" t="s">
        <v>864</v>
      </c>
      <c r="D150" t="s">
        <v>17</v>
      </c>
      <c r="E150">
        <v>2020</v>
      </c>
      <c r="F150" t="s">
        <v>579</v>
      </c>
      <c r="G150" t="s">
        <v>869</v>
      </c>
      <c r="H150" s="2" t="s">
        <v>202</v>
      </c>
      <c r="I150" t="s">
        <v>26</v>
      </c>
      <c r="J150" s="2" t="s">
        <v>202</v>
      </c>
      <c r="K150" s="10">
        <f t="shared" si="2"/>
        <v>12</v>
      </c>
      <c r="L150" t="s">
        <v>41</v>
      </c>
      <c r="M150" t="s">
        <v>41</v>
      </c>
      <c r="N150" t="s">
        <v>41</v>
      </c>
      <c r="AS150" t="s">
        <v>41</v>
      </c>
      <c r="AT150" t="s">
        <v>41</v>
      </c>
      <c r="CZ150" t="s">
        <v>41</v>
      </c>
      <c r="DY150" t="s">
        <v>41</v>
      </c>
      <c r="DZ150" t="s">
        <v>41</v>
      </c>
      <c r="EA150" t="s">
        <v>41</v>
      </c>
      <c r="EB150" t="s">
        <v>41</v>
      </c>
      <c r="EC150" t="s">
        <v>41</v>
      </c>
      <c r="ED150" t="s">
        <v>41</v>
      </c>
    </row>
    <row r="151" spans="1:190" x14ac:dyDescent="0.3">
      <c r="A151">
        <v>149</v>
      </c>
      <c r="B151" t="s">
        <v>873</v>
      </c>
      <c r="C151" t="s">
        <v>874</v>
      </c>
      <c r="D151" t="s">
        <v>17</v>
      </c>
      <c r="E151">
        <v>2020</v>
      </c>
      <c r="F151" t="s">
        <v>875</v>
      </c>
      <c r="G151" t="s">
        <v>111</v>
      </c>
      <c r="H151" s="2" t="s">
        <v>202</v>
      </c>
      <c r="I151" t="s">
        <v>26</v>
      </c>
      <c r="J151" s="2" t="s">
        <v>202</v>
      </c>
      <c r="K151" s="10">
        <f t="shared" si="2"/>
        <v>5</v>
      </c>
      <c r="L151" t="s">
        <v>41</v>
      </c>
      <c r="M151" t="s">
        <v>41</v>
      </c>
      <c r="N151" t="s">
        <v>41</v>
      </c>
      <c r="O151" t="s">
        <v>41</v>
      </c>
      <c r="BN151" t="s">
        <v>41</v>
      </c>
    </row>
    <row r="152" spans="1:190" x14ac:dyDescent="0.3">
      <c r="A152">
        <v>150</v>
      </c>
      <c r="B152" t="s">
        <v>884</v>
      </c>
      <c r="C152" t="s">
        <v>883</v>
      </c>
      <c r="D152" t="s">
        <v>17</v>
      </c>
      <c r="E152">
        <v>2020</v>
      </c>
      <c r="F152" t="s">
        <v>886</v>
      </c>
      <c r="G152" t="s">
        <v>885</v>
      </c>
      <c r="H152" s="2" t="s">
        <v>202</v>
      </c>
      <c r="I152" t="s">
        <v>26</v>
      </c>
      <c r="J152" s="2" t="s">
        <v>202</v>
      </c>
      <c r="K152" s="10">
        <f t="shared" si="2"/>
        <v>10</v>
      </c>
      <c r="L152" t="s">
        <v>41</v>
      </c>
      <c r="M152" t="s">
        <v>41</v>
      </c>
      <c r="N152" t="s">
        <v>41</v>
      </c>
      <c r="O152" t="s">
        <v>41</v>
      </c>
      <c r="P152" t="s">
        <v>41</v>
      </c>
      <c r="BK152" t="s">
        <v>41</v>
      </c>
      <c r="BP152" t="s">
        <v>41</v>
      </c>
      <c r="CI152" t="s">
        <v>41</v>
      </c>
      <c r="CZ152" t="s">
        <v>41</v>
      </c>
      <c r="DV152" t="s">
        <v>41</v>
      </c>
    </row>
    <row r="153" spans="1:190" x14ac:dyDescent="0.3">
      <c r="A153">
        <v>151</v>
      </c>
      <c r="B153" t="s">
        <v>892</v>
      </c>
      <c r="C153" t="s">
        <v>893</v>
      </c>
      <c r="D153" t="s">
        <v>17</v>
      </c>
      <c r="E153">
        <v>2021</v>
      </c>
      <c r="F153" t="s">
        <v>894</v>
      </c>
      <c r="G153" t="s">
        <v>111</v>
      </c>
      <c r="H153" s="2" t="s">
        <v>202</v>
      </c>
      <c r="I153" t="s">
        <v>26</v>
      </c>
      <c r="J153" s="2" t="s">
        <v>202</v>
      </c>
      <c r="K153" s="10">
        <f t="shared" si="2"/>
        <v>15</v>
      </c>
      <c r="L153" t="s">
        <v>41</v>
      </c>
      <c r="M153" t="s">
        <v>41</v>
      </c>
      <c r="N153" t="s">
        <v>41</v>
      </c>
      <c r="O153" t="s">
        <v>41</v>
      </c>
      <c r="P153" t="s">
        <v>41</v>
      </c>
      <c r="X153" t="s">
        <v>41</v>
      </c>
      <c r="AS153" t="s">
        <v>41</v>
      </c>
      <c r="BK153" t="s">
        <v>41</v>
      </c>
      <c r="BP153" t="s">
        <v>41</v>
      </c>
      <c r="CD153" t="s">
        <v>41</v>
      </c>
      <c r="CI153" t="s">
        <v>41</v>
      </c>
      <c r="DV153" t="s">
        <v>41</v>
      </c>
      <c r="DW153" t="s">
        <v>41</v>
      </c>
      <c r="EG153" t="s">
        <v>41</v>
      </c>
      <c r="EP153" t="s">
        <v>41</v>
      </c>
    </row>
    <row r="154" spans="1:190" x14ac:dyDescent="0.3">
      <c r="A154">
        <v>152</v>
      </c>
      <c r="B154" t="s">
        <v>898</v>
      </c>
      <c r="C154" t="s">
        <v>899</v>
      </c>
      <c r="D154" t="s">
        <v>17</v>
      </c>
      <c r="E154" t="s">
        <v>111</v>
      </c>
      <c r="F154" t="s">
        <v>900</v>
      </c>
      <c r="G154" t="s">
        <v>111</v>
      </c>
      <c r="H154" s="2" t="s">
        <v>202</v>
      </c>
      <c r="I154" t="s">
        <v>26</v>
      </c>
      <c r="J154" s="2" t="s">
        <v>202</v>
      </c>
      <c r="K154" s="10">
        <f t="shared" si="2"/>
        <v>11</v>
      </c>
      <c r="L154" t="s">
        <v>41</v>
      </c>
      <c r="M154" t="s">
        <v>41</v>
      </c>
      <c r="N154" t="s">
        <v>41</v>
      </c>
      <c r="O154" t="s">
        <v>41</v>
      </c>
      <c r="EH154" t="s">
        <v>41</v>
      </c>
      <c r="FW154" t="s">
        <v>41</v>
      </c>
      <c r="FX154" t="s">
        <v>41</v>
      </c>
      <c r="FY154" t="s">
        <v>41</v>
      </c>
      <c r="FZ154" t="s">
        <v>41</v>
      </c>
      <c r="GA154" t="s">
        <v>41</v>
      </c>
      <c r="GB154" t="s">
        <v>41</v>
      </c>
    </row>
    <row r="155" spans="1:190" x14ac:dyDescent="0.3">
      <c r="A155">
        <v>153</v>
      </c>
      <c r="B155" t="s">
        <v>908</v>
      </c>
      <c r="C155" t="s">
        <v>907</v>
      </c>
      <c r="D155" t="s">
        <v>17</v>
      </c>
      <c r="E155" t="s">
        <v>111</v>
      </c>
      <c r="F155" t="s">
        <v>909</v>
      </c>
      <c r="G155" t="s">
        <v>111</v>
      </c>
      <c r="H155" s="2" t="s">
        <v>202</v>
      </c>
      <c r="I155" t="s">
        <v>26</v>
      </c>
      <c r="J155" s="2" t="s">
        <v>202</v>
      </c>
      <c r="K155" s="10">
        <f t="shared" si="2"/>
        <v>3</v>
      </c>
      <c r="M155" t="s">
        <v>41</v>
      </c>
      <c r="N155" t="s">
        <v>41</v>
      </c>
      <c r="O155" t="s">
        <v>41</v>
      </c>
    </row>
    <row r="156" spans="1:190" x14ac:dyDescent="0.3">
      <c r="A156">
        <v>154</v>
      </c>
      <c r="B156" t="s">
        <v>910</v>
      </c>
      <c r="C156" t="s">
        <v>911</v>
      </c>
      <c r="D156" t="s">
        <v>17</v>
      </c>
      <c r="E156">
        <v>2021</v>
      </c>
      <c r="F156" t="s">
        <v>912</v>
      </c>
      <c r="G156" t="s">
        <v>913</v>
      </c>
      <c r="H156" s="2" t="s">
        <v>202</v>
      </c>
      <c r="I156" t="s">
        <v>26</v>
      </c>
      <c r="J156" s="2" t="s">
        <v>202</v>
      </c>
      <c r="K156" s="10">
        <f t="shared" si="2"/>
        <v>6</v>
      </c>
      <c r="L156" t="s">
        <v>41</v>
      </c>
      <c r="M156" t="s">
        <v>41</v>
      </c>
      <c r="N156" t="s">
        <v>41</v>
      </c>
      <c r="O156" t="s">
        <v>41</v>
      </c>
      <c r="P156" t="s">
        <v>41</v>
      </c>
      <c r="DT156" t="s">
        <v>41</v>
      </c>
    </row>
    <row r="157" spans="1:190" x14ac:dyDescent="0.3">
      <c r="A157">
        <v>155</v>
      </c>
      <c r="B157" t="s">
        <v>917</v>
      </c>
      <c r="C157" t="s">
        <v>914</v>
      </c>
      <c r="D157" t="s">
        <v>17</v>
      </c>
      <c r="E157">
        <v>2021</v>
      </c>
      <c r="F157" t="s">
        <v>916</v>
      </c>
      <c r="G157" t="s">
        <v>915</v>
      </c>
      <c r="H157" s="2" t="s">
        <v>202</v>
      </c>
      <c r="I157" t="s">
        <v>26</v>
      </c>
      <c r="J157" s="2" t="s">
        <v>202</v>
      </c>
      <c r="K157" s="10">
        <f t="shared" si="2"/>
        <v>11</v>
      </c>
      <c r="L157" t="s">
        <v>41</v>
      </c>
      <c r="M157" t="s">
        <v>41</v>
      </c>
      <c r="N157" t="s">
        <v>41</v>
      </c>
      <c r="O157" t="s">
        <v>41</v>
      </c>
      <c r="X157" t="s">
        <v>41</v>
      </c>
      <c r="Z157" t="s">
        <v>41</v>
      </c>
      <c r="AS157" t="s">
        <v>41</v>
      </c>
      <c r="AT157" t="s">
        <v>41</v>
      </c>
      <c r="BK157" t="s">
        <v>41</v>
      </c>
      <c r="DV157" t="s">
        <v>41</v>
      </c>
      <c r="DW157" t="s">
        <v>41</v>
      </c>
    </row>
    <row r="158" spans="1:190" x14ac:dyDescent="0.3">
      <c r="A158">
        <v>156</v>
      </c>
      <c r="B158" t="s">
        <v>919</v>
      </c>
      <c r="C158" t="s">
        <v>918</v>
      </c>
      <c r="D158" t="s">
        <v>17</v>
      </c>
      <c r="E158" t="s">
        <v>111</v>
      </c>
      <c r="F158" t="s">
        <v>920</v>
      </c>
      <c r="G158" t="s">
        <v>111</v>
      </c>
      <c r="H158" s="2" t="s">
        <v>202</v>
      </c>
      <c r="I158" t="s">
        <v>26</v>
      </c>
      <c r="J158" t="s">
        <v>921</v>
      </c>
      <c r="K158" s="10">
        <f t="shared" si="2"/>
        <v>9</v>
      </c>
      <c r="M158" t="s">
        <v>41</v>
      </c>
      <c r="N158" t="s">
        <v>41</v>
      </c>
      <c r="O158" t="s">
        <v>41</v>
      </c>
      <c r="P158" t="s">
        <v>41</v>
      </c>
      <c r="AS158" t="s">
        <v>41</v>
      </c>
      <c r="EH158" t="s">
        <v>41</v>
      </c>
      <c r="EW158" t="s">
        <v>41</v>
      </c>
      <c r="FD158" t="s">
        <v>41</v>
      </c>
      <c r="GC158" t="s">
        <v>41</v>
      </c>
    </row>
    <row r="159" spans="1:190" x14ac:dyDescent="0.3">
      <c r="A159">
        <v>157</v>
      </c>
      <c r="B159" t="s">
        <v>928</v>
      </c>
      <c r="C159" t="s">
        <v>927</v>
      </c>
      <c r="D159" t="s">
        <v>17</v>
      </c>
      <c r="E159">
        <v>2022</v>
      </c>
      <c r="F159" t="s">
        <v>929</v>
      </c>
      <c r="G159" t="s">
        <v>930</v>
      </c>
      <c r="H159" s="2" t="s">
        <v>202</v>
      </c>
      <c r="I159" t="s">
        <v>26</v>
      </c>
      <c r="J159" s="2" t="s">
        <v>202</v>
      </c>
      <c r="K159" s="10">
        <f t="shared" si="2"/>
        <v>1</v>
      </c>
      <c r="V159" t="s">
        <v>41</v>
      </c>
    </row>
    <row r="160" spans="1:190" x14ac:dyDescent="0.3">
      <c r="A160">
        <v>158</v>
      </c>
      <c r="B160" t="s">
        <v>933</v>
      </c>
      <c r="C160" t="s">
        <v>934</v>
      </c>
      <c r="D160" t="s">
        <v>17</v>
      </c>
      <c r="E160" t="s">
        <v>111</v>
      </c>
      <c r="F160" t="s">
        <v>935</v>
      </c>
      <c r="G160" t="s">
        <v>111</v>
      </c>
      <c r="H160" s="2" t="s">
        <v>202</v>
      </c>
      <c r="I160" t="s">
        <v>26</v>
      </c>
      <c r="J160" s="2" t="s">
        <v>202</v>
      </c>
      <c r="K160" s="10">
        <f t="shared" si="2"/>
        <v>11</v>
      </c>
      <c r="L160" t="s">
        <v>41</v>
      </c>
      <c r="M160" t="s">
        <v>41</v>
      </c>
      <c r="N160" t="s">
        <v>41</v>
      </c>
      <c r="O160" t="s">
        <v>41</v>
      </c>
      <c r="P160" t="s">
        <v>41</v>
      </c>
      <c r="BM160" t="s">
        <v>41</v>
      </c>
      <c r="GD160" t="s">
        <v>41</v>
      </c>
      <c r="GE160" t="s">
        <v>41</v>
      </c>
      <c r="GF160" t="s">
        <v>41</v>
      </c>
      <c r="GG160" t="s">
        <v>41</v>
      </c>
      <c r="GH160" t="s">
        <v>41</v>
      </c>
    </row>
    <row r="161" spans="1:203" x14ac:dyDescent="0.3">
      <c r="A161">
        <v>159</v>
      </c>
      <c r="B161" t="s">
        <v>949</v>
      </c>
      <c r="C161" t="s">
        <v>950</v>
      </c>
      <c r="D161" t="s">
        <v>17</v>
      </c>
      <c r="E161">
        <v>2020</v>
      </c>
      <c r="F161" t="s">
        <v>49</v>
      </c>
      <c r="G161" t="s">
        <v>12</v>
      </c>
      <c r="H161" s="2" t="s">
        <v>202</v>
      </c>
      <c r="I161" t="s">
        <v>36</v>
      </c>
      <c r="J161" s="2" t="s">
        <v>202</v>
      </c>
      <c r="K161" s="10">
        <f t="shared" si="2"/>
        <v>7</v>
      </c>
      <c r="L161" t="s">
        <v>41</v>
      </c>
      <c r="M161" t="s">
        <v>41</v>
      </c>
      <c r="N161" t="s">
        <v>41</v>
      </c>
      <c r="AT161" t="s">
        <v>41</v>
      </c>
      <c r="AU161" t="s">
        <v>41</v>
      </c>
      <c r="AW161" t="s">
        <v>41</v>
      </c>
      <c r="CM161" t="s">
        <v>41</v>
      </c>
    </row>
    <row r="162" spans="1:203" x14ac:dyDescent="0.3">
      <c r="A162">
        <v>160</v>
      </c>
      <c r="B162" t="s">
        <v>566</v>
      </c>
      <c r="C162" t="s">
        <v>442</v>
      </c>
      <c r="D162" t="s">
        <v>17</v>
      </c>
      <c r="E162">
        <v>2021</v>
      </c>
      <c r="F162" t="s">
        <v>565</v>
      </c>
      <c r="G162" t="s">
        <v>564</v>
      </c>
      <c r="H162" s="2" t="s">
        <v>202</v>
      </c>
      <c r="I162" t="s">
        <v>952</v>
      </c>
      <c r="J162" s="2" t="s">
        <v>202</v>
      </c>
      <c r="K162" s="10">
        <f t="shared" si="2"/>
        <v>7</v>
      </c>
      <c r="L162" t="s">
        <v>41</v>
      </c>
      <c r="M162" t="s">
        <v>41</v>
      </c>
      <c r="N162" t="s">
        <v>41</v>
      </c>
      <c r="O162" t="s">
        <v>41</v>
      </c>
      <c r="AC162" t="s">
        <v>41</v>
      </c>
      <c r="AS162" t="s">
        <v>41</v>
      </c>
      <c r="AT162" t="s">
        <v>41</v>
      </c>
    </row>
    <row r="163" spans="1:203" x14ac:dyDescent="0.3">
      <c r="A163">
        <v>161</v>
      </c>
      <c r="B163" t="s">
        <v>953</v>
      </c>
      <c r="C163" t="s">
        <v>954</v>
      </c>
      <c r="D163" t="s">
        <v>17</v>
      </c>
      <c r="E163" t="s">
        <v>111</v>
      </c>
      <c r="F163" t="s">
        <v>956</v>
      </c>
      <c r="G163" t="s">
        <v>955</v>
      </c>
      <c r="H163" s="2" t="s">
        <v>202</v>
      </c>
      <c r="I163" t="s">
        <v>952</v>
      </c>
      <c r="J163" s="2" t="s">
        <v>202</v>
      </c>
      <c r="K163" s="10">
        <f t="shared" si="2"/>
        <v>14</v>
      </c>
      <c r="L163" t="s">
        <v>41</v>
      </c>
      <c r="M163" t="s">
        <v>41</v>
      </c>
      <c r="N163" t="s">
        <v>41</v>
      </c>
      <c r="O163" t="s">
        <v>41</v>
      </c>
      <c r="P163" t="s">
        <v>41</v>
      </c>
      <c r="AC163" t="s">
        <v>41</v>
      </c>
      <c r="AS163" t="s">
        <v>41</v>
      </c>
      <c r="AT163" t="s">
        <v>41</v>
      </c>
      <c r="AW163" t="s">
        <v>41</v>
      </c>
      <c r="BO163" t="s">
        <v>41</v>
      </c>
      <c r="CM163" t="s">
        <v>41</v>
      </c>
      <c r="CN163" t="s">
        <v>41</v>
      </c>
      <c r="GI163" t="s">
        <v>41</v>
      </c>
      <c r="GJ163" t="s">
        <v>41</v>
      </c>
    </row>
    <row r="164" spans="1:203" x14ac:dyDescent="0.3">
      <c r="A164">
        <v>162</v>
      </c>
      <c r="B164" t="s">
        <v>966</v>
      </c>
      <c r="C164" t="s">
        <v>967</v>
      </c>
      <c r="D164" t="s">
        <v>17</v>
      </c>
      <c r="E164" t="s">
        <v>111</v>
      </c>
      <c r="F164" t="s">
        <v>766</v>
      </c>
      <c r="G164" t="s">
        <v>111</v>
      </c>
      <c r="H164" t="s">
        <v>972</v>
      </c>
      <c r="I164" t="s">
        <v>952</v>
      </c>
      <c r="J164" s="2" t="s">
        <v>202</v>
      </c>
      <c r="K164" s="10">
        <f t="shared" si="2"/>
        <v>17</v>
      </c>
      <c r="L164" t="s">
        <v>41</v>
      </c>
      <c r="M164" t="s">
        <v>41</v>
      </c>
      <c r="N164" t="s">
        <v>41</v>
      </c>
      <c r="O164" t="s">
        <v>41</v>
      </c>
      <c r="AS164" t="s">
        <v>41</v>
      </c>
      <c r="AT164" t="s">
        <v>41</v>
      </c>
      <c r="AU164" t="s">
        <v>41</v>
      </c>
      <c r="AW164" t="s">
        <v>41</v>
      </c>
      <c r="BE164" t="s">
        <v>41</v>
      </c>
      <c r="BO164" t="s">
        <v>41</v>
      </c>
      <c r="CA164" t="s">
        <v>41</v>
      </c>
      <c r="CI164" t="s">
        <v>41</v>
      </c>
      <c r="DZ164" t="s">
        <v>41</v>
      </c>
      <c r="EC164" t="s">
        <v>41</v>
      </c>
      <c r="GK164" t="s">
        <v>41</v>
      </c>
      <c r="GL164" t="s">
        <v>41</v>
      </c>
      <c r="GM164" t="s">
        <v>41</v>
      </c>
    </row>
    <row r="165" spans="1:203" x14ac:dyDescent="0.3">
      <c r="A165">
        <v>163</v>
      </c>
      <c r="B165" t="s">
        <v>976</v>
      </c>
      <c r="C165" t="s">
        <v>977</v>
      </c>
      <c r="D165" t="s">
        <v>17</v>
      </c>
      <c r="E165">
        <v>2021</v>
      </c>
      <c r="F165" t="s">
        <v>788</v>
      </c>
      <c r="G165" t="s">
        <v>978</v>
      </c>
      <c r="H165" s="2" t="s">
        <v>202</v>
      </c>
      <c r="I165" t="s">
        <v>952</v>
      </c>
      <c r="J165" s="2" t="s">
        <v>202</v>
      </c>
      <c r="K165" s="10">
        <f t="shared" si="2"/>
        <v>4</v>
      </c>
      <c r="M165" t="s">
        <v>41</v>
      </c>
      <c r="N165" t="s">
        <v>41</v>
      </c>
      <c r="O165" t="s">
        <v>41</v>
      </c>
      <c r="AS165" t="s">
        <v>41</v>
      </c>
    </row>
    <row r="166" spans="1:203" x14ac:dyDescent="0.3">
      <c r="A166">
        <v>164</v>
      </c>
      <c r="B166" t="s">
        <v>981</v>
      </c>
      <c r="C166" t="s">
        <v>982</v>
      </c>
      <c r="D166" t="s">
        <v>17</v>
      </c>
      <c r="E166">
        <v>2022</v>
      </c>
      <c r="F166" t="s">
        <v>983</v>
      </c>
      <c r="G166" t="s">
        <v>111</v>
      </c>
      <c r="H166" s="2" t="s">
        <v>202</v>
      </c>
      <c r="I166" t="s">
        <v>952</v>
      </c>
      <c r="J166" s="2" t="s">
        <v>202</v>
      </c>
      <c r="K166" s="10">
        <f t="shared" si="2"/>
        <v>9</v>
      </c>
      <c r="O166" t="s">
        <v>41</v>
      </c>
      <c r="P166" t="s">
        <v>41</v>
      </c>
      <c r="AS166" t="s">
        <v>41</v>
      </c>
      <c r="AT166" t="s">
        <v>41</v>
      </c>
      <c r="AW166" t="s">
        <v>41</v>
      </c>
      <c r="BO166" t="s">
        <v>41</v>
      </c>
      <c r="CN166" t="s">
        <v>41</v>
      </c>
      <c r="GI166" t="s">
        <v>41</v>
      </c>
      <c r="GJ166" t="s">
        <v>41</v>
      </c>
    </row>
    <row r="167" spans="1:203" x14ac:dyDescent="0.3">
      <c r="A167">
        <v>165</v>
      </c>
      <c r="B167" t="s">
        <v>985</v>
      </c>
      <c r="C167" t="s">
        <v>984</v>
      </c>
      <c r="D167" t="s">
        <v>17</v>
      </c>
      <c r="E167" t="s">
        <v>111</v>
      </c>
      <c r="F167" t="s">
        <v>986</v>
      </c>
      <c r="G167" t="s">
        <v>111</v>
      </c>
      <c r="H167" s="2" t="s">
        <v>202</v>
      </c>
      <c r="I167" t="s">
        <v>952</v>
      </c>
      <c r="J167" s="2" t="s">
        <v>202</v>
      </c>
      <c r="K167" s="10">
        <f t="shared" si="2"/>
        <v>13</v>
      </c>
      <c r="L167" t="s">
        <v>41</v>
      </c>
      <c r="M167" t="s">
        <v>41</v>
      </c>
      <c r="N167" t="s">
        <v>41</v>
      </c>
      <c r="O167" t="s">
        <v>41</v>
      </c>
      <c r="P167" t="s">
        <v>41</v>
      </c>
      <c r="AC167" t="s">
        <v>41</v>
      </c>
      <c r="AS167" t="s">
        <v>41</v>
      </c>
      <c r="AT167" t="s">
        <v>41</v>
      </c>
      <c r="AW167" t="s">
        <v>41</v>
      </c>
      <c r="BO167" t="s">
        <v>41</v>
      </c>
      <c r="CK167" t="s">
        <v>41</v>
      </c>
      <c r="EX167" t="s">
        <v>41</v>
      </c>
      <c r="GI167" t="s">
        <v>41</v>
      </c>
    </row>
    <row r="168" spans="1:203" x14ac:dyDescent="0.3">
      <c r="A168">
        <v>166</v>
      </c>
      <c r="B168" t="s">
        <v>989</v>
      </c>
      <c r="C168" t="s">
        <v>990</v>
      </c>
      <c r="D168" t="s">
        <v>17</v>
      </c>
      <c r="E168">
        <v>2021</v>
      </c>
      <c r="F168" t="s">
        <v>142</v>
      </c>
      <c r="G168" t="s">
        <v>991</v>
      </c>
      <c r="H168" s="2" t="s">
        <v>202</v>
      </c>
      <c r="I168" t="s">
        <v>952</v>
      </c>
      <c r="J168" s="2" t="s">
        <v>202</v>
      </c>
      <c r="K168" s="10">
        <f t="shared" si="2"/>
        <v>7</v>
      </c>
      <c r="L168" t="s">
        <v>41</v>
      </c>
      <c r="M168" t="s">
        <v>41</v>
      </c>
      <c r="N168" t="s">
        <v>41</v>
      </c>
      <c r="O168" t="s">
        <v>41</v>
      </c>
      <c r="AS168" t="s">
        <v>41</v>
      </c>
      <c r="AT168" t="s">
        <v>41</v>
      </c>
      <c r="AU168" t="s">
        <v>41</v>
      </c>
    </row>
    <row r="169" spans="1:203" x14ac:dyDescent="0.3">
      <c r="A169">
        <v>167</v>
      </c>
      <c r="B169" t="s">
        <v>992</v>
      </c>
      <c r="C169" t="s">
        <v>993</v>
      </c>
      <c r="D169" t="s">
        <v>17</v>
      </c>
      <c r="E169">
        <v>2020</v>
      </c>
      <c r="F169" t="s">
        <v>175</v>
      </c>
      <c r="G169" t="s">
        <v>994</v>
      </c>
      <c r="H169" s="2" t="s">
        <v>202</v>
      </c>
      <c r="I169" t="s">
        <v>952</v>
      </c>
      <c r="J169" s="2" t="s">
        <v>202</v>
      </c>
      <c r="K169" s="10">
        <f t="shared" si="2"/>
        <v>4</v>
      </c>
      <c r="L169" t="s">
        <v>41</v>
      </c>
      <c r="N169" t="s">
        <v>41</v>
      </c>
      <c r="O169" t="s">
        <v>41</v>
      </c>
      <c r="AS169" t="s">
        <v>41</v>
      </c>
    </row>
    <row r="170" spans="1:203" x14ac:dyDescent="0.3">
      <c r="A170">
        <v>168</v>
      </c>
      <c r="B170" t="s">
        <v>997</v>
      </c>
      <c r="C170" t="s">
        <v>998</v>
      </c>
      <c r="D170" t="s">
        <v>17</v>
      </c>
      <c r="E170">
        <v>2021</v>
      </c>
      <c r="F170" t="s">
        <v>999</v>
      </c>
      <c r="G170" t="s">
        <v>111</v>
      </c>
      <c r="H170" s="2" t="s">
        <v>202</v>
      </c>
      <c r="I170" t="s">
        <v>952</v>
      </c>
      <c r="J170" s="2" t="s">
        <v>202</v>
      </c>
      <c r="K170" s="10">
        <f t="shared" si="2"/>
        <v>3</v>
      </c>
      <c r="AS170" t="s">
        <v>41</v>
      </c>
      <c r="AT170" t="s">
        <v>41</v>
      </c>
      <c r="BA170" t="s">
        <v>41</v>
      </c>
    </row>
    <row r="171" spans="1:203" x14ac:dyDescent="0.3">
      <c r="A171">
        <v>169</v>
      </c>
      <c r="B171" t="s">
        <v>1006</v>
      </c>
      <c r="C171" t="s">
        <v>1007</v>
      </c>
      <c r="D171" t="s">
        <v>17</v>
      </c>
      <c r="E171" t="s">
        <v>111</v>
      </c>
      <c r="F171" t="s">
        <v>1008</v>
      </c>
      <c r="G171" t="s">
        <v>1009</v>
      </c>
      <c r="H171" s="2" t="s">
        <v>202</v>
      </c>
      <c r="I171" t="s">
        <v>952</v>
      </c>
      <c r="J171" s="2" t="s">
        <v>202</v>
      </c>
      <c r="K171" s="10">
        <f t="shared" si="2"/>
        <v>3</v>
      </c>
      <c r="N171" t="s">
        <v>41</v>
      </c>
      <c r="AS171" t="s">
        <v>41</v>
      </c>
      <c r="AT171" t="s">
        <v>41</v>
      </c>
    </row>
    <row r="172" spans="1:203" x14ac:dyDescent="0.3">
      <c r="A172">
        <v>170</v>
      </c>
      <c r="B172" t="s">
        <v>1010</v>
      </c>
      <c r="C172" t="s">
        <v>1011</v>
      </c>
      <c r="D172" t="s">
        <v>308</v>
      </c>
      <c r="E172">
        <v>2017</v>
      </c>
      <c r="F172" t="s">
        <v>202</v>
      </c>
      <c r="G172" t="s">
        <v>1012</v>
      </c>
      <c r="H172" s="2" t="s">
        <v>202</v>
      </c>
      <c r="I172" t="s">
        <v>952</v>
      </c>
      <c r="J172" s="2" t="s">
        <v>202</v>
      </c>
      <c r="K172" s="10">
        <f t="shared" si="2"/>
        <v>6</v>
      </c>
      <c r="L172" t="s">
        <v>41</v>
      </c>
      <c r="M172" t="s">
        <v>41</v>
      </c>
      <c r="N172" t="s">
        <v>41</v>
      </c>
      <c r="BH172" t="s">
        <v>41</v>
      </c>
      <c r="BV172" t="s">
        <v>41</v>
      </c>
      <c r="CI172" t="s">
        <v>41</v>
      </c>
    </row>
    <row r="173" spans="1:203" x14ac:dyDescent="0.3">
      <c r="A173">
        <v>171</v>
      </c>
      <c r="B173" t="s">
        <v>1017</v>
      </c>
      <c r="C173" t="s">
        <v>1018</v>
      </c>
      <c r="D173" t="s">
        <v>17</v>
      </c>
      <c r="E173">
        <v>2021</v>
      </c>
      <c r="F173" t="s">
        <v>1019</v>
      </c>
      <c r="G173" t="s">
        <v>1020</v>
      </c>
      <c r="H173" s="2" t="s">
        <v>202</v>
      </c>
      <c r="I173" t="s">
        <v>952</v>
      </c>
      <c r="J173" s="2" t="s">
        <v>202</v>
      </c>
      <c r="K173" s="10">
        <f t="shared" si="2"/>
        <v>6</v>
      </c>
      <c r="L173" t="s">
        <v>41</v>
      </c>
      <c r="M173" t="s">
        <v>41</v>
      </c>
      <c r="N173" t="s">
        <v>41</v>
      </c>
      <c r="O173" t="s">
        <v>41</v>
      </c>
      <c r="AS173" t="s">
        <v>41</v>
      </c>
      <c r="AT173" t="s">
        <v>41</v>
      </c>
    </row>
    <row r="174" spans="1:203" x14ac:dyDescent="0.3">
      <c r="A174">
        <v>172</v>
      </c>
      <c r="B174" t="s">
        <v>1021</v>
      </c>
      <c r="C174" t="s">
        <v>1022</v>
      </c>
      <c r="D174" t="s">
        <v>17</v>
      </c>
      <c r="E174">
        <v>2019</v>
      </c>
      <c r="F174" t="s">
        <v>1023</v>
      </c>
      <c r="G174" t="s">
        <v>1024</v>
      </c>
      <c r="H174" s="2" t="s">
        <v>202</v>
      </c>
      <c r="I174" t="s">
        <v>952</v>
      </c>
      <c r="J174" s="2" t="s">
        <v>202</v>
      </c>
      <c r="K174" s="10">
        <f t="shared" si="2"/>
        <v>18</v>
      </c>
      <c r="L174" t="s">
        <v>41</v>
      </c>
      <c r="M174" t="s">
        <v>41</v>
      </c>
      <c r="N174" t="s">
        <v>41</v>
      </c>
      <c r="O174" t="s">
        <v>41</v>
      </c>
      <c r="P174" t="s">
        <v>41</v>
      </c>
      <c r="S174" t="s">
        <v>41</v>
      </c>
      <c r="BE174" t="s">
        <v>41</v>
      </c>
      <c r="BP174" t="s">
        <v>41</v>
      </c>
      <c r="CI174" t="s">
        <v>41</v>
      </c>
      <c r="CK174" t="s">
        <v>41</v>
      </c>
      <c r="GN174" t="s">
        <v>41</v>
      </c>
      <c r="GO174" t="s">
        <v>41</v>
      </c>
      <c r="GP174" t="s">
        <v>41</v>
      </c>
      <c r="GQ174" t="s">
        <v>41</v>
      </c>
      <c r="GR174" t="s">
        <v>41</v>
      </c>
      <c r="GS174" t="s">
        <v>41</v>
      </c>
      <c r="GT174" t="s">
        <v>41</v>
      </c>
      <c r="GU174" t="s">
        <v>41</v>
      </c>
    </row>
    <row r="175" spans="1:203" x14ac:dyDescent="0.3">
      <c r="A175">
        <v>173</v>
      </c>
      <c r="B175" t="s">
        <v>1034</v>
      </c>
      <c r="C175" t="s">
        <v>1033</v>
      </c>
      <c r="D175" t="s">
        <v>17</v>
      </c>
      <c r="E175">
        <v>2019</v>
      </c>
      <c r="F175" t="s">
        <v>345</v>
      </c>
      <c r="G175" t="s">
        <v>1035</v>
      </c>
      <c r="H175" s="2" t="s">
        <v>202</v>
      </c>
      <c r="I175" t="s">
        <v>952</v>
      </c>
      <c r="J175" s="2" t="s">
        <v>202</v>
      </c>
      <c r="K175" s="10">
        <f t="shared" si="2"/>
        <v>10</v>
      </c>
      <c r="L175" t="s">
        <v>41</v>
      </c>
      <c r="M175" t="s">
        <v>41</v>
      </c>
      <c r="N175" t="s">
        <v>41</v>
      </c>
      <c r="AC175" t="s">
        <v>41</v>
      </c>
      <c r="AS175" t="s">
        <v>41</v>
      </c>
      <c r="AT175" t="s">
        <v>41</v>
      </c>
      <c r="AX175" t="s">
        <v>41</v>
      </c>
      <c r="BE175" t="s">
        <v>41</v>
      </c>
      <c r="CB175" t="s">
        <v>41</v>
      </c>
      <c r="GJ175" t="s">
        <v>41</v>
      </c>
    </row>
    <row r="176" spans="1:203" x14ac:dyDescent="0.3">
      <c r="A176">
        <v>174</v>
      </c>
      <c r="B176" t="s">
        <v>980</v>
      </c>
      <c r="C176" t="s">
        <v>1037</v>
      </c>
      <c r="D176" t="s">
        <v>17</v>
      </c>
      <c r="E176" t="s">
        <v>111</v>
      </c>
      <c r="F176" t="s">
        <v>1038</v>
      </c>
      <c r="G176" t="s">
        <v>111</v>
      </c>
      <c r="H176" s="2" t="s">
        <v>202</v>
      </c>
      <c r="I176" t="s">
        <v>952</v>
      </c>
      <c r="J176" s="2" t="s">
        <v>202</v>
      </c>
      <c r="K176" s="10">
        <f t="shared" si="2"/>
        <v>5</v>
      </c>
      <c r="N176" t="s">
        <v>41</v>
      </c>
      <c r="AP176" t="s">
        <v>41</v>
      </c>
      <c r="AS176" t="s">
        <v>41</v>
      </c>
      <c r="AT176" t="s">
        <v>41</v>
      </c>
      <c r="FU176" t="s">
        <v>41</v>
      </c>
    </row>
    <row r="177" spans="1:204" x14ac:dyDescent="0.3">
      <c r="A177">
        <v>175</v>
      </c>
      <c r="B177" t="s">
        <v>1044</v>
      </c>
      <c r="C177" t="s">
        <v>1043</v>
      </c>
      <c r="D177" t="s">
        <v>1045</v>
      </c>
      <c r="E177" t="s">
        <v>111</v>
      </c>
      <c r="F177" t="s">
        <v>1047</v>
      </c>
      <c r="G177" t="s">
        <v>1046</v>
      </c>
      <c r="H177" s="2" t="s">
        <v>202</v>
      </c>
      <c r="I177" t="s">
        <v>952</v>
      </c>
      <c r="J177" s="2" t="s">
        <v>202</v>
      </c>
      <c r="K177" s="10">
        <f t="shared" si="2"/>
        <v>3</v>
      </c>
      <c r="N177" t="s">
        <v>41</v>
      </c>
      <c r="AS177" t="s">
        <v>41</v>
      </c>
      <c r="CM177" t="s">
        <v>41</v>
      </c>
    </row>
    <row r="178" spans="1:204" x14ac:dyDescent="0.3">
      <c r="A178">
        <v>176</v>
      </c>
      <c r="B178" t="s">
        <v>1048</v>
      </c>
      <c r="C178" t="s">
        <v>1049</v>
      </c>
      <c r="D178" t="s">
        <v>17</v>
      </c>
      <c r="E178">
        <v>2021</v>
      </c>
      <c r="F178" t="s">
        <v>1050</v>
      </c>
      <c r="G178" t="s">
        <v>111</v>
      </c>
      <c r="H178" s="2" t="s">
        <v>202</v>
      </c>
      <c r="I178" t="s">
        <v>952</v>
      </c>
      <c r="J178" s="2" t="s">
        <v>202</v>
      </c>
      <c r="K178" s="10">
        <f t="shared" si="2"/>
        <v>8</v>
      </c>
      <c r="L178" t="s">
        <v>41</v>
      </c>
      <c r="M178" t="s">
        <v>41</v>
      </c>
      <c r="N178" t="s">
        <v>41</v>
      </c>
      <c r="X178" t="s">
        <v>41</v>
      </c>
      <c r="Z178" t="s">
        <v>41</v>
      </c>
      <c r="AS178" t="s">
        <v>41</v>
      </c>
      <c r="ET178" t="s">
        <v>41</v>
      </c>
      <c r="GV178" t="s">
        <v>41</v>
      </c>
    </row>
    <row r="179" spans="1:204" x14ac:dyDescent="0.3">
      <c r="A179">
        <v>177</v>
      </c>
      <c r="B179" t="s">
        <v>1060</v>
      </c>
      <c r="C179" t="s">
        <v>1059</v>
      </c>
      <c r="D179" t="s">
        <v>17</v>
      </c>
      <c r="E179">
        <v>2019</v>
      </c>
      <c r="F179" t="s">
        <v>1061</v>
      </c>
      <c r="G179" t="s">
        <v>111</v>
      </c>
      <c r="H179" s="2" t="s">
        <v>202</v>
      </c>
      <c r="I179" t="s">
        <v>952</v>
      </c>
      <c r="J179" s="2" t="s">
        <v>202</v>
      </c>
      <c r="K179" s="10">
        <f t="shared" si="2"/>
        <v>5</v>
      </c>
      <c r="M179" t="s">
        <v>41</v>
      </c>
      <c r="N179" t="s">
        <v>41</v>
      </c>
      <c r="X179" t="s">
        <v>41</v>
      </c>
      <c r="DE179" t="s">
        <v>41</v>
      </c>
      <c r="GV179" t="s">
        <v>41</v>
      </c>
    </row>
    <row r="180" spans="1:204" x14ac:dyDescent="0.3">
      <c r="A180">
        <v>178</v>
      </c>
      <c r="B180" t="s">
        <v>254</v>
      </c>
      <c r="C180" t="s">
        <v>252</v>
      </c>
      <c r="D180" t="s">
        <v>17</v>
      </c>
      <c r="E180" t="s">
        <v>111</v>
      </c>
      <c r="F180" t="s">
        <v>1062</v>
      </c>
      <c r="G180" t="s">
        <v>255</v>
      </c>
      <c r="H180" s="2" t="s">
        <v>202</v>
      </c>
      <c r="I180" t="s">
        <v>952</v>
      </c>
      <c r="J180" s="2" t="s">
        <v>202</v>
      </c>
      <c r="K180" s="11">
        <f t="shared" si="2"/>
        <v>2</v>
      </c>
      <c r="AS180" t="s">
        <v>41</v>
      </c>
      <c r="AT180" t="s">
        <v>41</v>
      </c>
    </row>
    <row r="181" spans="1:204" x14ac:dyDescent="0.3">
      <c r="A181">
        <v>179</v>
      </c>
      <c r="B181" t="s">
        <v>1064</v>
      </c>
      <c r="C181" t="s">
        <v>1065</v>
      </c>
      <c r="D181" t="s">
        <v>308</v>
      </c>
      <c r="E181">
        <v>2020</v>
      </c>
      <c r="F181" s="2" t="s">
        <v>202</v>
      </c>
      <c r="G181" t="s">
        <v>1400</v>
      </c>
      <c r="H181" s="2" t="s">
        <v>202</v>
      </c>
      <c r="I181" t="s">
        <v>405</v>
      </c>
      <c r="J181" s="2" t="s">
        <v>202</v>
      </c>
      <c r="K181" s="10">
        <f t="shared" si="2"/>
        <v>3</v>
      </c>
      <c r="N181" t="s">
        <v>41</v>
      </c>
      <c r="AS181" t="s">
        <v>41</v>
      </c>
      <c r="CZ181" t="s">
        <v>41</v>
      </c>
    </row>
    <row r="182" spans="1:204" x14ac:dyDescent="0.3">
      <c r="A182">
        <v>180</v>
      </c>
      <c r="B182" t="s">
        <v>1066</v>
      </c>
      <c r="C182" s="2" t="s">
        <v>202</v>
      </c>
      <c r="D182" t="s">
        <v>1067</v>
      </c>
      <c r="E182">
        <v>2021</v>
      </c>
      <c r="F182" s="2" t="s">
        <v>202</v>
      </c>
      <c r="G182" t="s">
        <v>1068</v>
      </c>
      <c r="H182" s="2" t="s">
        <v>202</v>
      </c>
      <c r="I182" t="s">
        <v>405</v>
      </c>
      <c r="J182" s="2" t="s">
        <v>202</v>
      </c>
      <c r="K182" s="10">
        <f t="shared" si="2"/>
        <v>5</v>
      </c>
      <c r="L182" t="s">
        <v>41</v>
      </c>
      <c r="M182" t="s">
        <v>41</v>
      </c>
      <c r="N182" t="s">
        <v>41</v>
      </c>
      <c r="AS182" t="s">
        <v>41</v>
      </c>
      <c r="AZ182" t="s">
        <v>41</v>
      </c>
    </row>
    <row r="183" spans="1:204" x14ac:dyDescent="0.3">
      <c r="A183">
        <v>181</v>
      </c>
      <c r="B183" t="s">
        <v>1069</v>
      </c>
      <c r="C183" s="2" t="s">
        <v>202</v>
      </c>
      <c r="D183" t="s">
        <v>308</v>
      </c>
      <c r="E183">
        <v>2022</v>
      </c>
      <c r="F183" s="2" t="s">
        <v>202</v>
      </c>
      <c r="G183" t="s">
        <v>1070</v>
      </c>
      <c r="H183" s="2" t="s">
        <v>202</v>
      </c>
      <c r="I183" t="s">
        <v>405</v>
      </c>
      <c r="J183" s="2" t="s">
        <v>202</v>
      </c>
      <c r="K183" s="10">
        <f t="shared" si="2"/>
        <v>7</v>
      </c>
      <c r="L183" t="s">
        <v>41</v>
      </c>
      <c r="M183" t="s">
        <v>41</v>
      </c>
      <c r="N183" t="s">
        <v>41</v>
      </c>
      <c r="O183" t="s">
        <v>41</v>
      </c>
      <c r="P183" t="s">
        <v>41</v>
      </c>
      <c r="AS183" t="s">
        <v>41</v>
      </c>
      <c r="AT183" t="s">
        <v>41</v>
      </c>
    </row>
    <row r="184" spans="1:204" x14ac:dyDescent="0.3">
      <c r="A184">
        <v>182</v>
      </c>
      <c r="B184" t="s">
        <v>1071</v>
      </c>
      <c r="C184" s="2" t="s">
        <v>202</v>
      </c>
      <c r="D184" t="s">
        <v>308</v>
      </c>
      <c r="E184">
        <v>2022</v>
      </c>
      <c r="F184" s="2" t="s">
        <v>202</v>
      </c>
      <c r="G184" t="s">
        <v>1072</v>
      </c>
      <c r="H184" s="2" t="s">
        <v>202</v>
      </c>
      <c r="I184" t="s">
        <v>405</v>
      </c>
      <c r="J184" s="2" t="s">
        <v>202</v>
      </c>
      <c r="K184" s="10">
        <f t="shared" si="2"/>
        <v>2</v>
      </c>
      <c r="AS184" t="s">
        <v>41</v>
      </c>
      <c r="AV184" t="s">
        <v>41</v>
      </c>
    </row>
    <row r="185" spans="1:204" x14ac:dyDescent="0.3">
      <c r="A185">
        <v>183</v>
      </c>
      <c r="B185" t="s">
        <v>1073</v>
      </c>
      <c r="C185" s="2" t="s">
        <v>202</v>
      </c>
      <c r="D185" s="2" t="s">
        <v>308</v>
      </c>
      <c r="E185">
        <v>2022</v>
      </c>
      <c r="F185" s="2" t="s">
        <v>202</v>
      </c>
      <c r="G185" t="s">
        <v>1074</v>
      </c>
      <c r="H185" s="2" t="s">
        <v>202</v>
      </c>
      <c r="I185" t="s">
        <v>405</v>
      </c>
      <c r="J185" s="2" t="s">
        <v>202</v>
      </c>
      <c r="K185" s="10">
        <f t="shared" si="2"/>
        <v>4</v>
      </c>
      <c r="AS185" t="s">
        <v>41</v>
      </c>
      <c r="AT185" t="s">
        <v>41</v>
      </c>
      <c r="BA185" t="s">
        <v>41</v>
      </c>
      <c r="CO185" t="s">
        <v>41</v>
      </c>
    </row>
    <row r="186" spans="1:204" x14ac:dyDescent="0.3">
      <c r="A186">
        <v>184</v>
      </c>
      <c r="B186" t="s">
        <v>1076</v>
      </c>
      <c r="C186" s="2" t="s">
        <v>202</v>
      </c>
      <c r="D186" t="s">
        <v>308</v>
      </c>
      <c r="E186">
        <v>2021</v>
      </c>
      <c r="F186" s="2" t="s">
        <v>202</v>
      </c>
      <c r="G186" t="s">
        <v>1401</v>
      </c>
      <c r="H186" s="2" t="s">
        <v>202</v>
      </c>
      <c r="I186" t="s">
        <v>405</v>
      </c>
      <c r="J186" s="2" t="s">
        <v>202</v>
      </c>
      <c r="K186" s="10">
        <f t="shared" si="2"/>
        <v>6</v>
      </c>
      <c r="N186" t="s">
        <v>41</v>
      </c>
      <c r="AS186" t="s">
        <v>41</v>
      </c>
      <c r="AU186" t="s">
        <v>41</v>
      </c>
      <c r="AZ186" t="s">
        <v>41</v>
      </c>
      <c r="CD186" t="s">
        <v>41</v>
      </c>
      <c r="CP186" t="s">
        <v>41</v>
      </c>
    </row>
    <row r="187" spans="1:204" x14ac:dyDescent="0.3">
      <c r="A187">
        <v>185</v>
      </c>
      <c r="B187" t="s">
        <v>1077</v>
      </c>
      <c r="C187" s="2" t="s">
        <v>202</v>
      </c>
      <c r="D187" t="s">
        <v>308</v>
      </c>
      <c r="E187">
        <v>2021</v>
      </c>
      <c r="F187" s="2" t="s">
        <v>202</v>
      </c>
      <c r="G187" t="s">
        <v>1078</v>
      </c>
      <c r="H187" s="2" t="s">
        <v>202</v>
      </c>
      <c r="I187" t="s">
        <v>405</v>
      </c>
      <c r="J187" s="2" t="s">
        <v>202</v>
      </c>
      <c r="K187" s="10">
        <f t="shared" si="2"/>
        <v>3</v>
      </c>
      <c r="AS187" t="s">
        <v>41</v>
      </c>
      <c r="AT187" t="s">
        <v>41</v>
      </c>
      <c r="BA187" t="s">
        <v>41</v>
      </c>
    </row>
    <row r="188" spans="1:204" x14ac:dyDescent="0.3">
      <c r="A188">
        <v>186</v>
      </c>
      <c r="B188" t="s">
        <v>1080</v>
      </c>
      <c r="C188" s="2" t="s">
        <v>202</v>
      </c>
      <c r="D188" t="s">
        <v>1067</v>
      </c>
      <c r="E188">
        <v>2022</v>
      </c>
      <c r="F188" s="2" t="s">
        <v>202</v>
      </c>
      <c r="G188" t="s">
        <v>1068</v>
      </c>
      <c r="H188" s="2" t="s">
        <v>202</v>
      </c>
      <c r="I188" t="s">
        <v>405</v>
      </c>
      <c r="J188" s="2" t="s">
        <v>202</v>
      </c>
      <c r="K188" s="10">
        <f t="shared" si="2"/>
        <v>3</v>
      </c>
      <c r="AS188" t="s">
        <v>41</v>
      </c>
      <c r="AT188" t="s">
        <v>41</v>
      </c>
      <c r="AZ188" t="s">
        <v>41</v>
      </c>
    </row>
    <row r="189" spans="1:204" x14ac:dyDescent="0.3">
      <c r="A189">
        <v>187</v>
      </c>
      <c r="B189" t="s">
        <v>1084</v>
      </c>
      <c r="C189" s="2" t="s">
        <v>202</v>
      </c>
      <c r="D189" t="s">
        <v>1067</v>
      </c>
      <c r="E189">
        <v>2021</v>
      </c>
      <c r="F189" s="2" t="s">
        <v>202</v>
      </c>
      <c r="G189" t="s">
        <v>1068</v>
      </c>
      <c r="H189" s="2" t="s">
        <v>202</v>
      </c>
      <c r="I189" t="s">
        <v>405</v>
      </c>
      <c r="J189" s="2" t="s">
        <v>202</v>
      </c>
      <c r="K189" s="10">
        <f t="shared" si="2"/>
        <v>2</v>
      </c>
      <c r="AS189" t="s">
        <v>41</v>
      </c>
      <c r="AT189" t="s">
        <v>41</v>
      </c>
    </row>
    <row r="190" spans="1:204" x14ac:dyDescent="0.3">
      <c r="A190">
        <v>188</v>
      </c>
      <c r="B190" t="s">
        <v>1087</v>
      </c>
      <c r="C190" s="2" t="s">
        <v>202</v>
      </c>
      <c r="D190" t="s">
        <v>1067</v>
      </c>
      <c r="E190">
        <v>2021</v>
      </c>
      <c r="F190" s="2" t="s">
        <v>202</v>
      </c>
      <c r="G190" t="s">
        <v>1068</v>
      </c>
      <c r="H190" s="2" t="s">
        <v>202</v>
      </c>
      <c r="I190" t="s">
        <v>405</v>
      </c>
      <c r="J190" s="2" t="s">
        <v>202</v>
      </c>
      <c r="K190" s="10">
        <f t="shared" si="2"/>
        <v>2</v>
      </c>
      <c r="AS190" t="s">
        <v>41</v>
      </c>
      <c r="AT190" t="s">
        <v>41</v>
      </c>
    </row>
    <row r="191" spans="1:204" x14ac:dyDescent="0.3">
      <c r="A191">
        <v>189</v>
      </c>
      <c r="B191" t="s">
        <v>1089</v>
      </c>
      <c r="C191" s="2" t="s">
        <v>202</v>
      </c>
      <c r="D191" t="s">
        <v>1067</v>
      </c>
      <c r="E191">
        <v>2021</v>
      </c>
      <c r="F191" s="2" t="s">
        <v>202</v>
      </c>
      <c r="G191" t="s">
        <v>1068</v>
      </c>
      <c r="H191" s="2" t="s">
        <v>202</v>
      </c>
      <c r="I191" t="s">
        <v>405</v>
      </c>
      <c r="J191" s="2" t="s">
        <v>202</v>
      </c>
      <c r="K191" s="10">
        <f t="shared" si="2"/>
        <v>3</v>
      </c>
      <c r="L191" t="s">
        <v>41</v>
      </c>
      <c r="N191" t="s">
        <v>41</v>
      </c>
      <c r="AS191" t="s">
        <v>41</v>
      </c>
    </row>
    <row r="192" spans="1:204" x14ac:dyDescent="0.3">
      <c r="A192">
        <v>190</v>
      </c>
      <c r="B192" t="s">
        <v>1090</v>
      </c>
      <c r="C192" s="2" t="s">
        <v>202</v>
      </c>
      <c r="D192" t="s">
        <v>1067</v>
      </c>
      <c r="E192">
        <v>2021</v>
      </c>
      <c r="F192" s="2" t="s">
        <v>202</v>
      </c>
      <c r="G192" t="s">
        <v>1068</v>
      </c>
      <c r="H192" s="2" t="s">
        <v>202</v>
      </c>
      <c r="I192" t="s">
        <v>405</v>
      </c>
      <c r="J192" s="2" t="s">
        <v>202</v>
      </c>
      <c r="K192" s="10">
        <f t="shared" si="2"/>
        <v>1</v>
      </c>
      <c r="AZ192" t="s">
        <v>41</v>
      </c>
    </row>
    <row r="193" spans="1:205" x14ac:dyDescent="0.3">
      <c r="A193">
        <v>191</v>
      </c>
      <c r="B193" t="s">
        <v>1092</v>
      </c>
      <c r="C193" s="2" t="s">
        <v>202</v>
      </c>
      <c r="D193" t="s">
        <v>308</v>
      </c>
      <c r="E193">
        <v>2022</v>
      </c>
      <c r="F193" s="2" t="s">
        <v>202</v>
      </c>
      <c r="G193" t="s">
        <v>1091</v>
      </c>
      <c r="H193" s="2" t="s">
        <v>202</v>
      </c>
      <c r="I193" t="s">
        <v>36</v>
      </c>
      <c r="J193" s="2" t="s">
        <v>202</v>
      </c>
      <c r="K193" s="10">
        <f t="shared" si="2"/>
        <v>5</v>
      </c>
      <c r="L193" t="s">
        <v>41</v>
      </c>
      <c r="M193" t="s">
        <v>41</v>
      </c>
      <c r="N193" t="s">
        <v>41</v>
      </c>
      <c r="AS193" t="s">
        <v>41</v>
      </c>
      <c r="AT193" t="s">
        <v>41</v>
      </c>
    </row>
    <row r="194" spans="1:205" x14ac:dyDescent="0.3">
      <c r="A194">
        <v>192</v>
      </c>
      <c r="B194" t="s">
        <v>1093</v>
      </c>
      <c r="C194" s="2" t="s">
        <v>202</v>
      </c>
      <c r="D194" t="s">
        <v>308</v>
      </c>
      <c r="E194">
        <v>2021</v>
      </c>
      <c r="F194" s="2" t="s">
        <v>202</v>
      </c>
      <c r="G194" t="s">
        <v>1094</v>
      </c>
      <c r="H194" s="2" t="s">
        <v>202</v>
      </c>
      <c r="I194" t="s">
        <v>36</v>
      </c>
      <c r="J194" s="2" t="s">
        <v>202</v>
      </c>
      <c r="K194" s="10">
        <f t="shared" si="2"/>
        <v>2</v>
      </c>
      <c r="N194" t="s">
        <v>41</v>
      </c>
      <c r="AS194" t="s">
        <v>41</v>
      </c>
    </row>
    <row r="195" spans="1:205" x14ac:dyDescent="0.3">
      <c r="A195">
        <v>193</v>
      </c>
      <c r="B195" t="s">
        <v>1095</v>
      </c>
      <c r="C195" s="2" t="s">
        <v>202</v>
      </c>
      <c r="D195" t="s">
        <v>308</v>
      </c>
      <c r="E195">
        <v>2022</v>
      </c>
      <c r="F195" s="2" t="s">
        <v>202</v>
      </c>
      <c r="G195" t="s">
        <v>1096</v>
      </c>
      <c r="H195" s="2" t="s">
        <v>202</v>
      </c>
      <c r="I195" t="s">
        <v>36</v>
      </c>
      <c r="J195" s="2" t="s">
        <v>202</v>
      </c>
      <c r="K195" s="10">
        <f t="shared" ref="K195:K237" si="3">COUNTIF(L195:XFD195,"x")</f>
        <v>2</v>
      </c>
      <c r="CK195" t="s">
        <v>41</v>
      </c>
      <c r="EV195" t="s">
        <v>41</v>
      </c>
    </row>
    <row r="196" spans="1:205" x14ac:dyDescent="0.3">
      <c r="A196">
        <v>194</v>
      </c>
      <c r="B196" t="s">
        <v>1098</v>
      </c>
      <c r="C196" s="2" t="s">
        <v>202</v>
      </c>
      <c r="D196" t="s">
        <v>308</v>
      </c>
      <c r="E196">
        <v>2021</v>
      </c>
      <c r="F196" s="2" t="s">
        <v>202</v>
      </c>
      <c r="G196" t="s">
        <v>1097</v>
      </c>
      <c r="H196" s="2" t="s">
        <v>202</v>
      </c>
      <c r="I196" t="s">
        <v>36</v>
      </c>
      <c r="J196" s="2" t="s">
        <v>202</v>
      </c>
      <c r="K196" s="10">
        <f t="shared" si="3"/>
        <v>1</v>
      </c>
      <c r="Z196" t="s">
        <v>41</v>
      </c>
    </row>
    <row r="197" spans="1:205" x14ac:dyDescent="0.3">
      <c r="A197">
        <v>195</v>
      </c>
      <c r="B197" t="s">
        <v>1099</v>
      </c>
      <c r="C197" s="2" t="s">
        <v>202</v>
      </c>
      <c r="D197" t="s">
        <v>308</v>
      </c>
      <c r="E197">
        <v>2020</v>
      </c>
      <c r="F197" s="2" t="s">
        <v>202</v>
      </c>
      <c r="G197" t="s">
        <v>1100</v>
      </c>
      <c r="H197" s="2" t="s">
        <v>202</v>
      </c>
      <c r="I197" t="s">
        <v>36</v>
      </c>
      <c r="J197" s="2" t="s">
        <v>202</v>
      </c>
      <c r="K197" s="10">
        <f t="shared" si="3"/>
        <v>1</v>
      </c>
      <c r="AS197" t="s">
        <v>41</v>
      </c>
    </row>
    <row r="198" spans="1:205" x14ac:dyDescent="0.3">
      <c r="A198">
        <v>196</v>
      </c>
      <c r="B198" t="s">
        <v>1101</v>
      </c>
      <c r="C198" s="2" t="s">
        <v>202</v>
      </c>
      <c r="D198" t="s">
        <v>308</v>
      </c>
      <c r="E198">
        <v>2020</v>
      </c>
      <c r="F198" s="2" t="s">
        <v>202</v>
      </c>
      <c r="G198" t="s">
        <v>1102</v>
      </c>
      <c r="H198" s="2" t="s">
        <v>202</v>
      </c>
      <c r="I198" t="s">
        <v>36</v>
      </c>
      <c r="J198" s="2" t="s">
        <v>202</v>
      </c>
      <c r="K198" s="10">
        <f t="shared" si="3"/>
        <v>1</v>
      </c>
      <c r="AS198" t="s">
        <v>41</v>
      </c>
    </row>
    <row r="199" spans="1:205" x14ac:dyDescent="0.3">
      <c r="A199">
        <v>197</v>
      </c>
      <c r="B199" t="s">
        <v>1103</v>
      </c>
      <c r="C199" s="2" t="s">
        <v>202</v>
      </c>
      <c r="D199" t="s">
        <v>428</v>
      </c>
      <c r="E199">
        <v>2021</v>
      </c>
      <c r="F199" s="2" t="s">
        <v>202</v>
      </c>
      <c r="G199" t="s">
        <v>1104</v>
      </c>
      <c r="H199" s="2" t="s">
        <v>202</v>
      </c>
      <c r="I199" t="s">
        <v>36</v>
      </c>
      <c r="J199" s="2" t="s">
        <v>202</v>
      </c>
      <c r="K199" s="10">
        <f t="shared" si="3"/>
        <v>11</v>
      </c>
      <c r="L199" t="s">
        <v>41</v>
      </c>
      <c r="M199" t="s">
        <v>41</v>
      </c>
      <c r="N199" t="s">
        <v>41</v>
      </c>
      <c r="O199" t="s">
        <v>41</v>
      </c>
      <c r="AC199" t="s">
        <v>41</v>
      </c>
      <c r="AD199" t="s">
        <v>41</v>
      </c>
      <c r="AI199" t="s">
        <v>41</v>
      </c>
      <c r="AS199" t="s">
        <v>41</v>
      </c>
      <c r="AT199" t="s">
        <v>41</v>
      </c>
      <c r="AX199" t="s">
        <v>41</v>
      </c>
      <c r="BV199" t="s">
        <v>41</v>
      </c>
    </row>
    <row r="200" spans="1:205" x14ac:dyDescent="0.3">
      <c r="A200">
        <v>198</v>
      </c>
      <c r="B200" t="s">
        <v>1105</v>
      </c>
      <c r="C200" s="2" t="s">
        <v>202</v>
      </c>
      <c r="D200" t="s">
        <v>428</v>
      </c>
      <c r="E200">
        <v>2020</v>
      </c>
      <c r="F200" s="2" t="s">
        <v>202</v>
      </c>
      <c r="G200" t="s">
        <v>1106</v>
      </c>
      <c r="H200" s="2" t="s">
        <v>202</v>
      </c>
      <c r="I200" t="s">
        <v>36</v>
      </c>
      <c r="J200" s="2" t="s">
        <v>202</v>
      </c>
      <c r="K200" s="10">
        <f t="shared" si="3"/>
        <v>2</v>
      </c>
      <c r="AE200" t="s">
        <v>41</v>
      </c>
      <c r="AS200" t="s">
        <v>41</v>
      </c>
    </row>
    <row r="201" spans="1:205" x14ac:dyDescent="0.3">
      <c r="A201">
        <v>199</v>
      </c>
      <c r="B201" t="s">
        <v>1108</v>
      </c>
      <c r="C201" s="2" t="s">
        <v>202</v>
      </c>
      <c r="D201" t="s">
        <v>428</v>
      </c>
      <c r="E201">
        <v>2022</v>
      </c>
      <c r="F201" s="2" t="s">
        <v>202</v>
      </c>
      <c r="G201" t="s">
        <v>1109</v>
      </c>
      <c r="H201" s="2" t="s">
        <v>202</v>
      </c>
      <c r="I201" t="s">
        <v>26</v>
      </c>
      <c r="J201" s="2" t="s">
        <v>202</v>
      </c>
      <c r="K201" s="10">
        <f t="shared" si="3"/>
        <v>3</v>
      </c>
      <c r="M201" t="s">
        <v>41</v>
      </c>
      <c r="U201" t="s">
        <v>41</v>
      </c>
      <c r="GW201" t="s">
        <v>41</v>
      </c>
    </row>
    <row r="202" spans="1:205" x14ac:dyDescent="0.3">
      <c r="A202">
        <v>200</v>
      </c>
      <c r="B202" t="s">
        <v>1110</v>
      </c>
      <c r="C202" s="2" t="s">
        <v>202</v>
      </c>
      <c r="D202" t="s">
        <v>334</v>
      </c>
      <c r="E202">
        <v>2021</v>
      </c>
      <c r="F202" s="2" t="s">
        <v>202</v>
      </c>
      <c r="G202" t="s">
        <v>1111</v>
      </c>
      <c r="H202" s="2" t="s">
        <v>202</v>
      </c>
      <c r="I202" t="s">
        <v>26</v>
      </c>
      <c r="J202" s="2" t="s">
        <v>202</v>
      </c>
      <c r="K202" s="10">
        <f t="shared" si="3"/>
        <v>2</v>
      </c>
      <c r="N202" t="s">
        <v>41</v>
      </c>
      <c r="AS202" t="s">
        <v>41</v>
      </c>
    </row>
    <row r="203" spans="1:205" x14ac:dyDescent="0.3">
      <c r="A203">
        <v>201</v>
      </c>
      <c r="B203" t="s">
        <v>1112</v>
      </c>
      <c r="C203" s="2" t="s">
        <v>202</v>
      </c>
      <c r="D203" t="s">
        <v>428</v>
      </c>
      <c r="E203">
        <v>2021</v>
      </c>
      <c r="F203" s="2" t="s">
        <v>202</v>
      </c>
      <c r="G203" t="s">
        <v>1113</v>
      </c>
      <c r="H203" s="2" t="s">
        <v>202</v>
      </c>
      <c r="I203" t="s">
        <v>26</v>
      </c>
      <c r="J203" s="2" t="s">
        <v>202</v>
      </c>
      <c r="K203" s="10">
        <f t="shared" si="3"/>
        <v>3</v>
      </c>
      <c r="M203" t="s">
        <v>41</v>
      </c>
      <c r="N203" t="s">
        <v>41</v>
      </c>
      <c r="AS203" t="s">
        <v>41</v>
      </c>
    </row>
    <row r="204" spans="1:205" x14ac:dyDescent="0.3">
      <c r="A204">
        <v>202</v>
      </c>
      <c r="B204" t="s">
        <v>1114</v>
      </c>
      <c r="C204" s="2" t="s">
        <v>202</v>
      </c>
      <c r="D204" t="s">
        <v>334</v>
      </c>
      <c r="E204">
        <v>2020</v>
      </c>
      <c r="F204" s="2" t="s">
        <v>202</v>
      </c>
      <c r="G204" t="s">
        <v>1115</v>
      </c>
      <c r="H204" s="2" t="s">
        <v>202</v>
      </c>
      <c r="I204" t="s">
        <v>26</v>
      </c>
      <c r="J204" s="2" t="s">
        <v>202</v>
      </c>
      <c r="K204" s="10">
        <f t="shared" si="3"/>
        <v>3</v>
      </c>
      <c r="L204" t="s">
        <v>41</v>
      </c>
      <c r="M204" t="s">
        <v>41</v>
      </c>
      <c r="N204" t="s">
        <v>41</v>
      </c>
    </row>
    <row r="205" spans="1:205" x14ac:dyDescent="0.3">
      <c r="A205">
        <v>203</v>
      </c>
      <c r="B205" t="s">
        <v>1116</v>
      </c>
      <c r="C205" s="2" t="s">
        <v>202</v>
      </c>
      <c r="D205" t="s">
        <v>428</v>
      </c>
      <c r="E205">
        <v>2022</v>
      </c>
      <c r="F205" s="2" t="s">
        <v>202</v>
      </c>
      <c r="G205" t="s">
        <v>1117</v>
      </c>
      <c r="H205" s="2" t="s">
        <v>202</v>
      </c>
      <c r="I205" t="s">
        <v>26</v>
      </c>
      <c r="J205" s="2" t="s">
        <v>202</v>
      </c>
      <c r="K205" s="10">
        <f t="shared" si="3"/>
        <v>4</v>
      </c>
      <c r="M205" t="s">
        <v>41</v>
      </c>
      <c r="N205" t="s">
        <v>41</v>
      </c>
      <c r="AC205" t="s">
        <v>41</v>
      </c>
      <c r="AS205" t="s">
        <v>41</v>
      </c>
    </row>
    <row r="206" spans="1:205" x14ac:dyDescent="0.3">
      <c r="A206">
        <v>204</v>
      </c>
      <c r="B206" t="s">
        <v>1118</v>
      </c>
      <c r="C206" s="2" t="s">
        <v>202</v>
      </c>
      <c r="D206" t="s">
        <v>428</v>
      </c>
      <c r="E206">
        <v>2021</v>
      </c>
      <c r="F206" s="2" t="s">
        <v>202</v>
      </c>
      <c r="G206" t="s">
        <v>1120</v>
      </c>
      <c r="H206" s="2" t="s">
        <v>202</v>
      </c>
      <c r="I206" t="s">
        <v>26</v>
      </c>
      <c r="J206" s="2" t="s">
        <v>202</v>
      </c>
      <c r="K206" s="10">
        <f t="shared" si="3"/>
        <v>1</v>
      </c>
      <c r="N206" t="s">
        <v>41</v>
      </c>
    </row>
    <row r="207" spans="1:205" x14ac:dyDescent="0.3">
      <c r="A207">
        <v>205</v>
      </c>
      <c r="B207" t="s">
        <v>1121</v>
      </c>
      <c r="C207" s="2" t="s">
        <v>202</v>
      </c>
      <c r="D207" t="s">
        <v>428</v>
      </c>
      <c r="E207">
        <v>2021</v>
      </c>
      <c r="F207" s="2" t="s">
        <v>202</v>
      </c>
      <c r="G207" t="s">
        <v>1122</v>
      </c>
      <c r="H207" s="2" t="s">
        <v>202</v>
      </c>
      <c r="I207" t="s">
        <v>26</v>
      </c>
      <c r="J207" s="2" t="s">
        <v>202</v>
      </c>
      <c r="K207" s="10">
        <f t="shared" si="3"/>
        <v>7</v>
      </c>
      <c r="L207" t="s">
        <v>41</v>
      </c>
      <c r="M207" t="s">
        <v>41</v>
      </c>
      <c r="N207" t="s">
        <v>41</v>
      </c>
      <c r="AC207" t="s">
        <v>41</v>
      </c>
      <c r="AF207" t="s">
        <v>41</v>
      </c>
      <c r="AX207" t="s">
        <v>41</v>
      </c>
      <c r="BV207" t="s">
        <v>41</v>
      </c>
    </row>
    <row r="208" spans="1:205" x14ac:dyDescent="0.3">
      <c r="A208">
        <v>206</v>
      </c>
      <c r="B208" t="s">
        <v>1123</v>
      </c>
      <c r="C208" s="2" t="s">
        <v>202</v>
      </c>
      <c r="D208" t="s">
        <v>428</v>
      </c>
      <c r="E208">
        <v>2021</v>
      </c>
      <c r="F208" s="2" t="s">
        <v>202</v>
      </c>
      <c r="G208" t="s">
        <v>1124</v>
      </c>
      <c r="H208" s="2" t="s">
        <v>202</v>
      </c>
      <c r="I208" t="s">
        <v>26</v>
      </c>
      <c r="J208" s="2" t="s">
        <v>202</v>
      </c>
      <c r="K208" s="10">
        <f t="shared" si="3"/>
        <v>2</v>
      </c>
      <c r="L208" t="s">
        <v>41</v>
      </c>
      <c r="M208" t="s">
        <v>41</v>
      </c>
    </row>
    <row r="209" spans="1:207" x14ac:dyDescent="0.3">
      <c r="A209">
        <v>207</v>
      </c>
      <c r="B209" t="s">
        <v>1125</v>
      </c>
      <c r="C209" s="2" t="s">
        <v>202</v>
      </c>
      <c r="D209" t="s">
        <v>428</v>
      </c>
      <c r="E209">
        <v>2021</v>
      </c>
      <c r="F209" s="2" t="s">
        <v>202</v>
      </c>
      <c r="G209" t="s">
        <v>1126</v>
      </c>
      <c r="H209" s="2" t="s">
        <v>202</v>
      </c>
      <c r="I209" t="s">
        <v>26</v>
      </c>
      <c r="J209" s="2" t="s">
        <v>202</v>
      </c>
      <c r="K209" s="10">
        <f t="shared" si="3"/>
        <v>2</v>
      </c>
      <c r="L209" t="s">
        <v>41</v>
      </c>
      <c r="M209" t="s">
        <v>41</v>
      </c>
    </row>
    <row r="210" spans="1:207" x14ac:dyDescent="0.3">
      <c r="A210">
        <v>208</v>
      </c>
      <c r="B210" t="s">
        <v>1127</v>
      </c>
      <c r="C210" s="2" t="s">
        <v>202</v>
      </c>
      <c r="D210" t="s">
        <v>428</v>
      </c>
      <c r="E210">
        <v>2020</v>
      </c>
      <c r="F210" s="2" t="s">
        <v>202</v>
      </c>
      <c r="G210" t="s">
        <v>1130</v>
      </c>
      <c r="H210" s="2" t="s">
        <v>202</v>
      </c>
      <c r="I210" t="s">
        <v>26</v>
      </c>
      <c r="J210" s="2" t="s">
        <v>202</v>
      </c>
      <c r="K210" s="10">
        <f t="shared" si="3"/>
        <v>8</v>
      </c>
      <c r="L210" t="s">
        <v>41</v>
      </c>
      <c r="M210" t="s">
        <v>41</v>
      </c>
      <c r="X210" t="s">
        <v>41</v>
      </c>
      <c r="AT210" t="s">
        <v>41</v>
      </c>
      <c r="AX210" t="s">
        <v>41</v>
      </c>
      <c r="CC210" t="s">
        <v>41</v>
      </c>
      <c r="DH210" t="s">
        <v>41</v>
      </c>
      <c r="GX210" t="s">
        <v>41</v>
      </c>
    </row>
    <row r="211" spans="1:207" x14ac:dyDescent="0.3">
      <c r="A211">
        <v>209</v>
      </c>
      <c r="B211" t="s">
        <v>1131</v>
      </c>
      <c r="C211" s="2" t="s">
        <v>202</v>
      </c>
      <c r="D211" t="s">
        <v>428</v>
      </c>
      <c r="E211">
        <v>2021</v>
      </c>
      <c r="F211" s="2" t="s">
        <v>202</v>
      </c>
      <c r="G211" t="s">
        <v>1132</v>
      </c>
      <c r="H211" s="2" t="s">
        <v>202</v>
      </c>
      <c r="I211" t="s">
        <v>26</v>
      </c>
      <c r="J211" s="2" t="s">
        <v>202</v>
      </c>
      <c r="K211" s="10">
        <f t="shared" si="3"/>
        <v>8</v>
      </c>
      <c r="L211" t="s">
        <v>41</v>
      </c>
      <c r="M211" t="s">
        <v>41</v>
      </c>
      <c r="N211" t="s">
        <v>41</v>
      </c>
      <c r="O211" t="s">
        <v>41</v>
      </c>
      <c r="Y211" t="s">
        <v>41</v>
      </c>
      <c r="Z211" t="s">
        <v>41</v>
      </c>
      <c r="AS211" t="s">
        <v>41</v>
      </c>
      <c r="AX211" t="s">
        <v>41</v>
      </c>
    </row>
    <row r="212" spans="1:207" x14ac:dyDescent="0.3">
      <c r="A212">
        <v>210</v>
      </c>
      <c r="B212" t="s">
        <v>1133</v>
      </c>
      <c r="C212" s="2" t="s">
        <v>202</v>
      </c>
      <c r="D212" t="s">
        <v>428</v>
      </c>
      <c r="E212">
        <v>2021</v>
      </c>
      <c r="F212" s="2" t="s">
        <v>202</v>
      </c>
      <c r="G212" t="s">
        <v>1134</v>
      </c>
      <c r="H212" s="2" t="s">
        <v>202</v>
      </c>
      <c r="I212" t="s">
        <v>26</v>
      </c>
      <c r="J212" s="2" t="s">
        <v>202</v>
      </c>
      <c r="K212" s="10">
        <f t="shared" si="3"/>
        <v>9</v>
      </c>
      <c r="L212" t="s">
        <v>41</v>
      </c>
      <c r="M212" t="s">
        <v>41</v>
      </c>
      <c r="N212" t="s">
        <v>41</v>
      </c>
      <c r="O212" t="s">
        <v>41</v>
      </c>
      <c r="AS212" t="s">
        <v>41</v>
      </c>
      <c r="AT212" t="s">
        <v>41</v>
      </c>
      <c r="AX212" t="s">
        <v>41</v>
      </c>
      <c r="BE212" t="s">
        <v>41</v>
      </c>
      <c r="BV212" t="s">
        <v>41</v>
      </c>
    </row>
    <row r="213" spans="1:207" x14ac:dyDescent="0.3">
      <c r="A213">
        <v>211</v>
      </c>
      <c r="B213" t="s">
        <v>1135</v>
      </c>
      <c r="C213" s="2" t="s">
        <v>202</v>
      </c>
      <c r="D213" t="s">
        <v>428</v>
      </c>
      <c r="E213">
        <v>2020</v>
      </c>
      <c r="F213" s="2" t="s">
        <v>202</v>
      </c>
      <c r="G213" t="s">
        <v>1136</v>
      </c>
      <c r="H213" s="2" t="s">
        <v>202</v>
      </c>
      <c r="I213" t="s">
        <v>26</v>
      </c>
      <c r="J213" s="2" t="s">
        <v>202</v>
      </c>
      <c r="K213" s="10">
        <f t="shared" si="3"/>
        <v>1</v>
      </c>
      <c r="N213" t="s">
        <v>41</v>
      </c>
    </row>
    <row r="214" spans="1:207" x14ac:dyDescent="0.3">
      <c r="A214">
        <v>212</v>
      </c>
      <c r="B214" t="s">
        <v>1137</v>
      </c>
      <c r="C214" s="2" t="s">
        <v>202</v>
      </c>
      <c r="D214" t="s">
        <v>428</v>
      </c>
      <c r="E214">
        <v>2020</v>
      </c>
      <c r="F214" s="2" t="s">
        <v>202</v>
      </c>
      <c r="G214" t="s">
        <v>1138</v>
      </c>
      <c r="H214" s="2" t="s">
        <v>202</v>
      </c>
      <c r="I214" t="s">
        <v>26</v>
      </c>
      <c r="J214" s="2" t="s">
        <v>202</v>
      </c>
      <c r="K214" s="10">
        <f t="shared" si="3"/>
        <v>1</v>
      </c>
      <c r="N214" t="s">
        <v>41</v>
      </c>
    </row>
    <row r="215" spans="1:207" x14ac:dyDescent="0.3">
      <c r="A215">
        <v>213</v>
      </c>
      <c r="B215" t="s">
        <v>1139</v>
      </c>
      <c r="C215" s="2" t="s">
        <v>202</v>
      </c>
      <c r="D215" t="s">
        <v>428</v>
      </c>
      <c r="E215">
        <v>2020</v>
      </c>
      <c r="F215" s="2" t="s">
        <v>202</v>
      </c>
      <c r="G215" t="s">
        <v>1140</v>
      </c>
      <c r="H215" s="2" t="s">
        <v>1119</v>
      </c>
      <c r="I215" t="s">
        <v>26</v>
      </c>
      <c r="J215" s="2" t="s">
        <v>202</v>
      </c>
      <c r="K215" s="10">
        <f t="shared" si="3"/>
        <v>5</v>
      </c>
      <c r="L215" t="s">
        <v>41</v>
      </c>
      <c r="M215" t="s">
        <v>41</v>
      </c>
      <c r="N215" t="s">
        <v>41</v>
      </c>
      <c r="W215" t="s">
        <v>41</v>
      </c>
      <c r="CI215" t="s">
        <v>41</v>
      </c>
    </row>
    <row r="216" spans="1:207" x14ac:dyDescent="0.3">
      <c r="A216">
        <v>214</v>
      </c>
      <c r="B216" t="s">
        <v>1141</v>
      </c>
      <c r="C216" s="2" t="s">
        <v>202</v>
      </c>
      <c r="D216" t="s">
        <v>334</v>
      </c>
      <c r="E216">
        <v>2022</v>
      </c>
      <c r="F216" s="2" t="s">
        <v>202</v>
      </c>
      <c r="G216" t="s">
        <v>1142</v>
      </c>
      <c r="H216" s="2" t="s">
        <v>202</v>
      </c>
      <c r="I216" t="s">
        <v>557</v>
      </c>
      <c r="J216" s="2" t="s">
        <v>202</v>
      </c>
      <c r="K216" s="10">
        <f t="shared" si="3"/>
        <v>4</v>
      </c>
      <c r="AC216" t="s">
        <v>41</v>
      </c>
      <c r="AD216" t="s">
        <v>41</v>
      </c>
      <c r="BQ216" t="s">
        <v>41</v>
      </c>
      <c r="BS216" t="s">
        <v>41</v>
      </c>
    </row>
    <row r="217" spans="1:207" x14ac:dyDescent="0.3">
      <c r="A217">
        <v>215</v>
      </c>
      <c r="B217" t="s">
        <v>1143</v>
      </c>
      <c r="C217" s="2" t="s">
        <v>202</v>
      </c>
      <c r="D217" t="s">
        <v>334</v>
      </c>
      <c r="E217">
        <v>2020</v>
      </c>
      <c r="F217" s="2" t="s">
        <v>202</v>
      </c>
      <c r="G217" t="s">
        <v>1144</v>
      </c>
      <c r="H217" s="2" t="s">
        <v>202</v>
      </c>
      <c r="I217" t="s">
        <v>557</v>
      </c>
      <c r="J217" s="2" t="s">
        <v>202</v>
      </c>
      <c r="K217" s="10">
        <f t="shared" si="3"/>
        <v>3</v>
      </c>
      <c r="AC217" t="s">
        <v>41</v>
      </c>
      <c r="AD217" t="s">
        <v>41</v>
      </c>
      <c r="BS217" t="s">
        <v>41</v>
      </c>
    </row>
    <row r="218" spans="1:207" x14ac:dyDescent="0.3">
      <c r="A218">
        <v>216</v>
      </c>
      <c r="B218" t="s">
        <v>1145</v>
      </c>
      <c r="C218" s="2" t="s">
        <v>202</v>
      </c>
      <c r="D218" t="s">
        <v>428</v>
      </c>
      <c r="E218">
        <v>2021</v>
      </c>
      <c r="F218" s="2" t="s">
        <v>202</v>
      </c>
      <c r="G218" t="s">
        <v>1146</v>
      </c>
      <c r="H218" s="2" t="s">
        <v>202</v>
      </c>
      <c r="I218" t="s">
        <v>557</v>
      </c>
      <c r="J218" s="2" t="s">
        <v>202</v>
      </c>
      <c r="K218" s="10">
        <f t="shared" si="3"/>
        <v>6</v>
      </c>
      <c r="AC218" t="s">
        <v>41</v>
      </c>
      <c r="AD218" t="s">
        <v>41</v>
      </c>
      <c r="AL218" t="s">
        <v>41</v>
      </c>
      <c r="BQ218" t="s">
        <v>41</v>
      </c>
      <c r="BR218" t="s">
        <v>41</v>
      </c>
      <c r="BZ218" t="s">
        <v>41</v>
      </c>
    </row>
    <row r="219" spans="1:207" x14ac:dyDescent="0.3">
      <c r="A219">
        <v>217</v>
      </c>
      <c r="B219" t="s">
        <v>1147</v>
      </c>
      <c r="C219" s="2" t="s">
        <v>202</v>
      </c>
      <c r="D219" t="s">
        <v>428</v>
      </c>
      <c r="E219">
        <v>2020</v>
      </c>
      <c r="F219" s="2" t="s">
        <v>202</v>
      </c>
      <c r="G219" t="s">
        <v>1148</v>
      </c>
      <c r="H219" s="2" t="s">
        <v>202</v>
      </c>
      <c r="I219" t="s">
        <v>557</v>
      </c>
      <c r="J219" s="2" t="s">
        <v>202</v>
      </c>
      <c r="K219" s="10">
        <f t="shared" si="3"/>
        <v>1</v>
      </c>
      <c r="AD219" t="s">
        <v>41</v>
      </c>
    </row>
    <row r="220" spans="1:207" x14ac:dyDescent="0.3">
      <c r="A220">
        <v>218</v>
      </c>
      <c r="B220" t="s">
        <v>1149</v>
      </c>
      <c r="C220" s="2" t="s">
        <v>202</v>
      </c>
      <c r="D220" t="s">
        <v>428</v>
      </c>
      <c r="E220">
        <v>2022</v>
      </c>
      <c r="F220" s="2" t="s">
        <v>202</v>
      </c>
      <c r="G220" t="s">
        <v>1150</v>
      </c>
      <c r="H220" s="2" t="s">
        <v>202</v>
      </c>
      <c r="I220" t="s">
        <v>557</v>
      </c>
      <c r="J220" s="2" t="s">
        <v>202</v>
      </c>
      <c r="K220" s="10">
        <f t="shared" si="3"/>
        <v>1</v>
      </c>
      <c r="AC220" t="s">
        <v>41</v>
      </c>
    </row>
    <row r="221" spans="1:207" x14ac:dyDescent="0.3">
      <c r="A221">
        <v>219</v>
      </c>
      <c r="B221" t="s">
        <v>1152</v>
      </c>
      <c r="C221" s="2" t="s">
        <v>202</v>
      </c>
      <c r="D221" t="s">
        <v>334</v>
      </c>
      <c r="E221">
        <v>2021</v>
      </c>
      <c r="F221" s="2" t="s">
        <v>202</v>
      </c>
      <c r="G221" t="s">
        <v>1153</v>
      </c>
      <c r="H221" s="2" t="s">
        <v>202</v>
      </c>
      <c r="I221" t="s">
        <v>557</v>
      </c>
      <c r="J221" s="2" t="s">
        <v>202</v>
      </c>
      <c r="K221" s="10">
        <f t="shared" si="3"/>
        <v>3</v>
      </c>
      <c r="AC221" t="s">
        <v>41</v>
      </c>
      <c r="AD221" t="s">
        <v>41</v>
      </c>
      <c r="GY221" t="s">
        <v>41</v>
      </c>
    </row>
    <row r="222" spans="1:207" x14ac:dyDescent="0.3">
      <c r="A222">
        <v>220</v>
      </c>
      <c r="B222" t="s">
        <v>1154</v>
      </c>
      <c r="C222" s="2" t="s">
        <v>202</v>
      </c>
      <c r="D222" t="s">
        <v>334</v>
      </c>
      <c r="E222">
        <v>2021</v>
      </c>
      <c r="F222" s="2" t="s">
        <v>202</v>
      </c>
      <c r="G222" t="s">
        <v>1155</v>
      </c>
      <c r="H222" s="2" t="s">
        <v>202</v>
      </c>
      <c r="I222" t="s">
        <v>557</v>
      </c>
      <c r="J222" s="2" t="s">
        <v>202</v>
      </c>
      <c r="K222" s="10">
        <f t="shared" si="3"/>
        <v>3</v>
      </c>
      <c r="AC222" t="s">
        <v>41</v>
      </c>
      <c r="AD222" t="s">
        <v>41</v>
      </c>
      <c r="AF222" t="s">
        <v>41</v>
      </c>
    </row>
    <row r="223" spans="1:207" x14ac:dyDescent="0.3">
      <c r="A223">
        <v>221</v>
      </c>
      <c r="B223" t="s">
        <v>1156</v>
      </c>
      <c r="C223" s="2" t="s">
        <v>202</v>
      </c>
      <c r="D223" t="s">
        <v>428</v>
      </c>
      <c r="E223">
        <v>2021</v>
      </c>
      <c r="F223" s="2" t="s">
        <v>202</v>
      </c>
      <c r="G223" t="s">
        <v>1157</v>
      </c>
      <c r="H223" s="2" t="s">
        <v>202</v>
      </c>
      <c r="I223" t="s">
        <v>557</v>
      </c>
      <c r="J223" s="2" t="s">
        <v>202</v>
      </c>
      <c r="K223" s="10">
        <f t="shared" si="3"/>
        <v>3</v>
      </c>
      <c r="AC223" t="s">
        <v>41</v>
      </c>
      <c r="AD223" t="s">
        <v>41</v>
      </c>
      <c r="BQ223" t="s">
        <v>41</v>
      </c>
    </row>
    <row r="224" spans="1:207" x14ac:dyDescent="0.3">
      <c r="A224">
        <v>222</v>
      </c>
      <c r="B224" t="s">
        <v>1158</v>
      </c>
      <c r="C224" s="2" t="s">
        <v>202</v>
      </c>
      <c r="D224" t="s">
        <v>334</v>
      </c>
      <c r="E224">
        <v>2020</v>
      </c>
      <c r="F224" s="2" t="s">
        <v>202</v>
      </c>
      <c r="G224" t="s">
        <v>1159</v>
      </c>
      <c r="H224" s="2" t="s">
        <v>202</v>
      </c>
      <c r="I224" t="s">
        <v>557</v>
      </c>
      <c r="J224" s="2" t="s">
        <v>202</v>
      </c>
      <c r="K224" s="10">
        <f t="shared" si="3"/>
        <v>1</v>
      </c>
      <c r="AC224" t="s">
        <v>41</v>
      </c>
    </row>
    <row r="225" spans="1:137" x14ac:dyDescent="0.3">
      <c r="A225">
        <v>223</v>
      </c>
      <c r="B225" t="s">
        <v>1160</v>
      </c>
      <c r="C225" s="2" t="s">
        <v>202</v>
      </c>
      <c r="D225" t="s">
        <v>428</v>
      </c>
      <c r="E225">
        <v>2022</v>
      </c>
      <c r="F225" s="2" t="s">
        <v>202</v>
      </c>
      <c r="G225" t="s">
        <v>1161</v>
      </c>
      <c r="H225" s="2" t="s">
        <v>202</v>
      </c>
      <c r="I225" t="s">
        <v>557</v>
      </c>
      <c r="J225" s="2" t="s">
        <v>202</v>
      </c>
      <c r="K225" s="10">
        <f t="shared" si="3"/>
        <v>2</v>
      </c>
      <c r="AC225" t="s">
        <v>41</v>
      </c>
      <c r="AD225" t="s">
        <v>41</v>
      </c>
    </row>
    <row r="226" spans="1:137" x14ac:dyDescent="0.3">
      <c r="A226">
        <v>224</v>
      </c>
      <c r="B226" t="s">
        <v>1162</v>
      </c>
      <c r="C226" s="2" t="s">
        <v>202</v>
      </c>
      <c r="D226" t="s">
        <v>428</v>
      </c>
      <c r="E226">
        <v>2022</v>
      </c>
      <c r="F226" s="2" t="s">
        <v>202</v>
      </c>
      <c r="G226" t="s">
        <v>1163</v>
      </c>
      <c r="H226" s="2" t="s">
        <v>202</v>
      </c>
      <c r="I226" t="s">
        <v>557</v>
      </c>
      <c r="J226" s="2" t="s">
        <v>202</v>
      </c>
      <c r="K226" s="10">
        <f t="shared" si="3"/>
        <v>1</v>
      </c>
      <c r="AC226" t="s">
        <v>41</v>
      </c>
    </row>
    <row r="227" spans="1:137" x14ac:dyDescent="0.3">
      <c r="A227">
        <v>225</v>
      </c>
      <c r="B227" t="s">
        <v>1164</v>
      </c>
      <c r="C227" s="2" t="s">
        <v>202</v>
      </c>
      <c r="D227" t="s">
        <v>428</v>
      </c>
      <c r="E227">
        <v>2022</v>
      </c>
      <c r="F227" s="2" t="s">
        <v>202</v>
      </c>
      <c r="G227" t="s">
        <v>1165</v>
      </c>
      <c r="H227" s="2" t="s">
        <v>202</v>
      </c>
      <c r="I227" t="s">
        <v>557</v>
      </c>
      <c r="J227" s="2" t="s">
        <v>202</v>
      </c>
      <c r="K227" s="10">
        <f t="shared" si="3"/>
        <v>3</v>
      </c>
      <c r="AC227" t="s">
        <v>41</v>
      </c>
      <c r="AF227" t="s">
        <v>41</v>
      </c>
      <c r="BJ227" t="s">
        <v>41</v>
      </c>
    </row>
    <row r="228" spans="1:137" x14ac:dyDescent="0.3">
      <c r="A228">
        <v>226</v>
      </c>
      <c r="B228" t="s">
        <v>1166</v>
      </c>
      <c r="C228" s="2" t="s">
        <v>202</v>
      </c>
      <c r="D228" t="s">
        <v>428</v>
      </c>
      <c r="E228">
        <v>2022</v>
      </c>
      <c r="F228" s="2" t="s">
        <v>202</v>
      </c>
      <c r="G228" t="s">
        <v>1167</v>
      </c>
      <c r="H228" s="2" t="s">
        <v>202</v>
      </c>
      <c r="I228" t="s">
        <v>557</v>
      </c>
      <c r="J228" s="2" t="s">
        <v>202</v>
      </c>
      <c r="K228" s="10">
        <f t="shared" si="3"/>
        <v>4</v>
      </c>
      <c r="AC228" t="s">
        <v>41</v>
      </c>
      <c r="BQ228" t="s">
        <v>41</v>
      </c>
      <c r="BS228" t="s">
        <v>41</v>
      </c>
      <c r="CS228" t="s">
        <v>41</v>
      </c>
    </row>
    <row r="229" spans="1:137" x14ac:dyDescent="0.3">
      <c r="A229">
        <v>227</v>
      </c>
      <c r="B229" t="s">
        <v>1168</v>
      </c>
      <c r="C229" s="2" t="s">
        <v>202</v>
      </c>
      <c r="D229" t="s">
        <v>428</v>
      </c>
      <c r="E229">
        <v>2020</v>
      </c>
      <c r="F229" s="2" t="s">
        <v>202</v>
      </c>
      <c r="G229" t="s">
        <v>1169</v>
      </c>
      <c r="H229" s="2" t="s">
        <v>202</v>
      </c>
      <c r="I229" t="s">
        <v>557</v>
      </c>
      <c r="J229" s="2" t="s">
        <v>202</v>
      </c>
      <c r="K229" s="10">
        <f t="shared" si="3"/>
        <v>1</v>
      </c>
      <c r="AC229" t="s">
        <v>41</v>
      </c>
    </row>
    <row r="230" spans="1:137" x14ac:dyDescent="0.3">
      <c r="A230">
        <v>228</v>
      </c>
      <c r="B230" t="s">
        <v>1170</v>
      </c>
      <c r="C230" s="2" t="s">
        <v>202</v>
      </c>
      <c r="D230" t="s">
        <v>428</v>
      </c>
      <c r="E230">
        <v>2022</v>
      </c>
      <c r="F230" s="2" t="s">
        <v>202</v>
      </c>
      <c r="G230" t="s">
        <v>1171</v>
      </c>
      <c r="H230" s="2" t="s">
        <v>202</v>
      </c>
      <c r="I230" t="s">
        <v>557</v>
      </c>
      <c r="J230" s="2" t="s">
        <v>202</v>
      </c>
      <c r="K230" s="10">
        <f t="shared" si="3"/>
        <v>2</v>
      </c>
      <c r="X230" t="s">
        <v>41</v>
      </c>
      <c r="AC230" t="s">
        <v>41</v>
      </c>
    </row>
    <row r="231" spans="1:137" x14ac:dyDescent="0.3">
      <c r="A231">
        <v>229</v>
      </c>
      <c r="B231" t="s">
        <v>1172</v>
      </c>
      <c r="C231" s="2" t="s">
        <v>202</v>
      </c>
      <c r="D231" t="s">
        <v>428</v>
      </c>
      <c r="E231">
        <v>2022</v>
      </c>
      <c r="F231" s="2" t="s">
        <v>202</v>
      </c>
      <c r="G231" t="s">
        <v>1173</v>
      </c>
      <c r="H231" s="2" t="s">
        <v>202</v>
      </c>
      <c r="I231" t="s">
        <v>557</v>
      </c>
      <c r="J231" s="2" t="s">
        <v>202</v>
      </c>
      <c r="K231" s="10">
        <f t="shared" si="3"/>
        <v>2</v>
      </c>
      <c r="AC231" t="s">
        <v>41</v>
      </c>
      <c r="AD231" t="s">
        <v>41</v>
      </c>
    </row>
    <row r="232" spans="1:137" x14ac:dyDescent="0.3">
      <c r="A232">
        <v>230</v>
      </c>
      <c r="B232" t="s">
        <v>1174</v>
      </c>
      <c r="C232" s="2" t="s">
        <v>202</v>
      </c>
      <c r="D232" t="s">
        <v>428</v>
      </c>
      <c r="E232">
        <v>2022</v>
      </c>
      <c r="F232" s="2" t="s">
        <v>202</v>
      </c>
      <c r="G232" t="s">
        <v>1175</v>
      </c>
      <c r="H232" s="2" t="s">
        <v>202</v>
      </c>
      <c r="I232" t="s">
        <v>557</v>
      </c>
      <c r="J232" s="2" t="s">
        <v>202</v>
      </c>
      <c r="K232" s="10">
        <f t="shared" si="3"/>
        <v>2</v>
      </c>
      <c r="X232" t="s">
        <v>41</v>
      </c>
      <c r="AC232" t="s">
        <v>41</v>
      </c>
    </row>
    <row r="233" spans="1:137" x14ac:dyDescent="0.3">
      <c r="A233">
        <v>231</v>
      </c>
      <c r="B233" t="s">
        <v>1176</v>
      </c>
      <c r="C233" s="2" t="s">
        <v>202</v>
      </c>
      <c r="D233" t="s">
        <v>428</v>
      </c>
      <c r="E233">
        <v>2021</v>
      </c>
      <c r="F233" s="2" t="s">
        <v>202</v>
      </c>
      <c r="G233" t="s">
        <v>1177</v>
      </c>
      <c r="H233" s="2" t="s">
        <v>202</v>
      </c>
      <c r="I233" t="s">
        <v>557</v>
      </c>
      <c r="J233" s="2" t="s">
        <v>202</v>
      </c>
      <c r="K233" s="10">
        <f t="shared" si="3"/>
        <v>1</v>
      </c>
      <c r="AC233" t="s">
        <v>41</v>
      </c>
    </row>
    <row r="234" spans="1:137" x14ac:dyDescent="0.3">
      <c r="A234">
        <v>232</v>
      </c>
      <c r="B234" t="s">
        <v>1178</v>
      </c>
      <c r="C234" s="2" t="s">
        <v>202</v>
      </c>
      <c r="D234" t="s">
        <v>428</v>
      </c>
      <c r="E234">
        <v>2022</v>
      </c>
      <c r="F234" s="2" t="s">
        <v>202</v>
      </c>
      <c r="G234" t="s">
        <v>1179</v>
      </c>
      <c r="H234" s="2" t="s">
        <v>202</v>
      </c>
      <c r="I234" t="s">
        <v>557</v>
      </c>
      <c r="J234" s="2" t="s">
        <v>202</v>
      </c>
      <c r="K234" s="10">
        <f t="shared" si="3"/>
        <v>2</v>
      </c>
      <c r="AC234" t="s">
        <v>41</v>
      </c>
      <c r="AF234" t="s">
        <v>41</v>
      </c>
    </row>
    <row r="235" spans="1:137" x14ac:dyDescent="0.3">
      <c r="A235">
        <v>233</v>
      </c>
      <c r="B235" t="s">
        <v>1180</v>
      </c>
      <c r="C235" s="2" t="s">
        <v>202</v>
      </c>
      <c r="D235" t="s">
        <v>428</v>
      </c>
      <c r="E235">
        <v>2021</v>
      </c>
      <c r="F235" s="2" t="s">
        <v>202</v>
      </c>
      <c r="G235" t="s">
        <v>1181</v>
      </c>
      <c r="H235" s="2" t="s">
        <v>202</v>
      </c>
      <c r="I235" t="s">
        <v>557</v>
      </c>
      <c r="J235" s="2" t="s">
        <v>202</v>
      </c>
      <c r="K235" s="10">
        <f t="shared" si="3"/>
        <v>1</v>
      </c>
      <c r="AC235" t="s">
        <v>41</v>
      </c>
    </row>
    <row r="236" spans="1:137" x14ac:dyDescent="0.3">
      <c r="A236">
        <v>234</v>
      </c>
      <c r="B236" t="s">
        <v>1182</v>
      </c>
      <c r="C236" s="2" t="s">
        <v>202</v>
      </c>
      <c r="D236" t="s">
        <v>428</v>
      </c>
      <c r="E236">
        <v>2021</v>
      </c>
      <c r="F236" s="2" t="s">
        <v>202</v>
      </c>
      <c r="G236" t="s">
        <v>1183</v>
      </c>
      <c r="H236" s="2" t="s">
        <v>202</v>
      </c>
      <c r="I236" t="s">
        <v>557</v>
      </c>
      <c r="J236" s="2" t="s">
        <v>202</v>
      </c>
      <c r="K236" s="10">
        <f t="shared" si="3"/>
        <v>3</v>
      </c>
      <c r="AC236" t="s">
        <v>41</v>
      </c>
      <c r="AD236" t="s">
        <v>41</v>
      </c>
      <c r="BQ236" t="s">
        <v>41</v>
      </c>
    </row>
    <row r="237" spans="1:137" ht="12.6" customHeight="1" x14ac:dyDescent="0.3">
      <c r="A237">
        <v>235</v>
      </c>
      <c r="B237" t="s">
        <v>1118</v>
      </c>
      <c r="C237" s="2" t="s">
        <v>202</v>
      </c>
      <c r="D237" t="s">
        <v>428</v>
      </c>
      <c r="E237">
        <v>2021</v>
      </c>
      <c r="F237" s="2" t="s">
        <v>202</v>
      </c>
      <c r="G237" t="s">
        <v>1120</v>
      </c>
      <c r="H237" t="s">
        <v>1184</v>
      </c>
      <c r="I237" t="s">
        <v>557</v>
      </c>
      <c r="J237" s="2" t="s">
        <v>202</v>
      </c>
      <c r="K237" s="10">
        <f t="shared" si="3"/>
        <v>3</v>
      </c>
      <c r="AC237" t="s">
        <v>41</v>
      </c>
      <c r="AD237" t="s">
        <v>41</v>
      </c>
      <c r="BQ237" t="s">
        <v>41</v>
      </c>
    </row>
    <row r="238" spans="1:137" ht="12.6" customHeight="1" x14ac:dyDescent="0.3">
      <c r="A238">
        <v>236</v>
      </c>
      <c r="B238" t="s">
        <v>2361</v>
      </c>
      <c r="C238" s="2" t="s">
        <v>202</v>
      </c>
      <c r="D238" t="s">
        <v>334</v>
      </c>
      <c r="E238">
        <v>2021</v>
      </c>
      <c r="F238" s="2" t="s">
        <v>202</v>
      </c>
      <c r="G238" t="s">
        <v>2362</v>
      </c>
      <c r="H238" s="2" t="s">
        <v>202</v>
      </c>
      <c r="I238" t="s">
        <v>952</v>
      </c>
      <c r="J238" s="2" t="s">
        <v>202</v>
      </c>
      <c r="K238" s="10">
        <f>COUNTIF(L238:XFD238,"x")</f>
        <v>4</v>
      </c>
      <c r="N238" t="s">
        <v>41</v>
      </c>
      <c r="AC238" t="s">
        <v>41</v>
      </c>
      <c r="BE238" t="s">
        <v>41</v>
      </c>
      <c r="BV238" t="s">
        <v>41</v>
      </c>
    </row>
    <row r="239" spans="1:137" ht="12.6" customHeight="1" x14ac:dyDescent="0.3">
      <c r="A239">
        <v>237</v>
      </c>
      <c r="B239" t="s">
        <v>2363</v>
      </c>
      <c r="C239" s="2" t="s">
        <v>202</v>
      </c>
      <c r="D239" t="s">
        <v>334</v>
      </c>
      <c r="E239">
        <v>2020</v>
      </c>
      <c r="F239" s="2" t="s">
        <v>202</v>
      </c>
      <c r="G239" t="s">
        <v>2364</v>
      </c>
      <c r="H239" s="2" t="s">
        <v>202</v>
      </c>
      <c r="I239" t="s">
        <v>952</v>
      </c>
      <c r="J239" s="2" t="s">
        <v>202</v>
      </c>
      <c r="K239" s="10">
        <f>COUNTIF(L239:XFD239,"x")</f>
        <v>8</v>
      </c>
      <c r="M239" t="s">
        <v>41</v>
      </c>
      <c r="N239" t="s">
        <v>41</v>
      </c>
      <c r="O239" t="s">
        <v>41</v>
      </c>
      <c r="AC239" t="s">
        <v>41</v>
      </c>
      <c r="AD239" t="s">
        <v>41</v>
      </c>
      <c r="BQ239" t="s">
        <v>41</v>
      </c>
      <c r="BS239" t="s">
        <v>41</v>
      </c>
      <c r="DH239" t="s">
        <v>41</v>
      </c>
    </row>
    <row r="240" spans="1:137" ht="12.6" customHeight="1" x14ac:dyDescent="0.3">
      <c r="A240">
        <v>238</v>
      </c>
      <c r="B240" t="s">
        <v>2365</v>
      </c>
      <c r="C240" s="2" t="s">
        <v>202</v>
      </c>
      <c r="D240" t="s">
        <v>428</v>
      </c>
      <c r="E240">
        <v>2020</v>
      </c>
      <c r="F240" s="2" t="s">
        <v>202</v>
      </c>
      <c r="G240" t="s">
        <v>2366</v>
      </c>
      <c r="H240" s="2" t="s">
        <v>202</v>
      </c>
      <c r="I240" t="s">
        <v>952</v>
      </c>
      <c r="J240" s="2" t="s">
        <v>202</v>
      </c>
      <c r="K240" s="10">
        <f>COUNTIF(L240:XFD240,"x")</f>
        <v>7</v>
      </c>
      <c r="L240" t="s">
        <v>41</v>
      </c>
      <c r="M240" t="s">
        <v>41</v>
      </c>
      <c r="N240" t="s">
        <v>41</v>
      </c>
      <c r="AS240" t="s">
        <v>41</v>
      </c>
      <c r="AT240" t="s">
        <v>41</v>
      </c>
      <c r="BH240" t="s">
        <v>41</v>
      </c>
      <c r="EG240" t="s">
        <v>41</v>
      </c>
    </row>
    <row r="241" spans="1:207" x14ac:dyDescent="0.3">
      <c r="A241" t="s">
        <v>1063</v>
      </c>
      <c r="K241" s="15">
        <f>SUM(Table35['# Tools mentioned])</f>
        <v>1538</v>
      </c>
      <c r="L241">
        <f>COUNTIF(Table35[Chef],"x")</f>
        <v>135</v>
      </c>
      <c r="M241">
        <f>COUNTIF(Table35[Puppet],"x")</f>
        <v>146</v>
      </c>
      <c r="N241">
        <f>COUNTIF(Table35[Ansible],"x")</f>
        <v>161</v>
      </c>
      <c r="O241">
        <f>COUNTIF(Table35[SaltStack],"x")</f>
        <v>86</v>
      </c>
      <c r="P241">
        <f>COUNTIF(Table35[CFEngine],"x")</f>
        <v>38</v>
      </c>
      <c r="Q241">
        <f>COUNTIF(Table35[R?ex],"x")</f>
        <v>3</v>
      </c>
      <c r="R241">
        <f>COUNTIF(Table35[cloud-init],"x")</f>
        <v>1</v>
      </c>
      <c r="S241">
        <f>COUNTIF(Table35[Quattor],"x")</f>
        <v>2</v>
      </c>
      <c r="T241">
        <f>COUNTIF(Table35[cdist],"x")</f>
        <v>1</v>
      </c>
      <c r="U241">
        <f>COUNTIF(Table35[Bcfg2],"x")</f>
        <v>2</v>
      </c>
      <c r="V241">
        <f>COUNTIF(Table35[mgmt],"x")</f>
        <v>1</v>
      </c>
      <c r="W241">
        <f>COUNTIF(Table35[Augeas],"x")</f>
        <v>1</v>
      </c>
      <c r="X241">
        <f>COUNTIF(Table35[Docker],"x")</f>
        <v>38</v>
      </c>
      <c r="Y241">
        <f>COUNTIF(Table35[Packer],"x")</f>
        <v>18</v>
      </c>
      <c r="Z241">
        <f>COUNTIF(Table35[Vagrant],"x")</f>
        <v>26</v>
      </c>
      <c r="AA241">
        <f>COUNTIF(Table35[NixOS],"x")</f>
        <v>2</v>
      </c>
      <c r="AB241">
        <f>COUNTIF(Table35[Azure VM Image Builder],"x")</f>
        <v>1</v>
      </c>
      <c r="AC241">
        <f>COUNTIF(Table35[Kubernetes],"x")</f>
        <v>57</v>
      </c>
      <c r="AD241">
        <f>COUNTIF(Table35[Swarm],"x")</f>
        <v>22</v>
      </c>
      <c r="AE241">
        <f>COUNTIF(Table35[Nomad],"x")</f>
        <v>8</v>
      </c>
      <c r="AF241">
        <f>COUNTIF(Table35[Docker Compose],"x")</f>
        <v>7</v>
      </c>
      <c r="AG241">
        <f>COUNTIF(Table35[Podman],"x")</f>
        <v>2</v>
      </c>
      <c r="AH241">
        <f>COUNTIF(Table35[AWS Copilot],"x")</f>
        <v>2</v>
      </c>
      <c r="AI241">
        <f>COUNTIF(Table35[Apache Brooklyn],"x")</f>
        <v>2</v>
      </c>
      <c r="AJ241">
        <f>COUNTIF(Table35[DevOpsLang],"x")</f>
        <v>1</v>
      </c>
      <c r="AK241">
        <f>COUNTIF(Table35[Fargate],"x")</f>
        <v>1</v>
      </c>
      <c r="AL241">
        <f>COUNTIF(Table35[DC/OS],"x")</f>
        <v>2</v>
      </c>
      <c r="AM241">
        <f>COUNTIF(Table35[Hyscale],"x")</f>
        <v>3</v>
      </c>
      <c r="AN241">
        <f>COUNTIF(Table35[RackHD],"x")</f>
        <v>1</v>
      </c>
      <c r="AO241">
        <f>COUNTIF(Table35[AWS Serverless Application Model (SAM)],"x")</f>
        <v>1</v>
      </c>
      <c r="AP241">
        <f>COUNTIF(Table35[Azure Functions],"x")</f>
        <v>1</v>
      </c>
      <c r="AQ241">
        <f>COUNTIF(Table35[Bolt],"x")</f>
        <v>1</v>
      </c>
      <c r="AR241">
        <f>COUNTIF(Table35[Mesosphere],"x")</f>
        <v>1</v>
      </c>
      <c r="AS241">
        <f>COUNTIF(Table35[Terraform],"x")</f>
        <v>145</v>
      </c>
      <c r="AT241">
        <f>COUNTIF(Table35[CloudFormation],"x")</f>
        <v>97</v>
      </c>
      <c r="AU241">
        <f>COUNTIF(Table35[Azure Resource Manager | Microsoft ARM Templates],"x")</f>
        <v>46</v>
      </c>
      <c r="AV241">
        <f>COUNTIF(Table35[Bicep],"x")</f>
        <v>3</v>
      </c>
      <c r="AW241">
        <f>COUNTIF(Table35[Google Deployment Manager],"x")</f>
        <v>38</v>
      </c>
      <c r="AX241">
        <f>COUNTIF(Table35[OpenStack Heat],"x")</f>
        <v>13</v>
      </c>
      <c r="AY241">
        <f>COUNTIF(Table35[Terragrunt],"x")</f>
        <v>1</v>
      </c>
      <c r="AZ241">
        <f>COUNTIF(Table35[Pulumi],"x")</f>
        <v>39</v>
      </c>
      <c r="BA241">
        <f>COUNTIF(Table35[AWS CDK],"x")</f>
        <v>8</v>
      </c>
      <c r="BB241">
        <f>COUNTIF(Table35[Serverless Framework],"x")</f>
        <v>4</v>
      </c>
      <c r="BC241">
        <f>COUNTIF(Table35[Opta],"x")</f>
        <v>1</v>
      </c>
      <c r="BD241">
        <f>COUNTIF(Table35[CDKTF ],"x")</f>
        <v>1</v>
      </c>
      <c r="BE241">
        <f>COUNTIF(Table35[Cloudify],"x")</f>
        <v>9</v>
      </c>
      <c r="BF241">
        <f>COUNTIF(Table35[Bosh],"x")</f>
        <v>2</v>
      </c>
      <c r="BG241">
        <f>COUNTIF(Table35[Charon],"x")</f>
        <v>2</v>
      </c>
      <c r="BH241">
        <f>COUNTIF(Table35[Argon],"x")</f>
        <v>3</v>
      </c>
      <c r="BI241">
        <f>COUNTIF(Table35[Architect],"x")</f>
        <v>1</v>
      </c>
      <c r="BJ241">
        <f>COUNTIF(Table35[Helm],"x")</f>
        <v>6</v>
      </c>
      <c r="BK241">
        <f>COUNTIF(Table35[Octopus Deploy],"x")</f>
        <v>12</v>
      </c>
      <c r="BL241">
        <f>COUNTIF(Table35[EC2 Image builder],"x")</f>
        <v>1</v>
      </c>
      <c r="BM241">
        <f>COUNTIF(Table35[Otter],"x")</f>
        <v>4</v>
      </c>
      <c r="BN241">
        <f>COUNTIF(Table35[AWS Config],"x")</f>
        <v>3</v>
      </c>
      <c r="BO241">
        <f>COUNTIF(Table35[Microsoft Azure Automation],"x")</f>
        <v>4</v>
      </c>
      <c r="BP241">
        <f>COUNTIF(Table35[Rudder],"x")</f>
        <v>14</v>
      </c>
      <c r="BQ241">
        <f>COUNTIF(Table35[Marathon/Mesos],"x")</f>
        <v>14</v>
      </c>
      <c r="BR241">
        <f>COUNTIF(Table35[Amazon ECS],"x")</f>
        <v>6</v>
      </c>
      <c r="BS241">
        <f>COUNTIF(Table35[OpenShift],"x")</f>
        <v>9</v>
      </c>
      <c r="BT241">
        <f>COUNTIF(Table35[AWS AppRunner],"x")</f>
        <v>1</v>
      </c>
      <c r="BU241">
        <f>COUNTIF(Table35[CloudShell Colony],"x")</f>
        <v>1</v>
      </c>
      <c r="BV241">
        <f>COUNTIF(Table35[TOSCA],"x")</f>
        <v>9</v>
      </c>
      <c r="BW241">
        <f>COUNTIF(Table35[IBM Tivoli System Automation],"x")</f>
        <v>1</v>
      </c>
      <c r="BX241">
        <f>COUNTIF(Table35[Google Cloud Run],"x")</f>
        <v>1</v>
      </c>
      <c r="BY241">
        <f>COUNTIF(Table35[Portainer],"x")</f>
        <v>1</v>
      </c>
      <c r="BZ241">
        <f>COUNTIF(Table35[Azure Service Fabric],"x")</f>
        <v>3</v>
      </c>
      <c r="CA241">
        <f>COUNTIF(Table35[Spot Ocean],"x")</f>
        <v>1</v>
      </c>
      <c r="CB241">
        <f>COUNTIF(Table35[AWS Elastic Beanstalk],"x")</f>
        <v>1</v>
      </c>
      <c r="CC241">
        <f>COUNTIF(Table35[Azure CLI],"x")</f>
        <v>1</v>
      </c>
      <c r="CD241">
        <f>COUNTIF(Table35[PowerShell],"x")</f>
        <v>5</v>
      </c>
      <c r="CE241">
        <f>COUNTIF(Table35[Shell],"x")</f>
        <v>1</v>
      </c>
      <c r="CF241">
        <f>COUNTIF(Table35[AWS Amplify],"x")</f>
        <v>2</v>
      </c>
      <c r="CG241">
        <f>COUNTIF(Table35[Quali Torque],"x")</f>
        <v>1</v>
      </c>
      <c r="CH241">
        <f>COUNTIF(Table35[Crossplane],"x")</f>
        <v>2</v>
      </c>
      <c r="CI241">
        <f>COUNTIF(Table35[Juju],"x")</f>
        <v>21</v>
      </c>
      <c r="CJ241">
        <f>COUNTIF(Table35[Pallet],"x")</f>
        <v>1</v>
      </c>
      <c r="CK241">
        <f>COUNTIF(Table35[Foreman],"x")</f>
        <v>4</v>
      </c>
      <c r="CL241">
        <f>COUNTIF(Table35[Omnia],"x")</f>
        <v>1</v>
      </c>
      <c r="CM241">
        <f>COUNTIF(Table35[VMware vRealize Automation],"x")</f>
        <v>3</v>
      </c>
      <c r="CN241">
        <f>COUNTIF(Table35[IBM Cloud Schematics],"x")</f>
        <v>2</v>
      </c>
      <c r="CO241">
        <f>COUNTIF(Table35[AWS CLI],"x")</f>
        <v>1</v>
      </c>
      <c r="CP241">
        <f>COUNTIF(Table35[Azure CLI],"x")</f>
        <v>1</v>
      </c>
      <c r="CQ241">
        <f>COUNTIF(Table35[HPE Synergy],"x")</f>
        <v>1</v>
      </c>
      <c r="CR241">
        <f>COUNTIF(Table35[ABS Modeling Language],"x")</f>
        <v>1</v>
      </c>
      <c r="CS241">
        <f>COUNTIF(Table35[Helios],"x")</f>
        <v>3</v>
      </c>
      <c r="CT241">
        <f>COUNTIF(Table35[SpectralOps],"x")</f>
        <v>2</v>
      </c>
      <c r="CU241">
        <f>COUNTIF(Table35[Sonatype Nexus],"x")</f>
        <v>1</v>
      </c>
      <c r="CV241">
        <f>COUNTIF(Table35[env0],"x")</f>
        <v>1</v>
      </c>
      <c r="CW241">
        <f>COUNTIF(Table35[oak9],"x")</f>
        <v>1</v>
      </c>
      <c r="CX241">
        <f>COUNTIF(Table35[Spacelift],"x")</f>
        <v>1</v>
      </c>
      <c r="CY241">
        <f>COUNTIF(Table35[Conducto],"x")</f>
        <v>1</v>
      </c>
      <c r="CZ241">
        <f>COUNTIF(Table35[Jenkins],"x")</f>
        <v>7</v>
      </c>
      <c r="DA241">
        <f>COUNTIF(Table35[rkt],"x")</f>
        <v>2</v>
      </c>
      <c r="DB241">
        <f>COUNTIF(Table35[App Container Spec (appc)],"x")</f>
        <v>1</v>
      </c>
      <c r="DC241">
        <f>COUNTIF(Table35[Git],"x")</f>
        <v>1</v>
      </c>
      <c r="DD241">
        <f>COUNTIF(Table35[Splunk],"x")</f>
        <v>1</v>
      </c>
      <c r="DE241">
        <f>COUNTIF(Table35[Selenium],"x")</f>
        <v>2</v>
      </c>
      <c r="DF241">
        <f>COUNTIF(Table35[Azure DevOps],"x")</f>
        <v>1</v>
      </c>
      <c r="DG241">
        <f>COUNTIF(Table35[Config ValidLang],"x")</f>
        <v>1</v>
      </c>
      <c r="DH241">
        <f>COUNTIF(Table35[Rancher],"x")</f>
        <v>7</v>
      </c>
      <c r="DI241">
        <f>COUNTIF(Table35[Containership],"x")</f>
        <v>1</v>
      </c>
      <c r="DJ241">
        <f>COUNTIF(Table35[AZK],"x")</f>
        <v>1</v>
      </c>
      <c r="DK241">
        <f>COUNTIF(Table35[GKE],"x")</f>
        <v>3</v>
      </c>
      <c r="DL241">
        <f>COUNTIF(Table35[AKS],"x")</f>
        <v>4</v>
      </c>
      <c r="DM241">
        <f>COUNTIF(Table35[AWS EKS],"x")</f>
        <v>4</v>
      </c>
      <c r="DN241">
        <f>COUNTIF(Table35[Digital Ocean Kubernetes Services],"x")</f>
        <v>1</v>
      </c>
      <c r="DO241">
        <f>COUNTIF(Table35[Linode],"x")</f>
        <v>1</v>
      </c>
      <c r="DP241">
        <f>COUNTIF(Table35[Mirantis Kubernetes Engine],"x")</f>
        <v>2</v>
      </c>
      <c r="DQ241">
        <f>COUNTIF(Table35[IBM Cloud Kubernetes],"x")</f>
        <v>1</v>
      </c>
      <c r="DR241">
        <f>COUNTIF(Table35[IBM Orchestrator Platform],"x")</f>
        <v>1</v>
      </c>
      <c r="DS241">
        <f>COUNTIF(Table35[Azure Resource Explorer],"x")</f>
        <v>1</v>
      </c>
      <c r="DT241">
        <f>COUNTIF(Table35[SolarWinds Server Configuration Monitor],"x")</f>
        <v>7</v>
      </c>
      <c r="DU241">
        <f>COUNTIF(Table35[Auvik],"x")</f>
        <v>3</v>
      </c>
      <c r="DV241">
        <f>COUNTIF(Table35[Bamboo Configuration Management],"x")</f>
        <v>9</v>
      </c>
      <c r="DW241">
        <f>COUNTIF(Table35[TeamCity Configuration Tool],"x")</f>
        <v>10</v>
      </c>
      <c r="DX241">
        <f>COUNTIF(Table35[IBM Rational Team Concert],"x")</f>
        <v>3</v>
      </c>
      <c r="DY241">
        <f>COUNTIF(Table35[SVN],"x")</f>
        <v>3</v>
      </c>
      <c r="DZ241">
        <f>COUNTIF(Table35[GitHub],"x")</f>
        <v>3</v>
      </c>
      <c r="EA241">
        <f>COUNTIF(Table35[Circle CI],"x")</f>
        <v>1</v>
      </c>
      <c r="EB241">
        <f>COUNTIF(Table35[GitLab CI],"x")</f>
        <v>1</v>
      </c>
      <c r="EC241">
        <f>COUNTIF(Table35[GitLab],"x")</f>
        <v>2</v>
      </c>
      <c r="ED241">
        <f>COUNTIF(Table35[Bitbucket],"x")</f>
        <v>1</v>
      </c>
      <c r="EE241">
        <f>COUNTIF(Table35[ConfigHub],"x")</f>
        <v>5</v>
      </c>
      <c r="EF241">
        <f>COUNTIF(Table35[ButterCMS],"x")</f>
        <v>1</v>
      </c>
      <c r="EG241">
        <f>COUNTIF(Table35[AWS OpsWorks],"x")</f>
        <v>6</v>
      </c>
      <c r="EH241">
        <f>COUNTIF(Table35[IBM Rational Clearcase],"x")</f>
        <v>6</v>
      </c>
      <c r="EI241">
        <f>COUNTIF(Table35[Concurrent Version System],"x")</f>
        <v>2</v>
      </c>
      <c r="EJ241">
        <f>COUNTIF(Table35[Borland StarTeam],"x")</f>
        <v>2</v>
      </c>
      <c r="EK241">
        <f>COUNTIF(Table35[Alibaba Application Configuration Management],"x")</f>
        <v>5</v>
      </c>
      <c r="EL241">
        <f>COUNTIF(Table35[ManageEngine ServiceDesk Plus],"x")</f>
        <v>1</v>
      </c>
      <c r="EM241">
        <f>COUNTIF(Table35[Micro Focus Configuration Management System],"x")</f>
        <v>1</v>
      </c>
      <c r="EN241">
        <f>COUNTIF(Table35[SysAid],"x")</f>
        <v>1</v>
      </c>
      <c r="EO241">
        <f>COUNTIF(Table35[Comindware],"x")</f>
        <v>1</v>
      </c>
      <c r="EP241">
        <f>COUNTIF(Table35[Desktop Central],"x")</f>
        <v>2</v>
      </c>
      <c r="EQ241">
        <f>COUNTIF(Table35[Spinnaker],"x")</f>
        <v>2</v>
      </c>
      <c r="ER241">
        <f>COUNTIF(Table35[ZENworks Configuration Management],"x")</f>
        <v>1</v>
      </c>
      <c r="ES241">
        <f>COUNTIF(Table35[HCL BigFix],"x")</f>
        <v>2</v>
      </c>
      <c r="ET241">
        <f>COUNTIF(Table35[BMC TrueSight Server Automation],"x")</f>
        <v>2</v>
      </c>
      <c r="EU241">
        <f>COUNTIF(Table35[Quest KACE Systemverwaltung],"x")</f>
        <v>2</v>
      </c>
      <c r="EV241">
        <f>COUNTIF(Table35[Red Hat Satellite],"x")</f>
        <v>3</v>
      </c>
      <c r="EW241">
        <f>COUNTIF(Table35[Microsoft Endpoint Manager (formerly known as SCCM)],"x")</f>
        <v>4</v>
      </c>
      <c r="EX241">
        <f>COUNTIF(Table35[vCenter Configuration Manager],"x")</f>
        <v>3</v>
      </c>
      <c r="EY241">
        <f>COUNTIF(Table35[CloudBees CI],"x")</f>
        <v>1</v>
      </c>
      <c r="EZ241">
        <f>COUNTIF(Table35[ServiceNow],"x")</f>
        <v>2</v>
      </c>
      <c r="FA241">
        <f>COUNTIF(Table35[Codenvy],"x")</f>
        <v>1</v>
      </c>
      <c r="FB241">
        <f>COUNTIF(Table35[AWS CodePipeline],"x")</f>
        <v>1</v>
      </c>
      <c r="FC241">
        <f>COUNTIF(Table35[Opsera],"x")</f>
        <v>1</v>
      </c>
      <c r="FD241">
        <f>COUNTIF(Table35[Micro Focus AccuRev],"x")</f>
        <v>3</v>
      </c>
      <c r="FE241">
        <f>COUNTIF(Table35[Strongpoint],"x")</f>
        <v>1</v>
      </c>
      <c r="FF241">
        <f>COUNTIF(Table35[BackBox],"x")</f>
        <v>1</v>
      </c>
      <c r="FG241">
        <f>COUNTIF(Table35[Optimizely Web Experimentation],"x")</f>
        <v>1</v>
      </c>
      <c r="FH241">
        <f>COUNTIF(Table35[ConfigCat],"x")</f>
        <v>1</v>
      </c>
      <c r="FI241">
        <f>COUNTIF(Table35[Split],"x")</f>
        <v>1</v>
      </c>
      <c r="FJ241">
        <f>COUNTIF(Table35[CA Harvest Software Change Manager],"x")</f>
        <v>1</v>
      </c>
      <c r="FK241">
        <f>COUNTIF(Table35[Fugue],"x")</f>
        <v>1</v>
      </c>
      <c r="FL241">
        <f>COUNTIF(Table35[Digital.ai Deploy],"x")</f>
        <v>1</v>
      </c>
      <c r="FM241">
        <f>COUNTIF(Table35[CA Endevor],"x")</f>
        <v>2</v>
      </c>
      <c r="FN241">
        <f>COUNTIF(Table35[Kamatera],"x")</f>
        <v>1</v>
      </c>
      <c r="FO241">
        <f>COUNTIF(Table35[IBM Rational Synergy],"x")</f>
        <v>2</v>
      </c>
      <c r="FP241">
        <f>COUNTIF(Table35[Plastic SCM],"x")</f>
        <v>1</v>
      </c>
      <c r="FQ241">
        <f>COUNTIF(Table35[IBM Rational ClearQuest],"x")</f>
        <v>1</v>
      </c>
      <c r="FR241">
        <f>COUNTIF(Table35[Surround SCM],"x")</f>
        <v>1</v>
      </c>
      <c r="FS241">
        <f>COUNTIF(Table35[IBM Cloud Continuous Delivery],"x")</f>
        <v>1</v>
      </c>
      <c r="FT241">
        <f>COUNTIF(Table35[ChangeMan ZMF],"x")</f>
        <v>1</v>
      </c>
      <c r="FU241">
        <f>COUNTIF(Table35[GitHub Actions],"x")</f>
        <v>1</v>
      </c>
      <c r="FV241">
        <f>COUNTIF(Table35[Claudia.js],"x")</f>
        <v>1</v>
      </c>
      <c r="FW241">
        <f>COUNTIF(Table35[IBM UrbanCode Deploy],"x")</f>
        <v>1</v>
      </c>
      <c r="FX241">
        <f>COUNTIF(Table35[SpiraTeam],"x")</f>
        <v>1</v>
      </c>
      <c r="FY241">
        <f>COUNTIF(Table35[Microsoft Operations Management Suite],"x")</f>
        <v>1</v>
      </c>
      <c r="FZ241">
        <f>COUNTIF(Table35[CollabNet Subversion],"x")</f>
        <v>1</v>
      </c>
      <c r="GA241">
        <f>COUNTIF(Table35[Perforce Helix],"x")</f>
        <v>1</v>
      </c>
      <c r="GB241">
        <f>COUNTIF(Table35[Microsoft Visual Studio Team System],"x")</f>
        <v>1</v>
      </c>
      <c r="GC241">
        <f>COUNTIF(Table35[IBM Interactive System Productivity Facility],"x")</f>
        <v>1</v>
      </c>
      <c r="GD241">
        <f>COUNTIF(Table35[Aiden],"x")</f>
        <v>1</v>
      </c>
      <c r="GE241">
        <f>COUNTIF(Table35[Orca],"x")</f>
        <v>1</v>
      </c>
      <c r="GF241">
        <f>COUNTIF(Table35[DuploClud],"x")</f>
        <v>1</v>
      </c>
      <c r="GG241">
        <f>COUNTIF(Table35[HCL Launch],"x")</f>
        <v>1</v>
      </c>
      <c r="GH241">
        <f>COUNTIF(Table35[Nirmata Policy Manager],"x")</f>
        <v>1</v>
      </c>
      <c r="GI241">
        <f>COUNTIF(Table35[Cisco Intelligent Automation for Cloud],"x")</f>
        <v>3</v>
      </c>
      <c r="GJ241">
        <f>COUNTIF(Table35[NetApp Cloud Volumes ONTAP],"x")</f>
        <v>3</v>
      </c>
      <c r="GK241">
        <f>COUNTIF(Table35[JHipster],"x")</f>
        <v>1</v>
      </c>
      <c r="GL241">
        <f>COUNTIF(Table35[Jfrog Artifactory],"x")</f>
        <v>1</v>
      </c>
      <c r="GM241">
        <f>COUNTIF(Table35[Resolve],"x")</f>
        <v>1</v>
      </c>
      <c r="GN241">
        <f>COUNTIF(Table35[Densify],"x")</f>
        <v>1</v>
      </c>
      <c r="GO241">
        <f>COUNTIF(Table35[Dynatrace Virtualization Monitoring],"x")</f>
        <v>1</v>
      </c>
      <c r="GP241">
        <f>COUNTIF(Table35[MicroFocus],"x")</f>
        <v>1</v>
      </c>
      <c r="GQ241">
        <f>COUNTIF(Table35[Mist.io],"x")</f>
        <v>1</v>
      </c>
      <c r="GR241">
        <f>COUNTIF(Table35[Quest Cloud Manager],"x")</f>
        <v>1</v>
      </c>
      <c r="GS241">
        <f>COUNTIF(Table35[Rundeck],"x")</f>
        <v>1</v>
      </c>
      <c r="GT241">
        <f>COUNTIF(Table35[Scalr],"x")</f>
        <v>1</v>
      </c>
      <c r="GU241">
        <f>COUNTIF(Table35[Bunnyshell],"x")</f>
        <v>1</v>
      </c>
      <c r="GV241">
        <f>COUNTIF(Table35[Datadog],"x")</f>
        <v>2</v>
      </c>
      <c r="GW241">
        <f>COUNTIF(Table35[AWS CLI],"x")</f>
        <v>1</v>
      </c>
      <c r="GX241">
        <f>COUNTIF(Table35[Augeas],"x")</f>
        <v>1</v>
      </c>
      <c r="GY241">
        <f>COUNTIF(Table35[Augeas],"x")</f>
        <v>1</v>
      </c>
    </row>
    <row r="243" spans="1:207" x14ac:dyDescent="0.3">
      <c r="K243" t="s">
        <v>1421</v>
      </c>
      <c r="L243" t="s">
        <v>21</v>
      </c>
      <c r="M243" t="s">
        <v>22</v>
      </c>
      <c r="N243" t="s">
        <v>23</v>
      </c>
      <c r="O243" t="s">
        <v>24</v>
      </c>
      <c r="P243" t="s">
        <v>96</v>
      </c>
      <c r="Q243" t="s">
        <v>153</v>
      </c>
      <c r="R243" t="s">
        <v>191</v>
      </c>
      <c r="S243" t="s">
        <v>832</v>
      </c>
      <c r="T243" t="s">
        <v>833</v>
      </c>
      <c r="U243" t="s">
        <v>1229</v>
      </c>
      <c r="V243" t="s">
        <v>931</v>
      </c>
      <c r="W243" t="s">
        <v>1292</v>
      </c>
      <c r="X243" t="s">
        <v>27</v>
      </c>
      <c r="Y243" t="s">
        <v>28</v>
      </c>
      <c r="Z243" t="s">
        <v>29</v>
      </c>
      <c r="AA243" t="s">
        <v>154</v>
      </c>
      <c r="AB243" t="s">
        <v>312</v>
      </c>
      <c r="AC243" t="s">
        <v>31</v>
      </c>
      <c r="AD243" t="s">
        <v>34</v>
      </c>
      <c r="AE243" t="s">
        <v>35</v>
      </c>
      <c r="AF243" t="s">
        <v>550</v>
      </c>
      <c r="AG243" t="s">
        <v>122</v>
      </c>
      <c r="AH243" t="s">
        <v>232</v>
      </c>
      <c r="AI243" t="s">
        <v>419</v>
      </c>
      <c r="AJ243" t="s">
        <v>534</v>
      </c>
      <c r="AK243" t="s">
        <v>573</v>
      </c>
      <c r="AL243" t="s">
        <v>1347</v>
      </c>
      <c r="AM243" t="s">
        <v>712</v>
      </c>
      <c r="AN243" t="s">
        <v>733</v>
      </c>
      <c r="AO243" t="s">
        <v>1239</v>
      </c>
      <c r="AP243" t="s">
        <v>1040</v>
      </c>
      <c r="AQ243" t="s">
        <v>995</v>
      </c>
      <c r="AR243" t="s">
        <v>582</v>
      </c>
      <c r="AS243" t="s">
        <v>37</v>
      </c>
      <c r="AT243" t="s">
        <v>38</v>
      </c>
      <c r="AU243" t="s">
        <v>1398</v>
      </c>
      <c r="AV243" t="s">
        <v>83</v>
      </c>
      <c r="AW243" t="s">
        <v>39</v>
      </c>
      <c r="AX243" t="s">
        <v>40</v>
      </c>
      <c r="AY243" t="s">
        <v>77</v>
      </c>
      <c r="AZ243" t="s">
        <v>42</v>
      </c>
      <c r="BA243" t="s">
        <v>118</v>
      </c>
      <c r="BB243" t="s">
        <v>208</v>
      </c>
      <c r="BC243" t="s">
        <v>353</v>
      </c>
      <c r="BD243" t="s">
        <v>354</v>
      </c>
      <c r="BE243" t="s">
        <v>422</v>
      </c>
      <c r="BF243" t="s">
        <v>431</v>
      </c>
      <c r="BG243" t="s">
        <v>437</v>
      </c>
      <c r="BH243" t="s">
        <v>532</v>
      </c>
      <c r="BI243" t="s">
        <v>861</v>
      </c>
      <c r="BJ243" t="s">
        <v>235</v>
      </c>
      <c r="BK243" t="s">
        <v>423</v>
      </c>
      <c r="BL243" t="s">
        <v>311</v>
      </c>
      <c r="BM243" t="s">
        <v>60</v>
      </c>
      <c r="BN243" t="s">
        <v>117</v>
      </c>
      <c r="BO243" t="s">
        <v>957</v>
      </c>
      <c r="BP243" t="s">
        <v>695</v>
      </c>
      <c r="BQ243" t="s">
        <v>32</v>
      </c>
      <c r="BR243" t="s">
        <v>33</v>
      </c>
      <c r="BS243" t="s">
        <v>59</v>
      </c>
      <c r="BT243" t="s">
        <v>358</v>
      </c>
      <c r="BU243" t="s">
        <v>187</v>
      </c>
      <c r="BV243" t="s">
        <v>420</v>
      </c>
      <c r="BW243" t="s">
        <v>541</v>
      </c>
      <c r="BX243" t="s">
        <v>576</v>
      </c>
      <c r="BY243" t="s">
        <v>580</v>
      </c>
      <c r="BZ243" t="s">
        <v>593</v>
      </c>
      <c r="CA243" t="s">
        <v>971</v>
      </c>
      <c r="CB243" t="s">
        <v>1036</v>
      </c>
      <c r="CC243" t="s">
        <v>1129</v>
      </c>
      <c r="CD243" t="s">
        <v>371</v>
      </c>
      <c r="CE243" t="s">
        <v>421</v>
      </c>
      <c r="CF243" t="s">
        <v>209</v>
      </c>
      <c r="CG243" t="s">
        <v>138</v>
      </c>
      <c r="CH243" t="s">
        <v>43</v>
      </c>
      <c r="CI243" t="s">
        <v>109</v>
      </c>
      <c r="CJ243" t="s">
        <v>110</v>
      </c>
      <c r="CK243" t="s">
        <v>535</v>
      </c>
      <c r="CL243" t="s">
        <v>536</v>
      </c>
      <c r="CM243" t="s">
        <v>951</v>
      </c>
      <c r="CN243" t="s">
        <v>959</v>
      </c>
      <c r="CO243" t="s">
        <v>1279</v>
      </c>
      <c r="CP243" t="s">
        <v>1075</v>
      </c>
      <c r="CQ243" t="s">
        <v>244</v>
      </c>
      <c r="CR243" t="s">
        <v>531</v>
      </c>
      <c r="CS243" t="s">
        <v>586</v>
      </c>
      <c r="CT243" t="s">
        <v>45</v>
      </c>
      <c r="CU243" t="s">
        <v>137</v>
      </c>
      <c r="CV243" t="s">
        <v>139</v>
      </c>
      <c r="CW243" t="s">
        <v>140</v>
      </c>
      <c r="CX243" t="s">
        <v>81</v>
      </c>
      <c r="CY243" t="s">
        <v>155</v>
      </c>
      <c r="CZ243" t="s">
        <v>163</v>
      </c>
      <c r="DA243" t="s">
        <v>165</v>
      </c>
      <c r="DB243" t="s">
        <v>240</v>
      </c>
      <c r="DC243" t="s">
        <v>336</v>
      </c>
      <c r="DD243" t="s">
        <v>337</v>
      </c>
      <c r="DE243" t="s">
        <v>338</v>
      </c>
      <c r="DF243" t="s">
        <v>424</v>
      </c>
      <c r="DG243" t="s">
        <v>533</v>
      </c>
      <c r="DH243" t="s">
        <v>558</v>
      </c>
      <c r="DI243" t="s">
        <v>559</v>
      </c>
      <c r="DJ243" t="s">
        <v>560</v>
      </c>
      <c r="DK243" t="s">
        <v>561</v>
      </c>
      <c r="DL243" t="s">
        <v>562</v>
      </c>
      <c r="DM243" t="s">
        <v>563</v>
      </c>
      <c r="DN243" t="s">
        <v>574</v>
      </c>
      <c r="DO243" t="s">
        <v>575</v>
      </c>
      <c r="DP243" t="s">
        <v>581</v>
      </c>
      <c r="DQ243" t="s">
        <v>592</v>
      </c>
      <c r="DR243" t="s">
        <v>599</v>
      </c>
      <c r="DS243" t="s">
        <v>679</v>
      </c>
      <c r="DT243" t="s">
        <v>1424</v>
      </c>
      <c r="DU243" t="s">
        <v>694</v>
      </c>
      <c r="DV243" t="s">
        <v>696</v>
      </c>
      <c r="DW243" t="s">
        <v>697</v>
      </c>
      <c r="DX243" t="s">
        <v>704</v>
      </c>
      <c r="DY243" t="s">
        <v>708</v>
      </c>
      <c r="DZ243" t="s">
        <v>454</v>
      </c>
      <c r="EA243" t="s">
        <v>865</v>
      </c>
      <c r="EB243" t="s">
        <v>866</v>
      </c>
      <c r="EC243" t="s">
        <v>867</v>
      </c>
      <c r="ED243" t="s">
        <v>868</v>
      </c>
      <c r="EE243" t="s">
        <v>705</v>
      </c>
      <c r="EF243" t="s">
        <v>706</v>
      </c>
      <c r="EG243" t="s">
        <v>707</v>
      </c>
      <c r="EH243" t="s">
        <v>709</v>
      </c>
      <c r="EI243" t="s">
        <v>710</v>
      </c>
      <c r="EJ243" t="s">
        <v>711</v>
      </c>
      <c r="EK243" t="s">
        <v>713</v>
      </c>
      <c r="EL243" t="s">
        <v>722</v>
      </c>
      <c r="EM243" t="s">
        <v>723</v>
      </c>
      <c r="EN243" t="s">
        <v>724</v>
      </c>
      <c r="EO243" t="s">
        <v>725</v>
      </c>
      <c r="EP243" t="s">
        <v>746</v>
      </c>
      <c r="EQ243" t="s">
        <v>747</v>
      </c>
      <c r="ER243" t="s">
        <v>748</v>
      </c>
      <c r="ES243" t="s">
        <v>1218</v>
      </c>
      <c r="ET243" t="s">
        <v>754</v>
      </c>
      <c r="EU243" t="s">
        <v>755</v>
      </c>
      <c r="EV243" t="s">
        <v>756</v>
      </c>
      <c r="EW243" t="s">
        <v>1220</v>
      </c>
      <c r="EX243" t="s">
        <v>757</v>
      </c>
      <c r="EY243" t="s">
        <v>767</v>
      </c>
      <c r="EZ243" t="s">
        <v>768</v>
      </c>
      <c r="FA243" t="s">
        <v>769</v>
      </c>
      <c r="FB243" t="s">
        <v>770</v>
      </c>
      <c r="FC243" t="s">
        <v>771</v>
      </c>
      <c r="FD243" t="s">
        <v>772</v>
      </c>
      <c r="FE243" t="s">
        <v>773</v>
      </c>
      <c r="FF243" t="s">
        <v>774</v>
      </c>
      <c r="FG243" t="s">
        <v>775</v>
      </c>
      <c r="FH243" t="s">
        <v>776</v>
      </c>
      <c r="FI243" t="s">
        <v>777</v>
      </c>
      <c r="FJ243" t="s">
        <v>778</v>
      </c>
      <c r="FK243" t="s">
        <v>779</v>
      </c>
      <c r="FL243" t="s">
        <v>780</v>
      </c>
      <c r="FM243" t="s">
        <v>781</v>
      </c>
      <c r="FN243" t="s">
        <v>816</v>
      </c>
      <c r="FO243" t="s">
        <v>837</v>
      </c>
      <c r="FP243" t="s">
        <v>846</v>
      </c>
      <c r="FQ243" t="s">
        <v>847</v>
      </c>
      <c r="FR243" t="s">
        <v>848</v>
      </c>
      <c r="FS243" t="s">
        <v>849</v>
      </c>
      <c r="FT243" t="s">
        <v>850</v>
      </c>
      <c r="FU243" t="s">
        <v>1039</v>
      </c>
      <c r="FV243" t="s">
        <v>862</v>
      </c>
      <c r="FW243" t="s">
        <v>901</v>
      </c>
      <c r="FX243" t="s">
        <v>902</v>
      </c>
      <c r="FY243" t="s">
        <v>903</v>
      </c>
      <c r="FZ243" t="s">
        <v>904</v>
      </c>
      <c r="GA243" t="s">
        <v>905</v>
      </c>
      <c r="GB243" t="s">
        <v>906</v>
      </c>
      <c r="GC243" t="s">
        <v>922</v>
      </c>
      <c r="GD243" t="s">
        <v>936</v>
      </c>
      <c r="GE243" t="s">
        <v>937</v>
      </c>
      <c r="GF243" t="s">
        <v>938</v>
      </c>
      <c r="GG243" t="s">
        <v>939</v>
      </c>
      <c r="GH243" t="s">
        <v>940</v>
      </c>
      <c r="GI243" t="s">
        <v>958</v>
      </c>
      <c r="GJ243" t="s">
        <v>960</v>
      </c>
      <c r="GK243" t="s">
        <v>968</v>
      </c>
      <c r="GL243" t="s">
        <v>969</v>
      </c>
      <c r="GM243" t="s">
        <v>970</v>
      </c>
      <c r="GN243" t="s">
        <v>1025</v>
      </c>
      <c r="GO243" t="s">
        <v>1026</v>
      </c>
      <c r="GP243" t="s">
        <v>1027</v>
      </c>
      <c r="GQ243" t="s">
        <v>1028</v>
      </c>
      <c r="GR243" t="s">
        <v>1029</v>
      </c>
      <c r="GS243" t="s">
        <v>1030</v>
      </c>
      <c r="GT243" t="s">
        <v>1031</v>
      </c>
      <c r="GU243" t="s">
        <v>1032</v>
      </c>
      <c r="GV243" t="s">
        <v>1051</v>
      </c>
      <c r="GW243" t="s">
        <v>1107</v>
      </c>
      <c r="GX243" t="s">
        <v>1128</v>
      </c>
      <c r="GY243" t="s">
        <v>1151</v>
      </c>
    </row>
    <row r="244" spans="1:207" x14ac:dyDescent="0.3">
      <c r="K244" s="12" t="s">
        <v>1311</v>
      </c>
      <c r="L244" s="12" t="s">
        <v>41</v>
      </c>
      <c r="M244" s="12" t="s">
        <v>41</v>
      </c>
      <c r="N244" s="12" t="s">
        <v>41</v>
      </c>
      <c r="O244" s="12" t="s">
        <v>41</v>
      </c>
      <c r="P244" s="12" t="s">
        <v>41</v>
      </c>
      <c r="Q244" s="12" t="s">
        <v>41</v>
      </c>
      <c r="R244" s="12" t="s">
        <v>41</v>
      </c>
      <c r="S244" s="12" t="s">
        <v>41</v>
      </c>
      <c r="T244" s="12" t="s">
        <v>41</v>
      </c>
      <c r="U244" s="12" t="s">
        <v>41</v>
      </c>
      <c r="V244" s="12" t="s">
        <v>41</v>
      </c>
      <c r="W244" s="12" t="s">
        <v>41</v>
      </c>
      <c r="X244" s="12" t="s">
        <v>41</v>
      </c>
      <c r="Y244" s="12" t="s">
        <v>41</v>
      </c>
      <c r="Z244" s="12" t="s">
        <v>41</v>
      </c>
      <c r="AA244" s="12" t="s">
        <v>41</v>
      </c>
      <c r="AB244" s="12" t="s">
        <v>41</v>
      </c>
      <c r="AC244" s="12" t="s">
        <v>41</v>
      </c>
      <c r="AD244" s="12" t="s">
        <v>41</v>
      </c>
      <c r="AE244" s="12" t="s">
        <v>41</v>
      </c>
      <c r="AF244" s="12" t="s">
        <v>41</v>
      </c>
      <c r="AG244" s="12" t="s">
        <v>41</v>
      </c>
      <c r="AH244" s="12" t="s">
        <v>41</v>
      </c>
      <c r="AI244" s="12" t="s">
        <v>41</v>
      </c>
      <c r="AJ244" s="12" t="s">
        <v>41</v>
      </c>
      <c r="AK244" s="12" t="s">
        <v>111</v>
      </c>
      <c r="AL244" s="12" t="s">
        <v>41</v>
      </c>
      <c r="AM244" s="12" t="s">
        <v>41</v>
      </c>
      <c r="AN244" s="12" t="s">
        <v>41</v>
      </c>
      <c r="AO244" s="12" t="s">
        <v>41</v>
      </c>
      <c r="AP244" s="12" t="s">
        <v>41</v>
      </c>
      <c r="AQ244" s="12" t="s">
        <v>41</v>
      </c>
      <c r="AR244" s="12" t="s">
        <v>41</v>
      </c>
      <c r="AS244" s="12" t="s">
        <v>41</v>
      </c>
      <c r="AT244" s="12" t="s">
        <v>41</v>
      </c>
      <c r="AU244" s="12" t="s">
        <v>41</v>
      </c>
      <c r="AV244" s="12" t="s">
        <v>41</v>
      </c>
      <c r="AW244" s="12" t="s">
        <v>41</v>
      </c>
      <c r="AX244" s="12" t="s">
        <v>41</v>
      </c>
      <c r="AY244" s="12" t="s">
        <v>41</v>
      </c>
      <c r="AZ244" s="12" t="s">
        <v>41</v>
      </c>
      <c r="BA244" s="12" t="s">
        <v>41</v>
      </c>
      <c r="BB244" s="12" t="s">
        <v>41</v>
      </c>
      <c r="BC244" s="12" t="s">
        <v>41</v>
      </c>
      <c r="BD244" s="12" t="s">
        <v>41</v>
      </c>
      <c r="BE244" s="12" t="s">
        <v>41</v>
      </c>
      <c r="BF244" s="12" t="s">
        <v>41</v>
      </c>
      <c r="BG244" s="12" t="s">
        <v>41</v>
      </c>
      <c r="BH244" s="12" t="s">
        <v>41</v>
      </c>
      <c r="BI244" s="12" t="s">
        <v>41</v>
      </c>
      <c r="BJ244" s="12" t="s">
        <v>41</v>
      </c>
      <c r="BK244" s="12" t="s">
        <v>111</v>
      </c>
      <c r="BL244" s="12" t="s">
        <v>41</v>
      </c>
      <c r="BM244" s="12" t="s">
        <v>41</v>
      </c>
      <c r="BN244" s="12" t="s">
        <v>111</v>
      </c>
      <c r="BO244" s="12" t="s">
        <v>111</v>
      </c>
      <c r="BP244" s="12" t="s">
        <v>111</v>
      </c>
      <c r="BQ244" s="12" t="s">
        <v>41</v>
      </c>
      <c r="BR244" s="12" t="s">
        <v>41</v>
      </c>
      <c r="BS244" s="12" t="s">
        <v>111</v>
      </c>
      <c r="BT244" s="12" t="s">
        <v>111</v>
      </c>
      <c r="BU244" s="12" t="s">
        <v>111</v>
      </c>
      <c r="BV244" s="12" t="s">
        <v>111</v>
      </c>
      <c r="BW244" s="12" t="s">
        <v>111</v>
      </c>
      <c r="BX244" s="12" t="s">
        <v>111</v>
      </c>
      <c r="BY244" s="12" t="s">
        <v>111</v>
      </c>
      <c r="BZ244" s="12" t="s">
        <v>111</v>
      </c>
      <c r="CA244" s="12" t="s">
        <v>111</v>
      </c>
      <c r="CB244" s="12" t="s">
        <v>111</v>
      </c>
      <c r="CC244" s="12" t="s">
        <v>111</v>
      </c>
      <c r="CD244" s="12" t="s">
        <v>111</v>
      </c>
      <c r="CE244" s="12" t="s">
        <v>111</v>
      </c>
      <c r="CF244" s="12" t="s">
        <v>111</v>
      </c>
      <c r="CG244" s="12" t="s">
        <v>111</v>
      </c>
      <c r="CH244" s="12" t="s">
        <v>111</v>
      </c>
      <c r="CI244" s="12" t="s">
        <v>111</v>
      </c>
      <c r="CJ244" s="12" t="s">
        <v>111</v>
      </c>
      <c r="CK244" s="12" t="s">
        <v>111</v>
      </c>
      <c r="CL244" s="12" t="s">
        <v>111</v>
      </c>
      <c r="CM244" s="12" t="s">
        <v>111</v>
      </c>
      <c r="CN244" s="12" t="s">
        <v>111</v>
      </c>
      <c r="CO244" s="12" t="s">
        <v>111</v>
      </c>
      <c r="CP244" s="12" t="s">
        <v>111</v>
      </c>
      <c r="CQ244" s="12" t="s">
        <v>111</v>
      </c>
      <c r="CR244" s="12" t="s">
        <v>111</v>
      </c>
      <c r="CS244" s="12" t="s">
        <v>111</v>
      </c>
      <c r="CT244" s="12" t="s">
        <v>111</v>
      </c>
      <c r="CU244" s="12" t="s">
        <v>111</v>
      </c>
      <c r="CV244" s="12" t="s">
        <v>111</v>
      </c>
      <c r="CW244" s="12" t="s">
        <v>111</v>
      </c>
      <c r="CX244" s="12" t="s">
        <v>111</v>
      </c>
      <c r="CY244" s="12" t="s">
        <v>111</v>
      </c>
      <c r="CZ244" s="12" t="s">
        <v>111</v>
      </c>
      <c r="DA244" s="12" t="s">
        <v>111</v>
      </c>
      <c r="DB244" s="12" t="s">
        <v>111</v>
      </c>
      <c r="DC244" s="12" t="s">
        <v>111</v>
      </c>
      <c r="DD244" s="12" t="s">
        <v>111</v>
      </c>
      <c r="DE244" s="12" t="s">
        <v>111</v>
      </c>
      <c r="DF244" s="12" t="s">
        <v>111</v>
      </c>
      <c r="DG244" s="12" t="s">
        <v>111</v>
      </c>
      <c r="DH244" s="12" t="s">
        <v>111</v>
      </c>
      <c r="DI244" s="12" t="s">
        <v>111</v>
      </c>
      <c r="DJ244" s="12" t="s">
        <v>111</v>
      </c>
      <c r="DK244" s="12" t="s">
        <v>111</v>
      </c>
      <c r="DL244" s="12" t="s">
        <v>111</v>
      </c>
      <c r="DM244" s="12" t="s">
        <v>111</v>
      </c>
      <c r="DN244" s="12" t="s">
        <v>111</v>
      </c>
      <c r="DO244" s="12" t="s">
        <v>111</v>
      </c>
      <c r="DP244" s="12" t="s">
        <v>111</v>
      </c>
      <c r="DQ244" s="12" t="s">
        <v>111</v>
      </c>
      <c r="DR244" s="12" t="s">
        <v>111</v>
      </c>
      <c r="DS244" s="12" t="s">
        <v>111</v>
      </c>
      <c r="DT244" s="12" t="s">
        <v>111</v>
      </c>
      <c r="DU244" s="12" t="s">
        <v>111</v>
      </c>
      <c r="DV244" s="12" t="s">
        <v>111</v>
      </c>
      <c r="DW244" s="12" t="s">
        <v>111</v>
      </c>
      <c r="DX244" s="12" t="s">
        <v>111</v>
      </c>
      <c r="DY244" s="12" t="s">
        <v>111</v>
      </c>
      <c r="DZ244" s="12" t="s">
        <v>111</v>
      </c>
      <c r="EA244" s="12" t="s">
        <v>111</v>
      </c>
      <c r="EB244" s="12" t="s">
        <v>111</v>
      </c>
      <c r="EC244" s="12" t="s">
        <v>111</v>
      </c>
      <c r="ED244" s="12" t="s">
        <v>111</v>
      </c>
      <c r="EE244" s="12" t="s">
        <v>111</v>
      </c>
      <c r="EF244" s="12" t="s">
        <v>111</v>
      </c>
      <c r="EG244" s="12" t="s">
        <v>111</v>
      </c>
      <c r="EH244" s="12" t="s">
        <v>111</v>
      </c>
      <c r="EI244" s="12" t="s">
        <v>111</v>
      </c>
      <c r="EJ244" s="12" t="s">
        <v>111</v>
      </c>
      <c r="EK244" s="12" t="s">
        <v>111</v>
      </c>
      <c r="EL244" s="12" t="s">
        <v>111</v>
      </c>
      <c r="EM244" s="12" t="s">
        <v>111</v>
      </c>
      <c r="EN244" s="12" t="s">
        <v>111</v>
      </c>
      <c r="EO244" s="12" t="s">
        <v>111</v>
      </c>
      <c r="EP244" s="12" t="s">
        <v>111</v>
      </c>
      <c r="EQ244" s="12" t="s">
        <v>111</v>
      </c>
      <c r="ER244" s="12" t="s">
        <v>111</v>
      </c>
      <c r="ES244" s="12" t="s">
        <v>111</v>
      </c>
      <c r="ET244" s="12" t="s">
        <v>111</v>
      </c>
      <c r="EU244" s="12" t="s">
        <v>111</v>
      </c>
      <c r="EV244" s="12" t="s">
        <v>111</v>
      </c>
      <c r="EW244" s="12" t="s">
        <v>111</v>
      </c>
      <c r="EX244" s="12" t="s">
        <v>111</v>
      </c>
      <c r="EY244" s="12" t="s">
        <v>111</v>
      </c>
      <c r="EZ244" s="12" t="s">
        <v>111</v>
      </c>
      <c r="FA244" s="12" t="s">
        <v>111</v>
      </c>
      <c r="FB244" s="12" t="s">
        <v>111</v>
      </c>
      <c r="FC244" s="12" t="s">
        <v>111</v>
      </c>
      <c r="FD244" s="12" t="s">
        <v>111</v>
      </c>
      <c r="FE244" s="12" t="s">
        <v>111</v>
      </c>
      <c r="FF244" s="12" t="s">
        <v>111</v>
      </c>
      <c r="FG244" s="12" t="s">
        <v>111</v>
      </c>
      <c r="FH244" s="12" t="s">
        <v>111</v>
      </c>
      <c r="FI244" s="12" t="s">
        <v>111</v>
      </c>
      <c r="FJ244" s="12" t="s">
        <v>111</v>
      </c>
      <c r="FK244" s="12" t="s">
        <v>111</v>
      </c>
      <c r="FL244" s="12" t="s">
        <v>111</v>
      </c>
      <c r="FM244" s="12" t="s">
        <v>111</v>
      </c>
      <c r="FN244" s="12" t="s">
        <v>111</v>
      </c>
      <c r="FO244" s="12" t="s">
        <v>111</v>
      </c>
      <c r="FP244" s="12" t="s">
        <v>111</v>
      </c>
      <c r="FQ244" s="12" t="s">
        <v>111</v>
      </c>
      <c r="FR244" s="12" t="s">
        <v>111</v>
      </c>
      <c r="FS244" s="12" t="s">
        <v>111</v>
      </c>
      <c r="FT244" s="12" t="s">
        <v>111</v>
      </c>
      <c r="FU244" s="12" t="s">
        <v>111</v>
      </c>
      <c r="FV244" s="12" t="s">
        <v>111</v>
      </c>
      <c r="FW244" s="12" t="s">
        <v>111</v>
      </c>
      <c r="FX244" s="12" t="s">
        <v>111</v>
      </c>
      <c r="FY244" s="12" t="s">
        <v>111</v>
      </c>
      <c r="FZ244" s="12" t="s">
        <v>111</v>
      </c>
      <c r="GA244" s="12" t="s">
        <v>111</v>
      </c>
      <c r="GB244" s="12" t="s">
        <v>111</v>
      </c>
      <c r="GC244" s="12" t="s">
        <v>111</v>
      </c>
      <c r="GD244" s="12" t="s">
        <v>111</v>
      </c>
      <c r="GE244" s="12" t="s">
        <v>111</v>
      </c>
      <c r="GF244" s="12" t="s">
        <v>111</v>
      </c>
      <c r="GG244" s="12" t="s">
        <v>111</v>
      </c>
      <c r="GH244" s="12" t="s">
        <v>111</v>
      </c>
      <c r="GI244" s="12" t="s">
        <v>111</v>
      </c>
      <c r="GJ244" s="12" t="s">
        <v>111</v>
      </c>
      <c r="GK244" s="12" t="s">
        <v>111</v>
      </c>
      <c r="GL244" s="12" t="s">
        <v>111</v>
      </c>
      <c r="GM244" s="12" t="s">
        <v>111</v>
      </c>
      <c r="GN244" s="12" t="s">
        <v>111</v>
      </c>
      <c r="GO244" s="12" t="s">
        <v>111</v>
      </c>
      <c r="GP244" s="12" t="s">
        <v>111</v>
      </c>
      <c r="GQ244" s="12" t="s">
        <v>111</v>
      </c>
      <c r="GR244" s="12" t="s">
        <v>111</v>
      </c>
      <c r="GS244" s="12" t="s">
        <v>111</v>
      </c>
      <c r="GT244" s="12" t="s">
        <v>111</v>
      </c>
      <c r="GU244" s="12" t="s">
        <v>111</v>
      </c>
      <c r="GV244" s="12" t="s">
        <v>111</v>
      </c>
      <c r="GW244" s="12" t="s">
        <v>111</v>
      </c>
      <c r="GX244" s="12" t="s">
        <v>111</v>
      </c>
      <c r="GY244" s="12" t="s">
        <v>111</v>
      </c>
    </row>
    <row r="245" spans="1:207" x14ac:dyDescent="0.3">
      <c r="K245" t="s">
        <v>1422</v>
      </c>
      <c r="L245" t="s">
        <v>41</v>
      </c>
      <c r="M245" t="s">
        <v>41</v>
      </c>
      <c r="N245" t="s">
        <v>41</v>
      </c>
      <c r="O245" t="s">
        <v>41</v>
      </c>
      <c r="P245" t="s">
        <v>41</v>
      </c>
      <c r="Q245" t="s">
        <v>41</v>
      </c>
      <c r="R245" t="s">
        <v>41</v>
      </c>
      <c r="S245" t="s">
        <v>41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 t="s">
        <v>41</v>
      </c>
      <c r="AA245" t="s">
        <v>41</v>
      </c>
      <c r="AB245" t="s">
        <v>41</v>
      </c>
      <c r="AC245" t="s">
        <v>41</v>
      </c>
      <c r="AD245" t="s">
        <v>41</v>
      </c>
      <c r="AE245" t="s">
        <v>41</v>
      </c>
      <c r="AF245" t="s">
        <v>41</v>
      </c>
      <c r="AG245" t="s">
        <v>41</v>
      </c>
      <c r="AH245" t="s">
        <v>41</v>
      </c>
      <c r="AI245" t="s">
        <v>41</v>
      </c>
      <c r="AJ245" t="s">
        <v>41</v>
      </c>
      <c r="AK245" t="s">
        <v>111</v>
      </c>
      <c r="AL245" t="s">
        <v>41</v>
      </c>
      <c r="AM245" t="s">
        <v>41</v>
      </c>
      <c r="AN245" t="s">
        <v>41</v>
      </c>
      <c r="AO245" t="s">
        <v>41</v>
      </c>
      <c r="AP245" t="s">
        <v>41</v>
      </c>
      <c r="AQ245" t="s">
        <v>41</v>
      </c>
      <c r="AR245" t="s">
        <v>41</v>
      </c>
      <c r="AS245" t="s">
        <v>41</v>
      </c>
      <c r="AT245" t="s">
        <v>41</v>
      </c>
      <c r="AU245" t="s">
        <v>41</v>
      </c>
      <c r="AV245" t="s">
        <v>41</v>
      </c>
      <c r="AW245" t="s">
        <v>41</v>
      </c>
      <c r="AX245" t="s">
        <v>41</v>
      </c>
      <c r="AY245" t="s">
        <v>41</v>
      </c>
      <c r="AZ245" t="s">
        <v>41</v>
      </c>
      <c r="BA245" t="s">
        <v>41</v>
      </c>
      <c r="BB245" t="s">
        <v>41</v>
      </c>
      <c r="BC245" t="s">
        <v>41</v>
      </c>
      <c r="BD245" t="s">
        <v>41</v>
      </c>
      <c r="BE245" t="s">
        <v>41</v>
      </c>
      <c r="BF245" t="s">
        <v>41</v>
      </c>
      <c r="BG245" t="s">
        <v>41</v>
      </c>
      <c r="BH245" t="s">
        <v>41</v>
      </c>
      <c r="BI245" t="s">
        <v>41</v>
      </c>
      <c r="BJ245" t="s">
        <v>41</v>
      </c>
      <c r="BK245" t="s">
        <v>111</v>
      </c>
      <c r="BL245" t="s">
        <v>111</v>
      </c>
      <c r="BM245" t="s">
        <v>111</v>
      </c>
      <c r="BN245" t="s">
        <v>41</v>
      </c>
      <c r="BO245" t="s">
        <v>111</v>
      </c>
      <c r="BP245" t="s">
        <v>111</v>
      </c>
      <c r="BQ245" s="2" t="s">
        <v>202</v>
      </c>
      <c r="BR245" t="s">
        <v>111</v>
      </c>
      <c r="BS245" t="s">
        <v>111</v>
      </c>
      <c r="BT245" t="s">
        <v>111</v>
      </c>
      <c r="BU245" t="s">
        <v>111</v>
      </c>
      <c r="BV245" t="s">
        <v>111</v>
      </c>
      <c r="BW245" t="s">
        <v>111</v>
      </c>
      <c r="BX245" t="s">
        <v>111</v>
      </c>
      <c r="BY245" t="s">
        <v>111</v>
      </c>
      <c r="BZ245" t="s">
        <v>111</v>
      </c>
      <c r="CA245" t="s">
        <v>111</v>
      </c>
      <c r="CB245" t="s">
        <v>111</v>
      </c>
      <c r="CC245" t="s">
        <v>111</v>
      </c>
      <c r="CD245" t="s">
        <v>111</v>
      </c>
      <c r="CE245" t="s">
        <v>111</v>
      </c>
      <c r="CF245" t="s">
        <v>111</v>
      </c>
      <c r="CG245" t="s">
        <v>111</v>
      </c>
      <c r="CH245" t="s">
        <v>111</v>
      </c>
      <c r="CI245" t="s">
        <v>111</v>
      </c>
      <c r="CJ245" t="s">
        <v>111</v>
      </c>
      <c r="CK245" t="s">
        <v>111</v>
      </c>
      <c r="CL245" t="s">
        <v>111</v>
      </c>
      <c r="CM245" t="s">
        <v>111</v>
      </c>
      <c r="CN245" t="s">
        <v>111</v>
      </c>
      <c r="CO245" t="s">
        <v>111</v>
      </c>
      <c r="CP245" t="s">
        <v>111</v>
      </c>
      <c r="CQ245" t="s">
        <v>111</v>
      </c>
      <c r="CR245" t="s">
        <v>111</v>
      </c>
      <c r="CS245" t="s">
        <v>111</v>
      </c>
      <c r="CT245" t="s">
        <v>111</v>
      </c>
      <c r="CU245" t="s">
        <v>111</v>
      </c>
      <c r="CV245" t="s">
        <v>111</v>
      </c>
      <c r="CW245" t="s">
        <v>111</v>
      </c>
      <c r="CX245" t="s">
        <v>111</v>
      </c>
      <c r="CY245" t="s">
        <v>111</v>
      </c>
      <c r="CZ245" t="s">
        <v>111</v>
      </c>
      <c r="DA245" t="s">
        <v>111</v>
      </c>
      <c r="DB245" t="s">
        <v>111</v>
      </c>
      <c r="DC245" t="s">
        <v>111</v>
      </c>
      <c r="DD245" t="s">
        <v>111</v>
      </c>
      <c r="DE245" t="s">
        <v>111</v>
      </c>
      <c r="DF245" t="s">
        <v>111</v>
      </c>
      <c r="DG245" t="s">
        <v>111</v>
      </c>
      <c r="DH245" t="s">
        <v>111</v>
      </c>
      <c r="DI245" t="s">
        <v>111</v>
      </c>
      <c r="DJ245" t="s">
        <v>111</v>
      </c>
      <c r="DK245" t="s">
        <v>111</v>
      </c>
      <c r="DL245" t="s">
        <v>111</v>
      </c>
      <c r="DM245" t="s">
        <v>111</v>
      </c>
      <c r="DN245" t="s">
        <v>111</v>
      </c>
      <c r="DO245" t="s">
        <v>111</v>
      </c>
      <c r="DP245" t="s">
        <v>111</v>
      </c>
      <c r="DQ245" t="s">
        <v>111</v>
      </c>
      <c r="DR245" t="s">
        <v>111</v>
      </c>
      <c r="DS245" t="s">
        <v>111</v>
      </c>
      <c r="DT245" t="s">
        <v>111</v>
      </c>
      <c r="DU245" t="s">
        <v>111</v>
      </c>
      <c r="DV245" t="s">
        <v>111</v>
      </c>
      <c r="DW245" t="s">
        <v>111</v>
      </c>
      <c r="DX245" t="s">
        <v>111</v>
      </c>
      <c r="DY245" t="s">
        <v>111</v>
      </c>
      <c r="DZ245" t="s">
        <v>111</v>
      </c>
      <c r="EA245" t="s">
        <v>111</v>
      </c>
      <c r="EB245" t="s">
        <v>111</v>
      </c>
      <c r="EC245" t="s">
        <v>111</v>
      </c>
      <c r="ED245" t="s">
        <v>111</v>
      </c>
      <c r="EE245" t="s">
        <v>111</v>
      </c>
      <c r="EF245" t="s">
        <v>111</v>
      </c>
      <c r="EG245" t="s">
        <v>111</v>
      </c>
      <c r="EH245" t="s">
        <v>111</v>
      </c>
      <c r="EI245" t="s">
        <v>111</v>
      </c>
      <c r="EJ245" t="s">
        <v>111</v>
      </c>
      <c r="EK245" t="s">
        <v>111</v>
      </c>
      <c r="EL245" t="s">
        <v>111</v>
      </c>
      <c r="EM245" t="s">
        <v>111</v>
      </c>
      <c r="EN245" t="s">
        <v>111</v>
      </c>
      <c r="EO245" t="s">
        <v>111</v>
      </c>
      <c r="EP245" t="s">
        <v>111</v>
      </c>
      <c r="EQ245" t="s">
        <v>111</v>
      </c>
      <c r="ER245" t="s">
        <v>111</v>
      </c>
      <c r="ES245" t="s">
        <v>111</v>
      </c>
      <c r="ET245" t="s">
        <v>111</v>
      </c>
      <c r="EU245" t="s">
        <v>111</v>
      </c>
      <c r="EV245" t="s">
        <v>111</v>
      </c>
      <c r="EW245" t="s">
        <v>111</v>
      </c>
      <c r="EX245" t="s">
        <v>111</v>
      </c>
      <c r="EY245" t="s">
        <v>111</v>
      </c>
      <c r="EZ245" t="s">
        <v>111</v>
      </c>
      <c r="FA245" t="s">
        <v>111</v>
      </c>
      <c r="FB245" t="s">
        <v>111</v>
      </c>
      <c r="FC245" t="s">
        <v>111</v>
      </c>
      <c r="FD245" t="s">
        <v>111</v>
      </c>
      <c r="FE245" t="s">
        <v>111</v>
      </c>
      <c r="FF245" t="s">
        <v>111</v>
      </c>
      <c r="FG245" t="s">
        <v>111</v>
      </c>
      <c r="FH245" t="s">
        <v>111</v>
      </c>
      <c r="FI245" t="s">
        <v>111</v>
      </c>
      <c r="FJ245" t="s">
        <v>111</v>
      </c>
      <c r="FK245" t="s">
        <v>111</v>
      </c>
      <c r="FL245" t="s">
        <v>111</v>
      </c>
      <c r="FM245" t="s">
        <v>111</v>
      </c>
      <c r="FN245" t="s">
        <v>111</v>
      </c>
      <c r="FO245" t="s">
        <v>111</v>
      </c>
      <c r="FP245" t="s">
        <v>111</v>
      </c>
      <c r="FQ245" t="s">
        <v>111</v>
      </c>
      <c r="FR245" t="s">
        <v>111</v>
      </c>
      <c r="FS245" t="s">
        <v>111</v>
      </c>
      <c r="FT245" t="s">
        <v>111</v>
      </c>
      <c r="FU245" t="s">
        <v>111</v>
      </c>
      <c r="FV245" t="s">
        <v>111</v>
      </c>
      <c r="FW245" t="s">
        <v>111</v>
      </c>
      <c r="FX245" t="s">
        <v>111</v>
      </c>
      <c r="FY245" t="s">
        <v>111</v>
      </c>
      <c r="FZ245" t="s">
        <v>111</v>
      </c>
      <c r="GA245" t="s">
        <v>111</v>
      </c>
      <c r="GB245" t="s">
        <v>111</v>
      </c>
      <c r="GC245" t="s">
        <v>111</v>
      </c>
      <c r="GD245" t="s">
        <v>111</v>
      </c>
      <c r="GE245" t="s">
        <v>111</v>
      </c>
      <c r="GF245" t="s">
        <v>111</v>
      </c>
      <c r="GG245" t="s">
        <v>111</v>
      </c>
      <c r="GH245" t="s">
        <v>111</v>
      </c>
      <c r="GI245" t="s">
        <v>111</v>
      </c>
      <c r="GJ245" t="s">
        <v>111</v>
      </c>
      <c r="GK245" t="s">
        <v>111</v>
      </c>
      <c r="GL245" t="s">
        <v>111</v>
      </c>
      <c r="GM245" t="s">
        <v>111</v>
      </c>
      <c r="GN245" t="s">
        <v>111</v>
      </c>
      <c r="GO245" t="s">
        <v>111</v>
      </c>
      <c r="GP245" t="s">
        <v>111</v>
      </c>
      <c r="GQ245" t="s">
        <v>111</v>
      </c>
      <c r="GR245" t="s">
        <v>111</v>
      </c>
      <c r="GS245" t="s">
        <v>111</v>
      </c>
      <c r="GT245" t="s">
        <v>111</v>
      </c>
      <c r="GU245" t="s">
        <v>111</v>
      </c>
      <c r="GV245" t="s">
        <v>111</v>
      </c>
      <c r="GW245" t="s">
        <v>111</v>
      </c>
      <c r="GX245" t="s">
        <v>111</v>
      </c>
      <c r="GY245" t="s">
        <v>111</v>
      </c>
    </row>
    <row r="246" spans="1:207" x14ac:dyDescent="0.3">
      <c r="K246" s="12" t="s">
        <v>1312</v>
      </c>
      <c r="L246" s="12" t="s">
        <v>41</v>
      </c>
      <c r="M246" s="12" t="s">
        <v>41</v>
      </c>
      <c r="N246" s="12" t="s">
        <v>41</v>
      </c>
      <c r="O246" s="12" t="s">
        <v>41</v>
      </c>
      <c r="P246" s="12" t="s">
        <v>41</v>
      </c>
      <c r="Q246" s="12" t="s">
        <v>41</v>
      </c>
      <c r="R246" s="12" t="s">
        <v>41</v>
      </c>
      <c r="S246" s="12" t="s">
        <v>41</v>
      </c>
      <c r="T246" s="12" t="s">
        <v>41</v>
      </c>
      <c r="U246" s="12" t="s">
        <v>41</v>
      </c>
      <c r="V246" s="12" t="s">
        <v>41</v>
      </c>
      <c r="W246" s="12" t="s">
        <v>41</v>
      </c>
      <c r="X246" s="12" t="s">
        <v>41</v>
      </c>
      <c r="Y246" s="12" t="s">
        <v>41</v>
      </c>
      <c r="Z246" s="12" t="s">
        <v>41</v>
      </c>
      <c r="AA246" s="12" t="s">
        <v>41</v>
      </c>
      <c r="AB246" s="12" t="s">
        <v>41</v>
      </c>
      <c r="AC246" s="12" t="s">
        <v>41</v>
      </c>
      <c r="AD246" s="12" t="s">
        <v>41</v>
      </c>
      <c r="AE246" s="12" t="s">
        <v>41</v>
      </c>
      <c r="AF246" s="12" t="s">
        <v>41</v>
      </c>
      <c r="AG246" s="12" t="s">
        <v>41</v>
      </c>
      <c r="AH246" s="12" t="s">
        <v>41</v>
      </c>
      <c r="AI246" s="12" t="s">
        <v>41</v>
      </c>
      <c r="AJ246" s="12" t="s">
        <v>41</v>
      </c>
      <c r="AK246" s="12" t="s">
        <v>111</v>
      </c>
      <c r="AL246" s="12" t="s">
        <v>41</v>
      </c>
      <c r="AM246" s="12" t="s">
        <v>41</v>
      </c>
      <c r="AN246" s="12" t="s">
        <v>41</v>
      </c>
      <c r="AO246" s="12" t="s">
        <v>41</v>
      </c>
      <c r="AP246" s="12" t="s">
        <v>41</v>
      </c>
      <c r="AQ246" s="12" t="s">
        <v>41</v>
      </c>
      <c r="AR246" s="12" t="s">
        <v>41</v>
      </c>
      <c r="AS246" s="12" t="s">
        <v>41</v>
      </c>
      <c r="AT246" s="12" t="s">
        <v>41</v>
      </c>
      <c r="AU246" s="12" t="s">
        <v>41</v>
      </c>
      <c r="AV246" s="12" t="s">
        <v>41</v>
      </c>
      <c r="AW246" s="12" t="s">
        <v>41</v>
      </c>
      <c r="AX246" s="12" t="s">
        <v>41</v>
      </c>
      <c r="AY246" s="12" t="s">
        <v>41</v>
      </c>
      <c r="AZ246" s="12" t="s">
        <v>41</v>
      </c>
      <c r="BA246" s="12" t="s">
        <v>41</v>
      </c>
      <c r="BB246" s="12" t="s">
        <v>41</v>
      </c>
      <c r="BC246" s="12" t="s">
        <v>41</v>
      </c>
      <c r="BD246" s="12" t="s">
        <v>41</v>
      </c>
      <c r="BE246" s="12" t="s">
        <v>41</v>
      </c>
      <c r="BF246" s="12" t="s">
        <v>41</v>
      </c>
      <c r="BG246" s="12" t="s">
        <v>41</v>
      </c>
      <c r="BH246" s="12" t="s">
        <v>41</v>
      </c>
      <c r="BI246" s="12" t="s">
        <v>41</v>
      </c>
      <c r="BJ246" s="12" t="s">
        <v>41</v>
      </c>
      <c r="BK246" s="12" t="s">
        <v>111</v>
      </c>
      <c r="BL246" s="12" t="s">
        <v>111</v>
      </c>
      <c r="BM246" s="12" t="s">
        <v>111</v>
      </c>
      <c r="BN246" s="12" t="s">
        <v>41</v>
      </c>
      <c r="BO246" s="12" t="s">
        <v>111</v>
      </c>
      <c r="BP246" s="12" t="s">
        <v>111</v>
      </c>
      <c r="BQ246" s="12" t="s">
        <v>111</v>
      </c>
      <c r="BR246" s="12" t="s">
        <v>111</v>
      </c>
      <c r="BS246" s="12" t="s">
        <v>111</v>
      </c>
      <c r="BT246" s="12" t="s">
        <v>111</v>
      </c>
      <c r="BU246" s="12" t="s">
        <v>111</v>
      </c>
      <c r="BV246" s="12" t="s">
        <v>111</v>
      </c>
      <c r="BW246" s="12" t="s">
        <v>111</v>
      </c>
      <c r="BX246" s="12" t="s">
        <v>111</v>
      </c>
      <c r="BY246" s="12" t="s">
        <v>111</v>
      </c>
      <c r="BZ246" s="12" t="s">
        <v>111</v>
      </c>
      <c r="CA246" s="12" t="s">
        <v>111</v>
      </c>
      <c r="CB246" s="12" t="s">
        <v>111</v>
      </c>
      <c r="CC246" s="12" t="s">
        <v>111</v>
      </c>
      <c r="CD246" s="12" t="s">
        <v>111</v>
      </c>
      <c r="CE246" s="12" t="s">
        <v>111</v>
      </c>
      <c r="CF246" s="12" t="s">
        <v>111</v>
      </c>
      <c r="CG246" s="12" t="s">
        <v>111</v>
      </c>
      <c r="CH246" s="12" t="s">
        <v>111</v>
      </c>
      <c r="CI246" s="12" t="s">
        <v>111</v>
      </c>
      <c r="CJ246" s="12" t="s">
        <v>111</v>
      </c>
      <c r="CK246" s="12" t="s">
        <v>111</v>
      </c>
      <c r="CL246" s="12" t="s">
        <v>111</v>
      </c>
      <c r="CM246" s="12" t="s">
        <v>111</v>
      </c>
      <c r="CN246" s="12" t="s">
        <v>111</v>
      </c>
      <c r="CO246" s="12" t="s">
        <v>111</v>
      </c>
      <c r="CP246" s="12" t="s">
        <v>111</v>
      </c>
      <c r="CQ246" s="12" t="s">
        <v>111</v>
      </c>
      <c r="CR246" s="12" t="s">
        <v>111</v>
      </c>
      <c r="CS246" s="12" t="s">
        <v>111</v>
      </c>
      <c r="CT246" s="12" t="s">
        <v>111</v>
      </c>
      <c r="CU246" s="12" t="s">
        <v>111</v>
      </c>
      <c r="CV246" s="12" t="s">
        <v>111</v>
      </c>
      <c r="CW246" s="12" t="s">
        <v>111</v>
      </c>
      <c r="CX246" s="12" t="s">
        <v>111</v>
      </c>
      <c r="CY246" s="12" t="s">
        <v>111</v>
      </c>
      <c r="CZ246" s="12" t="s">
        <v>111</v>
      </c>
      <c r="DA246" s="12" t="s">
        <v>111</v>
      </c>
      <c r="DB246" s="12" t="s">
        <v>111</v>
      </c>
      <c r="DC246" s="12" t="s">
        <v>111</v>
      </c>
      <c r="DD246" s="12" t="s">
        <v>111</v>
      </c>
      <c r="DE246" s="12" t="s">
        <v>111</v>
      </c>
      <c r="DF246" s="12" t="s">
        <v>111</v>
      </c>
      <c r="DG246" s="12" t="s">
        <v>111</v>
      </c>
      <c r="DH246" s="12" t="s">
        <v>111</v>
      </c>
      <c r="DI246" s="12" t="s">
        <v>111</v>
      </c>
      <c r="DJ246" s="12" t="s">
        <v>111</v>
      </c>
      <c r="DK246" s="12" t="s">
        <v>111</v>
      </c>
      <c r="DL246" s="12" t="s">
        <v>111</v>
      </c>
      <c r="DM246" s="12" t="s">
        <v>111</v>
      </c>
      <c r="DN246" s="12" t="s">
        <v>111</v>
      </c>
      <c r="DO246" s="12" t="s">
        <v>111</v>
      </c>
      <c r="DP246" s="12" t="s">
        <v>111</v>
      </c>
      <c r="DQ246" s="12" t="s">
        <v>111</v>
      </c>
      <c r="DR246" s="12" t="s">
        <v>111</v>
      </c>
      <c r="DS246" s="12" t="s">
        <v>111</v>
      </c>
      <c r="DT246" s="12" t="s">
        <v>111</v>
      </c>
      <c r="DU246" s="12" t="s">
        <v>111</v>
      </c>
      <c r="DV246" s="12" t="s">
        <v>111</v>
      </c>
      <c r="DW246" s="12" t="s">
        <v>111</v>
      </c>
      <c r="DX246" s="12" t="s">
        <v>111</v>
      </c>
      <c r="DY246" s="12" t="s">
        <v>111</v>
      </c>
      <c r="DZ246" s="12" t="s">
        <v>111</v>
      </c>
      <c r="EA246" s="12" t="s">
        <v>111</v>
      </c>
      <c r="EB246" s="12" t="s">
        <v>111</v>
      </c>
      <c r="EC246" s="12" t="s">
        <v>111</v>
      </c>
      <c r="ED246" s="12" t="s">
        <v>111</v>
      </c>
      <c r="EE246" s="12" t="s">
        <v>111</v>
      </c>
      <c r="EF246" s="12" t="s">
        <v>111</v>
      </c>
      <c r="EG246" s="12" t="s">
        <v>111</v>
      </c>
      <c r="EH246" s="12" t="s">
        <v>111</v>
      </c>
      <c r="EI246" s="12" t="s">
        <v>111</v>
      </c>
      <c r="EJ246" s="12" t="s">
        <v>111</v>
      </c>
      <c r="EK246" s="12" t="s">
        <v>111</v>
      </c>
      <c r="EL246" s="12" t="s">
        <v>111</v>
      </c>
      <c r="EM246" s="12" t="s">
        <v>111</v>
      </c>
      <c r="EN246" s="12" t="s">
        <v>111</v>
      </c>
      <c r="EO246" s="12" t="s">
        <v>111</v>
      </c>
      <c r="EP246" s="12" t="s">
        <v>111</v>
      </c>
      <c r="EQ246" s="12" t="s">
        <v>111</v>
      </c>
      <c r="ER246" s="12" t="s">
        <v>111</v>
      </c>
      <c r="ES246" s="12" t="s">
        <v>111</v>
      </c>
      <c r="ET246" s="12" t="s">
        <v>111</v>
      </c>
      <c r="EU246" s="12" t="s">
        <v>111</v>
      </c>
      <c r="EV246" s="12" t="s">
        <v>111</v>
      </c>
      <c r="EW246" s="12" t="s">
        <v>111</v>
      </c>
      <c r="EX246" s="12" t="s">
        <v>111</v>
      </c>
      <c r="EY246" s="12" t="s">
        <v>111</v>
      </c>
      <c r="EZ246" s="12" t="s">
        <v>111</v>
      </c>
      <c r="FA246" s="12" t="s">
        <v>111</v>
      </c>
      <c r="FB246" s="12" t="s">
        <v>111</v>
      </c>
      <c r="FC246" s="12" t="s">
        <v>111</v>
      </c>
      <c r="FD246" s="12" t="s">
        <v>111</v>
      </c>
      <c r="FE246" s="12" t="s">
        <v>111</v>
      </c>
      <c r="FF246" s="12" t="s">
        <v>111</v>
      </c>
      <c r="FG246" s="12" t="s">
        <v>111</v>
      </c>
      <c r="FH246" s="12" t="s">
        <v>111</v>
      </c>
      <c r="FI246" s="12" t="s">
        <v>111</v>
      </c>
      <c r="FJ246" s="12" t="s">
        <v>111</v>
      </c>
      <c r="FK246" s="12" t="s">
        <v>111</v>
      </c>
      <c r="FL246" s="12" t="s">
        <v>111</v>
      </c>
      <c r="FM246" s="12" t="s">
        <v>111</v>
      </c>
      <c r="FN246" s="12" t="s">
        <v>111</v>
      </c>
      <c r="FO246" s="12" t="s">
        <v>111</v>
      </c>
      <c r="FP246" s="12" t="s">
        <v>111</v>
      </c>
      <c r="FQ246" s="12" t="s">
        <v>111</v>
      </c>
      <c r="FR246" s="12" t="s">
        <v>111</v>
      </c>
      <c r="FS246" s="12" t="s">
        <v>111</v>
      </c>
      <c r="FT246" s="12" t="s">
        <v>111</v>
      </c>
      <c r="FU246" s="12" t="s">
        <v>111</v>
      </c>
      <c r="FV246" s="12" t="s">
        <v>111</v>
      </c>
      <c r="FW246" s="12" t="s">
        <v>111</v>
      </c>
      <c r="FX246" s="12" t="s">
        <v>111</v>
      </c>
      <c r="FY246" s="12" t="s">
        <v>111</v>
      </c>
      <c r="FZ246" s="12" t="s">
        <v>111</v>
      </c>
      <c r="GA246" s="12" t="s">
        <v>111</v>
      </c>
      <c r="GB246" s="12" t="s">
        <v>111</v>
      </c>
      <c r="GC246" s="12" t="s">
        <v>111</v>
      </c>
      <c r="GD246" s="12" t="s">
        <v>111</v>
      </c>
      <c r="GE246" s="12" t="s">
        <v>111</v>
      </c>
      <c r="GF246" s="12" t="s">
        <v>111</v>
      </c>
      <c r="GG246" s="12" t="s">
        <v>111</v>
      </c>
      <c r="GH246" s="12" t="s">
        <v>111</v>
      </c>
      <c r="GI246" s="12" t="s">
        <v>111</v>
      </c>
      <c r="GJ246" s="12" t="s">
        <v>111</v>
      </c>
      <c r="GK246" s="12" t="s">
        <v>111</v>
      </c>
      <c r="GL246" s="12" t="s">
        <v>111</v>
      </c>
      <c r="GM246" s="12" t="s">
        <v>111</v>
      </c>
      <c r="GN246" s="12" t="s">
        <v>111</v>
      </c>
      <c r="GO246" s="12" t="s">
        <v>111</v>
      </c>
      <c r="GP246" s="12" t="s">
        <v>111</v>
      </c>
      <c r="GQ246" s="12" t="s">
        <v>111</v>
      </c>
      <c r="GR246" s="12" t="s">
        <v>111</v>
      </c>
      <c r="GS246" s="12" t="s">
        <v>111</v>
      </c>
      <c r="GT246" s="12" t="s">
        <v>111</v>
      </c>
      <c r="GU246" s="12" t="s">
        <v>111</v>
      </c>
      <c r="GV246" s="12" t="s">
        <v>111</v>
      </c>
      <c r="GW246" s="12" t="s">
        <v>111</v>
      </c>
      <c r="GX246" s="12" t="s">
        <v>111</v>
      </c>
      <c r="GY246" s="12" t="s">
        <v>111</v>
      </c>
    </row>
    <row r="247" spans="1:207" x14ac:dyDescent="0.3">
      <c r="K247" t="s">
        <v>1313</v>
      </c>
      <c r="L247" t="s">
        <v>41</v>
      </c>
      <c r="M247" t="s">
        <v>41</v>
      </c>
      <c r="N247" t="s">
        <v>41</v>
      </c>
      <c r="O247" t="s">
        <v>41</v>
      </c>
      <c r="P247" t="s">
        <v>41</v>
      </c>
      <c r="Q247" t="s">
        <v>41</v>
      </c>
      <c r="R247" t="s">
        <v>41</v>
      </c>
      <c r="S247" t="s">
        <v>41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 t="s">
        <v>41</v>
      </c>
      <c r="AA247" t="s">
        <v>41</v>
      </c>
      <c r="AB247" t="s">
        <v>41</v>
      </c>
      <c r="AC247" t="s">
        <v>41</v>
      </c>
      <c r="AD247" t="s">
        <v>41</v>
      </c>
      <c r="AE247" t="s">
        <v>41</v>
      </c>
      <c r="AF247" t="s">
        <v>41</v>
      </c>
      <c r="AG247" t="s">
        <v>41</v>
      </c>
      <c r="AH247" t="s">
        <v>41</v>
      </c>
      <c r="AI247" t="s">
        <v>41</v>
      </c>
      <c r="AJ247" t="s">
        <v>41</v>
      </c>
      <c r="AK247" t="s">
        <v>111</v>
      </c>
      <c r="AL247" t="s">
        <v>41</v>
      </c>
      <c r="AM247" t="s">
        <v>41</v>
      </c>
      <c r="AN247" t="s">
        <v>41</v>
      </c>
      <c r="AO247" t="s">
        <v>41</v>
      </c>
      <c r="AP247" t="s">
        <v>41</v>
      </c>
      <c r="AQ247" t="s">
        <v>41</v>
      </c>
      <c r="AR247" t="s">
        <v>41</v>
      </c>
      <c r="AS247" t="s">
        <v>41</v>
      </c>
      <c r="AT247" t="s">
        <v>41</v>
      </c>
      <c r="AU247" t="s">
        <v>41</v>
      </c>
      <c r="AV247" t="s">
        <v>41</v>
      </c>
      <c r="AW247" t="s">
        <v>41</v>
      </c>
      <c r="AX247" t="s">
        <v>41</v>
      </c>
      <c r="AY247" t="s">
        <v>41</v>
      </c>
      <c r="AZ247" t="s">
        <v>41</v>
      </c>
      <c r="BA247" t="s">
        <v>41</v>
      </c>
      <c r="BB247" t="s">
        <v>41</v>
      </c>
      <c r="BC247" t="s">
        <v>41</v>
      </c>
      <c r="BD247" t="s">
        <v>41</v>
      </c>
      <c r="BE247" t="s">
        <v>41</v>
      </c>
      <c r="BF247" t="s">
        <v>41</v>
      </c>
      <c r="BG247" t="s">
        <v>41</v>
      </c>
      <c r="BH247" t="s">
        <v>41</v>
      </c>
      <c r="BI247" t="s">
        <v>41</v>
      </c>
      <c r="BJ247" t="s">
        <v>41</v>
      </c>
      <c r="BK247" t="s">
        <v>111</v>
      </c>
      <c r="BL247" t="s">
        <v>41</v>
      </c>
      <c r="BM247" t="s">
        <v>41</v>
      </c>
      <c r="BN247" t="s">
        <v>41</v>
      </c>
      <c r="BO247" t="s">
        <v>111</v>
      </c>
      <c r="BP247" t="s">
        <v>111</v>
      </c>
      <c r="BQ247" t="s">
        <v>41</v>
      </c>
      <c r="BR247" t="s">
        <v>111</v>
      </c>
      <c r="BS247" t="s">
        <v>111</v>
      </c>
      <c r="BT247" t="s">
        <v>111</v>
      </c>
      <c r="BU247" t="s">
        <v>111</v>
      </c>
      <c r="BV247" t="s">
        <v>111</v>
      </c>
      <c r="BW247" t="s">
        <v>111</v>
      </c>
      <c r="BX247" t="s">
        <v>111</v>
      </c>
      <c r="BY247" t="s">
        <v>111</v>
      </c>
      <c r="BZ247" t="s">
        <v>111</v>
      </c>
      <c r="CA247" t="s">
        <v>111</v>
      </c>
      <c r="CB247" t="s">
        <v>111</v>
      </c>
      <c r="CC247" t="s">
        <v>111</v>
      </c>
      <c r="CD247" t="s">
        <v>111</v>
      </c>
      <c r="CE247" t="s">
        <v>111</v>
      </c>
      <c r="CF247" t="s">
        <v>111</v>
      </c>
      <c r="CG247" t="s">
        <v>111</v>
      </c>
      <c r="CH247" t="s">
        <v>111</v>
      </c>
      <c r="CI247" t="s">
        <v>111</v>
      </c>
      <c r="CJ247" t="s">
        <v>111</v>
      </c>
      <c r="CK247" t="s">
        <v>111</v>
      </c>
      <c r="CL247" t="s">
        <v>111</v>
      </c>
      <c r="CM247" t="s">
        <v>111</v>
      </c>
      <c r="CN247" t="s">
        <v>111</v>
      </c>
      <c r="CO247" t="s">
        <v>111</v>
      </c>
      <c r="CP247" t="s">
        <v>111</v>
      </c>
      <c r="CQ247" t="s">
        <v>111</v>
      </c>
      <c r="CR247" t="s">
        <v>111</v>
      </c>
      <c r="CS247" t="s">
        <v>111</v>
      </c>
      <c r="CT247" t="s">
        <v>111</v>
      </c>
      <c r="CU247" t="s">
        <v>111</v>
      </c>
      <c r="CV247" t="s">
        <v>111</v>
      </c>
      <c r="CW247" t="s">
        <v>111</v>
      </c>
      <c r="CX247" t="s">
        <v>111</v>
      </c>
      <c r="CY247" t="s">
        <v>111</v>
      </c>
      <c r="CZ247" t="s">
        <v>111</v>
      </c>
      <c r="DA247" t="s">
        <v>111</v>
      </c>
      <c r="DB247" t="s">
        <v>111</v>
      </c>
      <c r="DC247" t="s">
        <v>111</v>
      </c>
      <c r="DD247" t="s">
        <v>111</v>
      </c>
      <c r="DE247" t="s">
        <v>111</v>
      </c>
      <c r="DF247" t="s">
        <v>111</v>
      </c>
      <c r="DG247" t="s">
        <v>111</v>
      </c>
      <c r="DH247" t="s">
        <v>111</v>
      </c>
      <c r="DI247" t="s">
        <v>111</v>
      </c>
      <c r="DJ247" t="s">
        <v>111</v>
      </c>
      <c r="DK247" t="s">
        <v>111</v>
      </c>
      <c r="DL247" t="s">
        <v>111</v>
      </c>
      <c r="DM247" t="s">
        <v>111</v>
      </c>
      <c r="DN247" t="s">
        <v>111</v>
      </c>
      <c r="DO247" t="s">
        <v>111</v>
      </c>
      <c r="DP247" t="s">
        <v>111</v>
      </c>
      <c r="DQ247" t="s">
        <v>111</v>
      </c>
      <c r="DR247" t="s">
        <v>111</v>
      </c>
      <c r="DS247" t="s">
        <v>111</v>
      </c>
      <c r="DT247" t="s">
        <v>111</v>
      </c>
      <c r="DU247" t="s">
        <v>111</v>
      </c>
      <c r="DV247" t="s">
        <v>111</v>
      </c>
      <c r="DW247" t="s">
        <v>111</v>
      </c>
      <c r="DX247" t="s">
        <v>111</v>
      </c>
      <c r="DY247" t="s">
        <v>111</v>
      </c>
      <c r="DZ247" t="s">
        <v>111</v>
      </c>
      <c r="EA247" t="s">
        <v>111</v>
      </c>
      <c r="EB247" t="s">
        <v>111</v>
      </c>
      <c r="EC247" t="s">
        <v>111</v>
      </c>
      <c r="ED247" t="s">
        <v>111</v>
      </c>
      <c r="EE247" t="s">
        <v>111</v>
      </c>
      <c r="EF247" t="s">
        <v>111</v>
      </c>
      <c r="EG247" t="s">
        <v>111</v>
      </c>
      <c r="EH247" t="s">
        <v>111</v>
      </c>
      <c r="EI247" t="s">
        <v>111</v>
      </c>
      <c r="EJ247" t="s">
        <v>111</v>
      </c>
      <c r="EK247" t="s">
        <v>111</v>
      </c>
      <c r="EL247" t="s">
        <v>111</v>
      </c>
      <c r="EM247" t="s">
        <v>111</v>
      </c>
      <c r="EN247" t="s">
        <v>111</v>
      </c>
      <c r="EO247" t="s">
        <v>111</v>
      </c>
      <c r="EP247" t="s">
        <v>111</v>
      </c>
      <c r="EQ247" t="s">
        <v>111</v>
      </c>
      <c r="ER247" t="s">
        <v>111</v>
      </c>
      <c r="ES247" t="s">
        <v>111</v>
      </c>
      <c r="ET247" t="s">
        <v>111</v>
      </c>
      <c r="EU247" t="s">
        <v>111</v>
      </c>
      <c r="EV247" t="s">
        <v>111</v>
      </c>
      <c r="EW247" t="s">
        <v>111</v>
      </c>
      <c r="EX247" t="s">
        <v>111</v>
      </c>
      <c r="EY247" t="s">
        <v>111</v>
      </c>
      <c r="EZ247" t="s">
        <v>111</v>
      </c>
      <c r="FA247" t="s">
        <v>111</v>
      </c>
      <c r="FB247" t="s">
        <v>111</v>
      </c>
      <c r="FC247" t="s">
        <v>111</v>
      </c>
      <c r="FD247" t="s">
        <v>111</v>
      </c>
      <c r="FE247" t="s">
        <v>111</v>
      </c>
      <c r="FF247" t="s">
        <v>111</v>
      </c>
      <c r="FG247" t="s">
        <v>111</v>
      </c>
      <c r="FH247" t="s">
        <v>111</v>
      </c>
      <c r="FI247" t="s">
        <v>111</v>
      </c>
      <c r="FJ247" t="s">
        <v>111</v>
      </c>
      <c r="FK247" t="s">
        <v>111</v>
      </c>
      <c r="FL247" t="s">
        <v>111</v>
      </c>
      <c r="FM247" t="s">
        <v>111</v>
      </c>
      <c r="FN247" t="s">
        <v>111</v>
      </c>
      <c r="FO247" t="s">
        <v>111</v>
      </c>
      <c r="FP247" t="s">
        <v>111</v>
      </c>
      <c r="FQ247" t="s">
        <v>111</v>
      </c>
      <c r="FR247" t="s">
        <v>111</v>
      </c>
      <c r="FS247" t="s">
        <v>111</v>
      </c>
      <c r="FT247" t="s">
        <v>111</v>
      </c>
      <c r="FU247" t="s">
        <v>111</v>
      </c>
      <c r="FV247" t="s">
        <v>111</v>
      </c>
      <c r="FW247" t="s">
        <v>111</v>
      </c>
      <c r="FX247" t="s">
        <v>111</v>
      </c>
      <c r="FY247" t="s">
        <v>111</v>
      </c>
      <c r="FZ247" t="s">
        <v>111</v>
      </c>
      <c r="GA247" t="s">
        <v>111</v>
      </c>
      <c r="GB247" t="s">
        <v>111</v>
      </c>
      <c r="GC247" t="s">
        <v>111</v>
      </c>
      <c r="GD247" t="s">
        <v>111</v>
      </c>
      <c r="GE247" t="s">
        <v>111</v>
      </c>
      <c r="GF247" t="s">
        <v>111</v>
      </c>
      <c r="GG247" t="s">
        <v>111</v>
      </c>
      <c r="GH247" t="s">
        <v>111</v>
      </c>
      <c r="GI247" t="s">
        <v>111</v>
      </c>
      <c r="GJ247" t="s">
        <v>111</v>
      </c>
      <c r="GK247" t="s">
        <v>111</v>
      </c>
      <c r="GL247" t="s">
        <v>111</v>
      </c>
      <c r="GM247" t="s">
        <v>111</v>
      </c>
      <c r="GN247" t="s">
        <v>111</v>
      </c>
      <c r="GO247" t="s">
        <v>111</v>
      </c>
      <c r="GP247" t="s">
        <v>111</v>
      </c>
      <c r="GQ247" t="s">
        <v>111</v>
      </c>
      <c r="GR247" t="s">
        <v>111</v>
      </c>
      <c r="GS247" t="s">
        <v>111</v>
      </c>
      <c r="GT247" t="s">
        <v>111</v>
      </c>
      <c r="GU247" t="s">
        <v>111</v>
      </c>
      <c r="GV247" t="s">
        <v>111</v>
      </c>
      <c r="GW247" t="s">
        <v>111</v>
      </c>
      <c r="GX247" t="s">
        <v>111</v>
      </c>
      <c r="GY247" t="s">
        <v>111</v>
      </c>
    </row>
    <row r="248" spans="1:207" x14ac:dyDescent="0.3">
      <c r="K248" s="12" t="s">
        <v>1314</v>
      </c>
      <c r="L248" s="12" t="s">
        <v>41</v>
      </c>
      <c r="M248" s="12" t="s">
        <v>41</v>
      </c>
      <c r="N248" s="12" t="s">
        <v>41</v>
      </c>
      <c r="O248" s="12" t="s">
        <v>41</v>
      </c>
      <c r="P248" s="12" t="s">
        <v>41</v>
      </c>
      <c r="Q248" s="12" t="s">
        <v>41</v>
      </c>
      <c r="R248" s="12" t="s">
        <v>41</v>
      </c>
      <c r="S248" s="35" t="s">
        <v>202</v>
      </c>
      <c r="T248" s="12" t="s">
        <v>41</v>
      </c>
      <c r="U248" s="35" t="s">
        <v>202</v>
      </c>
      <c r="V248" s="12" t="s">
        <v>41</v>
      </c>
      <c r="W248" s="12" t="s">
        <v>41</v>
      </c>
      <c r="X248" s="12" t="s">
        <v>41</v>
      </c>
      <c r="Y248" s="12" t="s">
        <v>41</v>
      </c>
      <c r="Z248" s="12" t="s">
        <v>41</v>
      </c>
      <c r="AA248" s="12" t="s">
        <v>41</v>
      </c>
      <c r="AB248" s="12" t="s">
        <v>41</v>
      </c>
      <c r="AC248" s="12" t="s">
        <v>41</v>
      </c>
      <c r="AD248" s="12" t="s">
        <v>41</v>
      </c>
      <c r="AE248" s="12" t="s">
        <v>41</v>
      </c>
      <c r="AF248" s="12" t="s">
        <v>41</v>
      </c>
      <c r="AG248" s="12" t="s">
        <v>41</v>
      </c>
      <c r="AH248" s="12" t="s">
        <v>41</v>
      </c>
      <c r="AI248" s="12" t="s">
        <v>41</v>
      </c>
      <c r="AJ248" s="35" t="s">
        <v>202</v>
      </c>
      <c r="AK248" s="12" t="s">
        <v>111</v>
      </c>
      <c r="AL248" s="35" t="s">
        <v>202</v>
      </c>
      <c r="AM248" s="12" t="s">
        <v>41</v>
      </c>
      <c r="AN248" s="35" t="s">
        <v>202</v>
      </c>
      <c r="AO248" s="12" t="s">
        <v>41</v>
      </c>
      <c r="AP248" s="12" t="s">
        <v>41</v>
      </c>
      <c r="AQ248" s="12" t="s">
        <v>41</v>
      </c>
      <c r="AR248" s="35" t="s">
        <v>202</v>
      </c>
      <c r="AS248" s="12" t="s">
        <v>41</v>
      </c>
      <c r="AT248" s="12" t="s">
        <v>41</v>
      </c>
      <c r="AU248" s="12" t="s">
        <v>41</v>
      </c>
      <c r="AV248" s="12" t="s">
        <v>41</v>
      </c>
      <c r="AW248" s="12" t="s">
        <v>41</v>
      </c>
      <c r="AX248" s="12" t="s">
        <v>41</v>
      </c>
      <c r="AY248" s="12" t="s">
        <v>41</v>
      </c>
      <c r="AZ248" s="12" t="s">
        <v>41</v>
      </c>
      <c r="BA248" s="12" t="s">
        <v>41</v>
      </c>
      <c r="BB248" s="12" t="s">
        <v>41</v>
      </c>
      <c r="BC248" s="12" t="s">
        <v>41</v>
      </c>
      <c r="BD248" s="12" t="s">
        <v>41</v>
      </c>
      <c r="BE248" s="12" t="s">
        <v>41</v>
      </c>
      <c r="BF248" s="12" t="s">
        <v>41</v>
      </c>
      <c r="BG248" s="12" t="s">
        <v>41</v>
      </c>
      <c r="BH248" s="12" t="s">
        <v>41</v>
      </c>
      <c r="BI248" s="12" t="s">
        <v>41</v>
      </c>
      <c r="BJ248" s="12" t="s">
        <v>41</v>
      </c>
      <c r="BK248" s="12" t="s">
        <v>111</v>
      </c>
      <c r="BL248" s="12" t="s">
        <v>41</v>
      </c>
      <c r="BM248" s="12" t="s">
        <v>41</v>
      </c>
      <c r="BN248" s="12" t="s">
        <v>41</v>
      </c>
      <c r="BO248" s="12" t="s">
        <v>41</v>
      </c>
      <c r="BP248" s="12" t="s">
        <v>111</v>
      </c>
      <c r="BQ248" s="12" t="s">
        <v>41</v>
      </c>
      <c r="BR248" s="12" t="s">
        <v>41</v>
      </c>
      <c r="BS248" s="12" t="s">
        <v>111</v>
      </c>
      <c r="BT248" s="12" t="s">
        <v>111</v>
      </c>
      <c r="BU248" s="12" t="s">
        <v>111</v>
      </c>
      <c r="BV248" s="12" t="s">
        <v>111</v>
      </c>
      <c r="BW248" s="12" t="s">
        <v>111</v>
      </c>
      <c r="BX248" s="12" t="s">
        <v>111</v>
      </c>
      <c r="BY248" s="12" t="s">
        <v>111</v>
      </c>
      <c r="BZ248" s="12" t="s">
        <v>111</v>
      </c>
      <c r="CA248" s="12" t="s">
        <v>111</v>
      </c>
      <c r="CB248" s="12" t="s">
        <v>111</v>
      </c>
      <c r="CC248" s="12" t="s">
        <v>111</v>
      </c>
      <c r="CD248" s="12" t="s">
        <v>111</v>
      </c>
      <c r="CE248" s="12" t="s">
        <v>111</v>
      </c>
      <c r="CF248" s="12" t="s">
        <v>111</v>
      </c>
      <c r="CG248" s="12" t="s">
        <v>111</v>
      </c>
      <c r="CH248" s="12" t="s">
        <v>111</v>
      </c>
      <c r="CI248" s="12" t="s">
        <v>111</v>
      </c>
      <c r="CJ248" s="12" t="s">
        <v>111</v>
      </c>
      <c r="CK248" s="12" t="s">
        <v>111</v>
      </c>
      <c r="CL248" s="12" t="s">
        <v>111</v>
      </c>
      <c r="CM248" s="12" t="s">
        <v>111</v>
      </c>
      <c r="CN248" s="12" t="s">
        <v>111</v>
      </c>
      <c r="CO248" s="12" t="s">
        <v>111</v>
      </c>
      <c r="CP248" s="12" t="s">
        <v>111</v>
      </c>
      <c r="CQ248" s="12" t="s">
        <v>111</v>
      </c>
      <c r="CR248" s="12" t="s">
        <v>111</v>
      </c>
      <c r="CS248" s="12" t="s">
        <v>111</v>
      </c>
      <c r="CT248" s="12" t="s">
        <v>111</v>
      </c>
      <c r="CU248" s="12" t="s">
        <v>111</v>
      </c>
      <c r="CV248" s="12" t="s">
        <v>111</v>
      </c>
      <c r="CW248" s="12" t="s">
        <v>111</v>
      </c>
      <c r="CX248" s="12" t="s">
        <v>111</v>
      </c>
      <c r="CY248" s="12" t="s">
        <v>111</v>
      </c>
      <c r="CZ248" s="12" t="s">
        <v>111</v>
      </c>
      <c r="DA248" s="12" t="s">
        <v>111</v>
      </c>
      <c r="DB248" s="12" t="s">
        <v>111</v>
      </c>
      <c r="DC248" s="12" t="s">
        <v>111</v>
      </c>
      <c r="DD248" s="12" t="s">
        <v>111</v>
      </c>
      <c r="DE248" s="12" t="s">
        <v>111</v>
      </c>
      <c r="DF248" s="12" t="s">
        <v>111</v>
      </c>
      <c r="DG248" s="12" t="s">
        <v>111</v>
      </c>
      <c r="DH248" s="12" t="s">
        <v>111</v>
      </c>
      <c r="DI248" s="12" t="s">
        <v>111</v>
      </c>
      <c r="DJ248" s="12" t="s">
        <v>111</v>
      </c>
      <c r="DK248" s="12" t="s">
        <v>111</v>
      </c>
      <c r="DL248" s="12" t="s">
        <v>111</v>
      </c>
      <c r="DM248" s="12" t="s">
        <v>111</v>
      </c>
      <c r="DN248" s="12" t="s">
        <v>111</v>
      </c>
      <c r="DO248" s="12" t="s">
        <v>111</v>
      </c>
      <c r="DP248" s="12" t="s">
        <v>111</v>
      </c>
      <c r="DQ248" s="12" t="s">
        <v>111</v>
      </c>
      <c r="DR248" s="12" t="s">
        <v>111</v>
      </c>
      <c r="DS248" s="12" t="s">
        <v>111</v>
      </c>
      <c r="DT248" s="12" t="s">
        <v>111</v>
      </c>
      <c r="DU248" s="12" t="s">
        <v>111</v>
      </c>
      <c r="DV248" s="12" t="s">
        <v>111</v>
      </c>
      <c r="DW248" s="12" t="s">
        <v>111</v>
      </c>
      <c r="DX248" s="12" t="s">
        <v>111</v>
      </c>
      <c r="DY248" s="12" t="s">
        <v>111</v>
      </c>
      <c r="DZ248" s="12" t="s">
        <v>111</v>
      </c>
      <c r="EA248" s="12" t="s">
        <v>111</v>
      </c>
      <c r="EB248" s="12" t="s">
        <v>111</v>
      </c>
      <c r="EC248" s="12" t="s">
        <v>111</v>
      </c>
      <c r="ED248" s="12" t="s">
        <v>111</v>
      </c>
      <c r="EE248" s="12" t="s">
        <v>111</v>
      </c>
      <c r="EF248" s="12" t="s">
        <v>111</v>
      </c>
      <c r="EG248" s="12" t="s">
        <v>111</v>
      </c>
      <c r="EH248" s="12" t="s">
        <v>111</v>
      </c>
      <c r="EI248" s="12" t="s">
        <v>111</v>
      </c>
      <c r="EJ248" s="12" t="s">
        <v>111</v>
      </c>
      <c r="EK248" s="12" t="s">
        <v>111</v>
      </c>
      <c r="EL248" s="12" t="s">
        <v>111</v>
      </c>
      <c r="EM248" s="12" t="s">
        <v>111</v>
      </c>
      <c r="EN248" s="12" t="s">
        <v>111</v>
      </c>
      <c r="EO248" s="12" t="s">
        <v>111</v>
      </c>
      <c r="EP248" s="12" t="s">
        <v>111</v>
      </c>
      <c r="EQ248" s="12" t="s">
        <v>111</v>
      </c>
      <c r="ER248" s="12" t="s">
        <v>111</v>
      </c>
      <c r="ES248" s="12" t="s">
        <v>111</v>
      </c>
      <c r="ET248" s="12" t="s">
        <v>111</v>
      </c>
      <c r="EU248" s="12" t="s">
        <v>111</v>
      </c>
      <c r="EV248" s="12" t="s">
        <v>111</v>
      </c>
      <c r="EW248" s="12" t="s">
        <v>111</v>
      </c>
      <c r="EX248" s="12" t="s">
        <v>111</v>
      </c>
      <c r="EY248" s="12" t="s">
        <v>111</v>
      </c>
      <c r="EZ248" s="12" t="s">
        <v>111</v>
      </c>
      <c r="FA248" s="12" t="s">
        <v>111</v>
      </c>
      <c r="FB248" s="12" t="s">
        <v>111</v>
      </c>
      <c r="FC248" s="12" t="s">
        <v>111</v>
      </c>
      <c r="FD248" s="12" t="s">
        <v>111</v>
      </c>
      <c r="FE248" s="12" t="s">
        <v>111</v>
      </c>
      <c r="FF248" s="12" t="s">
        <v>111</v>
      </c>
      <c r="FG248" s="12" t="s">
        <v>111</v>
      </c>
      <c r="FH248" s="12" t="s">
        <v>111</v>
      </c>
      <c r="FI248" s="12" t="s">
        <v>111</v>
      </c>
      <c r="FJ248" s="12" t="s">
        <v>111</v>
      </c>
      <c r="FK248" s="12" t="s">
        <v>111</v>
      </c>
      <c r="FL248" s="12" t="s">
        <v>111</v>
      </c>
      <c r="FM248" s="12" t="s">
        <v>111</v>
      </c>
      <c r="FN248" s="12" t="s">
        <v>111</v>
      </c>
      <c r="FO248" s="12" t="s">
        <v>111</v>
      </c>
      <c r="FP248" s="12" t="s">
        <v>111</v>
      </c>
      <c r="FQ248" s="12" t="s">
        <v>111</v>
      </c>
      <c r="FR248" s="12" t="s">
        <v>111</v>
      </c>
      <c r="FS248" s="12" t="s">
        <v>111</v>
      </c>
      <c r="FT248" s="12" t="s">
        <v>111</v>
      </c>
      <c r="FU248" s="12" t="s">
        <v>111</v>
      </c>
      <c r="FV248" s="12" t="s">
        <v>111</v>
      </c>
      <c r="FW248" s="12" t="s">
        <v>111</v>
      </c>
      <c r="FX248" s="12" t="s">
        <v>111</v>
      </c>
      <c r="FY248" s="12" t="s">
        <v>111</v>
      </c>
      <c r="FZ248" s="12" t="s">
        <v>111</v>
      </c>
      <c r="GA248" s="12" t="s">
        <v>111</v>
      </c>
      <c r="GB248" s="12" t="s">
        <v>111</v>
      </c>
      <c r="GC248" s="12" t="s">
        <v>111</v>
      </c>
      <c r="GD248" s="12" t="s">
        <v>111</v>
      </c>
      <c r="GE248" s="12" t="s">
        <v>111</v>
      </c>
      <c r="GF248" s="12" t="s">
        <v>111</v>
      </c>
      <c r="GG248" s="12" t="s">
        <v>111</v>
      </c>
      <c r="GH248" s="12" t="s">
        <v>111</v>
      </c>
      <c r="GI248" s="12" t="s">
        <v>111</v>
      </c>
      <c r="GJ248" s="12" t="s">
        <v>111</v>
      </c>
      <c r="GK248" s="12" t="s">
        <v>111</v>
      </c>
      <c r="GL248" s="12" t="s">
        <v>111</v>
      </c>
      <c r="GM248" s="12" t="s">
        <v>111</v>
      </c>
      <c r="GN248" s="12" t="s">
        <v>111</v>
      </c>
      <c r="GO248" s="12" t="s">
        <v>111</v>
      </c>
      <c r="GP248" s="12" t="s">
        <v>111</v>
      </c>
      <c r="GQ248" s="12" t="s">
        <v>111</v>
      </c>
      <c r="GR248" s="12" t="s">
        <v>111</v>
      </c>
      <c r="GS248" s="12" t="s">
        <v>111</v>
      </c>
      <c r="GT248" s="12" t="s">
        <v>111</v>
      </c>
      <c r="GU248" s="12" t="s">
        <v>111</v>
      </c>
      <c r="GV248" s="12" t="s">
        <v>111</v>
      </c>
      <c r="GW248" s="12" t="s">
        <v>111</v>
      </c>
      <c r="GX248" s="12" t="s">
        <v>111</v>
      </c>
      <c r="GY248" s="12" t="s">
        <v>111</v>
      </c>
    </row>
    <row r="249" spans="1:207" x14ac:dyDescent="0.3">
      <c r="K249" s="12" t="s">
        <v>2367</v>
      </c>
      <c r="L249" s="43" t="s">
        <v>202</v>
      </c>
      <c r="M249" s="43" t="s">
        <v>202</v>
      </c>
      <c r="N249" s="43" t="s">
        <v>202</v>
      </c>
      <c r="O249" s="43" t="s">
        <v>202</v>
      </c>
      <c r="P249" s="43" t="s">
        <v>202</v>
      </c>
      <c r="Q249" s="43" t="s">
        <v>202</v>
      </c>
      <c r="R249" s="43" t="s">
        <v>202</v>
      </c>
      <c r="S249" s="43" t="s">
        <v>202</v>
      </c>
      <c r="T249" s="43" t="s">
        <v>202</v>
      </c>
      <c r="U249" s="43" t="s">
        <v>202</v>
      </c>
      <c r="V249" s="43" t="s">
        <v>202</v>
      </c>
      <c r="W249" s="43" t="s">
        <v>202</v>
      </c>
      <c r="X249" s="43" t="s">
        <v>202</v>
      </c>
      <c r="Y249" s="43" t="s">
        <v>202</v>
      </c>
      <c r="Z249" s="43" t="s">
        <v>202</v>
      </c>
      <c r="AA249" s="43" t="s">
        <v>202</v>
      </c>
      <c r="AB249" s="43" t="s">
        <v>202</v>
      </c>
      <c r="AC249" s="43" t="s">
        <v>202</v>
      </c>
      <c r="AD249" s="43" t="s">
        <v>202</v>
      </c>
      <c r="AE249" s="43" t="s">
        <v>202</v>
      </c>
      <c r="AF249" s="43" t="s">
        <v>202</v>
      </c>
      <c r="AG249" s="43" t="s">
        <v>202</v>
      </c>
      <c r="AH249" s="43" t="s">
        <v>202</v>
      </c>
      <c r="AI249" s="43" t="s">
        <v>202</v>
      </c>
      <c r="AJ249" s="43" t="s">
        <v>202</v>
      </c>
      <c r="AK249" s="43" t="s">
        <v>202</v>
      </c>
      <c r="AL249" s="43" t="s">
        <v>202</v>
      </c>
      <c r="AM249" s="43" t="s">
        <v>202</v>
      </c>
      <c r="AN249" s="43" t="s">
        <v>202</v>
      </c>
      <c r="AO249" s="43" t="s">
        <v>202</v>
      </c>
      <c r="AP249" s="43" t="s">
        <v>202</v>
      </c>
      <c r="AQ249" s="43" t="s">
        <v>202</v>
      </c>
      <c r="AR249" s="43" t="s">
        <v>202</v>
      </c>
      <c r="AS249" s="12" t="s">
        <v>41</v>
      </c>
      <c r="AT249" s="12" t="s">
        <v>41</v>
      </c>
      <c r="AU249" s="12" t="s">
        <v>41</v>
      </c>
      <c r="AV249" s="12" t="s">
        <v>41</v>
      </c>
      <c r="AW249" s="12" t="s">
        <v>41</v>
      </c>
      <c r="AX249" s="12" t="s">
        <v>41</v>
      </c>
      <c r="AY249" s="12" t="s">
        <v>41</v>
      </c>
      <c r="AZ249" s="12" t="s">
        <v>41</v>
      </c>
      <c r="BA249" s="12" t="s">
        <v>41</v>
      </c>
      <c r="BB249" s="12" t="s">
        <v>41</v>
      </c>
      <c r="BC249" s="12" t="s">
        <v>41</v>
      </c>
      <c r="BD249" s="12" t="s">
        <v>41</v>
      </c>
      <c r="BE249" s="12" t="s">
        <v>41</v>
      </c>
      <c r="BF249" s="12" t="s">
        <v>41</v>
      </c>
      <c r="BG249" s="12" t="s">
        <v>41</v>
      </c>
      <c r="BH249" s="12" t="s">
        <v>41</v>
      </c>
      <c r="BI249" s="12" t="s">
        <v>41</v>
      </c>
      <c r="BJ249" s="12" t="s">
        <v>41</v>
      </c>
      <c r="BK249" s="12" t="s">
        <v>111</v>
      </c>
      <c r="BL249" s="12" t="s">
        <v>111</v>
      </c>
      <c r="BM249" s="12" t="s">
        <v>111</v>
      </c>
      <c r="BN249" s="12" t="s">
        <v>111</v>
      </c>
      <c r="BO249" s="12" t="s">
        <v>111</v>
      </c>
      <c r="BP249" s="12" t="s">
        <v>111</v>
      </c>
      <c r="BQ249" s="12" t="s">
        <v>111</v>
      </c>
      <c r="BR249" s="12" t="s">
        <v>111</v>
      </c>
      <c r="BS249" s="12" t="s">
        <v>111</v>
      </c>
      <c r="BT249" s="12" t="s">
        <v>111</v>
      </c>
      <c r="BU249" s="12" t="s">
        <v>111</v>
      </c>
      <c r="BV249" s="12" t="s">
        <v>111</v>
      </c>
      <c r="BW249" s="12" t="s">
        <v>111</v>
      </c>
      <c r="BX249" s="12" t="s">
        <v>111</v>
      </c>
      <c r="BY249" s="12" t="s">
        <v>111</v>
      </c>
      <c r="BZ249" s="12" t="s">
        <v>111</v>
      </c>
      <c r="CA249" s="12" t="s">
        <v>111</v>
      </c>
      <c r="CB249" s="12" t="s">
        <v>111</v>
      </c>
      <c r="CC249" s="12" t="s">
        <v>111</v>
      </c>
      <c r="CD249" s="12" t="s">
        <v>111</v>
      </c>
      <c r="CE249" s="12" t="s">
        <v>111</v>
      </c>
      <c r="CF249" s="12" t="s">
        <v>111</v>
      </c>
      <c r="CG249" s="12" t="s">
        <v>111</v>
      </c>
      <c r="CH249" s="12" t="s">
        <v>111</v>
      </c>
      <c r="CI249" s="12" t="s">
        <v>111</v>
      </c>
      <c r="CJ249" s="12" t="s">
        <v>111</v>
      </c>
      <c r="CK249" s="12" t="s">
        <v>111</v>
      </c>
      <c r="CL249" s="12" t="s">
        <v>111</v>
      </c>
      <c r="CM249" s="12" t="s">
        <v>111</v>
      </c>
      <c r="CN249" s="12" t="s">
        <v>111</v>
      </c>
      <c r="CO249" s="12" t="s">
        <v>111</v>
      </c>
      <c r="CP249" s="12" t="s">
        <v>111</v>
      </c>
      <c r="CQ249" s="12" t="s">
        <v>111</v>
      </c>
      <c r="CR249" s="12" t="s">
        <v>111</v>
      </c>
      <c r="CS249" s="12" t="s">
        <v>111</v>
      </c>
      <c r="CT249" s="12" t="s">
        <v>111</v>
      </c>
      <c r="CU249" s="12" t="s">
        <v>111</v>
      </c>
      <c r="CV249" s="12" t="s">
        <v>111</v>
      </c>
      <c r="CW249" s="12" t="s">
        <v>111</v>
      </c>
      <c r="CX249" s="12" t="s">
        <v>111</v>
      </c>
      <c r="CY249" s="12" t="s">
        <v>111</v>
      </c>
      <c r="CZ249" s="12" t="s">
        <v>111</v>
      </c>
      <c r="DA249" s="12" t="s">
        <v>111</v>
      </c>
      <c r="DB249" s="12" t="s">
        <v>111</v>
      </c>
      <c r="DC249" s="12" t="s">
        <v>111</v>
      </c>
      <c r="DD249" s="12" t="s">
        <v>111</v>
      </c>
      <c r="DE249" s="12" t="s">
        <v>111</v>
      </c>
      <c r="DF249" s="12" t="s">
        <v>111</v>
      </c>
      <c r="DG249" s="12" t="s">
        <v>111</v>
      </c>
      <c r="DH249" s="12" t="s">
        <v>111</v>
      </c>
      <c r="DI249" s="12" t="s">
        <v>111</v>
      </c>
      <c r="DJ249" s="12" t="s">
        <v>111</v>
      </c>
      <c r="DK249" s="12" t="s">
        <v>111</v>
      </c>
      <c r="DL249" s="12" t="s">
        <v>111</v>
      </c>
      <c r="DM249" s="12" t="s">
        <v>111</v>
      </c>
      <c r="DN249" s="12" t="s">
        <v>111</v>
      </c>
      <c r="DO249" s="12" t="s">
        <v>111</v>
      </c>
      <c r="DP249" s="12" t="s">
        <v>111</v>
      </c>
      <c r="DQ249" s="12" t="s">
        <v>111</v>
      </c>
      <c r="DR249" s="12" t="s">
        <v>111</v>
      </c>
      <c r="DS249" s="12" t="s">
        <v>111</v>
      </c>
      <c r="DT249" s="12" t="s">
        <v>111</v>
      </c>
      <c r="DU249" s="12" t="s">
        <v>111</v>
      </c>
      <c r="DV249" s="12" t="s">
        <v>111</v>
      </c>
      <c r="DW249" s="12" t="s">
        <v>111</v>
      </c>
      <c r="DX249" s="12" t="s">
        <v>111</v>
      </c>
      <c r="DY249" s="12" t="s">
        <v>111</v>
      </c>
      <c r="DZ249" s="12" t="s">
        <v>111</v>
      </c>
      <c r="EA249" s="12" t="s">
        <v>111</v>
      </c>
      <c r="EB249" s="12" t="s">
        <v>111</v>
      </c>
      <c r="EC249" s="12" t="s">
        <v>111</v>
      </c>
      <c r="ED249" s="12" t="s">
        <v>111</v>
      </c>
      <c r="EE249" s="12" t="s">
        <v>111</v>
      </c>
      <c r="EF249" s="12" t="s">
        <v>111</v>
      </c>
      <c r="EG249" s="12" t="s">
        <v>111</v>
      </c>
      <c r="EH249" s="12" t="s">
        <v>111</v>
      </c>
      <c r="EI249" s="12" t="s">
        <v>111</v>
      </c>
      <c r="EJ249" s="12" t="s">
        <v>111</v>
      </c>
      <c r="EK249" s="12" t="s">
        <v>111</v>
      </c>
      <c r="EL249" s="12" t="s">
        <v>111</v>
      </c>
      <c r="EM249" s="12" t="s">
        <v>111</v>
      </c>
      <c r="EN249" s="12" t="s">
        <v>111</v>
      </c>
      <c r="EO249" s="12" t="s">
        <v>111</v>
      </c>
      <c r="EP249" s="12" t="s">
        <v>111</v>
      </c>
      <c r="EQ249" s="12" t="s">
        <v>111</v>
      </c>
      <c r="ER249" s="12" t="s">
        <v>111</v>
      </c>
      <c r="ES249" s="12" t="s">
        <v>111</v>
      </c>
      <c r="ET249" s="12" t="s">
        <v>111</v>
      </c>
      <c r="EU249" s="12" t="s">
        <v>111</v>
      </c>
      <c r="EV249" s="12" t="s">
        <v>111</v>
      </c>
      <c r="EW249" s="12" t="s">
        <v>111</v>
      </c>
      <c r="EX249" s="12" t="s">
        <v>111</v>
      </c>
      <c r="EY249" s="12" t="s">
        <v>111</v>
      </c>
      <c r="EZ249" s="12" t="s">
        <v>111</v>
      </c>
      <c r="FA249" s="12" t="s">
        <v>111</v>
      </c>
      <c r="FB249" s="12" t="s">
        <v>111</v>
      </c>
      <c r="FC249" s="12" t="s">
        <v>111</v>
      </c>
      <c r="FD249" s="12" t="s">
        <v>111</v>
      </c>
      <c r="FE249" s="12" t="s">
        <v>111</v>
      </c>
      <c r="FF249" s="12" t="s">
        <v>111</v>
      </c>
      <c r="FG249" s="12" t="s">
        <v>111</v>
      </c>
      <c r="FH249" s="12" t="s">
        <v>111</v>
      </c>
      <c r="FI249" s="12" t="s">
        <v>111</v>
      </c>
      <c r="FJ249" s="12" t="s">
        <v>111</v>
      </c>
      <c r="FK249" s="12" t="s">
        <v>111</v>
      </c>
      <c r="FL249" s="12" t="s">
        <v>111</v>
      </c>
      <c r="FM249" s="12" t="s">
        <v>111</v>
      </c>
      <c r="FN249" s="12" t="s">
        <v>111</v>
      </c>
      <c r="FO249" s="12" t="s">
        <v>111</v>
      </c>
      <c r="FP249" s="12" t="s">
        <v>111</v>
      </c>
      <c r="FQ249" s="12" t="s">
        <v>111</v>
      </c>
      <c r="FR249" s="12" t="s">
        <v>111</v>
      </c>
      <c r="FS249" s="12" t="s">
        <v>111</v>
      </c>
      <c r="FT249" s="12" t="s">
        <v>111</v>
      </c>
      <c r="FU249" s="12" t="s">
        <v>111</v>
      </c>
      <c r="FV249" s="12" t="s">
        <v>111</v>
      </c>
      <c r="FW249" s="12" t="s">
        <v>111</v>
      </c>
      <c r="FX249" s="12" t="s">
        <v>111</v>
      </c>
      <c r="FY249" s="12" t="s">
        <v>111</v>
      </c>
      <c r="FZ249" s="12" t="s">
        <v>111</v>
      </c>
      <c r="GA249" s="12" t="s">
        <v>111</v>
      </c>
      <c r="GB249" s="12" t="s">
        <v>111</v>
      </c>
      <c r="GC249" s="12" t="s">
        <v>111</v>
      </c>
      <c r="GD249" s="12" t="s">
        <v>111</v>
      </c>
      <c r="GE249" s="12" t="s">
        <v>111</v>
      </c>
      <c r="GF249" s="12" t="s">
        <v>111</v>
      </c>
      <c r="GG249" s="12" t="s">
        <v>111</v>
      </c>
      <c r="GH249" s="12" t="s">
        <v>111</v>
      </c>
      <c r="GI249" s="12" t="s">
        <v>111</v>
      </c>
      <c r="GJ249" s="12" t="s">
        <v>111</v>
      </c>
      <c r="GK249" s="12" t="s">
        <v>111</v>
      </c>
      <c r="GL249" s="12" t="s">
        <v>111</v>
      </c>
      <c r="GM249" s="12" t="s">
        <v>111</v>
      </c>
      <c r="GN249" s="12" t="s">
        <v>111</v>
      </c>
      <c r="GO249" s="12" t="s">
        <v>111</v>
      </c>
      <c r="GP249" s="12" t="s">
        <v>111</v>
      </c>
      <c r="GQ249" s="12" t="s">
        <v>111</v>
      </c>
      <c r="GR249" s="12" t="s">
        <v>111</v>
      </c>
      <c r="GS249" s="12" t="s">
        <v>111</v>
      </c>
      <c r="GT249" s="12" t="s">
        <v>111</v>
      </c>
      <c r="GU249" s="12" t="s">
        <v>111</v>
      </c>
      <c r="GV249" s="12" t="s">
        <v>111</v>
      </c>
      <c r="GW249" s="12" t="s">
        <v>111</v>
      </c>
      <c r="GX249" s="12" t="s">
        <v>111</v>
      </c>
      <c r="GY249" s="12" t="s">
        <v>111</v>
      </c>
    </row>
    <row r="250" spans="1:207" x14ac:dyDescent="0.3">
      <c r="K250" t="s">
        <v>2430</v>
      </c>
      <c r="L250" s="31">
        <v>44749</v>
      </c>
      <c r="M250" s="31">
        <v>44748</v>
      </c>
      <c r="N250" s="31">
        <v>44749</v>
      </c>
      <c r="O250" s="31">
        <v>44750</v>
      </c>
      <c r="P250" s="31">
        <v>44746</v>
      </c>
      <c r="Q250" s="31">
        <v>44733</v>
      </c>
      <c r="R250" s="31">
        <v>44750</v>
      </c>
      <c r="S250" s="34">
        <v>43790</v>
      </c>
      <c r="T250" s="31">
        <v>44514</v>
      </c>
      <c r="U250" s="34">
        <v>43795</v>
      </c>
      <c r="V250" s="31">
        <v>44692</v>
      </c>
      <c r="W250" s="37" t="s">
        <v>202</v>
      </c>
      <c r="X250" s="37" t="s">
        <v>202</v>
      </c>
      <c r="Y250" s="37" t="s">
        <v>202</v>
      </c>
      <c r="Z250" s="37" t="s">
        <v>202</v>
      </c>
      <c r="AA250" s="37" t="s">
        <v>202</v>
      </c>
      <c r="AB250" s="37" t="s">
        <v>202</v>
      </c>
      <c r="AC250" s="37" t="s">
        <v>202</v>
      </c>
      <c r="AD250" s="37" t="s">
        <v>202</v>
      </c>
      <c r="AE250" s="37" t="s">
        <v>202</v>
      </c>
      <c r="AF250" s="37" t="s">
        <v>202</v>
      </c>
      <c r="AG250" s="37" t="s">
        <v>202</v>
      </c>
      <c r="AH250" s="37" t="s">
        <v>202</v>
      </c>
      <c r="AI250" s="31">
        <v>44613</v>
      </c>
      <c r="AJ250" s="34">
        <v>41813</v>
      </c>
      <c r="AK250" s="37" t="s">
        <v>202</v>
      </c>
      <c r="AL250" s="37" t="s">
        <v>202</v>
      </c>
      <c r="AM250" s="31">
        <v>44800</v>
      </c>
      <c r="AN250" s="34">
        <v>43288</v>
      </c>
      <c r="AO250" s="37" t="s">
        <v>202</v>
      </c>
      <c r="AP250" s="37" t="s">
        <v>202</v>
      </c>
      <c r="AQ250" s="31">
        <v>44749</v>
      </c>
      <c r="AR250" s="37" t="s">
        <v>202</v>
      </c>
      <c r="AS250" s="37" t="s">
        <v>202</v>
      </c>
      <c r="AT250" s="37" t="s">
        <v>202</v>
      </c>
      <c r="AU250" s="37" t="s">
        <v>202</v>
      </c>
      <c r="AV250" s="37" t="s">
        <v>202</v>
      </c>
      <c r="AW250" s="37" t="s">
        <v>202</v>
      </c>
      <c r="AX250" s="37" t="s">
        <v>202</v>
      </c>
      <c r="AY250" s="37" t="s">
        <v>202</v>
      </c>
      <c r="AZ250" s="37" t="s">
        <v>202</v>
      </c>
      <c r="BA250" s="37" t="s">
        <v>202</v>
      </c>
      <c r="BB250" s="37" t="s">
        <v>202</v>
      </c>
      <c r="BC250" s="31">
        <v>44749</v>
      </c>
      <c r="BD250" s="31">
        <v>44750</v>
      </c>
      <c r="BE250" s="37" t="s">
        <v>202</v>
      </c>
      <c r="BF250" s="37" t="s">
        <v>202</v>
      </c>
      <c r="BG250" s="37" t="s">
        <v>202</v>
      </c>
      <c r="BH250" s="37" t="s">
        <v>202</v>
      </c>
      <c r="BI250" s="31">
        <v>44692</v>
      </c>
      <c r="BJ250" s="37" t="s">
        <v>202</v>
      </c>
      <c r="BK250" s="37" t="s">
        <v>202</v>
      </c>
      <c r="BL250" s="37" t="s">
        <v>202</v>
      </c>
      <c r="BM250" s="37" t="s">
        <v>202</v>
      </c>
      <c r="BN250" s="37" t="s">
        <v>202</v>
      </c>
      <c r="BO250" s="37" t="s">
        <v>202</v>
      </c>
      <c r="BP250" s="37" t="s">
        <v>202</v>
      </c>
      <c r="BQ250" s="37" t="s">
        <v>202</v>
      </c>
      <c r="BR250" s="37" t="s">
        <v>202</v>
      </c>
      <c r="BS250" s="37" t="s">
        <v>202</v>
      </c>
      <c r="BT250" s="37" t="s">
        <v>202</v>
      </c>
      <c r="BU250" s="37" t="s">
        <v>202</v>
      </c>
      <c r="BV250" s="37" t="s">
        <v>202</v>
      </c>
      <c r="BW250" s="37" t="s">
        <v>202</v>
      </c>
      <c r="BX250" s="37" t="s">
        <v>202</v>
      </c>
      <c r="BY250" s="37" t="s">
        <v>202</v>
      </c>
      <c r="BZ250" s="37" t="s">
        <v>202</v>
      </c>
      <c r="CA250" s="37" t="s">
        <v>202</v>
      </c>
      <c r="CB250" s="37" t="s">
        <v>202</v>
      </c>
      <c r="CC250" s="37" t="s">
        <v>202</v>
      </c>
      <c r="CD250" s="37" t="s">
        <v>202</v>
      </c>
      <c r="CE250" s="37" t="s">
        <v>202</v>
      </c>
      <c r="CF250" s="37" t="s">
        <v>202</v>
      </c>
      <c r="CG250" s="37" t="s">
        <v>202</v>
      </c>
      <c r="CH250" s="37" t="s">
        <v>202</v>
      </c>
      <c r="CI250" s="37" t="s">
        <v>202</v>
      </c>
      <c r="CJ250" s="37" t="s">
        <v>202</v>
      </c>
      <c r="CK250" s="37" t="s">
        <v>202</v>
      </c>
      <c r="CL250" s="37" t="s">
        <v>202</v>
      </c>
      <c r="CM250" s="37" t="s">
        <v>202</v>
      </c>
      <c r="CN250" s="37" t="s">
        <v>202</v>
      </c>
      <c r="CO250" s="37" t="s">
        <v>202</v>
      </c>
      <c r="CP250" s="37" t="s">
        <v>202</v>
      </c>
      <c r="CQ250" s="37" t="s">
        <v>202</v>
      </c>
      <c r="CR250" s="37" t="s">
        <v>202</v>
      </c>
      <c r="CS250" s="37" t="s">
        <v>202</v>
      </c>
      <c r="CT250" s="37" t="s">
        <v>202</v>
      </c>
      <c r="CU250" s="37" t="s">
        <v>202</v>
      </c>
      <c r="CV250" s="37" t="s">
        <v>202</v>
      </c>
      <c r="CW250" s="37" t="s">
        <v>202</v>
      </c>
      <c r="CX250" s="37" t="s">
        <v>202</v>
      </c>
      <c r="CY250" s="37" t="s">
        <v>202</v>
      </c>
      <c r="CZ250" s="37" t="s">
        <v>202</v>
      </c>
      <c r="DA250" s="37" t="s">
        <v>202</v>
      </c>
      <c r="DB250" s="37" t="s">
        <v>202</v>
      </c>
      <c r="DC250" s="37" t="s">
        <v>202</v>
      </c>
      <c r="DD250" s="37" t="s">
        <v>202</v>
      </c>
      <c r="DE250" s="37" t="s">
        <v>202</v>
      </c>
      <c r="DF250" s="37" t="s">
        <v>202</v>
      </c>
      <c r="DG250" s="37" t="s">
        <v>202</v>
      </c>
      <c r="DH250" s="37" t="s">
        <v>202</v>
      </c>
      <c r="DI250" s="37" t="s">
        <v>202</v>
      </c>
      <c r="DJ250" s="37" t="s">
        <v>202</v>
      </c>
      <c r="DK250" s="37" t="s">
        <v>202</v>
      </c>
      <c r="DL250" s="37" t="s">
        <v>202</v>
      </c>
      <c r="DM250" s="37" t="s">
        <v>202</v>
      </c>
      <c r="DN250" s="37" t="s">
        <v>202</v>
      </c>
      <c r="DO250" s="37" t="s">
        <v>202</v>
      </c>
      <c r="DP250" s="37" t="s">
        <v>202</v>
      </c>
      <c r="DQ250" s="37" t="s">
        <v>202</v>
      </c>
      <c r="DR250" s="37" t="s">
        <v>202</v>
      </c>
      <c r="DS250" s="37" t="s">
        <v>202</v>
      </c>
      <c r="DT250" s="37" t="s">
        <v>202</v>
      </c>
      <c r="DU250" s="37" t="s">
        <v>202</v>
      </c>
      <c r="DV250" s="37" t="s">
        <v>202</v>
      </c>
      <c r="DW250" s="37" t="s">
        <v>202</v>
      </c>
      <c r="DX250" s="37" t="s">
        <v>202</v>
      </c>
      <c r="DY250" s="37" t="s">
        <v>202</v>
      </c>
      <c r="DZ250" s="37" t="s">
        <v>202</v>
      </c>
      <c r="EA250" s="37" t="s">
        <v>202</v>
      </c>
      <c r="EB250" s="37" t="s">
        <v>202</v>
      </c>
      <c r="EC250" s="37" t="s">
        <v>202</v>
      </c>
      <c r="ED250" s="37" t="s">
        <v>202</v>
      </c>
      <c r="EE250" s="37" t="s">
        <v>202</v>
      </c>
      <c r="EF250" s="37" t="s">
        <v>202</v>
      </c>
      <c r="EG250" s="37" t="s">
        <v>202</v>
      </c>
      <c r="EH250" s="37" t="s">
        <v>202</v>
      </c>
      <c r="EI250" s="37" t="s">
        <v>202</v>
      </c>
      <c r="EJ250" s="37" t="s">
        <v>202</v>
      </c>
      <c r="EK250" s="37" t="s">
        <v>202</v>
      </c>
      <c r="EL250" s="37" t="s">
        <v>202</v>
      </c>
      <c r="EM250" s="37" t="s">
        <v>202</v>
      </c>
      <c r="EN250" s="37" t="s">
        <v>202</v>
      </c>
      <c r="EO250" s="37" t="s">
        <v>202</v>
      </c>
      <c r="EP250" s="37" t="s">
        <v>202</v>
      </c>
      <c r="EQ250" s="37" t="s">
        <v>202</v>
      </c>
      <c r="ER250" s="37" t="s">
        <v>202</v>
      </c>
      <c r="ES250" s="37" t="s">
        <v>202</v>
      </c>
      <c r="ET250" s="37" t="s">
        <v>202</v>
      </c>
      <c r="EU250" s="37" t="s">
        <v>202</v>
      </c>
      <c r="EV250" s="37" t="s">
        <v>202</v>
      </c>
      <c r="EW250" s="37" t="s">
        <v>202</v>
      </c>
      <c r="EX250" s="37" t="s">
        <v>202</v>
      </c>
      <c r="EY250" s="37" t="s">
        <v>202</v>
      </c>
      <c r="EZ250" s="37" t="s">
        <v>202</v>
      </c>
      <c r="FA250" s="37" t="s">
        <v>202</v>
      </c>
      <c r="FB250" s="37" t="s">
        <v>202</v>
      </c>
      <c r="FC250" s="37" t="s">
        <v>202</v>
      </c>
      <c r="FD250" s="37" t="s">
        <v>202</v>
      </c>
      <c r="FE250" s="37" t="s">
        <v>202</v>
      </c>
      <c r="FF250" s="37" t="s">
        <v>202</v>
      </c>
      <c r="FG250" s="37" t="s">
        <v>202</v>
      </c>
      <c r="FH250" s="37" t="s">
        <v>202</v>
      </c>
      <c r="FI250" s="37" t="s">
        <v>202</v>
      </c>
      <c r="FJ250" s="37" t="s">
        <v>202</v>
      </c>
      <c r="FK250" s="37" t="s">
        <v>202</v>
      </c>
      <c r="FL250" s="37" t="s">
        <v>202</v>
      </c>
      <c r="FM250" s="37" t="s">
        <v>202</v>
      </c>
      <c r="FN250" s="37" t="s">
        <v>202</v>
      </c>
      <c r="FO250" s="37" t="s">
        <v>202</v>
      </c>
      <c r="FP250" s="37" t="s">
        <v>202</v>
      </c>
      <c r="FQ250" s="37" t="s">
        <v>202</v>
      </c>
      <c r="FR250" s="37" t="s">
        <v>202</v>
      </c>
      <c r="FS250" s="37" t="s">
        <v>202</v>
      </c>
      <c r="FT250" s="37" t="s">
        <v>202</v>
      </c>
      <c r="FU250" s="37" t="s">
        <v>202</v>
      </c>
      <c r="FV250" s="37" t="s">
        <v>202</v>
      </c>
      <c r="FW250" s="37" t="s">
        <v>202</v>
      </c>
      <c r="FX250" s="37" t="s">
        <v>202</v>
      </c>
      <c r="FY250" s="37" t="s">
        <v>202</v>
      </c>
      <c r="FZ250" s="37" t="s">
        <v>202</v>
      </c>
      <c r="GA250" s="37" t="s">
        <v>202</v>
      </c>
      <c r="GB250" s="37" t="s">
        <v>202</v>
      </c>
      <c r="GC250" s="37" t="s">
        <v>202</v>
      </c>
      <c r="GD250" s="37" t="s">
        <v>202</v>
      </c>
      <c r="GE250" s="37" t="s">
        <v>202</v>
      </c>
      <c r="GF250" s="37" t="s">
        <v>202</v>
      </c>
      <c r="GG250" s="37" t="s">
        <v>202</v>
      </c>
      <c r="GH250" s="37" t="s">
        <v>202</v>
      </c>
      <c r="GI250" s="37" t="s">
        <v>202</v>
      </c>
      <c r="GJ250" s="37" t="s">
        <v>202</v>
      </c>
      <c r="GK250" s="37" t="s">
        <v>202</v>
      </c>
      <c r="GL250" s="37" t="s">
        <v>202</v>
      </c>
      <c r="GM250" s="37" t="s">
        <v>202</v>
      </c>
      <c r="GN250" s="37" t="s">
        <v>202</v>
      </c>
      <c r="GO250" s="37" t="s">
        <v>202</v>
      </c>
      <c r="GP250" s="37" t="s">
        <v>202</v>
      </c>
      <c r="GQ250" s="37" t="s">
        <v>202</v>
      </c>
      <c r="GR250" s="37" t="s">
        <v>202</v>
      </c>
      <c r="GS250" s="37" t="s">
        <v>202</v>
      </c>
      <c r="GT250" s="37" t="s">
        <v>202</v>
      </c>
      <c r="GU250" s="37" t="s">
        <v>202</v>
      </c>
      <c r="GV250" s="37" t="s">
        <v>202</v>
      </c>
      <c r="GW250" s="37" t="s">
        <v>202</v>
      </c>
      <c r="GX250" s="37" t="s">
        <v>202</v>
      </c>
      <c r="GY250" s="37" t="s">
        <v>202</v>
      </c>
    </row>
    <row r="251" spans="1:207" x14ac:dyDescent="0.3">
      <c r="K251" s="12" t="s">
        <v>1883</v>
      </c>
      <c r="L251" s="42" t="s">
        <v>2200</v>
      </c>
      <c r="M251" s="42" t="s">
        <v>2200</v>
      </c>
      <c r="N251" s="42" t="s">
        <v>2200</v>
      </c>
      <c r="O251" s="42" t="s">
        <v>2200</v>
      </c>
      <c r="P251" s="42" t="s">
        <v>2200</v>
      </c>
      <c r="Q251" s="42" t="s">
        <v>2200</v>
      </c>
      <c r="R251" s="42" t="s">
        <v>2200</v>
      </c>
      <c r="S251" s="34" t="s">
        <v>2201</v>
      </c>
      <c r="T251" s="42" t="s">
        <v>2200</v>
      </c>
      <c r="U251" s="34" t="s">
        <v>2201</v>
      </c>
      <c r="V251" s="42" t="s">
        <v>2200</v>
      </c>
      <c r="W251" s="42" t="s">
        <v>2200</v>
      </c>
      <c r="X251" s="42" t="s">
        <v>2200</v>
      </c>
      <c r="Y251" s="42" t="s">
        <v>2200</v>
      </c>
      <c r="Z251" s="42" t="s">
        <v>2200</v>
      </c>
      <c r="AA251" s="42" t="s">
        <v>2200</v>
      </c>
      <c r="AB251" s="42" t="s">
        <v>2200</v>
      </c>
      <c r="AC251" s="42" t="s">
        <v>2200</v>
      </c>
      <c r="AD251" s="42" t="s">
        <v>2200</v>
      </c>
      <c r="AE251" s="42" t="s">
        <v>2200</v>
      </c>
      <c r="AF251" s="42" t="s">
        <v>2200</v>
      </c>
      <c r="AG251" s="42" t="s">
        <v>2200</v>
      </c>
      <c r="AH251" s="42" t="s">
        <v>2200</v>
      </c>
      <c r="AI251" s="42" t="s">
        <v>2200</v>
      </c>
      <c r="AJ251" s="34" t="s">
        <v>2201</v>
      </c>
      <c r="AK251" s="42" t="s">
        <v>2200</v>
      </c>
      <c r="AL251" s="34" t="s">
        <v>2201</v>
      </c>
      <c r="AM251" s="42" t="s">
        <v>2200</v>
      </c>
      <c r="AN251" s="34" t="s">
        <v>2201</v>
      </c>
      <c r="AO251" s="42" t="s">
        <v>2200</v>
      </c>
      <c r="AP251" s="42" t="s">
        <v>2200</v>
      </c>
      <c r="AQ251" s="42" t="s">
        <v>2200</v>
      </c>
      <c r="AR251" s="34" t="s">
        <v>2201</v>
      </c>
      <c r="AS251" s="42" t="s">
        <v>2200</v>
      </c>
      <c r="AT251" s="42" t="s">
        <v>2200</v>
      </c>
      <c r="AU251" s="42" t="s">
        <v>2200</v>
      </c>
      <c r="AV251" s="42" t="s">
        <v>2200</v>
      </c>
      <c r="AW251" s="42" t="s">
        <v>2200</v>
      </c>
      <c r="AX251" s="42" t="s">
        <v>2200</v>
      </c>
      <c r="AY251" s="42" t="s">
        <v>2200</v>
      </c>
      <c r="AZ251" s="42" t="s">
        <v>2200</v>
      </c>
      <c r="BA251" s="42" t="s">
        <v>2200</v>
      </c>
      <c r="BB251" s="42" t="s">
        <v>2200</v>
      </c>
      <c r="BC251" s="42" t="s">
        <v>2200</v>
      </c>
      <c r="BD251" s="42" t="s">
        <v>2200</v>
      </c>
      <c r="BE251" s="42" t="s">
        <v>2200</v>
      </c>
      <c r="BF251" s="42" t="s">
        <v>2200</v>
      </c>
      <c r="BG251" s="42" t="s">
        <v>2200</v>
      </c>
      <c r="BH251" s="42" t="s">
        <v>2200</v>
      </c>
      <c r="BI251" s="42" t="s">
        <v>2200</v>
      </c>
      <c r="BJ251" s="42" t="s">
        <v>2200</v>
      </c>
      <c r="BK251" s="34" t="s">
        <v>2201</v>
      </c>
      <c r="BL251" s="34" t="s">
        <v>2201</v>
      </c>
      <c r="BM251" s="34" t="s">
        <v>2201</v>
      </c>
      <c r="BN251" s="34" t="s">
        <v>2201</v>
      </c>
      <c r="BO251" s="34" t="s">
        <v>2201</v>
      </c>
      <c r="BP251" s="34" t="s">
        <v>2201</v>
      </c>
      <c r="BQ251" s="34" t="s">
        <v>2201</v>
      </c>
      <c r="BR251" s="34" t="s">
        <v>2201</v>
      </c>
      <c r="BS251" s="34" t="s">
        <v>2201</v>
      </c>
      <c r="BT251" s="34" t="s">
        <v>2201</v>
      </c>
      <c r="BU251" s="34" t="s">
        <v>2201</v>
      </c>
      <c r="BV251" s="34" t="s">
        <v>2201</v>
      </c>
      <c r="BW251" s="34" t="s">
        <v>2201</v>
      </c>
      <c r="BX251" s="34" t="s">
        <v>2201</v>
      </c>
      <c r="BY251" s="34" t="s">
        <v>2201</v>
      </c>
      <c r="BZ251" s="34" t="s">
        <v>2201</v>
      </c>
      <c r="CA251" s="34" t="s">
        <v>2201</v>
      </c>
      <c r="CB251" s="34" t="s">
        <v>2201</v>
      </c>
      <c r="CC251" s="34" t="s">
        <v>2201</v>
      </c>
      <c r="CD251" s="34" t="s">
        <v>2201</v>
      </c>
      <c r="CE251" s="34" t="s">
        <v>2201</v>
      </c>
      <c r="CF251" s="34" t="s">
        <v>2201</v>
      </c>
      <c r="CG251" s="34" t="s">
        <v>2201</v>
      </c>
      <c r="CH251" s="34" t="s">
        <v>2201</v>
      </c>
      <c r="CI251" s="34" t="s">
        <v>2201</v>
      </c>
      <c r="CJ251" s="34" t="s">
        <v>2201</v>
      </c>
      <c r="CK251" s="34" t="s">
        <v>2201</v>
      </c>
      <c r="CL251" s="34" t="s">
        <v>2201</v>
      </c>
      <c r="CM251" s="34" t="s">
        <v>2201</v>
      </c>
      <c r="CN251" s="34" t="s">
        <v>2201</v>
      </c>
      <c r="CO251" s="34" t="s">
        <v>2201</v>
      </c>
      <c r="CP251" s="34" t="s">
        <v>2201</v>
      </c>
      <c r="CQ251" s="34" t="s">
        <v>2201</v>
      </c>
      <c r="CR251" s="34" t="s">
        <v>2201</v>
      </c>
      <c r="CS251" s="34" t="s">
        <v>2201</v>
      </c>
      <c r="CT251" s="34" t="s">
        <v>2201</v>
      </c>
      <c r="CU251" s="34" t="s">
        <v>2201</v>
      </c>
      <c r="CV251" s="34" t="s">
        <v>2201</v>
      </c>
      <c r="CW251" s="34" t="s">
        <v>2201</v>
      </c>
      <c r="CX251" s="34" t="s">
        <v>2201</v>
      </c>
      <c r="CY251" s="34" t="s">
        <v>2201</v>
      </c>
      <c r="CZ251" s="34" t="s">
        <v>2201</v>
      </c>
      <c r="DA251" s="34" t="s">
        <v>2201</v>
      </c>
      <c r="DB251" s="34" t="s">
        <v>2201</v>
      </c>
      <c r="DC251" s="34" t="s">
        <v>2201</v>
      </c>
      <c r="DD251" s="34" t="s">
        <v>2201</v>
      </c>
      <c r="DE251" s="34" t="s">
        <v>2201</v>
      </c>
      <c r="DF251" s="34" t="s">
        <v>2201</v>
      </c>
      <c r="DG251" s="34" t="s">
        <v>2201</v>
      </c>
      <c r="DH251" s="34" t="s">
        <v>2201</v>
      </c>
      <c r="DI251" s="34" t="s">
        <v>2201</v>
      </c>
      <c r="DJ251" s="34" t="s">
        <v>2201</v>
      </c>
      <c r="DK251" s="34" t="s">
        <v>2201</v>
      </c>
      <c r="DL251" s="34" t="s">
        <v>2201</v>
      </c>
      <c r="DM251" s="34" t="s">
        <v>2201</v>
      </c>
      <c r="DN251" s="34" t="s">
        <v>2201</v>
      </c>
      <c r="DO251" s="34" t="s">
        <v>2201</v>
      </c>
      <c r="DP251" s="34" t="s">
        <v>2201</v>
      </c>
      <c r="DQ251" s="34" t="s">
        <v>2201</v>
      </c>
      <c r="DR251" s="34" t="s">
        <v>2201</v>
      </c>
      <c r="DS251" s="34" t="s">
        <v>2201</v>
      </c>
      <c r="DT251" s="34" t="s">
        <v>2201</v>
      </c>
      <c r="DU251" s="34" t="s">
        <v>2201</v>
      </c>
      <c r="DV251" s="34" t="s">
        <v>2201</v>
      </c>
      <c r="DW251" s="34" t="s">
        <v>2201</v>
      </c>
      <c r="DX251" s="34" t="s">
        <v>2201</v>
      </c>
      <c r="DY251" s="34" t="s">
        <v>2201</v>
      </c>
      <c r="DZ251" s="34" t="s">
        <v>2201</v>
      </c>
      <c r="EA251" s="34" t="s">
        <v>2201</v>
      </c>
      <c r="EB251" s="34" t="s">
        <v>2201</v>
      </c>
      <c r="EC251" s="34" t="s">
        <v>2201</v>
      </c>
      <c r="ED251" s="34" t="s">
        <v>2201</v>
      </c>
      <c r="EE251" s="34" t="s">
        <v>2201</v>
      </c>
      <c r="EF251" s="34" t="s">
        <v>2201</v>
      </c>
      <c r="EG251" s="34" t="s">
        <v>2201</v>
      </c>
      <c r="EH251" s="34" t="s">
        <v>2201</v>
      </c>
      <c r="EI251" s="34" t="s">
        <v>2201</v>
      </c>
      <c r="EJ251" s="34" t="s">
        <v>2201</v>
      </c>
      <c r="EK251" s="34" t="s">
        <v>2201</v>
      </c>
      <c r="EL251" s="34" t="s">
        <v>2201</v>
      </c>
      <c r="EM251" s="34" t="s">
        <v>2201</v>
      </c>
      <c r="EN251" s="34" t="s">
        <v>2201</v>
      </c>
      <c r="EO251" s="34" t="s">
        <v>2201</v>
      </c>
      <c r="EP251" s="34" t="s">
        <v>2201</v>
      </c>
      <c r="EQ251" s="34" t="s">
        <v>2201</v>
      </c>
      <c r="ER251" s="34" t="s">
        <v>2201</v>
      </c>
      <c r="ES251" s="34" t="s">
        <v>2201</v>
      </c>
      <c r="ET251" s="34" t="s">
        <v>2201</v>
      </c>
      <c r="EU251" s="34" t="s">
        <v>2201</v>
      </c>
      <c r="EV251" s="34" t="s">
        <v>2201</v>
      </c>
      <c r="EW251" s="34" t="s">
        <v>2201</v>
      </c>
      <c r="EX251" s="34" t="s">
        <v>2201</v>
      </c>
      <c r="EY251" s="34" t="s">
        <v>2201</v>
      </c>
      <c r="EZ251" s="34" t="s">
        <v>2201</v>
      </c>
      <c r="FA251" s="34" t="s">
        <v>2201</v>
      </c>
      <c r="FB251" s="34" t="s">
        <v>2201</v>
      </c>
      <c r="FC251" s="34" t="s">
        <v>2201</v>
      </c>
      <c r="FD251" s="34" t="s">
        <v>2201</v>
      </c>
      <c r="FE251" s="34" t="s">
        <v>2201</v>
      </c>
      <c r="FF251" s="34" t="s">
        <v>2201</v>
      </c>
      <c r="FG251" s="34" t="s">
        <v>2201</v>
      </c>
      <c r="FH251" s="34" t="s">
        <v>2201</v>
      </c>
      <c r="FI251" s="34" t="s">
        <v>2201</v>
      </c>
      <c r="FJ251" s="34" t="s">
        <v>2201</v>
      </c>
      <c r="FK251" s="34" t="s">
        <v>2201</v>
      </c>
      <c r="FL251" s="34" t="s">
        <v>2201</v>
      </c>
      <c r="FM251" s="34" t="s">
        <v>2201</v>
      </c>
      <c r="FN251" s="34" t="s">
        <v>2201</v>
      </c>
      <c r="FO251" s="34" t="s">
        <v>2201</v>
      </c>
      <c r="FP251" s="34" t="s">
        <v>2201</v>
      </c>
      <c r="FQ251" s="34" t="s">
        <v>2201</v>
      </c>
      <c r="FR251" s="34" t="s">
        <v>2201</v>
      </c>
      <c r="FS251" s="34" t="s">
        <v>2201</v>
      </c>
      <c r="FT251" s="34" t="s">
        <v>2201</v>
      </c>
      <c r="FU251" s="34" t="s">
        <v>2201</v>
      </c>
      <c r="FV251" s="34" t="s">
        <v>2201</v>
      </c>
      <c r="FW251" s="34" t="s">
        <v>2201</v>
      </c>
      <c r="FX251" s="34" t="s">
        <v>2201</v>
      </c>
      <c r="FY251" s="34" t="s">
        <v>2201</v>
      </c>
      <c r="FZ251" s="34" t="s">
        <v>2201</v>
      </c>
      <c r="GA251" s="34" t="s">
        <v>2201</v>
      </c>
      <c r="GB251" s="34" t="s">
        <v>2201</v>
      </c>
      <c r="GC251" s="34" t="s">
        <v>2201</v>
      </c>
      <c r="GD251" s="34" t="s">
        <v>2201</v>
      </c>
      <c r="GE251" s="34" t="s">
        <v>2201</v>
      </c>
      <c r="GF251" s="34" t="s">
        <v>2201</v>
      </c>
      <c r="GG251" s="34" t="s">
        <v>2201</v>
      </c>
      <c r="GH251" s="34" t="s">
        <v>2201</v>
      </c>
      <c r="GI251" s="34" t="s">
        <v>2201</v>
      </c>
      <c r="GJ251" s="34" t="s">
        <v>2201</v>
      </c>
      <c r="GK251" s="34" t="s">
        <v>2201</v>
      </c>
      <c r="GL251" s="34" t="s">
        <v>2201</v>
      </c>
      <c r="GM251" s="34" t="s">
        <v>2201</v>
      </c>
      <c r="GN251" s="34" t="s">
        <v>2201</v>
      </c>
      <c r="GO251" s="34" t="s">
        <v>2201</v>
      </c>
      <c r="GP251" s="34" t="s">
        <v>2201</v>
      </c>
      <c r="GQ251" s="34" t="s">
        <v>2201</v>
      </c>
      <c r="GR251" s="34" t="s">
        <v>2201</v>
      </c>
      <c r="GS251" s="34" t="s">
        <v>2201</v>
      </c>
      <c r="GT251" s="34" t="s">
        <v>2201</v>
      </c>
      <c r="GU251" s="34" t="s">
        <v>2201</v>
      </c>
      <c r="GV251" s="34" t="s">
        <v>2201</v>
      </c>
      <c r="GW251" s="34" t="s">
        <v>2201</v>
      </c>
      <c r="GX251" s="34" t="s">
        <v>2201</v>
      </c>
      <c r="GY251" s="34" t="s">
        <v>2201</v>
      </c>
    </row>
    <row r="253" spans="1:207" x14ac:dyDescent="0.3">
      <c r="K253" t="s">
        <v>1421</v>
      </c>
      <c r="L253" s="24" t="s">
        <v>21</v>
      </c>
      <c r="M253" s="24" t="s">
        <v>22</v>
      </c>
      <c r="N253" s="24" t="s">
        <v>23</v>
      </c>
      <c r="O253" s="24" t="s">
        <v>24</v>
      </c>
      <c r="P253" s="24" t="s">
        <v>96</v>
      </c>
      <c r="Q253" s="24" t="s">
        <v>153</v>
      </c>
      <c r="R253" s="24" t="s">
        <v>191</v>
      </c>
      <c r="S253" s="24" t="s">
        <v>832</v>
      </c>
      <c r="T253" s="24" t="s">
        <v>833</v>
      </c>
      <c r="U253" s="24" t="s">
        <v>1229</v>
      </c>
      <c r="V253" s="24" t="s">
        <v>931</v>
      </c>
      <c r="W253" s="24" t="s">
        <v>1292</v>
      </c>
      <c r="X253" s="24" t="s">
        <v>27</v>
      </c>
      <c r="Y253" s="24" t="s">
        <v>28</v>
      </c>
      <c r="Z253" s="24" t="s">
        <v>29</v>
      </c>
      <c r="AA253" s="24" t="s">
        <v>154</v>
      </c>
      <c r="AB253" s="24" t="s">
        <v>312</v>
      </c>
      <c r="AC253" s="24" t="s">
        <v>31</v>
      </c>
      <c r="AD253" s="24" t="s">
        <v>34</v>
      </c>
      <c r="AE253" s="24" t="s">
        <v>35</v>
      </c>
      <c r="AF253" s="24" t="s">
        <v>550</v>
      </c>
      <c r="AG253" s="24" t="s">
        <v>122</v>
      </c>
      <c r="AH253" s="24" t="s">
        <v>232</v>
      </c>
      <c r="AI253" s="24" t="s">
        <v>419</v>
      </c>
      <c r="AJ253" s="24" t="s">
        <v>534</v>
      </c>
      <c r="AK253" s="24" t="s">
        <v>573</v>
      </c>
      <c r="AL253" s="24" t="s">
        <v>1347</v>
      </c>
      <c r="AM253" s="24" t="s">
        <v>712</v>
      </c>
      <c r="AN253" s="24" t="s">
        <v>733</v>
      </c>
      <c r="AO253" s="24" t="s">
        <v>1239</v>
      </c>
      <c r="AP253" s="24" t="s">
        <v>1040</v>
      </c>
      <c r="AQ253" s="24" t="s">
        <v>995</v>
      </c>
      <c r="AR253" s="24" t="s">
        <v>582</v>
      </c>
      <c r="AS253" s="24" t="s">
        <v>37</v>
      </c>
      <c r="AT253" s="24" t="s">
        <v>38</v>
      </c>
      <c r="AU253" s="24" t="s">
        <v>1398</v>
      </c>
      <c r="AV253" s="24" t="s">
        <v>83</v>
      </c>
      <c r="AW253" s="24" t="s">
        <v>39</v>
      </c>
      <c r="AX253" s="24" t="s">
        <v>40</v>
      </c>
      <c r="AY253" s="24" t="s">
        <v>77</v>
      </c>
      <c r="AZ253" s="24" t="s">
        <v>42</v>
      </c>
      <c r="BA253" s="24" t="s">
        <v>118</v>
      </c>
      <c r="BB253" s="24" t="s">
        <v>208</v>
      </c>
      <c r="BC253" s="24" t="s">
        <v>353</v>
      </c>
      <c r="BD253" s="24" t="s">
        <v>354</v>
      </c>
      <c r="BE253" s="24" t="s">
        <v>422</v>
      </c>
      <c r="BF253" s="24" t="s">
        <v>431</v>
      </c>
      <c r="BG253" s="24" t="s">
        <v>437</v>
      </c>
      <c r="BH253" s="24" t="s">
        <v>532</v>
      </c>
      <c r="BI253" s="24" t="s">
        <v>861</v>
      </c>
      <c r="BJ253" s="24" t="s">
        <v>235</v>
      </c>
      <c r="BK253" s="24" t="s">
        <v>423</v>
      </c>
      <c r="BL253" s="24" t="s">
        <v>311</v>
      </c>
      <c r="BM253" s="24" t="s">
        <v>60</v>
      </c>
      <c r="BN253" s="24" t="s">
        <v>117</v>
      </c>
      <c r="BO253" s="24" t="s">
        <v>957</v>
      </c>
      <c r="BP253" s="24" t="s">
        <v>695</v>
      </c>
      <c r="BQ253" s="24" t="s">
        <v>32</v>
      </c>
      <c r="BR253" s="24" t="s">
        <v>33</v>
      </c>
      <c r="BS253" s="24" t="s">
        <v>59</v>
      </c>
      <c r="BT253" s="24" t="s">
        <v>358</v>
      </c>
      <c r="BU253" s="24" t="s">
        <v>187</v>
      </c>
      <c r="BV253" s="24" t="s">
        <v>420</v>
      </c>
      <c r="BW253" s="24" t="s">
        <v>541</v>
      </c>
      <c r="BX253" s="24" t="s">
        <v>576</v>
      </c>
      <c r="BY253" s="24" t="s">
        <v>580</v>
      </c>
      <c r="BZ253" s="24" t="s">
        <v>593</v>
      </c>
      <c r="CA253" s="24" t="s">
        <v>971</v>
      </c>
      <c r="CB253" s="24" t="s">
        <v>1036</v>
      </c>
      <c r="CC253" s="24" t="s">
        <v>1129</v>
      </c>
      <c r="CD253" s="24" t="s">
        <v>371</v>
      </c>
      <c r="CE253" s="24" t="s">
        <v>421</v>
      </c>
      <c r="CF253" s="24" t="s">
        <v>209</v>
      </c>
      <c r="CG253" s="24" t="s">
        <v>138</v>
      </c>
      <c r="CH253" s="24" t="s">
        <v>43</v>
      </c>
      <c r="CI253" s="24" t="s">
        <v>109</v>
      </c>
      <c r="CJ253" s="24" t="s">
        <v>110</v>
      </c>
      <c r="CK253" s="24" t="s">
        <v>535</v>
      </c>
      <c r="CL253" s="24" t="s">
        <v>536</v>
      </c>
      <c r="CM253" s="24" t="s">
        <v>951</v>
      </c>
      <c r="CN253" s="24" t="s">
        <v>959</v>
      </c>
      <c r="CO253" s="24" t="s">
        <v>1279</v>
      </c>
      <c r="CP253" s="24" t="s">
        <v>1075</v>
      </c>
      <c r="CQ253" s="24" t="s">
        <v>244</v>
      </c>
      <c r="CR253" s="24" t="s">
        <v>531</v>
      </c>
      <c r="CS253" s="24" t="s">
        <v>586</v>
      </c>
      <c r="CT253" s="24" t="s">
        <v>45</v>
      </c>
      <c r="CU253" s="24" t="s">
        <v>137</v>
      </c>
      <c r="CV253" s="24" t="s">
        <v>139</v>
      </c>
      <c r="CW253" s="24" t="s">
        <v>140</v>
      </c>
      <c r="CX253" s="24" t="s">
        <v>81</v>
      </c>
      <c r="CY253" s="24" t="s">
        <v>155</v>
      </c>
      <c r="CZ253" s="24" t="s">
        <v>163</v>
      </c>
      <c r="DA253" s="24" t="s">
        <v>165</v>
      </c>
      <c r="DB253" s="24" t="s">
        <v>240</v>
      </c>
      <c r="DC253" s="24" t="s">
        <v>336</v>
      </c>
      <c r="DD253" s="24" t="s">
        <v>337</v>
      </c>
      <c r="DE253" s="24" t="s">
        <v>338</v>
      </c>
      <c r="DF253" s="24" t="s">
        <v>424</v>
      </c>
      <c r="DG253" s="24" t="s">
        <v>533</v>
      </c>
      <c r="DH253" s="24" t="s">
        <v>558</v>
      </c>
      <c r="DI253" s="24" t="s">
        <v>559</v>
      </c>
      <c r="DJ253" s="24" t="s">
        <v>560</v>
      </c>
      <c r="DK253" s="24" t="s">
        <v>561</v>
      </c>
      <c r="DL253" s="24" t="s">
        <v>562</v>
      </c>
      <c r="DM253" s="24" t="s">
        <v>563</v>
      </c>
      <c r="DN253" s="24" t="s">
        <v>574</v>
      </c>
      <c r="DO253" s="24" t="s">
        <v>575</v>
      </c>
      <c r="DP253" s="24" t="s">
        <v>581</v>
      </c>
      <c r="DQ253" s="24" t="s">
        <v>592</v>
      </c>
      <c r="DR253" s="24" t="s">
        <v>599</v>
      </c>
      <c r="DS253" s="24" t="s">
        <v>679</v>
      </c>
      <c r="DT253" s="24" t="s">
        <v>1424</v>
      </c>
      <c r="DU253" s="24" t="s">
        <v>694</v>
      </c>
      <c r="DV253" s="24" t="s">
        <v>696</v>
      </c>
      <c r="DW253" s="24" t="s">
        <v>697</v>
      </c>
      <c r="DX253" s="24" t="s">
        <v>704</v>
      </c>
      <c r="DY253" s="24" t="s">
        <v>708</v>
      </c>
      <c r="DZ253" s="24" t="s">
        <v>454</v>
      </c>
      <c r="EA253" s="24" t="s">
        <v>865</v>
      </c>
      <c r="EB253" s="24" t="s">
        <v>866</v>
      </c>
      <c r="EC253" s="24" t="s">
        <v>867</v>
      </c>
      <c r="ED253" s="24" t="s">
        <v>868</v>
      </c>
      <c r="EE253" s="24" t="s">
        <v>705</v>
      </c>
      <c r="EF253" s="24" t="s">
        <v>706</v>
      </c>
      <c r="EG253" s="24" t="s">
        <v>707</v>
      </c>
      <c r="EH253" s="24" t="s">
        <v>709</v>
      </c>
      <c r="EI253" s="24" t="s">
        <v>710</v>
      </c>
      <c r="EJ253" s="24" t="s">
        <v>711</v>
      </c>
      <c r="EK253" s="24" t="s">
        <v>713</v>
      </c>
      <c r="EL253" s="24" t="s">
        <v>722</v>
      </c>
      <c r="EM253" s="24" t="s">
        <v>723</v>
      </c>
      <c r="EN253" s="24" t="s">
        <v>724</v>
      </c>
      <c r="EO253" s="24" t="s">
        <v>725</v>
      </c>
      <c r="EP253" s="24" t="s">
        <v>746</v>
      </c>
      <c r="EQ253" s="24" t="s">
        <v>747</v>
      </c>
      <c r="ER253" s="24" t="s">
        <v>748</v>
      </c>
      <c r="ES253" s="24" t="s">
        <v>1218</v>
      </c>
      <c r="ET253" s="24" t="s">
        <v>754</v>
      </c>
      <c r="EU253" s="24" t="s">
        <v>755</v>
      </c>
      <c r="EV253" s="24" t="s">
        <v>756</v>
      </c>
      <c r="EW253" s="24" t="s">
        <v>1220</v>
      </c>
      <c r="EX253" s="24" t="s">
        <v>757</v>
      </c>
      <c r="EY253" s="24" t="s">
        <v>767</v>
      </c>
      <c r="EZ253" s="24" t="s">
        <v>768</v>
      </c>
      <c r="FA253" s="24" t="s">
        <v>769</v>
      </c>
      <c r="FB253" s="24" t="s">
        <v>770</v>
      </c>
      <c r="FC253" s="24" t="s">
        <v>771</v>
      </c>
      <c r="FD253" s="24" t="s">
        <v>772</v>
      </c>
      <c r="FE253" s="24" t="s">
        <v>773</v>
      </c>
      <c r="FF253" s="24" t="s">
        <v>774</v>
      </c>
      <c r="FG253" s="24" t="s">
        <v>775</v>
      </c>
      <c r="FH253" s="24" t="s">
        <v>776</v>
      </c>
      <c r="FI253" s="24" t="s">
        <v>777</v>
      </c>
      <c r="FJ253" s="24" t="s">
        <v>778</v>
      </c>
      <c r="FK253" s="24" t="s">
        <v>779</v>
      </c>
      <c r="FL253" s="24" t="s">
        <v>780</v>
      </c>
      <c r="FM253" s="24" t="s">
        <v>781</v>
      </c>
      <c r="FN253" s="24" t="s">
        <v>816</v>
      </c>
      <c r="FO253" s="24" t="s">
        <v>837</v>
      </c>
      <c r="FP253" s="24" t="s">
        <v>846</v>
      </c>
      <c r="FQ253" s="24" t="s">
        <v>847</v>
      </c>
      <c r="FR253" s="24" t="s">
        <v>848</v>
      </c>
      <c r="FS253" s="24" t="s">
        <v>849</v>
      </c>
      <c r="FT253" s="24" t="s">
        <v>850</v>
      </c>
      <c r="FU253" s="24" t="s">
        <v>1039</v>
      </c>
      <c r="FV253" s="24" t="s">
        <v>862</v>
      </c>
      <c r="FW253" s="24" t="s">
        <v>901</v>
      </c>
      <c r="FX253" s="24" t="s">
        <v>902</v>
      </c>
      <c r="FY253" s="24" t="s">
        <v>903</v>
      </c>
      <c r="FZ253" s="24" t="s">
        <v>904</v>
      </c>
      <c r="GA253" s="24" t="s">
        <v>905</v>
      </c>
      <c r="GB253" s="24" t="s">
        <v>906</v>
      </c>
      <c r="GC253" s="24" t="s">
        <v>922</v>
      </c>
      <c r="GD253" s="24" t="s">
        <v>936</v>
      </c>
      <c r="GE253" s="24" t="s">
        <v>937</v>
      </c>
      <c r="GF253" s="24" t="s">
        <v>938</v>
      </c>
      <c r="GG253" s="24" t="s">
        <v>939</v>
      </c>
      <c r="GH253" s="24" t="s">
        <v>940</v>
      </c>
      <c r="GI253" s="24" t="s">
        <v>958</v>
      </c>
      <c r="GJ253" s="24" t="s">
        <v>960</v>
      </c>
      <c r="GK253" s="24" t="s">
        <v>968</v>
      </c>
      <c r="GL253" s="24" t="s">
        <v>969</v>
      </c>
      <c r="GM253" s="24" t="s">
        <v>970</v>
      </c>
      <c r="GN253" s="24" t="s">
        <v>1025</v>
      </c>
      <c r="GO253" s="24" t="s">
        <v>1026</v>
      </c>
      <c r="GP253" s="24" t="s">
        <v>1027</v>
      </c>
      <c r="GQ253" s="24" t="s">
        <v>1028</v>
      </c>
      <c r="GR253" s="24" t="s">
        <v>1029</v>
      </c>
      <c r="GS253" s="24" t="s">
        <v>1030</v>
      </c>
      <c r="GT253" s="24" t="s">
        <v>1031</v>
      </c>
      <c r="GU253" s="24" t="s">
        <v>1032</v>
      </c>
      <c r="GV253" s="24" t="s">
        <v>1051</v>
      </c>
      <c r="GW253" s="24" t="s">
        <v>1107</v>
      </c>
      <c r="GX253" s="24" t="s">
        <v>1128</v>
      </c>
      <c r="GY253" s="25" t="s">
        <v>1151</v>
      </c>
    </row>
    <row r="254" spans="1:207" x14ac:dyDescent="0.3">
      <c r="K254" t="s">
        <v>645</v>
      </c>
      <c r="L254" s="2" t="s">
        <v>202</v>
      </c>
      <c r="M254" s="2" t="s">
        <v>202</v>
      </c>
      <c r="N254" s="2" t="s">
        <v>202</v>
      </c>
      <c r="O254" s="2" t="s">
        <v>202</v>
      </c>
      <c r="P254" s="2" t="s">
        <v>202</v>
      </c>
      <c r="Q254" s="2" t="s">
        <v>202</v>
      </c>
      <c r="R254" s="2" t="s">
        <v>202</v>
      </c>
      <c r="S254" t="s">
        <v>2426</v>
      </c>
      <c r="T254" t="s">
        <v>421</v>
      </c>
      <c r="U254" t="s">
        <v>1336</v>
      </c>
      <c r="V254" s="2" t="s">
        <v>202</v>
      </c>
      <c r="W254" t="s">
        <v>1337</v>
      </c>
      <c r="X254" s="2" t="s">
        <v>202</v>
      </c>
      <c r="Y254" s="2" t="s">
        <v>202</v>
      </c>
      <c r="Z254" s="2" t="s">
        <v>202</v>
      </c>
      <c r="AA254" t="s">
        <v>1404</v>
      </c>
      <c r="AB254" t="s">
        <v>1405</v>
      </c>
      <c r="AC254" s="2" t="s">
        <v>202</v>
      </c>
      <c r="AD254" s="2" t="s">
        <v>202</v>
      </c>
      <c r="AE254" s="2" t="s">
        <v>202</v>
      </c>
      <c r="AF254" s="2" t="s">
        <v>202</v>
      </c>
      <c r="AG254" s="2" t="s">
        <v>202</v>
      </c>
      <c r="AH254" t="s">
        <v>1406</v>
      </c>
      <c r="AI254" s="2" t="s">
        <v>202</v>
      </c>
      <c r="AJ254" t="s">
        <v>1344</v>
      </c>
      <c r="AK254" t="s">
        <v>1357</v>
      </c>
      <c r="AL254" s="2" t="s">
        <v>202</v>
      </c>
      <c r="AM254" t="s">
        <v>1350</v>
      </c>
      <c r="AN254" t="s">
        <v>1354</v>
      </c>
      <c r="AO254" t="s">
        <v>1407</v>
      </c>
      <c r="AP254" t="s">
        <v>2427</v>
      </c>
      <c r="AQ254" s="2" t="s">
        <v>202</v>
      </c>
      <c r="AR254" t="s">
        <v>1409</v>
      </c>
      <c r="AS254" s="2" t="s">
        <v>202</v>
      </c>
      <c r="AT254" s="2" t="s">
        <v>202</v>
      </c>
      <c r="AU254" s="2" t="s">
        <v>202</v>
      </c>
      <c r="AV254" s="2" t="s">
        <v>202</v>
      </c>
      <c r="AW254" s="2" t="s">
        <v>202</v>
      </c>
      <c r="AX254" s="2" t="s">
        <v>202</v>
      </c>
      <c r="AY254" t="s">
        <v>1408</v>
      </c>
      <c r="AZ254" t="s">
        <v>1410</v>
      </c>
      <c r="BA254" s="2" t="s">
        <v>202</v>
      </c>
      <c r="BB254" t="s">
        <v>1370</v>
      </c>
      <c r="BC254" t="s">
        <v>1200</v>
      </c>
      <c r="BD254" t="s">
        <v>1201</v>
      </c>
      <c r="BE254" t="s">
        <v>1370</v>
      </c>
      <c r="BF254" s="2" t="s">
        <v>202</v>
      </c>
      <c r="BG254" t="s">
        <v>1390</v>
      </c>
      <c r="BH254" t="s">
        <v>1203</v>
      </c>
      <c r="BI254" s="2" t="s">
        <v>202</v>
      </c>
      <c r="BJ254" t="s">
        <v>1197</v>
      </c>
      <c r="BK254" t="s">
        <v>1240</v>
      </c>
      <c r="BL254" t="s">
        <v>1339</v>
      </c>
      <c r="BM254" s="2" t="s">
        <v>202</v>
      </c>
      <c r="BN254" t="s">
        <v>1328</v>
      </c>
      <c r="BO254" s="2" t="s">
        <v>202</v>
      </c>
      <c r="BP254" s="2" t="s">
        <v>202</v>
      </c>
      <c r="BQ254" t="s">
        <v>2557</v>
      </c>
      <c r="BR254" s="2" t="s">
        <v>202</v>
      </c>
      <c r="BS254" s="2" t="s">
        <v>202</v>
      </c>
      <c r="BT254" s="2" t="s">
        <v>202</v>
      </c>
      <c r="BU254" s="2" t="s">
        <v>202</v>
      </c>
      <c r="BV254" t="s">
        <v>1342</v>
      </c>
      <c r="BW254" t="s">
        <v>1412</v>
      </c>
      <c r="BX254" s="2" t="s">
        <v>202</v>
      </c>
      <c r="BY254" t="s">
        <v>1346</v>
      </c>
      <c r="BZ254" t="s">
        <v>1413</v>
      </c>
      <c r="CA254" s="2" t="s">
        <v>202</v>
      </c>
      <c r="CB254" s="2" t="s">
        <v>202</v>
      </c>
      <c r="CC254" s="2" t="s">
        <v>202</v>
      </c>
      <c r="CD254" t="s">
        <v>1202</v>
      </c>
      <c r="CE254" t="s">
        <v>1397</v>
      </c>
      <c r="CF254" t="s">
        <v>1414</v>
      </c>
      <c r="CG254" s="2" t="s">
        <v>202</v>
      </c>
      <c r="CH254" t="s">
        <v>1373</v>
      </c>
      <c r="CI254" t="s">
        <v>1376</v>
      </c>
      <c r="CJ254" t="s">
        <v>1415</v>
      </c>
      <c r="CK254" s="2" t="s">
        <v>202</v>
      </c>
      <c r="CL254" t="s">
        <v>1394</v>
      </c>
      <c r="CM254" s="2" t="s">
        <v>202</v>
      </c>
      <c r="CN254" t="s">
        <v>1259</v>
      </c>
      <c r="CO254" t="s">
        <v>1395</v>
      </c>
      <c r="CP254" t="s">
        <v>1395</v>
      </c>
      <c r="CQ254" t="s">
        <v>1298</v>
      </c>
      <c r="CR254" t="s">
        <v>1299</v>
      </c>
      <c r="CS254" t="s">
        <v>1418</v>
      </c>
      <c r="CT254" t="s">
        <v>1186</v>
      </c>
      <c r="CU254" t="s">
        <v>1187</v>
      </c>
      <c r="CV254" t="s">
        <v>1189</v>
      </c>
      <c r="CW254" t="s">
        <v>1192</v>
      </c>
      <c r="CX254" t="s">
        <v>1193</v>
      </c>
      <c r="CY254" t="s">
        <v>1194</v>
      </c>
      <c r="CZ254" t="s">
        <v>1195</v>
      </c>
      <c r="DA254" t="s">
        <v>1196</v>
      </c>
      <c r="DB254" s="2" t="s">
        <v>202</v>
      </c>
      <c r="DC254" s="2" t="s">
        <v>202</v>
      </c>
      <c r="DD254" t="s">
        <v>1198</v>
      </c>
      <c r="DE254" t="s">
        <v>1199</v>
      </c>
      <c r="DF254" s="2" t="s">
        <v>202</v>
      </c>
      <c r="DG254" s="2" t="s">
        <v>202</v>
      </c>
      <c r="DH254" t="s">
        <v>1207</v>
      </c>
      <c r="DI254" t="s">
        <v>1208</v>
      </c>
      <c r="DJ254" s="2" t="s">
        <v>202</v>
      </c>
      <c r="DK254" s="2" t="s">
        <v>202</v>
      </c>
      <c r="DL254" t="s">
        <v>1207</v>
      </c>
      <c r="DM254" s="2" t="s">
        <v>202</v>
      </c>
      <c r="DN254" s="2" t="s">
        <v>202</v>
      </c>
      <c r="DO254" s="2" t="s">
        <v>202</v>
      </c>
      <c r="DP254" s="2" t="s">
        <v>202</v>
      </c>
      <c r="DQ254" s="2" t="s">
        <v>202</v>
      </c>
      <c r="DR254" s="2" t="s">
        <v>202</v>
      </c>
      <c r="DS254" s="2" t="s">
        <v>202</v>
      </c>
      <c r="DT254" s="2" t="s">
        <v>202</v>
      </c>
      <c r="DU254" s="2" t="s">
        <v>202</v>
      </c>
      <c r="DV254" s="2" t="s">
        <v>202</v>
      </c>
      <c r="DW254" s="2" t="s">
        <v>202</v>
      </c>
      <c r="DX254" s="2" t="s">
        <v>202</v>
      </c>
      <c r="DY254" s="2" t="s">
        <v>202</v>
      </c>
      <c r="DZ254" s="2" t="s">
        <v>202</v>
      </c>
      <c r="EA254" s="2" t="s">
        <v>202</v>
      </c>
      <c r="EB254" s="2" t="s">
        <v>202</v>
      </c>
      <c r="EC254" s="2" t="s">
        <v>202</v>
      </c>
      <c r="ED254" s="2" t="s">
        <v>202</v>
      </c>
      <c r="EE254" t="s">
        <v>1210</v>
      </c>
      <c r="EF254" t="s">
        <v>1211</v>
      </c>
      <c r="EG254" t="s">
        <v>1212</v>
      </c>
      <c r="EH254" t="s">
        <v>1213</v>
      </c>
      <c r="EI254" t="s">
        <v>1214</v>
      </c>
      <c r="EJ254" t="s">
        <v>1213</v>
      </c>
      <c r="EK254" t="s">
        <v>1210</v>
      </c>
      <c r="EL254" t="s">
        <v>1215</v>
      </c>
      <c r="EM254" t="s">
        <v>1213</v>
      </c>
      <c r="EN254" t="s">
        <v>1215</v>
      </c>
      <c r="EO254" t="s">
        <v>1216</v>
      </c>
      <c r="EP254" t="s">
        <v>1217</v>
      </c>
      <c r="EQ254" t="s">
        <v>1203</v>
      </c>
      <c r="ER254" t="s">
        <v>1217</v>
      </c>
      <c r="ES254" t="s">
        <v>1217</v>
      </c>
      <c r="ET254" t="s">
        <v>2428</v>
      </c>
      <c r="EU254" t="s">
        <v>1217</v>
      </c>
      <c r="EV254" t="s">
        <v>1219</v>
      </c>
      <c r="EW254" t="s">
        <v>1217</v>
      </c>
      <c r="EX254" t="s">
        <v>1209</v>
      </c>
      <c r="EY254" t="s">
        <v>1203</v>
      </c>
      <c r="EZ254" t="s">
        <v>1221</v>
      </c>
      <c r="FA254" t="s">
        <v>1222</v>
      </c>
      <c r="FB254" t="s">
        <v>1203</v>
      </c>
      <c r="FC254" t="s">
        <v>1203</v>
      </c>
      <c r="FD254" t="s">
        <v>1213</v>
      </c>
      <c r="FE254" t="s">
        <v>1213</v>
      </c>
      <c r="FF254" t="s">
        <v>1223</v>
      </c>
      <c r="FG254" t="s">
        <v>1224</v>
      </c>
      <c r="FH254" t="s">
        <v>1225</v>
      </c>
      <c r="FI254" t="s">
        <v>1225</v>
      </c>
      <c r="FJ254" t="s">
        <v>1213</v>
      </c>
      <c r="FK254" t="s">
        <v>1226</v>
      </c>
      <c r="FL254" t="s">
        <v>1228</v>
      </c>
      <c r="FM254" t="s">
        <v>1231</v>
      </c>
      <c r="FN254" t="s">
        <v>1211</v>
      </c>
      <c r="FO254" t="s">
        <v>1231</v>
      </c>
      <c r="FP254" t="s">
        <v>1237</v>
      </c>
      <c r="FQ254" t="s">
        <v>1238</v>
      </c>
      <c r="FR254" t="s">
        <v>1231</v>
      </c>
      <c r="FS254" t="s">
        <v>1203</v>
      </c>
      <c r="FT254" t="s">
        <v>1238</v>
      </c>
      <c r="FU254" s="2" t="s">
        <v>202</v>
      </c>
      <c r="FV254" t="s">
        <v>1240</v>
      </c>
      <c r="FW254" t="s">
        <v>1203</v>
      </c>
      <c r="FX254" t="s">
        <v>1244</v>
      </c>
      <c r="FY254" t="s">
        <v>1246</v>
      </c>
      <c r="FZ254" t="s">
        <v>1237</v>
      </c>
      <c r="GA254" t="s">
        <v>1237</v>
      </c>
      <c r="GB254" t="s">
        <v>1244</v>
      </c>
      <c r="GC254" t="s">
        <v>1231</v>
      </c>
      <c r="GD254" t="s">
        <v>1217</v>
      </c>
      <c r="GE254" t="s">
        <v>1251</v>
      </c>
      <c r="GF254" t="s">
        <v>1253</v>
      </c>
      <c r="GG254" t="s">
        <v>1203</v>
      </c>
      <c r="GH254" t="s">
        <v>1419</v>
      </c>
      <c r="GI254" t="s">
        <v>1261</v>
      </c>
      <c r="GJ254" t="s">
        <v>1420</v>
      </c>
      <c r="GK254" s="2" t="s">
        <v>202</v>
      </c>
      <c r="GL254" t="s">
        <v>1187</v>
      </c>
      <c r="GM254" t="s">
        <v>1296</v>
      </c>
      <c r="GN254" t="s">
        <v>1265</v>
      </c>
      <c r="GO254" t="s">
        <v>1268</v>
      </c>
      <c r="GP254" t="s">
        <v>1290</v>
      </c>
      <c r="GQ254" t="s">
        <v>1270</v>
      </c>
      <c r="GR254" t="s">
        <v>1271</v>
      </c>
      <c r="GS254" t="s">
        <v>1272</v>
      </c>
      <c r="GT254" t="s">
        <v>1275</v>
      </c>
      <c r="GU254" t="s">
        <v>2429</v>
      </c>
      <c r="GV254" t="s">
        <v>1278</v>
      </c>
      <c r="GW254" t="s">
        <v>1281</v>
      </c>
      <c r="GX254" t="s">
        <v>1284</v>
      </c>
      <c r="GY254" t="s">
        <v>1286</v>
      </c>
    </row>
    <row r="255" spans="1:207" x14ac:dyDescent="0.3">
      <c r="K255" s="12" t="s">
        <v>1318</v>
      </c>
      <c r="L255" s="12" t="s">
        <v>1323</v>
      </c>
      <c r="M255" s="12" t="s">
        <v>1054</v>
      </c>
      <c r="N255" s="12" t="s">
        <v>1320</v>
      </c>
      <c r="O255" s="12" t="s">
        <v>1316</v>
      </c>
      <c r="P255" s="12" t="s">
        <v>1315</v>
      </c>
      <c r="Q255" s="12" t="s">
        <v>1325</v>
      </c>
      <c r="R255" s="12" t="s">
        <v>1330</v>
      </c>
      <c r="S255" s="12" t="s">
        <v>1233</v>
      </c>
      <c r="T255" s="12" t="s">
        <v>1234</v>
      </c>
      <c r="U255" s="12" t="s">
        <v>1236</v>
      </c>
      <c r="V255" s="43" t="s">
        <v>202</v>
      </c>
      <c r="W255" s="12" t="s">
        <v>1293</v>
      </c>
      <c r="X255" s="43" t="s">
        <v>202</v>
      </c>
      <c r="Y255" s="12" t="s">
        <v>1338</v>
      </c>
      <c r="Z255" s="43" t="s">
        <v>202</v>
      </c>
      <c r="AA255" s="43" t="s">
        <v>202</v>
      </c>
      <c r="AB255" s="43" t="s">
        <v>202</v>
      </c>
      <c r="AC255" s="43" t="s">
        <v>202</v>
      </c>
      <c r="AD255" s="43" t="s">
        <v>202</v>
      </c>
      <c r="AE255" s="43" t="s">
        <v>202</v>
      </c>
      <c r="AF255" s="43" t="s">
        <v>202</v>
      </c>
      <c r="AG255" s="43" t="s">
        <v>202</v>
      </c>
      <c r="AH255" s="43" t="s">
        <v>202</v>
      </c>
      <c r="AI255" s="12" t="s">
        <v>1340</v>
      </c>
      <c r="AJ255" s="43" t="s">
        <v>202</v>
      </c>
      <c r="AK255" s="43" t="s">
        <v>202</v>
      </c>
      <c r="AL255" s="12" t="s">
        <v>1348</v>
      </c>
      <c r="AM255" s="12" t="s">
        <v>1351</v>
      </c>
      <c r="AN255" s="12" t="s">
        <v>1352</v>
      </c>
      <c r="AO255" s="12" t="s">
        <v>1355</v>
      </c>
      <c r="AP255" s="12" t="s">
        <v>1358</v>
      </c>
      <c r="AQ255" s="12" t="s">
        <v>1294</v>
      </c>
      <c r="AR255" s="43" t="s">
        <v>202</v>
      </c>
      <c r="AS255" s="43" t="s">
        <v>202</v>
      </c>
      <c r="AT255" s="43" t="s">
        <v>202</v>
      </c>
      <c r="AU255" s="12" t="s">
        <v>1362</v>
      </c>
      <c r="AV255" s="12" t="s">
        <v>1364</v>
      </c>
      <c r="AW255" s="12" t="s">
        <v>1365</v>
      </c>
      <c r="AX255" s="12" t="s">
        <v>1366</v>
      </c>
      <c r="AY255" s="12" t="s">
        <v>1368</v>
      </c>
      <c r="AZ255" s="12" t="s">
        <v>1369</v>
      </c>
      <c r="BA255" s="43" t="s">
        <v>202</v>
      </c>
      <c r="BB255" s="12" t="s">
        <v>1381</v>
      </c>
      <c r="BC255" s="12" t="s">
        <v>1384</v>
      </c>
      <c r="BD255" s="43" t="s">
        <v>202</v>
      </c>
      <c r="BE255" s="43" t="s">
        <v>202</v>
      </c>
      <c r="BF255" s="12" t="s">
        <v>1388</v>
      </c>
      <c r="BG255" s="43" t="s">
        <v>202</v>
      </c>
      <c r="BH255" s="12" t="s">
        <v>1391</v>
      </c>
      <c r="BI255" s="12" t="s">
        <v>1288</v>
      </c>
      <c r="BJ255" s="43" t="s">
        <v>202</v>
      </c>
      <c r="BK255" s="12" t="s">
        <v>1297</v>
      </c>
      <c r="BL255" s="43" t="s">
        <v>202</v>
      </c>
      <c r="BM255" s="12" t="s">
        <v>1327</v>
      </c>
      <c r="BN255" s="12" t="s">
        <v>1329</v>
      </c>
      <c r="BO255" s="12" t="s">
        <v>1411</v>
      </c>
      <c r="BP255" s="43" t="s">
        <v>202</v>
      </c>
      <c r="BQ255" s="43" t="s">
        <v>202</v>
      </c>
      <c r="BR255" s="43" t="s">
        <v>202</v>
      </c>
      <c r="BS255" s="43" t="s">
        <v>202</v>
      </c>
      <c r="BT255" s="43" t="s">
        <v>202</v>
      </c>
      <c r="BU255" s="43" t="s">
        <v>202</v>
      </c>
      <c r="BV255" s="43" t="s">
        <v>202</v>
      </c>
      <c r="BW255" s="43" t="s">
        <v>202</v>
      </c>
      <c r="BX255" s="43" t="s">
        <v>202</v>
      </c>
      <c r="BY255" s="12" t="s">
        <v>1345</v>
      </c>
      <c r="BZ255" s="43" t="s">
        <v>202</v>
      </c>
      <c r="CA255" s="12" t="s">
        <v>1264</v>
      </c>
      <c r="CB255" s="12" t="s">
        <v>1356</v>
      </c>
      <c r="CC255" s="12" t="s">
        <v>1285</v>
      </c>
      <c r="CD255" s="12" t="s">
        <v>1397</v>
      </c>
      <c r="CE255" s="43" t="s">
        <v>202</v>
      </c>
      <c r="CF255" s="12" t="s">
        <v>1383</v>
      </c>
      <c r="CG255" s="12" t="s">
        <v>1380</v>
      </c>
      <c r="CH255" s="12" t="s">
        <v>1371</v>
      </c>
      <c r="CI255" s="12" t="s">
        <v>1375</v>
      </c>
      <c r="CJ255" s="12" t="s">
        <v>1377</v>
      </c>
      <c r="CK255" s="12" t="s">
        <v>1392</v>
      </c>
      <c r="CL255" s="43" t="s">
        <v>202</v>
      </c>
      <c r="CM255" s="43" t="s">
        <v>202</v>
      </c>
      <c r="CN255" s="12" t="s">
        <v>1258</v>
      </c>
      <c r="CO255" s="43" t="s">
        <v>202</v>
      </c>
      <c r="CP255" s="43" t="s">
        <v>202</v>
      </c>
      <c r="CQ255" s="43" t="s">
        <v>202</v>
      </c>
      <c r="CR255" s="12" t="s">
        <v>1300</v>
      </c>
      <c r="CS255" s="43" t="s">
        <v>202</v>
      </c>
      <c r="CT255" s="43" t="s">
        <v>202</v>
      </c>
      <c r="CU255" s="43" t="s">
        <v>202</v>
      </c>
      <c r="CV255" s="43" t="s">
        <v>202</v>
      </c>
      <c r="CW255" s="43" t="s">
        <v>202</v>
      </c>
      <c r="CX255" s="43" t="s">
        <v>202</v>
      </c>
      <c r="CY255" s="43" t="s">
        <v>202</v>
      </c>
      <c r="CZ255" s="43" t="s">
        <v>202</v>
      </c>
      <c r="DA255" s="43" t="s">
        <v>202</v>
      </c>
      <c r="DB255" s="43" t="s">
        <v>202</v>
      </c>
      <c r="DC255" s="43" t="s">
        <v>202</v>
      </c>
      <c r="DD255" s="43" t="s">
        <v>202</v>
      </c>
      <c r="DE255" s="43" t="s">
        <v>202</v>
      </c>
      <c r="DF255" s="43" t="s">
        <v>202</v>
      </c>
      <c r="DG255" s="43" t="s">
        <v>202</v>
      </c>
      <c r="DH255" s="43" t="s">
        <v>202</v>
      </c>
      <c r="DI255" s="43" t="s">
        <v>202</v>
      </c>
      <c r="DJ255" s="43" t="s">
        <v>202</v>
      </c>
      <c r="DK255" s="43" t="s">
        <v>202</v>
      </c>
      <c r="DL255" s="43" t="s">
        <v>202</v>
      </c>
      <c r="DM255" s="43" t="s">
        <v>202</v>
      </c>
      <c r="DN255" s="43" t="s">
        <v>202</v>
      </c>
      <c r="DO255" s="43" t="s">
        <v>202</v>
      </c>
      <c r="DP255" s="43" t="s">
        <v>202</v>
      </c>
      <c r="DQ255" s="43" t="s">
        <v>202</v>
      </c>
      <c r="DR255" s="43" t="s">
        <v>202</v>
      </c>
      <c r="DS255" s="43" t="s">
        <v>202</v>
      </c>
      <c r="DT255" s="43" t="s">
        <v>202</v>
      </c>
      <c r="DU255" s="43" t="s">
        <v>202</v>
      </c>
      <c r="DV255" s="43" t="s">
        <v>202</v>
      </c>
      <c r="DW255" s="43" t="s">
        <v>202</v>
      </c>
      <c r="DX255" s="43" t="s">
        <v>202</v>
      </c>
      <c r="DY255" s="43" t="s">
        <v>202</v>
      </c>
      <c r="DZ255" s="43" t="s">
        <v>202</v>
      </c>
      <c r="EA255" s="43" t="s">
        <v>202</v>
      </c>
      <c r="EB255" s="43" t="s">
        <v>202</v>
      </c>
      <c r="EC255" s="43" t="s">
        <v>202</v>
      </c>
      <c r="ED255" s="43" t="s">
        <v>202</v>
      </c>
      <c r="EE255" s="43" t="s">
        <v>202</v>
      </c>
      <c r="EF255" s="43" t="s">
        <v>202</v>
      </c>
      <c r="EG255" s="43" t="s">
        <v>202</v>
      </c>
      <c r="EH255" s="43" t="s">
        <v>202</v>
      </c>
      <c r="EI255" s="43" t="s">
        <v>202</v>
      </c>
      <c r="EJ255" s="43" t="s">
        <v>202</v>
      </c>
      <c r="EK255" s="43" t="s">
        <v>202</v>
      </c>
      <c r="EL255" s="43" t="s">
        <v>202</v>
      </c>
      <c r="EM255" s="43" t="s">
        <v>202</v>
      </c>
      <c r="EN255" s="43" t="s">
        <v>202</v>
      </c>
      <c r="EO255" s="43" t="s">
        <v>202</v>
      </c>
      <c r="EP255" s="43" t="s">
        <v>202</v>
      </c>
      <c r="EQ255" s="43" t="s">
        <v>202</v>
      </c>
      <c r="ER255" s="43" t="s">
        <v>202</v>
      </c>
      <c r="ES255" s="43" t="s">
        <v>202</v>
      </c>
      <c r="ET255" s="43" t="s">
        <v>202</v>
      </c>
      <c r="EU255" s="43" t="s">
        <v>202</v>
      </c>
      <c r="EV255" s="43" t="s">
        <v>202</v>
      </c>
      <c r="EW255" s="43" t="s">
        <v>202</v>
      </c>
      <c r="EX255" s="43" t="s">
        <v>202</v>
      </c>
      <c r="EY255" s="43" t="s">
        <v>202</v>
      </c>
      <c r="EZ255" s="43" t="s">
        <v>202</v>
      </c>
      <c r="FA255" s="43" t="s">
        <v>202</v>
      </c>
      <c r="FB255" s="43" t="s">
        <v>202</v>
      </c>
      <c r="FC255" s="43" t="s">
        <v>202</v>
      </c>
      <c r="FD255" s="43" t="s">
        <v>202</v>
      </c>
      <c r="FE255" s="43" t="s">
        <v>202</v>
      </c>
      <c r="FF255" s="43" t="s">
        <v>202</v>
      </c>
      <c r="FG255" s="43" t="s">
        <v>202</v>
      </c>
      <c r="FH255" s="43" t="s">
        <v>202</v>
      </c>
      <c r="FI255" s="43" t="s">
        <v>202</v>
      </c>
      <c r="FJ255" s="43" t="s">
        <v>202</v>
      </c>
      <c r="FK255" s="43" t="s">
        <v>202</v>
      </c>
      <c r="FL255" s="43" t="s">
        <v>202</v>
      </c>
      <c r="FM255" s="12" t="s">
        <v>1230</v>
      </c>
      <c r="FN255" s="12" t="s">
        <v>1232</v>
      </c>
      <c r="FO255" s="43" t="s">
        <v>202</v>
      </c>
      <c r="FP255" s="43" t="s">
        <v>202</v>
      </c>
      <c r="FQ255" s="43" t="s">
        <v>202</v>
      </c>
      <c r="FR255" s="43" t="s">
        <v>202</v>
      </c>
      <c r="FS255" s="43" t="s">
        <v>202</v>
      </c>
      <c r="FT255" s="43" t="s">
        <v>202</v>
      </c>
      <c r="FU255" s="43" t="s">
        <v>202</v>
      </c>
      <c r="FV255" s="12" t="s">
        <v>1241</v>
      </c>
      <c r="FW255" s="12" t="s">
        <v>1242</v>
      </c>
      <c r="FX255" s="12" t="s">
        <v>1243</v>
      </c>
      <c r="FY255" s="43" t="s">
        <v>202</v>
      </c>
      <c r="FZ255" s="43" t="s">
        <v>202</v>
      </c>
      <c r="GA255" s="12" t="s">
        <v>1247</v>
      </c>
      <c r="GB255" s="43" t="s">
        <v>202</v>
      </c>
      <c r="GC255" s="12" t="s">
        <v>1248</v>
      </c>
      <c r="GD255" s="43" t="s">
        <v>202</v>
      </c>
      <c r="GE255" s="12" t="s">
        <v>1250</v>
      </c>
      <c r="GF255" s="12" t="s">
        <v>1252</v>
      </c>
      <c r="GG255" s="12" t="s">
        <v>1254</v>
      </c>
      <c r="GH255" s="43" t="s">
        <v>202</v>
      </c>
      <c r="GI255" s="43" t="s">
        <v>202</v>
      </c>
      <c r="GJ255" s="12" t="s">
        <v>1260</v>
      </c>
      <c r="GK255" s="12" t="s">
        <v>1262</v>
      </c>
      <c r="GL255" s="12" t="s">
        <v>1263</v>
      </c>
      <c r="GM255" s="12" t="s">
        <v>1295</v>
      </c>
      <c r="GN255" s="12" t="s">
        <v>1266</v>
      </c>
      <c r="GO255" s="12" t="s">
        <v>1267</v>
      </c>
      <c r="GP255" s="12" t="s">
        <v>1289</v>
      </c>
      <c r="GQ255" s="12" t="s">
        <v>1269</v>
      </c>
      <c r="GR255" s="43" t="s">
        <v>202</v>
      </c>
      <c r="GS255" s="12" t="s">
        <v>1273</v>
      </c>
      <c r="GT255" s="12" t="s">
        <v>1274</v>
      </c>
      <c r="GU255" s="12" t="s">
        <v>1276</v>
      </c>
      <c r="GV255" s="12" t="s">
        <v>1277</v>
      </c>
      <c r="GW255" s="12" t="s">
        <v>1280</v>
      </c>
      <c r="GX255" s="12" t="s">
        <v>1283</v>
      </c>
      <c r="GY255" s="12" t="s">
        <v>1287</v>
      </c>
    </row>
    <row r="256" spans="1:207" x14ac:dyDescent="0.3">
      <c r="K256" t="s">
        <v>1237</v>
      </c>
      <c r="L256" t="s">
        <v>1324</v>
      </c>
      <c r="M256" t="s">
        <v>1322</v>
      </c>
      <c r="N256" t="s">
        <v>1321</v>
      </c>
      <c r="O256" t="s">
        <v>1317</v>
      </c>
      <c r="P256" t="s">
        <v>1319</v>
      </c>
      <c r="Q256" t="s">
        <v>1326</v>
      </c>
      <c r="R256" t="s">
        <v>1331</v>
      </c>
      <c r="S256" t="s">
        <v>1333</v>
      </c>
      <c r="T256" t="s">
        <v>1235</v>
      </c>
      <c r="U256" t="s">
        <v>1335</v>
      </c>
      <c r="V256" t="s">
        <v>1249</v>
      </c>
      <c r="W256" s="2" t="s">
        <v>202</v>
      </c>
      <c r="X256" s="2" t="s">
        <v>202</v>
      </c>
      <c r="Y256" s="2" t="s">
        <v>202</v>
      </c>
      <c r="Z256" s="2" t="s">
        <v>202</v>
      </c>
      <c r="AA256" s="2" t="s">
        <v>202</v>
      </c>
      <c r="AB256" s="2" t="s">
        <v>202</v>
      </c>
      <c r="AC256" s="2" t="s">
        <v>202</v>
      </c>
      <c r="AD256" s="2" t="s">
        <v>202</v>
      </c>
      <c r="AE256" s="2" t="s">
        <v>202</v>
      </c>
      <c r="AF256" s="2" t="s">
        <v>202</v>
      </c>
      <c r="AG256" s="2" t="s">
        <v>202</v>
      </c>
      <c r="AH256" s="2" t="s">
        <v>202</v>
      </c>
      <c r="AI256" t="s">
        <v>1341</v>
      </c>
      <c r="AJ256" t="s">
        <v>1343</v>
      </c>
      <c r="AK256" s="2" t="s">
        <v>202</v>
      </c>
      <c r="AL256" s="2" t="s">
        <v>202</v>
      </c>
      <c r="AM256" t="s">
        <v>1349</v>
      </c>
      <c r="AN256" t="s">
        <v>1353</v>
      </c>
      <c r="AO256" s="2" t="s">
        <v>202</v>
      </c>
      <c r="AP256" s="2" t="s">
        <v>202</v>
      </c>
      <c r="AQ256" t="s">
        <v>1361</v>
      </c>
      <c r="AR256" s="2" t="s">
        <v>202</v>
      </c>
      <c r="AS256" s="2" t="s">
        <v>202</v>
      </c>
      <c r="AT256" s="2" t="s">
        <v>202</v>
      </c>
      <c r="AU256" t="s">
        <v>1363</v>
      </c>
      <c r="AV256" s="2" t="s">
        <v>202</v>
      </c>
      <c r="AW256" s="2" t="s">
        <v>202</v>
      </c>
      <c r="AX256" s="2" t="s">
        <v>202</v>
      </c>
      <c r="AY256" s="2" t="s">
        <v>202</v>
      </c>
      <c r="AZ256" s="2" t="s">
        <v>202</v>
      </c>
      <c r="BA256" s="2" t="s">
        <v>202</v>
      </c>
      <c r="BB256" s="2" t="s">
        <v>202</v>
      </c>
      <c r="BC256" t="s">
        <v>1385</v>
      </c>
      <c r="BD256" t="s">
        <v>1386</v>
      </c>
      <c r="BE256" s="2" t="s">
        <v>202</v>
      </c>
      <c r="BF256" s="2" t="s">
        <v>202</v>
      </c>
      <c r="BG256" s="2" t="s">
        <v>202</v>
      </c>
      <c r="BH256" s="2" t="s">
        <v>202</v>
      </c>
      <c r="BI256" t="s">
        <v>1396</v>
      </c>
      <c r="BJ256" s="2" t="s">
        <v>202</v>
      </c>
      <c r="BK256" s="2" t="s">
        <v>202</v>
      </c>
      <c r="BL256" s="2" t="s">
        <v>202</v>
      </c>
      <c r="BM256" s="2" t="s">
        <v>202</v>
      </c>
      <c r="BN256" s="2" t="s">
        <v>202</v>
      </c>
      <c r="BO256" s="2" t="s">
        <v>202</v>
      </c>
      <c r="BP256" s="2" t="s">
        <v>202</v>
      </c>
      <c r="BQ256" s="2" t="s">
        <v>202</v>
      </c>
      <c r="BR256" s="2" t="s">
        <v>202</v>
      </c>
      <c r="BS256" s="2" t="s">
        <v>202</v>
      </c>
      <c r="BT256" s="2" t="s">
        <v>202</v>
      </c>
      <c r="BU256" s="2" t="s">
        <v>202</v>
      </c>
      <c r="BV256" s="2" t="s">
        <v>202</v>
      </c>
      <c r="BW256" s="2" t="s">
        <v>202</v>
      </c>
      <c r="BX256" s="2" t="s">
        <v>202</v>
      </c>
      <c r="BY256" s="2" t="s">
        <v>202</v>
      </c>
      <c r="BZ256" s="2" t="s">
        <v>202</v>
      </c>
      <c r="CA256" s="2" t="s">
        <v>202</v>
      </c>
      <c r="CB256" s="2" t="s">
        <v>202</v>
      </c>
      <c r="CC256" s="2" t="s">
        <v>202</v>
      </c>
      <c r="CD256" s="2" t="s">
        <v>202</v>
      </c>
      <c r="CE256" s="2" t="s">
        <v>202</v>
      </c>
      <c r="CF256" s="2" t="s">
        <v>202</v>
      </c>
      <c r="CG256" s="2" t="s">
        <v>202</v>
      </c>
      <c r="CH256" t="s">
        <v>1372</v>
      </c>
      <c r="CI256" s="2" t="s">
        <v>202</v>
      </c>
      <c r="CJ256" t="s">
        <v>1378</v>
      </c>
      <c r="CK256" s="2" t="s">
        <v>202</v>
      </c>
      <c r="CL256" s="2" t="s">
        <v>202</v>
      </c>
      <c r="CM256" s="2" t="s">
        <v>202</v>
      </c>
      <c r="CN256" s="2" t="s">
        <v>202</v>
      </c>
      <c r="CO256" s="2" t="s">
        <v>202</v>
      </c>
      <c r="CP256" s="2" t="s">
        <v>202</v>
      </c>
      <c r="CQ256" s="2" t="s">
        <v>202</v>
      </c>
      <c r="CR256" s="2" t="s">
        <v>202</v>
      </c>
      <c r="CS256" t="s">
        <v>1302</v>
      </c>
      <c r="CT256" s="2" t="s">
        <v>202</v>
      </c>
      <c r="CU256" s="2" t="s">
        <v>202</v>
      </c>
      <c r="CV256" s="2" t="s">
        <v>202</v>
      </c>
      <c r="CW256" s="2" t="s">
        <v>202</v>
      </c>
      <c r="CX256" s="2" t="s">
        <v>202</v>
      </c>
      <c r="CY256" s="2" t="s">
        <v>202</v>
      </c>
      <c r="CZ256" s="2" t="s">
        <v>202</v>
      </c>
      <c r="DA256" s="2" t="s">
        <v>202</v>
      </c>
      <c r="DB256" s="2" t="s">
        <v>202</v>
      </c>
      <c r="DC256" s="2" t="s">
        <v>202</v>
      </c>
      <c r="DD256" s="2" t="s">
        <v>202</v>
      </c>
      <c r="DE256" s="2" t="s">
        <v>202</v>
      </c>
      <c r="DF256" s="2" t="s">
        <v>202</v>
      </c>
      <c r="DG256" s="2" t="s">
        <v>202</v>
      </c>
      <c r="DH256" s="2" t="s">
        <v>202</v>
      </c>
      <c r="DI256" s="2" t="s">
        <v>202</v>
      </c>
      <c r="DJ256" s="2" t="s">
        <v>202</v>
      </c>
      <c r="DK256" s="2" t="s">
        <v>202</v>
      </c>
      <c r="DL256" s="2" t="s">
        <v>202</v>
      </c>
      <c r="DM256" s="2" t="s">
        <v>202</v>
      </c>
      <c r="DN256" s="2" t="s">
        <v>202</v>
      </c>
      <c r="DO256" s="2" t="s">
        <v>202</v>
      </c>
      <c r="DP256" s="2" t="s">
        <v>202</v>
      </c>
      <c r="DQ256" s="2" t="s">
        <v>202</v>
      </c>
      <c r="DR256" s="2" t="s">
        <v>202</v>
      </c>
      <c r="DS256" s="2" t="s">
        <v>202</v>
      </c>
      <c r="DT256" s="2" t="s">
        <v>202</v>
      </c>
      <c r="DU256" s="2" t="s">
        <v>202</v>
      </c>
      <c r="DV256" s="2" t="s">
        <v>202</v>
      </c>
      <c r="DW256" s="2" t="s">
        <v>202</v>
      </c>
      <c r="DX256" s="2" t="s">
        <v>202</v>
      </c>
      <c r="DY256" s="2" t="s">
        <v>202</v>
      </c>
      <c r="DZ256" s="2" t="s">
        <v>202</v>
      </c>
      <c r="EA256" s="2" t="s">
        <v>202</v>
      </c>
      <c r="EB256" s="2" t="s">
        <v>202</v>
      </c>
      <c r="EC256" s="2" t="s">
        <v>202</v>
      </c>
      <c r="ED256" s="2" t="s">
        <v>202</v>
      </c>
      <c r="EE256" s="2" t="s">
        <v>202</v>
      </c>
      <c r="EF256" s="2" t="s">
        <v>202</v>
      </c>
      <c r="EG256" s="2" t="s">
        <v>202</v>
      </c>
      <c r="EH256" s="2" t="s">
        <v>202</v>
      </c>
      <c r="EI256" s="2" t="s">
        <v>202</v>
      </c>
      <c r="EJ256" s="2" t="s">
        <v>202</v>
      </c>
      <c r="EK256" s="2" t="s">
        <v>202</v>
      </c>
      <c r="EL256" s="2" t="s">
        <v>202</v>
      </c>
      <c r="EM256" s="2" t="s">
        <v>202</v>
      </c>
      <c r="EN256" s="2" t="s">
        <v>202</v>
      </c>
      <c r="EO256" s="2" t="s">
        <v>202</v>
      </c>
      <c r="EP256" s="2" t="s">
        <v>202</v>
      </c>
      <c r="EQ256" s="2" t="s">
        <v>202</v>
      </c>
      <c r="ER256" s="2" t="s">
        <v>202</v>
      </c>
      <c r="ES256" s="2" t="s">
        <v>202</v>
      </c>
      <c r="ET256" s="2" t="s">
        <v>202</v>
      </c>
      <c r="EU256" s="2" t="s">
        <v>202</v>
      </c>
      <c r="EV256" s="2" t="s">
        <v>202</v>
      </c>
      <c r="EW256" s="2" t="s">
        <v>202</v>
      </c>
      <c r="EX256" s="2" t="s">
        <v>202</v>
      </c>
      <c r="EY256" s="2" t="s">
        <v>202</v>
      </c>
      <c r="EZ256" s="2" t="s">
        <v>202</v>
      </c>
      <c r="FA256" s="2" t="s">
        <v>202</v>
      </c>
      <c r="FB256" s="2" t="s">
        <v>202</v>
      </c>
      <c r="FC256" s="2" t="s">
        <v>202</v>
      </c>
      <c r="FD256" s="2" t="s">
        <v>202</v>
      </c>
      <c r="FE256" s="2" t="s">
        <v>202</v>
      </c>
      <c r="FF256" s="2" t="s">
        <v>202</v>
      </c>
      <c r="FG256" s="2" t="s">
        <v>202</v>
      </c>
      <c r="FH256" s="2" t="s">
        <v>202</v>
      </c>
      <c r="FI256" s="2" t="s">
        <v>202</v>
      </c>
      <c r="FJ256" s="2" t="s">
        <v>202</v>
      </c>
      <c r="FK256" s="2" t="s">
        <v>202</v>
      </c>
      <c r="FL256" s="2" t="s">
        <v>202</v>
      </c>
      <c r="FM256" s="2" t="s">
        <v>202</v>
      </c>
      <c r="FN256" s="2" t="s">
        <v>202</v>
      </c>
      <c r="FO256" s="2" t="s">
        <v>202</v>
      </c>
      <c r="FP256" s="2" t="s">
        <v>202</v>
      </c>
      <c r="FQ256" s="2" t="s">
        <v>202</v>
      </c>
      <c r="FR256" s="2" t="s">
        <v>202</v>
      </c>
      <c r="FS256" s="2" t="s">
        <v>202</v>
      </c>
      <c r="FT256" s="2" t="s">
        <v>202</v>
      </c>
      <c r="FU256" s="2" t="s">
        <v>202</v>
      </c>
      <c r="FV256" s="2" t="s">
        <v>202</v>
      </c>
      <c r="FW256" s="2" t="s">
        <v>202</v>
      </c>
      <c r="FX256" s="2" t="s">
        <v>202</v>
      </c>
      <c r="FY256" s="2" t="s">
        <v>202</v>
      </c>
      <c r="FZ256" s="2" t="s">
        <v>202</v>
      </c>
      <c r="GA256" s="2" t="s">
        <v>202</v>
      </c>
      <c r="GB256" s="2" t="s">
        <v>202</v>
      </c>
      <c r="GC256" s="2" t="s">
        <v>202</v>
      </c>
      <c r="GD256" s="2" t="s">
        <v>202</v>
      </c>
      <c r="GE256" s="2" t="s">
        <v>202</v>
      </c>
      <c r="GF256" s="2" t="s">
        <v>202</v>
      </c>
      <c r="GG256" s="2" t="s">
        <v>202</v>
      </c>
      <c r="GH256" s="2" t="s">
        <v>202</v>
      </c>
      <c r="GI256" s="2" t="s">
        <v>202</v>
      </c>
      <c r="GJ256" s="2" t="s">
        <v>202</v>
      </c>
      <c r="GK256" s="2" t="s">
        <v>202</v>
      </c>
      <c r="GL256" s="2" t="s">
        <v>202</v>
      </c>
      <c r="GM256" s="2" t="s">
        <v>202</v>
      </c>
      <c r="GN256" s="2" t="s">
        <v>202</v>
      </c>
      <c r="GO256" s="2" t="s">
        <v>202</v>
      </c>
      <c r="GP256" s="2" t="s">
        <v>202</v>
      </c>
      <c r="GQ256" s="2" t="s">
        <v>202</v>
      </c>
      <c r="GR256" s="2" t="s">
        <v>202</v>
      </c>
      <c r="GS256" s="2" t="s">
        <v>202</v>
      </c>
      <c r="GT256" s="2" t="s">
        <v>202</v>
      </c>
      <c r="GU256" s="2" t="s">
        <v>202</v>
      </c>
      <c r="GV256" s="2" t="s">
        <v>202</v>
      </c>
      <c r="GW256" s="2" t="s">
        <v>202</v>
      </c>
      <c r="GX256" s="2" t="s">
        <v>202</v>
      </c>
      <c r="GY256" s="2" t="s">
        <v>202</v>
      </c>
    </row>
    <row r="257" spans="11:207" x14ac:dyDescent="0.3">
      <c r="K257" s="12" t="s">
        <v>1402</v>
      </c>
      <c r="L257" s="43" t="s">
        <v>202</v>
      </c>
      <c r="M257" s="43" t="s">
        <v>202</v>
      </c>
      <c r="N257" s="43" t="s">
        <v>202</v>
      </c>
      <c r="O257" s="43" t="s">
        <v>202</v>
      </c>
      <c r="P257" s="43" t="s">
        <v>202</v>
      </c>
      <c r="Q257" s="43" t="s">
        <v>202</v>
      </c>
      <c r="R257" s="12" t="s">
        <v>1332</v>
      </c>
      <c r="S257" s="12" t="s">
        <v>1334</v>
      </c>
      <c r="T257" s="43" t="s">
        <v>202</v>
      </c>
      <c r="U257" s="43" t="s">
        <v>202</v>
      </c>
      <c r="V257" s="43" t="s">
        <v>202</v>
      </c>
      <c r="W257" s="12" t="s">
        <v>1403</v>
      </c>
      <c r="X257" s="43" t="s">
        <v>202</v>
      </c>
      <c r="Y257" s="43" t="s">
        <v>202</v>
      </c>
      <c r="Z257" s="43" t="s">
        <v>202</v>
      </c>
      <c r="AA257" s="43" t="s">
        <v>202</v>
      </c>
      <c r="AB257" s="43" t="s">
        <v>202</v>
      </c>
      <c r="AC257" s="43" t="s">
        <v>202</v>
      </c>
      <c r="AD257" s="43" t="s">
        <v>202</v>
      </c>
      <c r="AE257" s="43" t="s">
        <v>202</v>
      </c>
      <c r="AF257" s="43" t="s">
        <v>202</v>
      </c>
      <c r="AG257" s="43" t="s">
        <v>202</v>
      </c>
      <c r="AH257" s="43" t="s">
        <v>202</v>
      </c>
      <c r="AI257" s="43" t="s">
        <v>202</v>
      </c>
      <c r="AJ257" s="43" t="s">
        <v>202</v>
      </c>
      <c r="AK257" s="43" t="s">
        <v>202</v>
      </c>
      <c r="AL257" s="43" t="s">
        <v>202</v>
      </c>
      <c r="AM257" s="43" t="s">
        <v>202</v>
      </c>
      <c r="AN257" s="43" t="s">
        <v>202</v>
      </c>
      <c r="AO257" s="43" t="s">
        <v>202</v>
      </c>
      <c r="AP257" s="43" t="s">
        <v>202</v>
      </c>
      <c r="AQ257" s="12" t="s">
        <v>1360</v>
      </c>
      <c r="AR257" s="12" t="s">
        <v>1301</v>
      </c>
      <c r="AS257" s="43" t="s">
        <v>202</v>
      </c>
      <c r="AT257" s="43" t="s">
        <v>202</v>
      </c>
      <c r="AU257" s="43" t="s">
        <v>202</v>
      </c>
      <c r="AV257" s="43" t="s">
        <v>202</v>
      </c>
      <c r="AW257" s="43" t="s">
        <v>202</v>
      </c>
      <c r="AX257" s="12" t="s">
        <v>1367</v>
      </c>
      <c r="AY257" s="43" t="s">
        <v>202</v>
      </c>
      <c r="AZ257" s="43" t="s">
        <v>202</v>
      </c>
      <c r="BA257" s="12" t="s">
        <v>1379</v>
      </c>
      <c r="BB257" s="12" t="s">
        <v>1382</v>
      </c>
      <c r="BC257" s="43" t="s">
        <v>202</v>
      </c>
      <c r="BD257" s="43" t="s">
        <v>202</v>
      </c>
      <c r="BE257" s="12" t="s">
        <v>1387</v>
      </c>
      <c r="BF257" s="12" t="s">
        <v>1389</v>
      </c>
      <c r="BG257" s="43" t="s">
        <v>202</v>
      </c>
      <c r="BH257" s="43" t="s">
        <v>202</v>
      </c>
      <c r="BI257" s="43" t="s">
        <v>202</v>
      </c>
      <c r="BJ257" s="43" t="s">
        <v>202</v>
      </c>
      <c r="BK257" s="43" t="s">
        <v>202</v>
      </c>
      <c r="BL257" s="43" t="s">
        <v>202</v>
      </c>
      <c r="BM257" s="43" t="s">
        <v>202</v>
      </c>
      <c r="BN257" s="43" t="s">
        <v>202</v>
      </c>
      <c r="BO257" s="12" t="s">
        <v>1257</v>
      </c>
      <c r="BP257" s="43" t="s">
        <v>202</v>
      </c>
      <c r="BQ257" s="43" t="s">
        <v>202</v>
      </c>
      <c r="BR257" s="43" t="s">
        <v>202</v>
      </c>
      <c r="BS257" s="43" t="s">
        <v>202</v>
      </c>
      <c r="BT257" s="43" t="s">
        <v>202</v>
      </c>
      <c r="BU257" s="43" t="s">
        <v>202</v>
      </c>
      <c r="BV257" s="43" t="s">
        <v>202</v>
      </c>
      <c r="BW257" s="43" t="s">
        <v>202</v>
      </c>
      <c r="BX257" s="43" t="s">
        <v>202</v>
      </c>
      <c r="BY257" s="43" t="s">
        <v>202</v>
      </c>
      <c r="BZ257" s="43" t="s">
        <v>202</v>
      </c>
      <c r="CA257" s="43" t="s">
        <v>202</v>
      </c>
      <c r="CB257" s="43" t="s">
        <v>202</v>
      </c>
      <c r="CC257" s="12" t="s">
        <v>1359</v>
      </c>
      <c r="CD257" s="43" t="s">
        <v>202</v>
      </c>
      <c r="CE257" s="43" t="s">
        <v>202</v>
      </c>
      <c r="CF257" s="43" t="s">
        <v>202</v>
      </c>
      <c r="CG257" s="43" t="s">
        <v>202</v>
      </c>
      <c r="CH257" s="43" t="s">
        <v>202</v>
      </c>
      <c r="CI257" s="12" t="s">
        <v>1374</v>
      </c>
      <c r="CJ257" s="43" t="s">
        <v>202</v>
      </c>
      <c r="CK257" s="12" t="s">
        <v>1393</v>
      </c>
      <c r="CL257" s="43" t="s">
        <v>202</v>
      </c>
      <c r="CM257" s="12" t="s">
        <v>1256</v>
      </c>
      <c r="CN257" s="12" t="s">
        <v>1416</v>
      </c>
      <c r="CO257" s="43" t="s">
        <v>202</v>
      </c>
      <c r="CP257" s="43" t="s">
        <v>202</v>
      </c>
      <c r="CQ257" s="12" t="s">
        <v>1417</v>
      </c>
      <c r="CR257" s="43" t="s">
        <v>202</v>
      </c>
      <c r="CS257" s="43" t="s">
        <v>202</v>
      </c>
      <c r="CT257" s="43" t="s">
        <v>202</v>
      </c>
      <c r="CU257" s="43" t="s">
        <v>202</v>
      </c>
      <c r="CV257" s="43" t="s">
        <v>202</v>
      </c>
      <c r="CW257" s="43" t="s">
        <v>202</v>
      </c>
      <c r="CX257" s="43" t="s">
        <v>202</v>
      </c>
      <c r="CY257" s="43" t="s">
        <v>202</v>
      </c>
      <c r="CZ257" s="43" t="s">
        <v>202</v>
      </c>
      <c r="DA257" s="43" t="s">
        <v>202</v>
      </c>
      <c r="DB257" s="43" t="s">
        <v>202</v>
      </c>
      <c r="DC257" s="43" t="s">
        <v>202</v>
      </c>
      <c r="DD257" s="43" t="s">
        <v>202</v>
      </c>
      <c r="DE257" s="43" t="s">
        <v>202</v>
      </c>
      <c r="DF257" s="43" t="s">
        <v>202</v>
      </c>
      <c r="DG257" s="43" t="s">
        <v>202</v>
      </c>
      <c r="DH257" s="43" t="s">
        <v>202</v>
      </c>
      <c r="DI257" s="43" t="s">
        <v>202</v>
      </c>
      <c r="DJ257" s="43" t="s">
        <v>202</v>
      </c>
      <c r="DK257" s="43" t="s">
        <v>202</v>
      </c>
      <c r="DL257" s="43" t="s">
        <v>202</v>
      </c>
      <c r="DM257" s="43" t="s">
        <v>202</v>
      </c>
      <c r="DN257" s="43" t="s">
        <v>202</v>
      </c>
      <c r="DO257" s="43" t="s">
        <v>202</v>
      </c>
      <c r="DP257" s="43" t="s">
        <v>202</v>
      </c>
      <c r="DQ257" s="43" t="s">
        <v>202</v>
      </c>
      <c r="DR257" s="43" t="s">
        <v>202</v>
      </c>
      <c r="DS257" s="43" t="s">
        <v>202</v>
      </c>
      <c r="DT257" s="43" t="s">
        <v>202</v>
      </c>
      <c r="DU257" s="43" t="s">
        <v>202</v>
      </c>
      <c r="DV257" s="43" t="s">
        <v>202</v>
      </c>
      <c r="DW257" s="43" t="s">
        <v>202</v>
      </c>
      <c r="DX257" s="43" t="s">
        <v>202</v>
      </c>
      <c r="DY257" s="43" t="s">
        <v>202</v>
      </c>
      <c r="DZ257" s="43" t="s">
        <v>202</v>
      </c>
      <c r="EA257" s="43" t="s">
        <v>202</v>
      </c>
      <c r="EB257" s="43" t="s">
        <v>202</v>
      </c>
      <c r="EC257" s="43" t="s">
        <v>202</v>
      </c>
      <c r="ED257" s="43" t="s">
        <v>202</v>
      </c>
      <c r="EE257" s="43" t="s">
        <v>202</v>
      </c>
      <c r="EF257" s="43" t="s">
        <v>202</v>
      </c>
      <c r="EG257" s="43" t="s">
        <v>202</v>
      </c>
      <c r="EH257" s="43" t="s">
        <v>202</v>
      </c>
      <c r="EI257" s="43" t="s">
        <v>202</v>
      </c>
      <c r="EJ257" s="43" t="s">
        <v>202</v>
      </c>
      <c r="EK257" s="43" t="s">
        <v>202</v>
      </c>
      <c r="EL257" s="43" t="s">
        <v>202</v>
      </c>
      <c r="EM257" s="43" t="s">
        <v>202</v>
      </c>
      <c r="EN257" s="43" t="s">
        <v>202</v>
      </c>
      <c r="EO257" s="43" t="s">
        <v>202</v>
      </c>
      <c r="EP257" s="43" t="s">
        <v>202</v>
      </c>
      <c r="EQ257" s="43" t="s">
        <v>202</v>
      </c>
      <c r="ER257" s="43" t="s">
        <v>202</v>
      </c>
      <c r="ES257" s="43" t="s">
        <v>202</v>
      </c>
      <c r="ET257" s="43" t="s">
        <v>202</v>
      </c>
      <c r="EU257" s="43" t="s">
        <v>202</v>
      </c>
      <c r="EV257" s="43" t="s">
        <v>202</v>
      </c>
      <c r="EW257" s="43" t="s">
        <v>202</v>
      </c>
      <c r="EX257" s="43" t="s">
        <v>202</v>
      </c>
      <c r="EY257" s="43" t="s">
        <v>202</v>
      </c>
      <c r="EZ257" s="43" t="s">
        <v>202</v>
      </c>
      <c r="FA257" s="43" t="s">
        <v>202</v>
      </c>
      <c r="FB257" s="43" t="s">
        <v>202</v>
      </c>
      <c r="FC257" s="43" t="s">
        <v>202</v>
      </c>
      <c r="FD257" s="43" t="s">
        <v>202</v>
      </c>
      <c r="FE257" s="43" t="s">
        <v>202</v>
      </c>
      <c r="FF257" s="43" t="s">
        <v>202</v>
      </c>
      <c r="FG257" s="43" t="s">
        <v>202</v>
      </c>
      <c r="FH257" s="43" t="s">
        <v>202</v>
      </c>
      <c r="FI257" s="43" t="s">
        <v>202</v>
      </c>
      <c r="FJ257" s="43" t="s">
        <v>202</v>
      </c>
      <c r="FK257" s="43" t="s">
        <v>202</v>
      </c>
      <c r="FL257" s="43" t="s">
        <v>202</v>
      </c>
      <c r="FM257" s="43" t="s">
        <v>202</v>
      </c>
      <c r="FN257" s="43" t="s">
        <v>202</v>
      </c>
      <c r="FO257" s="43" t="s">
        <v>202</v>
      </c>
      <c r="FP257" s="43" t="s">
        <v>202</v>
      </c>
      <c r="FQ257" s="43" t="s">
        <v>202</v>
      </c>
      <c r="FR257" s="43" t="s">
        <v>202</v>
      </c>
      <c r="FS257" s="43" t="s">
        <v>202</v>
      </c>
      <c r="FT257" s="43" t="s">
        <v>202</v>
      </c>
      <c r="FU257" s="43" t="s">
        <v>202</v>
      </c>
      <c r="FV257" s="43" t="s">
        <v>202</v>
      </c>
      <c r="FW257" s="43" t="s">
        <v>202</v>
      </c>
      <c r="FX257" s="43" t="s">
        <v>202</v>
      </c>
      <c r="FY257" s="12" t="s">
        <v>1245</v>
      </c>
      <c r="FZ257" s="43" t="s">
        <v>202</v>
      </c>
      <c r="GA257" s="43" t="s">
        <v>202</v>
      </c>
      <c r="GB257" s="43" t="s">
        <v>202</v>
      </c>
      <c r="GC257" s="43" t="s">
        <v>202</v>
      </c>
      <c r="GD257" s="43" t="s">
        <v>202</v>
      </c>
      <c r="GE257" s="43" t="s">
        <v>202</v>
      </c>
      <c r="GF257" s="43" t="s">
        <v>202</v>
      </c>
      <c r="GG257" s="43" t="s">
        <v>202</v>
      </c>
      <c r="GH257" s="12" t="s">
        <v>1255</v>
      </c>
      <c r="GI257" s="43" t="s">
        <v>202</v>
      </c>
      <c r="GJ257" s="43" t="s">
        <v>202</v>
      </c>
      <c r="GK257" s="43" t="s">
        <v>202</v>
      </c>
      <c r="GL257" s="43" t="s">
        <v>202</v>
      </c>
      <c r="GM257" s="43" t="s">
        <v>202</v>
      </c>
      <c r="GN257" s="43" t="s">
        <v>202</v>
      </c>
      <c r="GO257" s="43" t="s">
        <v>202</v>
      </c>
      <c r="GP257" s="12" t="s">
        <v>1291</v>
      </c>
      <c r="GQ257" s="43" t="s">
        <v>202</v>
      </c>
      <c r="GR257" s="43" t="s">
        <v>202</v>
      </c>
      <c r="GS257" s="43" t="s">
        <v>202</v>
      </c>
      <c r="GT257" s="43" t="s">
        <v>202</v>
      </c>
      <c r="GU257" s="43" t="s">
        <v>202</v>
      </c>
      <c r="GV257" s="43" t="s">
        <v>202</v>
      </c>
      <c r="GW257" s="12" t="s">
        <v>1282</v>
      </c>
      <c r="GX257" s="43" t="s">
        <v>202</v>
      </c>
      <c r="GY257" s="43" t="s">
        <v>202</v>
      </c>
    </row>
    <row r="259" spans="11:207" x14ac:dyDescent="0.3">
      <c r="K259" t="s">
        <v>2431</v>
      </c>
    </row>
  </sheetData>
  <mergeCells count="7">
    <mergeCell ref="BK1:GY1"/>
    <mergeCell ref="AS1:BI1"/>
    <mergeCell ref="A1:C1"/>
    <mergeCell ref="D1:G1"/>
    <mergeCell ref="L1:W1"/>
    <mergeCell ref="X1:AB1"/>
    <mergeCell ref="AC1:AR1"/>
  </mergeCells>
  <phoneticPr fontId="7" type="noConversion"/>
  <conditionalFormatting sqref="K250:GY250">
    <cfRule type="cellIs" dxfId="214" priority="1" operator="lessThan">
      <formula>44327</formula>
    </cfRule>
  </conditionalFormatting>
  <hyperlinks>
    <hyperlink ref="C9" r:id="rId1" xr:uid="{B9501BFA-F1DA-43DE-A138-03511731E8F8}"/>
    <hyperlink ref="B15" r:id="rId2" display="https://www.n-ix.com/infrastructure-as-code-tips/" xr:uid="{F5E68A48-6D8A-4397-A7AD-832FB6A9511A}"/>
    <hyperlink ref="C17" r:id="rId3" xr:uid="{EE324E2C-B37E-4040-AC1D-61879F17BC2D}"/>
    <hyperlink ref="B62" r:id="rId4" display="https://openupthecloud.com/infrastructure-as-code-ultimate-guide/" xr:uid="{2156B738-64BC-4644-8FE0-3938E2B40170}"/>
    <hyperlink ref="AM255" r:id="rId5" xr:uid="{AC240F8D-1F03-43BD-9FE5-F654267DA867}"/>
    <hyperlink ref="AQ255" r:id="rId6" xr:uid="{14DDD73F-0596-4798-9706-1B042AC47E2D}"/>
    <hyperlink ref="AR257" r:id="rId7" xr:uid="{7B58E886-70A0-482B-B004-F06843494CF2}"/>
    <hyperlink ref="AL255" r:id="rId8" xr:uid="{DDD1C215-5493-4E05-9F33-E85B206E3DFC}"/>
    <hyperlink ref="FX255" r:id="rId9" xr:uid="{83B8CDD1-000F-4970-B9E7-038B70A9873F}"/>
    <hyperlink ref="GS255" r:id="rId10" xr:uid="{5A0F6A4D-47E2-4A25-91F0-DC2388DA66F8}"/>
    <hyperlink ref="GM255" r:id="rId11" xr:uid="{6019F353-B87B-4F81-A004-652CED7AFBB6}"/>
  </hyperlinks>
  <pageMargins left="0.7" right="0.7" top="0.75" bottom="0.75" header="0.3" footer="0.3"/>
  <pageSetup paperSize="9" orientation="portrait" horizontalDpi="4294967293" verticalDpi="0" r:id="rId12"/>
  <tableParts count="3"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9662-FADB-4974-974F-C85D1038D3B4}">
  <sheetPr>
    <tabColor theme="4"/>
  </sheetPr>
  <dimension ref="A1:C52"/>
  <sheetViews>
    <sheetView workbookViewId="0"/>
  </sheetViews>
  <sheetFormatPr defaultColWidth="8.77734375" defaultRowHeight="14.4" x14ac:dyDescent="0.3"/>
  <cols>
    <col min="3" max="3" width="153.44140625" bestFit="1" customWidth="1"/>
  </cols>
  <sheetData>
    <row r="1" spans="1:3" x14ac:dyDescent="0.3">
      <c r="A1" t="s">
        <v>0</v>
      </c>
      <c r="B1" t="s">
        <v>2339</v>
      </c>
      <c r="C1" t="s">
        <v>2202</v>
      </c>
    </row>
    <row r="2" spans="1:3" x14ac:dyDescent="0.3">
      <c r="A2">
        <v>2</v>
      </c>
      <c r="B2" t="s">
        <v>2340</v>
      </c>
      <c r="C2" t="s">
        <v>2222</v>
      </c>
    </row>
    <row r="3" spans="1:3" x14ac:dyDescent="0.3">
      <c r="A3">
        <v>4</v>
      </c>
      <c r="B3" t="s">
        <v>2340</v>
      </c>
      <c r="C3" t="s">
        <v>2223</v>
      </c>
    </row>
    <row r="4" spans="1:3" x14ac:dyDescent="0.3">
      <c r="A4">
        <v>7</v>
      </c>
      <c r="B4" t="s">
        <v>2340</v>
      </c>
      <c r="C4" t="s">
        <v>2224</v>
      </c>
    </row>
    <row r="5" spans="1:3" x14ac:dyDescent="0.3">
      <c r="A5">
        <v>9</v>
      </c>
      <c r="B5" t="s">
        <v>2340</v>
      </c>
      <c r="C5" t="s">
        <v>2225</v>
      </c>
    </row>
    <row r="6" spans="1:3" x14ac:dyDescent="0.3">
      <c r="A6">
        <v>12</v>
      </c>
      <c r="B6" t="s">
        <v>2340</v>
      </c>
      <c r="C6" t="s">
        <v>2222</v>
      </c>
    </row>
    <row r="7" spans="1:3" x14ac:dyDescent="0.3">
      <c r="A7">
        <v>14</v>
      </c>
      <c r="B7" t="s">
        <v>2340</v>
      </c>
      <c r="C7" t="s">
        <v>2221</v>
      </c>
    </row>
    <row r="8" spans="1:3" x14ac:dyDescent="0.3">
      <c r="A8">
        <v>16</v>
      </c>
      <c r="B8" t="s">
        <v>2340</v>
      </c>
      <c r="C8" t="s">
        <v>2224</v>
      </c>
    </row>
    <row r="9" spans="1:3" x14ac:dyDescent="0.3">
      <c r="A9">
        <v>17</v>
      </c>
      <c r="B9" t="s">
        <v>2340</v>
      </c>
      <c r="C9" t="s">
        <v>2221</v>
      </c>
    </row>
    <row r="10" spans="1:3" x14ac:dyDescent="0.3">
      <c r="A10">
        <v>18</v>
      </c>
      <c r="B10" t="s">
        <v>2340</v>
      </c>
      <c r="C10" t="s">
        <v>2221</v>
      </c>
    </row>
    <row r="11" spans="1:3" x14ac:dyDescent="0.3">
      <c r="A11">
        <v>19</v>
      </c>
      <c r="B11" t="s">
        <v>2340</v>
      </c>
      <c r="C11" t="s">
        <v>2221</v>
      </c>
    </row>
    <row r="12" spans="1:3" x14ac:dyDescent="0.3">
      <c r="A12">
        <v>24</v>
      </c>
      <c r="B12" t="s">
        <v>2340</v>
      </c>
      <c r="C12" t="s">
        <v>2226</v>
      </c>
    </row>
    <row r="13" spans="1:3" x14ac:dyDescent="0.3">
      <c r="A13">
        <v>26</v>
      </c>
      <c r="B13" t="s">
        <v>2340</v>
      </c>
      <c r="C13" t="s">
        <v>2242</v>
      </c>
    </row>
    <row r="14" spans="1:3" x14ac:dyDescent="0.3">
      <c r="A14">
        <v>31</v>
      </c>
      <c r="B14" t="s">
        <v>2340</v>
      </c>
      <c r="C14" t="s">
        <v>2227</v>
      </c>
    </row>
    <row r="15" spans="1:3" x14ac:dyDescent="0.3">
      <c r="A15">
        <v>32</v>
      </c>
      <c r="B15" t="s">
        <v>2340</v>
      </c>
      <c r="C15" t="s">
        <v>2228</v>
      </c>
    </row>
    <row r="16" spans="1:3" x14ac:dyDescent="0.3">
      <c r="A16">
        <v>34</v>
      </c>
      <c r="B16" t="s">
        <v>2340</v>
      </c>
      <c r="C16" t="s">
        <v>2229</v>
      </c>
    </row>
    <row r="17" spans="1:3" x14ac:dyDescent="0.3">
      <c r="A17">
        <v>35</v>
      </c>
      <c r="B17" t="s">
        <v>2340</v>
      </c>
      <c r="C17" t="s">
        <v>2221</v>
      </c>
    </row>
    <row r="18" spans="1:3" x14ac:dyDescent="0.3">
      <c r="A18">
        <v>38</v>
      </c>
      <c r="B18" t="s">
        <v>2340</v>
      </c>
      <c r="C18" t="s">
        <v>2230</v>
      </c>
    </row>
    <row r="19" spans="1:3" x14ac:dyDescent="0.3">
      <c r="A19">
        <v>39</v>
      </c>
      <c r="B19" t="s">
        <v>2340</v>
      </c>
      <c r="C19" t="s">
        <v>2221</v>
      </c>
    </row>
    <row r="20" spans="1:3" x14ac:dyDescent="0.3">
      <c r="A20">
        <v>42</v>
      </c>
      <c r="B20" t="s">
        <v>2340</v>
      </c>
      <c r="C20" t="s">
        <v>2221</v>
      </c>
    </row>
    <row r="21" spans="1:3" x14ac:dyDescent="0.3">
      <c r="A21">
        <v>43</v>
      </c>
      <c r="B21" t="s">
        <v>2340</v>
      </c>
      <c r="C21" t="s">
        <v>2424</v>
      </c>
    </row>
    <row r="22" spans="1:3" x14ac:dyDescent="0.3">
      <c r="A22">
        <v>44</v>
      </c>
      <c r="B22" t="s">
        <v>2340</v>
      </c>
      <c r="C22" t="s">
        <v>2221</v>
      </c>
    </row>
    <row r="23" spans="1:3" x14ac:dyDescent="0.3">
      <c r="A23">
        <v>45</v>
      </c>
      <c r="B23" t="s">
        <v>2340</v>
      </c>
      <c r="C23" t="s">
        <v>2231</v>
      </c>
    </row>
    <row r="24" spans="1:3" x14ac:dyDescent="0.3">
      <c r="A24">
        <v>48</v>
      </c>
      <c r="B24" t="s">
        <v>2340</v>
      </c>
      <c r="C24" t="s">
        <v>2230</v>
      </c>
    </row>
    <row r="25" spans="1:3" x14ac:dyDescent="0.3">
      <c r="A25">
        <v>51</v>
      </c>
      <c r="B25" t="s">
        <v>2340</v>
      </c>
      <c r="C25" t="s">
        <v>2232</v>
      </c>
    </row>
    <row r="26" spans="1:3" x14ac:dyDescent="0.3">
      <c r="A26">
        <v>57</v>
      </c>
      <c r="B26" t="s">
        <v>2340</v>
      </c>
      <c r="C26" t="s">
        <v>2221</v>
      </c>
    </row>
    <row r="27" spans="1:3" x14ac:dyDescent="0.3">
      <c r="A27">
        <v>58</v>
      </c>
      <c r="B27" t="s">
        <v>2340</v>
      </c>
      <c r="C27" t="s">
        <v>2228</v>
      </c>
    </row>
    <row r="28" spans="1:3" x14ac:dyDescent="0.3">
      <c r="A28">
        <v>60</v>
      </c>
      <c r="B28" t="s">
        <v>2340</v>
      </c>
      <c r="C28" t="s">
        <v>2221</v>
      </c>
    </row>
    <row r="29" spans="1:3" x14ac:dyDescent="0.3">
      <c r="A29">
        <v>61</v>
      </c>
      <c r="B29" t="s">
        <v>2340</v>
      </c>
      <c r="C29" t="s">
        <v>2221</v>
      </c>
    </row>
    <row r="30" spans="1:3" x14ac:dyDescent="0.3">
      <c r="A30">
        <v>62</v>
      </c>
      <c r="B30" t="s">
        <v>2340</v>
      </c>
      <c r="C30" t="s">
        <v>2233</v>
      </c>
    </row>
    <row r="31" spans="1:3" x14ac:dyDescent="0.3">
      <c r="A31">
        <v>71</v>
      </c>
      <c r="B31" t="s">
        <v>2340</v>
      </c>
      <c r="C31" t="s">
        <v>2234</v>
      </c>
    </row>
    <row r="32" spans="1:3" x14ac:dyDescent="0.3">
      <c r="A32">
        <v>72</v>
      </c>
      <c r="B32" t="s">
        <v>2340</v>
      </c>
      <c r="C32" t="s">
        <v>2235</v>
      </c>
    </row>
    <row r="33" spans="1:3" x14ac:dyDescent="0.3">
      <c r="A33">
        <v>76</v>
      </c>
      <c r="B33" t="s">
        <v>2340</v>
      </c>
      <c r="C33" t="s">
        <v>2224</v>
      </c>
    </row>
    <row r="34" spans="1:3" x14ac:dyDescent="0.3">
      <c r="A34">
        <v>79</v>
      </c>
      <c r="B34" t="s">
        <v>2340</v>
      </c>
      <c r="C34" t="s">
        <v>2343</v>
      </c>
    </row>
    <row r="35" spans="1:3" x14ac:dyDescent="0.3">
      <c r="A35">
        <v>107</v>
      </c>
      <c r="B35" t="s">
        <v>2340</v>
      </c>
      <c r="C35" t="s">
        <v>2236</v>
      </c>
    </row>
    <row r="36" spans="1:3" x14ac:dyDescent="0.3">
      <c r="A36">
        <v>120</v>
      </c>
      <c r="B36" t="s">
        <v>2340</v>
      </c>
      <c r="C36" t="s">
        <v>2237</v>
      </c>
    </row>
    <row r="37" spans="1:3" x14ac:dyDescent="0.3">
      <c r="A37">
        <v>122</v>
      </c>
      <c r="B37" t="s">
        <v>2340</v>
      </c>
      <c r="C37" t="s">
        <v>2221</v>
      </c>
    </row>
    <row r="38" spans="1:3" x14ac:dyDescent="0.3">
      <c r="A38">
        <v>131</v>
      </c>
      <c r="B38" t="s">
        <v>2340</v>
      </c>
      <c r="C38" t="s">
        <v>2238</v>
      </c>
    </row>
    <row r="39" spans="1:3" x14ac:dyDescent="0.3">
      <c r="A39">
        <v>155</v>
      </c>
      <c r="B39" t="s">
        <v>2340</v>
      </c>
      <c r="C39" t="s">
        <v>2239</v>
      </c>
    </row>
    <row r="40" spans="1:3" x14ac:dyDescent="0.3">
      <c r="A40">
        <v>160</v>
      </c>
      <c r="B40" t="s">
        <v>2340</v>
      </c>
      <c r="C40" t="s">
        <v>2240</v>
      </c>
    </row>
    <row r="41" spans="1:3" x14ac:dyDescent="0.3">
      <c r="A41">
        <v>171</v>
      </c>
      <c r="B41" t="s">
        <v>2340</v>
      </c>
      <c r="C41" t="s">
        <v>2241</v>
      </c>
    </row>
    <row r="42" spans="1:3" x14ac:dyDescent="0.3">
      <c r="A42">
        <v>59</v>
      </c>
      <c r="B42" t="s">
        <v>2341</v>
      </c>
      <c r="C42" t="s">
        <v>2342</v>
      </c>
    </row>
    <row r="43" spans="1:3" x14ac:dyDescent="0.3">
      <c r="A43">
        <v>80</v>
      </c>
      <c r="B43" t="s">
        <v>2340</v>
      </c>
      <c r="C43" t="s">
        <v>2344</v>
      </c>
    </row>
    <row r="44" spans="1:3" x14ac:dyDescent="0.3">
      <c r="A44">
        <v>82</v>
      </c>
      <c r="B44" t="s">
        <v>2341</v>
      </c>
      <c r="C44" t="s">
        <v>2345</v>
      </c>
    </row>
    <row r="45" spans="1:3" x14ac:dyDescent="0.3">
      <c r="A45">
        <v>83</v>
      </c>
      <c r="B45" t="s">
        <v>2341</v>
      </c>
      <c r="C45" t="s">
        <v>2346</v>
      </c>
    </row>
    <row r="46" spans="1:3" x14ac:dyDescent="0.3">
      <c r="A46">
        <v>88</v>
      </c>
      <c r="B46" t="s">
        <v>2341</v>
      </c>
      <c r="C46" t="s">
        <v>2347</v>
      </c>
    </row>
    <row r="47" spans="1:3" x14ac:dyDescent="0.3">
      <c r="A47">
        <v>90</v>
      </c>
      <c r="B47" t="s">
        <v>2341</v>
      </c>
      <c r="C47" t="s">
        <v>2348</v>
      </c>
    </row>
    <row r="48" spans="1:3" x14ac:dyDescent="0.3">
      <c r="A48">
        <v>91</v>
      </c>
      <c r="B48" t="s">
        <v>2341</v>
      </c>
      <c r="C48" t="s">
        <v>2349</v>
      </c>
    </row>
    <row r="49" spans="1:3" x14ac:dyDescent="0.3">
      <c r="A49">
        <v>93</v>
      </c>
      <c r="B49" t="s">
        <v>2341</v>
      </c>
      <c r="C49" t="s">
        <v>2350</v>
      </c>
    </row>
    <row r="50" spans="1:3" x14ac:dyDescent="0.3">
      <c r="A50">
        <v>102</v>
      </c>
      <c r="B50" t="s">
        <v>2341</v>
      </c>
      <c r="C50" t="s">
        <v>2351</v>
      </c>
    </row>
    <row r="51" spans="1:3" x14ac:dyDescent="0.3">
      <c r="A51">
        <v>170</v>
      </c>
      <c r="B51" t="s">
        <v>2341</v>
      </c>
      <c r="C51" t="s">
        <v>2351</v>
      </c>
    </row>
    <row r="52" spans="1:3" x14ac:dyDescent="0.3">
      <c r="A52">
        <v>197</v>
      </c>
      <c r="B52" t="s">
        <v>2341</v>
      </c>
      <c r="C52" t="s">
        <v>2351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EC48-0DAB-4FE3-B338-0AE52FF9F822}">
  <sheetPr>
    <tabColor theme="4"/>
  </sheetPr>
  <dimension ref="A1:F81"/>
  <sheetViews>
    <sheetView workbookViewId="0"/>
  </sheetViews>
  <sheetFormatPr defaultColWidth="8.77734375" defaultRowHeight="14.4" x14ac:dyDescent="0.3"/>
  <cols>
    <col min="1" max="1" width="49.77734375" customWidth="1"/>
    <col min="2" max="2" width="56.21875" bestFit="1" customWidth="1"/>
    <col min="3" max="3" width="60.5546875" bestFit="1" customWidth="1"/>
    <col min="4" max="4" width="5" bestFit="1" customWidth="1"/>
    <col min="5" max="5" width="16.21875" customWidth="1"/>
    <col min="6" max="6" width="28.6640625" bestFit="1" customWidth="1"/>
  </cols>
  <sheetData>
    <row r="1" spans="1:6" x14ac:dyDescent="0.3">
      <c r="A1" t="s">
        <v>193</v>
      </c>
      <c r="B1" t="s">
        <v>1</v>
      </c>
      <c r="C1" t="s">
        <v>195</v>
      </c>
      <c r="D1" t="s">
        <v>3</v>
      </c>
      <c r="E1" t="s">
        <v>6</v>
      </c>
      <c r="F1" t="s">
        <v>1425</v>
      </c>
    </row>
    <row r="2" spans="1:6" x14ac:dyDescent="0.3">
      <c r="A2" t="s">
        <v>194</v>
      </c>
      <c r="B2" t="s">
        <v>192</v>
      </c>
      <c r="C2" t="s">
        <v>196</v>
      </c>
      <c r="D2">
        <v>2021</v>
      </c>
      <c r="E2" t="s">
        <v>111</v>
      </c>
      <c r="F2" t="s">
        <v>405</v>
      </c>
    </row>
    <row r="3" spans="1:6" x14ac:dyDescent="0.3">
      <c r="A3" t="s">
        <v>199</v>
      </c>
      <c r="B3" t="s">
        <v>197</v>
      </c>
      <c r="C3" t="s">
        <v>198</v>
      </c>
      <c r="D3">
        <v>2021</v>
      </c>
      <c r="E3" t="s">
        <v>111</v>
      </c>
      <c r="F3" t="s">
        <v>405</v>
      </c>
    </row>
    <row r="4" spans="1:6" x14ac:dyDescent="0.3">
      <c r="A4" t="s">
        <v>169</v>
      </c>
      <c r="B4" t="s">
        <v>227</v>
      </c>
      <c r="C4" t="s">
        <v>2336</v>
      </c>
      <c r="D4" t="s">
        <v>111</v>
      </c>
      <c r="E4" t="s">
        <v>111</v>
      </c>
      <c r="F4" t="s">
        <v>405</v>
      </c>
    </row>
    <row r="5" spans="1:6" x14ac:dyDescent="0.3">
      <c r="A5" t="s">
        <v>246</v>
      </c>
      <c r="B5" t="s">
        <v>245</v>
      </c>
      <c r="C5" t="s">
        <v>198</v>
      </c>
      <c r="D5">
        <v>2020</v>
      </c>
      <c r="E5" t="s">
        <v>247</v>
      </c>
      <c r="F5" t="s">
        <v>405</v>
      </c>
    </row>
    <row r="6" spans="1:6" x14ac:dyDescent="0.3">
      <c r="A6" t="s">
        <v>278</v>
      </c>
      <c r="B6" t="s">
        <v>277</v>
      </c>
      <c r="C6" t="s">
        <v>279</v>
      </c>
      <c r="D6">
        <v>2022</v>
      </c>
      <c r="E6" t="s">
        <v>1732</v>
      </c>
      <c r="F6" t="s">
        <v>405</v>
      </c>
    </row>
    <row r="7" spans="1:6" x14ac:dyDescent="0.3">
      <c r="A7" t="s">
        <v>281</v>
      </c>
      <c r="B7" t="s">
        <v>280</v>
      </c>
      <c r="C7" t="s">
        <v>198</v>
      </c>
      <c r="D7">
        <v>2020</v>
      </c>
      <c r="E7" t="s">
        <v>282</v>
      </c>
      <c r="F7" t="s">
        <v>405</v>
      </c>
    </row>
    <row r="8" spans="1:6" x14ac:dyDescent="0.3">
      <c r="A8" t="s">
        <v>288</v>
      </c>
      <c r="B8" t="s">
        <v>287</v>
      </c>
      <c r="C8" t="s">
        <v>198</v>
      </c>
      <c r="D8">
        <v>2020</v>
      </c>
      <c r="E8" t="s">
        <v>289</v>
      </c>
      <c r="F8" t="s">
        <v>405</v>
      </c>
    </row>
    <row r="9" spans="1:6" x14ac:dyDescent="0.3">
      <c r="A9" t="s">
        <v>307</v>
      </c>
      <c r="B9" t="s">
        <v>306</v>
      </c>
      <c r="C9" t="s">
        <v>198</v>
      </c>
      <c r="D9" t="s">
        <v>111</v>
      </c>
      <c r="E9" t="s">
        <v>111</v>
      </c>
      <c r="F9" t="s">
        <v>405</v>
      </c>
    </row>
    <row r="10" spans="1:6" x14ac:dyDescent="0.3">
      <c r="A10" t="s">
        <v>317</v>
      </c>
      <c r="B10" t="s">
        <v>316</v>
      </c>
      <c r="C10" t="s">
        <v>318</v>
      </c>
      <c r="D10" t="s">
        <v>111</v>
      </c>
      <c r="E10" t="s">
        <v>111</v>
      </c>
      <c r="F10" t="s">
        <v>405</v>
      </c>
    </row>
    <row r="11" spans="1:6" x14ac:dyDescent="0.3">
      <c r="A11" t="s">
        <v>102</v>
      </c>
      <c r="B11" t="s">
        <v>319</v>
      </c>
      <c r="C11" t="s">
        <v>198</v>
      </c>
      <c r="D11" t="s">
        <v>111</v>
      </c>
      <c r="E11" t="s">
        <v>111</v>
      </c>
      <c r="F11" t="s">
        <v>405</v>
      </c>
    </row>
    <row r="12" spans="1:6" x14ac:dyDescent="0.3">
      <c r="A12" t="s">
        <v>361</v>
      </c>
      <c r="B12" t="s">
        <v>360</v>
      </c>
      <c r="C12" t="s">
        <v>362</v>
      </c>
      <c r="D12">
        <v>2021</v>
      </c>
      <c r="E12" t="s">
        <v>363</v>
      </c>
      <c r="F12" t="s">
        <v>405</v>
      </c>
    </row>
    <row r="13" spans="1:6" x14ac:dyDescent="0.3">
      <c r="A13" t="s">
        <v>568</v>
      </c>
      <c r="B13" t="s">
        <v>264</v>
      </c>
      <c r="C13" t="s">
        <v>567</v>
      </c>
      <c r="D13" t="s">
        <v>111</v>
      </c>
      <c r="E13" t="s">
        <v>111</v>
      </c>
      <c r="F13" t="s">
        <v>405</v>
      </c>
    </row>
    <row r="14" spans="1:6" x14ac:dyDescent="0.3">
      <c r="A14" t="s">
        <v>588</v>
      </c>
      <c r="B14" t="s">
        <v>587</v>
      </c>
      <c r="C14" t="s">
        <v>567</v>
      </c>
      <c r="D14" t="s">
        <v>111</v>
      </c>
      <c r="E14" t="s">
        <v>111</v>
      </c>
      <c r="F14" t="s">
        <v>30</v>
      </c>
    </row>
    <row r="15" spans="1:6" x14ac:dyDescent="0.3">
      <c r="A15" t="s">
        <v>596</v>
      </c>
      <c r="B15" t="s">
        <v>594</v>
      </c>
      <c r="C15" t="s">
        <v>595</v>
      </c>
      <c r="D15">
        <v>2022</v>
      </c>
      <c r="E15" t="s">
        <v>111</v>
      </c>
      <c r="F15" t="s">
        <v>30</v>
      </c>
    </row>
    <row r="16" spans="1:6" x14ac:dyDescent="0.3">
      <c r="A16" t="s">
        <v>602</v>
      </c>
      <c r="B16" t="s">
        <v>600</v>
      </c>
      <c r="C16" t="s">
        <v>601</v>
      </c>
      <c r="D16">
        <v>2019</v>
      </c>
      <c r="E16" t="s">
        <v>111</v>
      </c>
      <c r="F16" t="s">
        <v>30</v>
      </c>
    </row>
    <row r="17" spans="1:6" x14ac:dyDescent="0.3">
      <c r="A17" t="s">
        <v>607</v>
      </c>
      <c r="B17" t="s">
        <v>606</v>
      </c>
      <c r="C17" t="s">
        <v>609</v>
      </c>
      <c r="D17" t="s">
        <v>111</v>
      </c>
      <c r="E17" t="s">
        <v>608</v>
      </c>
      <c r="F17" t="s">
        <v>30</v>
      </c>
    </row>
    <row r="18" spans="1:6" x14ac:dyDescent="0.3">
      <c r="A18" s="12" t="s">
        <v>614</v>
      </c>
      <c r="B18" t="s">
        <v>615</v>
      </c>
      <c r="C18" t="s">
        <v>601</v>
      </c>
      <c r="D18">
        <v>2019</v>
      </c>
      <c r="E18" t="s">
        <v>2423</v>
      </c>
      <c r="F18" t="s">
        <v>30</v>
      </c>
    </row>
    <row r="19" spans="1:6" x14ac:dyDescent="0.3">
      <c r="A19" t="s">
        <v>619</v>
      </c>
      <c r="B19" t="s">
        <v>620</v>
      </c>
      <c r="C19" t="s">
        <v>621</v>
      </c>
      <c r="D19" t="s">
        <v>111</v>
      </c>
      <c r="E19" t="s">
        <v>111</v>
      </c>
      <c r="F19" t="s">
        <v>30</v>
      </c>
    </row>
    <row r="20" spans="1:6" x14ac:dyDescent="0.3">
      <c r="A20" t="s">
        <v>622</v>
      </c>
      <c r="B20" t="s">
        <v>623</v>
      </c>
      <c r="C20" t="s">
        <v>624</v>
      </c>
      <c r="D20">
        <v>2021</v>
      </c>
      <c r="E20" t="s">
        <v>625</v>
      </c>
      <c r="F20" t="s">
        <v>30</v>
      </c>
    </row>
    <row r="21" spans="1:6" x14ac:dyDescent="0.3">
      <c r="A21" t="s">
        <v>629</v>
      </c>
      <c r="B21" t="s">
        <v>630</v>
      </c>
      <c r="C21" t="s">
        <v>631</v>
      </c>
      <c r="D21" t="s">
        <v>111</v>
      </c>
      <c r="E21" t="s">
        <v>111</v>
      </c>
      <c r="F21" t="s">
        <v>30</v>
      </c>
    </row>
    <row r="22" spans="1:6" x14ac:dyDescent="0.3">
      <c r="A22" t="s">
        <v>636</v>
      </c>
      <c r="B22" t="s">
        <v>635</v>
      </c>
      <c r="C22" t="s">
        <v>637</v>
      </c>
      <c r="D22" t="s">
        <v>111</v>
      </c>
      <c r="E22" t="s">
        <v>111</v>
      </c>
      <c r="F22" t="s">
        <v>30</v>
      </c>
    </row>
    <row r="23" spans="1:6" x14ac:dyDescent="0.3">
      <c r="A23" t="s">
        <v>639</v>
      </c>
      <c r="B23" t="s">
        <v>638</v>
      </c>
      <c r="C23" t="s">
        <v>640</v>
      </c>
      <c r="D23" t="s">
        <v>111</v>
      </c>
      <c r="E23" t="s">
        <v>111</v>
      </c>
      <c r="F23" t="s">
        <v>30</v>
      </c>
    </row>
    <row r="24" spans="1:6" x14ac:dyDescent="0.3">
      <c r="A24" t="s">
        <v>647</v>
      </c>
      <c r="B24" t="s">
        <v>648</v>
      </c>
      <c r="C24" t="s">
        <v>649</v>
      </c>
      <c r="D24" t="s">
        <v>111</v>
      </c>
      <c r="E24" t="s">
        <v>111</v>
      </c>
      <c r="F24" t="s">
        <v>30</v>
      </c>
    </row>
    <row r="25" spans="1:6" x14ac:dyDescent="0.3">
      <c r="A25" t="s">
        <v>650</v>
      </c>
      <c r="B25" t="s">
        <v>651</v>
      </c>
      <c r="C25" t="s">
        <v>631</v>
      </c>
      <c r="D25" t="s">
        <v>111</v>
      </c>
      <c r="E25" t="s">
        <v>111</v>
      </c>
      <c r="F25" t="s">
        <v>30</v>
      </c>
    </row>
    <row r="26" spans="1:6" x14ac:dyDescent="0.3">
      <c r="A26" t="s">
        <v>652</v>
      </c>
      <c r="B26" t="s">
        <v>653</v>
      </c>
      <c r="C26" t="s">
        <v>654</v>
      </c>
      <c r="D26" t="s">
        <v>111</v>
      </c>
      <c r="E26" t="s">
        <v>111</v>
      </c>
      <c r="F26" t="s">
        <v>30</v>
      </c>
    </row>
    <row r="27" spans="1:6" x14ac:dyDescent="0.3">
      <c r="A27" t="s">
        <v>655</v>
      </c>
      <c r="B27" t="s">
        <v>656</v>
      </c>
      <c r="C27" t="s">
        <v>657</v>
      </c>
      <c r="D27" t="s">
        <v>111</v>
      </c>
      <c r="E27" t="s">
        <v>658</v>
      </c>
      <c r="F27" t="s">
        <v>30</v>
      </c>
    </row>
    <row r="28" spans="1:6" x14ac:dyDescent="0.3">
      <c r="A28" t="s">
        <v>659</v>
      </c>
      <c r="B28" t="s">
        <v>660</v>
      </c>
      <c r="C28" t="s">
        <v>661</v>
      </c>
      <c r="D28" t="s">
        <v>111</v>
      </c>
      <c r="E28" t="s">
        <v>111</v>
      </c>
      <c r="F28" t="s">
        <v>30</v>
      </c>
    </row>
    <row r="29" spans="1:6" x14ac:dyDescent="0.3">
      <c r="A29" t="s">
        <v>662</v>
      </c>
      <c r="B29" t="s">
        <v>665</v>
      </c>
      <c r="C29" t="s">
        <v>663</v>
      </c>
      <c r="D29" t="s">
        <v>111</v>
      </c>
      <c r="E29" t="s">
        <v>664</v>
      </c>
      <c r="F29" t="s">
        <v>30</v>
      </c>
    </row>
    <row r="30" spans="1:6" x14ac:dyDescent="0.3">
      <c r="A30" t="s">
        <v>666</v>
      </c>
      <c r="B30" t="s">
        <v>667</v>
      </c>
      <c r="C30" t="s">
        <v>661</v>
      </c>
      <c r="D30">
        <v>2022</v>
      </c>
      <c r="E30" t="s">
        <v>111</v>
      </c>
      <c r="F30" t="s">
        <v>30</v>
      </c>
    </row>
    <row r="31" spans="1:6" x14ac:dyDescent="0.3">
      <c r="A31" t="s">
        <v>641</v>
      </c>
      <c r="B31" t="s">
        <v>642</v>
      </c>
      <c r="C31" t="s">
        <v>671</v>
      </c>
      <c r="D31">
        <v>2022</v>
      </c>
      <c r="E31" t="s">
        <v>643</v>
      </c>
      <c r="F31" t="s">
        <v>25</v>
      </c>
    </row>
    <row r="32" spans="1:6" x14ac:dyDescent="0.3">
      <c r="A32" t="s">
        <v>669</v>
      </c>
      <c r="B32" t="s">
        <v>668</v>
      </c>
      <c r="C32" t="s">
        <v>670</v>
      </c>
      <c r="D32">
        <v>2022</v>
      </c>
      <c r="E32" t="s">
        <v>111</v>
      </c>
      <c r="F32" t="s">
        <v>25</v>
      </c>
    </row>
    <row r="33" spans="1:6" x14ac:dyDescent="0.3">
      <c r="A33" t="s">
        <v>552</v>
      </c>
      <c r="B33" t="s">
        <v>440</v>
      </c>
      <c r="C33" t="s">
        <v>671</v>
      </c>
      <c r="D33">
        <v>2022</v>
      </c>
      <c r="E33" t="s">
        <v>554</v>
      </c>
      <c r="F33" t="s">
        <v>25</v>
      </c>
    </row>
    <row r="34" spans="1:6" x14ac:dyDescent="0.3">
      <c r="A34" t="s">
        <v>673</v>
      </c>
      <c r="B34" t="s">
        <v>672</v>
      </c>
      <c r="C34" t="s">
        <v>674</v>
      </c>
      <c r="D34" t="s">
        <v>111</v>
      </c>
      <c r="E34" t="s">
        <v>111</v>
      </c>
      <c r="F34" t="s">
        <v>25</v>
      </c>
    </row>
    <row r="35" spans="1:6" x14ac:dyDescent="0.3">
      <c r="A35" t="s">
        <v>680</v>
      </c>
      <c r="B35" t="s">
        <v>681</v>
      </c>
      <c r="C35" t="s">
        <v>682</v>
      </c>
      <c r="D35">
        <v>2020</v>
      </c>
      <c r="E35" t="s">
        <v>683</v>
      </c>
      <c r="F35" t="s">
        <v>25</v>
      </c>
    </row>
    <row r="36" spans="1:6" x14ac:dyDescent="0.3">
      <c r="A36" t="s">
        <v>10</v>
      </c>
      <c r="B36" t="s">
        <v>8</v>
      </c>
      <c r="C36" t="s">
        <v>671</v>
      </c>
      <c r="D36">
        <v>2022</v>
      </c>
      <c r="E36" t="s">
        <v>9</v>
      </c>
      <c r="F36" t="s">
        <v>25</v>
      </c>
    </row>
    <row r="37" spans="1:6" x14ac:dyDescent="0.3">
      <c r="A37" t="s">
        <v>689</v>
      </c>
      <c r="B37" t="s">
        <v>688</v>
      </c>
      <c r="C37" t="s">
        <v>682</v>
      </c>
      <c r="D37">
        <v>2021</v>
      </c>
      <c r="E37" t="s">
        <v>690</v>
      </c>
      <c r="F37" t="s">
        <v>25</v>
      </c>
    </row>
    <row r="38" spans="1:6" x14ac:dyDescent="0.3">
      <c r="A38" t="s">
        <v>5</v>
      </c>
      <c r="B38" t="s">
        <v>4</v>
      </c>
      <c r="C38" t="s">
        <v>671</v>
      </c>
      <c r="D38" t="s">
        <v>111</v>
      </c>
      <c r="E38" t="s">
        <v>7</v>
      </c>
      <c r="F38" t="s">
        <v>25</v>
      </c>
    </row>
    <row r="39" spans="1:6" x14ac:dyDescent="0.3">
      <c r="A39" t="s">
        <v>750</v>
      </c>
      <c r="B39" t="s">
        <v>749</v>
      </c>
      <c r="C39" t="s">
        <v>751</v>
      </c>
      <c r="D39">
        <v>2020</v>
      </c>
      <c r="E39" t="s">
        <v>605</v>
      </c>
      <c r="F39" t="s">
        <v>26</v>
      </c>
    </row>
    <row r="40" spans="1:6" x14ac:dyDescent="0.3">
      <c r="A40" t="s">
        <v>784</v>
      </c>
      <c r="B40" t="s">
        <v>783</v>
      </c>
      <c r="C40" t="s">
        <v>785</v>
      </c>
      <c r="D40">
        <v>2021</v>
      </c>
      <c r="E40" t="s">
        <v>111</v>
      </c>
      <c r="F40" t="s">
        <v>26</v>
      </c>
    </row>
    <row r="41" spans="1:6" x14ac:dyDescent="0.3">
      <c r="A41" t="s">
        <v>795</v>
      </c>
      <c r="B41" t="s">
        <v>794</v>
      </c>
      <c r="C41" t="s">
        <v>796</v>
      </c>
      <c r="D41">
        <v>2020</v>
      </c>
      <c r="E41" t="s">
        <v>111</v>
      </c>
      <c r="F41" t="s">
        <v>26</v>
      </c>
    </row>
    <row r="42" spans="1:6" x14ac:dyDescent="0.3">
      <c r="A42" t="s">
        <v>26</v>
      </c>
      <c r="B42" t="s">
        <v>797</v>
      </c>
      <c r="C42" t="s">
        <v>798</v>
      </c>
      <c r="D42" t="s">
        <v>111</v>
      </c>
      <c r="E42" t="s">
        <v>111</v>
      </c>
      <c r="F42" t="s">
        <v>26</v>
      </c>
    </row>
    <row r="43" spans="1:6" x14ac:dyDescent="0.3">
      <c r="A43" t="s">
        <v>811</v>
      </c>
      <c r="B43" t="s">
        <v>810</v>
      </c>
      <c r="C43" t="s">
        <v>812</v>
      </c>
      <c r="D43" t="s">
        <v>111</v>
      </c>
      <c r="E43" t="s">
        <v>111</v>
      </c>
      <c r="F43" t="s">
        <v>26</v>
      </c>
    </row>
    <row r="44" spans="1:6" x14ac:dyDescent="0.3">
      <c r="A44" t="s">
        <v>820</v>
      </c>
      <c r="B44" t="s">
        <v>821</v>
      </c>
      <c r="C44" t="s">
        <v>796</v>
      </c>
      <c r="D44">
        <v>2020</v>
      </c>
      <c r="E44" t="s">
        <v>111</v>
      </c>
      <c r="F44" t="s">
        <v>26</v>
      </c>
    </row>
    <row r="45" spans="1:6" x14ac:dyDescent="0.3">
      <c r="A45" t="s">
        <v>822</v>
      </c>
      <c r="B45" t="s">
        <v>823</v>
      </c>
      <c r="C45" t="s">
        <v>796</v>
      </c>
      <c r="D45">
        <v>2020</v>
      </c>
      <c r="E45" t="s">
        <v>824</v>
      </c>
      <c r="F45" t="s">
        <v>26</v>
      </c>
    </row>
    <row r="46" spans="1:6" x14ac:dyDescent="0.3">
      <c r="A46" t="s">
        <v>825</v>
      </c>
      <c r="B46" t="s">
        <v>826</v>
      </c>
      <c r="C46" t="s">
        <v>827</v>
      </c>
      <c r="D46">
        <v>2020</v>
      </c>
      <c r="E46" t="s">
        <v>111</v>
      </c>
      <c r="F46" t="s">
        <v>26</v>
      </c>
    </row>
    <row r="47" spans="1:6" x14ac:dyDescent="0.3">
      <c r="A47" t="s">
        <v>839</v>
      </c>
      <c r="B47" t="s">
        <v>838</v>
      </c>
      <c r="C47" t="s">
        <v>812</v>
      </c>
      <c r="D47">
        <v>2021</v>
      </c>
      <c r="E47" t="s">
        <v>840</v>
      </c>
      <c r="F47" t="s">
        <v>26</v>
      </c>
    </row>
    <row r="48" spans="1:6" x14ac:dyDescent="0.3">
      <c r="A48" t="s">
        <v>842</v>
      </c>
      <c r="B48" t="s">
        <v>841</v>
      </c>
      <c r="C48" t="s">
        <v>812</v>
      </c>
      <c r="D48" t="s">
        <v>111</v>
      </c>
      <c r="E48" t="s">
        <v>111</v>
      </c>
      <c r="F48" t="s">
        <v>26</v>
      </c>
    </row>
    <row r="49" spans="1:6" x14ac:dyDescent="0.3">
      <c r="A49" t="s">
        <v>853</v>
      </c>
      <c r="B49" t="s">
        <v>852</v>
      </c>
      <c r="C49" t="s">
        <v>812</v>
      </c>
      <c r="D49">
        <v>2022</v>
      </c>
      <c r="E49" t="s">
        <v>854</v>
      </c>
      <c r="F49" t="s">
        <v>26</v>
      </c>
    </row>
    <row r="50" spans="1:6" x14ac:dyDescent="0.3">
      <c r="A50" t="s">
        <v>855</v>
      </c>
      <c r="B50" t="s">
        <v>856</v>
      </c>
      <c r="C50" t="s">
        <v>796</v>
      </c>
      <c r="D50">
        <v>2021</v>
      </c>
      <c r="E50" t="s">
        <v>111</v>
      </c>
      <c r="F50" t="s">
        <v>26</v>
      </c>
    </row>
    <row r="51" spans="1:6" x14ac:dyDescent="0.3">
      <c r="A51" t="s">
        <v>871</v>
      </c>
      <c r="B51" t="s">
        <v>870</v>
      </c>
      <c r="C51" t="s">
        <v>872</v>
      </c>
      <c r="D51" t="s">
        <v>111</v>
      </c>
      <c r="E51" t="s">
        <v>111</v>
      </c>
      <c r="F51" t="s">
        <v>26</v>
      </c>
    </row>
    <row r="52" spans="1:6" x14ac:dyDescent="0.3">
      <c r="A52" t="s">
        <v>876</v>
      </c>
      <c r="B52" t="s">
        <v>877</v>
      </c>
      <c r="C52" t="s">
        <v>796</v>
      </c>
      <c r="D52" t="s">
        <v>111</v>
      </c>
      <c r="E52" t="s">
        <v>111</v>
      </c>
      <c r="F52" t="s">
        <v>26</v>
      </c>
    </row>
    <row r="53" spans="1:6" x14ac:dyDescent="0.3">
      <c r="A53" t="s">
        <v>879</v>
      </c>
      <c r="B53" t="s">
        <v>878</v>
      </c>
      <c r="C53" t="s">
        <v>812</v>
      </c>
      <c r="D53" t="s">
        <v>111</v>
      </c>
      <c r="E53" t="s">
        <v>111</v>
      </c>
      <c r="F53" t="s">
        <v>26</v>
      </c>
    </row>
    <row r="54" spans="1:6" x14ac:dyDescent="0.3">
      <c r="A54" t="s">
        <v>880</v>
      </c>
      <c r="B54" t="s">
        <v>881</v>
      </c>
      <c r="C54" t="s">
        <v>882</v>
      </c>
      <c r="D54" t="s">
        <v>111</v>
      </c>
      <c r="E54" t="s">
        <v>111</v>
      </c>
      <c r="F54" t="s">
        <v>26</v>
      </c>
    </row>
    <row r="55" spans="1:6" x14ac:dyDescent="0.3">
      <c r="A55" t="s">
        <v>887</v>
      </c>
      <c r="B55" t="s">
        <v>888</v>
      </c>
      <c r="C55" t="s">
        <v>812</v>
      </c>
      <c r="D55">
        <v>2021</v>
      </c>
      <c r="E55" t="s">
        <v>889</v>
      </c>
      <c r="F55" t="s">
        <v>26</v>
      </c>
    </row>
    <row r="56" spans="1:6" x14ac:dyDescent="0.3">
      <c r="A56" t="s">
        <v>842</v>
      </c>
      <c r="B56" t="s">
        <v>890</v>
      </c>
      <c r="C56" t="s">
        <v>812</v>
      </c>
      <c r="D56">
        <v>2021</v>
      </c>
      <c r="E56" t="s">
        <v>891</v>
      </c>
      <c r="F56" t="s">
        <v>26</v>
      </c>
    </row>
    <row r="57" spans="1:6" x14ac:dyDescent="0.3">
      <c r="A57" t="s">
        <v>896</v>
      </c>
      <c r="B57" t="s">
        <v>895</v>
      </c>
      <c r="C57" t="s">
        <v>897</v>
      </c>
      <c r="D57">
        <v>2021</v>
      </c>
      <c r="E57" t="s">
        <v>111</v>
      </c>
      <c r="F57" t="s">
        <v>26</v>
      </c>
    </row>
    <row r="58" spans="1:6" x14ac:dyDescent="0.3">
      <c r="A58" t="s">
        <v>924</v>
      </c>
      <c r="B58" t="s">
        <v>923</v>
      </c>
      <c r="C58" t="s">
        <v>926</v>
      </c>
      <c r="D58">
        <v>2020</v>
      </c>
      <c r="E58" t="s">
        <v>925</v>
      </c>
      <c r="F58" t="s">
        <v>26</v>
      </c>
    </row>
    <row r="59" spans="1:6" x14ac:dyDescent="0.3">
      <c r="A59" t="s">
        <v>822</v>
      </c>
      <c r="B59" t="s">
        <v>932</v>
      </c>
      <c r="C59" t="s">
        <v>796</v>
      </c>
      <c r="D59">
        <v>2022</v>
      </c>
      <c r="E59" t="s">
        <v>111</v>
      </c>
      <c r="F59" t="s">
        <v>26</v>
      </c>
    </row>
    <row r="60" spans="1:6" x14ac:dyDescent="0.3">
      <c r="A60" t="s">
        <v>941</v>
      </c>
      <c r="B60" t="s">
        <v>942</v>
      </c>
      <c r="C60" t="s">
        <v>796</v>
      </c>
      <c r="D60">
        <v>2020</v>
      </c>
      <c r="E60" t="s">
        <v>943</v>
      </c>
      <c r="F60" t="s">
        <v>26</v>
      </c>
    </row>
    <row r="61" spans="1:6" x14ac:dyDescent="0.3">
      <c r="A61" t="s">
        <v>945</v>
      </c>
      <c r="B61" t="s">
        <v>944</v>
      </c>
      <c r="C61" t="s">
        <v>946</v>
      </c>
      <c r="D61" t="s">
        <v>111</v>
      </c>
      <c r="E61" t="s">
        <v>111</v>
      </c>
      <c r="F61" t="s">
        <v>26</v>
      </c>
    </row>
    <row r="62" spans="1:6" x14ac:dyDescent="0.3">
      <c r="A62" t="s">
        <v>948</v>
      </c>
      <c r="B62" t="s">
        <v>947</v>
      </c>
      <c r="C62" t="s">
        <v>812</v>
      </c>
      <c r="D62" t="s">
        <v>111</v>
      </c>
      <c r="E62" t="s">
        <v>111</v>
      </c>
      <c r="F62" t="s">
        <v>26</v>
      </c>
    </row>
    <row r="63" spans="1:6" x14ac:dyDescent="0.3">
      <c r="A63" t="s">
        <v>552</v>
      </c>
      <c r="B63" t="s">
        <v>440</v>
      </c>
      <c r="C63" t="s">
        <v>671</v>
      </c>
      <c r="D63">
        <v>2022</v>
      </c>
      <c r="E63" t="s">
        <v>554</v>
      </c>
      <c r="F63" t="s">
        <v>965</v>
      </c>
    </row>
    <row r="64" spans="1:6" x14ac:dyDescent="0.3">
      <c r="A64" t="s">
        <v>917</v>
      </c>
      <c r="B64" t="s">
        <v>914</v>
      </c>
      <c r="C64" t="s">
        <v>671</v>
      </c>
      <c r="D64">
        <v>2021</v>
      </c>
      <c r="E64" t="s">
        <v>915</v>
      </c>
      <c r="F64" t="s">
        <v>36</v>
      </c>
    </row>
    <row r="65" spans="1:6" x14ac:dyDescent="0.3">
      <c r="A65" t="s">
        <v>10</v>
      </c>
      <c r="B65" t="s">
        <v>8</v>
      </c>
      <c r="C65" t="s">
        <v>671</v>
      </c>
      <c r="D65">
        <v>2022</v>
      </c>
      <c r="E65" t="s">
        <v>9</v>
      </c>
      <c r="F65" t="s">
        <v>36</v>
      </c>
    </row>
    <row r="66" spans="1:6" x14ac:dyDescent="0.3">
      <c r="A66" t="s">
        <v>961</v>
      </c>
      <c r="B66" t="s">
        <v>962</v>
      </c>
      <c r="C66" t="s">
        <v>963</v>
      </c>
      <c r="D66">
        <v>2018</v>
      </c>
      <c r="E66" t="s">
        <v>964</v>
      </c>
      <c r="F66" t="s">
        <v>965</v>
      </c>
    </row>
    <row r="67" spans="1:6" x14ac:dyDescent="0.3">
      <c r="A67" t="s">
        <v>974</v>
      </c>
      <c r="B67" t="s">
        <v>973</v>
      </c>
      <c r="C67" t="s">
        <v>975</v>
      </c>
      <c r="D67" t="s">
        <v>111</v>
      </c>
      <c r="E67" t="s">
        <v>111</v>
      </c>
      <c r="F67" t="s">
        <v>965</v>
      </c>
    </row>
    <row r="68" spans="1:6" x14ac:dyDescent="0.3">
      <c r="A68" t="s">
        <v>552</v>
      </c>
      <c r="B68" t="s">
        <v>440</v>
      </c>
      <c r="C68" t="s">
        <v>671</v>
      </c>
      <c r="D68">
        <v>2022</v>
      </c>
      <c r="E68" t="s">
        <v>554</v>
      </c>
      <c r="F68" t="s">
        <v>965</v>
      </c>
    </row>
    <row r="69" spans="1:6" x14ac:dyDescent="0.3">
      <c r="A69" t="s">
        <v>980</v>
      </c>
      <c r="B69" t="s">
        <v>979</v>
      </c>
      <c r="C69" t="s">
        <v>975</v>
      </c>
      <c r="D69" t="s">
        <v>111</v>
      </c>
      <c r="E69" t="s">
        <v>111</v>
      </c>
      <c r="F69" t="s">
        <v>965</v>
      </c>
    </row>
    <row r="70" spans="1:6" x14ac:dyDescent="0.3">
      <c r="A70" t="s">
        <v>988</v>
      </c>
      <c r="B70" t="s">
        <v>987</v>
      </c>
      <c r="C70" t="s">
        <v>975</v>
      </c>
      <c r="D70" t="s">
        <v>111</v>
      </c>
      <c r="E70" t="s">
        <v>111</v>
      </c>
      <c r="F70" t="s">
        <v>965</v>
      </c>
    </row>
    <row r="71" spans="1:6" x14ac:dyDescent="0.3">
      <c r="A71" t="s">
        <v>988</v>
      </c>
      <c r="B71" t="s">
        <v>996</v>
      </c>
      <c r="C71" t="s">
        <v>975</v>
      </c>
      <c r="D71" t="s">
        <v>111</v>
      </c>
      <c r="E71" t="s">
        <v>111</v>
      </c>
      <c r="F71" t="s">
        <v>965</v>
      </c>
    </row>
    <row r="72" spans="1:6" x14ac:dyDescent="0.3">
      <c r="A72" t="s">
        <v>1002</v>
      </c>
      <c r="B72" t="s">
        <v>1000</v>
      </c>
      <c r="C72" t="s">
        <v>1001</v>
      </c>
      <c r="D72" t="s">
        <v>111</v>
      </c>
      <c r="E72" t="s">
        <v>111</v>
      </c>
      <c r="F72" t="s">
        <v>965</v>
      </c>
    </row>
    <row r="73" spans="1:6" x14ac:dyDescent="0.3">
      <c r="A73" t="s">
        <v>1003</v>
      </c>
      <c r="B73" t="s">
        <v>1004</v>
      </c>
      <c r="C73" t="s">
        <v>1005</v>
      </c>
      <c r="D73" t="s">
        <v>111</v>
      </c>
      <c r="E73" t="s">
        <v>111</v>
      </c>
      <c r="F73" t="s">
        <v>965</v>
      </c>
    </row>
    <row r="74" spans="1:6" x14ac:dyDescent="0.3">
      <c r="A74" t="s">
        <v>1016</v>
      </c>
      <c r="B74" t="s">
        <v>1015</v>
      </c>
      <c r="C74" t="s">
        <v>975</v>
      </c>
      <c r="D74" t="s">
        <v>111</v>
      </c>
      <c r="E74" t="s">
        <v>111</v>
      </c>
      <c r="F74" t="s">
        <v>965</v>
      </c>
    </row>
    <row r="75" spans="1:6" x14ac:dyDescent="0.3">
      <c r="A75" t="s">
        <v>1042</v>
      </c>
      <c r="B75" t="s">
        <v>1041</v>
      </c>
      <c r="C75" t="s">
        <v>975</v>
      </c>
      <c r="D75">
        <v>2021</v>
      </c>
      <c r="E75" t="s">
        <v>111</v>
      </c>
      <c r="F75" t="s">
        <v>965</v>
      </c>
    </row>
    <row r="76" spans="1:6" x14ac:dyDescent="0.3">
      <c r="A76" t="s">
        <v>1053</v>
      </c>
      <c r="B76" t="s">
        <v>1052</v>
      </c>
      <c r="C76" t="s">
        <v>975</v>
      </c>
      <c r="D76" t="s">
        <v>111</v>
      </c>
      <c r="E76" t="s">
        <v>111</v>
      </c>
      <c r="F76" t="s">
        <v>965</v>
      </c>
    </row>
    <row r="77" spans="1:6" x14ac:dyDescent="0.3">
      <c r="A77" t="s">
        <v>1010</v>
      </c>
      <c r="B77" t="s">
        <v>1011</v>
      </c>
      <c r="C77" t="s">
        <v>671</v>
      </c>
      <c r="D77">
        <v>2017</v>
      </c>
      <c r="E77" t="s">
        <v>1012</v>
      </c>
      <c r="F77" t="s">
        <v>965</v>
      </c>
    </row>
    <row r="78" spans="1:6" x14ac:dyDescent="0.3">
      <c r="A78" t="s">
        <v>1055</v>
      </c>
      <c r="B78" t="s">
        <v>1054</v>
      </c>
      <c r="C78" t="s">
        <v>1056</v>
      </c>
      <c r="D78" t="s">
        <v>111</v>
      </c>
      <c r="E78" t="s">
        <v>111</v>
      </c>
      <c r="F78" t="s">
        <v>965</v>
      </c>
    </row>
    <row r="79" spans="1:6" x14ac:dyDescent="0.3">
      <c r="A79" t="s">
        <v>1003</v>
      </c>
      <c r="B79" t="s">
        <v>1004</v>
      </c>
      <c r="C79" t="s">
        <v>1005</v>
      </c>
      <c r="D79" t="s">
        <v>111</v>
      </c>
      <c r="E79" t="s">
        <v>111</v>
      </c>
      <c r="F79" t="s">
        <v>965</v>
      </c>
    </row>
    <row r="80" spans="1:6" x14ac:dyDescent="0.3">
      <c r="A80" t="s">
        <v>1002</v>
      </c>
      <c r="B80" t="s">
        <v>1000</v>
      </c>
      <c r="C80" t="s">
        <v>1001</v>
      </c>
      <c r="D80" t="s">
        <v>111</v>
      </c>
      <c r="E80" t="s">
        <v>111</v>
      </c>
      <c r="F80" t="s">
        <v>965</v>
      </c>
    </row>
    <row r="81" spans="1:6" x14ac:dyDescent="0.3">
      <c r="A81" t="s">
        <v>1058</v>
      </c>
      <c r="B81" t="s">
        <v>1057</v>
      </c>
      <c r="C81" t="s">
        <v>897</v>
      </c>
      <c r="D81" t="s">
        <v>111</v>
      </c>
      <c r="E81" t="s">
        <v>111</v>
      </c>
      <c r="F81" t="s">
        <v>965</v>
      </c>
    </row>
  </sheetData>
  <hyperlinks>
    <hyperlink ref="A10" r:id="rId1" display="https://www.paloaltonetworks.de/prisma/cloud/infrastructure-as-code-security" xr:uid="{DE4377D3-E17E-4B90-BEF8-C3ABB1163448}"/>
    <hyperlink ref="E12" r:id="rId2" tooltip="Posts by Sean Porter" display="https://thenewstack.io/author/sean-porter/" xr:uid="{7320D65B-397A-4677-939C-5019F6E461BD}"/>
    <hyperlink ref="A14" r:id="rId3" display="https://en.wikipedia.org/wiki/Orchestration_(computing)" xr:uid="{595C48C1-BFEC-4F59-9A97-0E808336E90C}"/>
    <hyperlink ref="B25" r:id="rId4" xr:uid="{58209702-BD7D-40A0-9451-4155005C8640}"/>
    <hyperlink ref="E27" r:id="rId5" tooltip="Posts by Brian McHugh" display="https://www.advsyscon.com/blog/author/brian-mchugh/" xr:uid="{F22DFFC2-6C16-4320-90E3-B78FE6B94DF9}"/>
    <hyperlink ref="E31" r:id="rId6" display="https://medium.com/@brikis98?source=post_page-----7989dad2865c--------------------------------" xr:uid="{1716F92E-4037-452B-9B4B-1C12C7C4238B}"/>
    <hyperlink ref="E64" r:id="rId7" display="https://yannmjl.medium.com/?source=post_page-----4bf07b9c79db--------------------------------" xr:uid="{B9DBEFC5-C46E-4481-B6EC-B346403A9BF8}"/>
  </hyperlinks>
  <pageMargins left="0.7" right="0.7" top="0.75" bottom="0.75" header="0.3" footer="0.3"/>
  <pageSetup paperSize="9" orientation="portrait" horizontalDpi="4294967293" verticalDpi="0" r:id="rId8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FD17-C1F1-4BE4-A4EC-C3850E872476}">
  <sheetPr>
    <tabColor theme="4"/>
  </sheetPr>
  <dimension ref="A1:BE382"/>
  <sheetViews>
    <sheetView zoomScale="85" zoomScaleNormal="85" workbookViewId="0"/>
  </sheetViews>
  <sheetFormatPr defaultColWidth="8.77734375" defaultRowHeight="14.4" x14ac:dyDescent="0.3"/>
  <cols>
    <col min="2" max="2" width="11" bestFit="1" customWidth="1"/>
    <col min="20" max="20" width="9.5546875" customWidth="1"/>
    <col min="21" max="21" width="29.77734375" bestFit="1" customWidth="1"/>
    <col min="27" max="27" width="24.5546875" bestFit="1" customWidth="1"/>
    <col min="53" max="53" width="40.5546875" bestFit="1" customWidth="1"/>
    <col min="55" max="55" width="10" customWidth="1"/>
  </cols>
  <sheetData>
    <row r="1" spans="1:51" x14ac:dyDescent="0.3">
      <c r="A1" s="44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6"/>
    </row>
    <row r="2" spans="1:51" x14ac:dyDescent="0.3">
      <c r="A2" s="47"/>
      <c r="AY2" s="48"/>
    </row>
    <row r="3" spans="1:51" x14ac:dyDescent="0.3">
      <c r="A3" s="47"/>
      <c r="AY3" s="48"/>
    </row>
    <row r="4" spans="1:51" x14ac:dyDescent="0.3">
      <c r="A4" s="47"/>
      <c r="AY4" s="48"/>
    </row>
    <row r="5" spans="1:51" x14ac:dyDescent="0.3">
      <c r="A5" s="47"/>
      <c r="AY5" s="48"/>
    </row>
    <row r="6" spans="1:51" x14ac:dyDescent="0.3">
      <c r="A6" s="47"/>
      <c r="AY6" s="48"/>
    </row>
    <row r="7" spans="1:51" x14ac:dyDescent="0.3">
      <c r="A7" s="47"/>
      <c r="AY7" s="48"/>
    </row>
    <row r="8" spans="1:51" x14ac:dyDescent="0.3">
      <c r="A8" s="47"/>
      <c r="AY8" s="48"/>
    </row>
    <row r="9" spans="1:51" x14ac:dyDescent="0.3">
      <c r="A9" s="47"/>
      <c r="AY9" s="48"/>
    </row>
    <row r="10" spans="1:51" x14ac:dyDescent="0.3">
      <c r="A10" s="47"/>
      <c r="AY10" s="48"/>
    </row>
    <row r="11" spans="1:51" x14ac:dyDescent="0.3">
      <c r="A11" s="47"/>
      <c r="AY11" s="48"/>
    </row>
    <row r="12" spans="1:51" x14ac:dyDescent="0.3">
      <c r="A12" s="47"/>
      <c r="AY12" s="48"/>
    </row>
    <row r="13" spans="1:51" x14ac:dyDescent="0.3">
      <c r="A13" s="47"/>
      <c r="AY13" s="48"/>
    </row>
    <row r="14" spans="1:51" x14ac:dyDescent="0.3">
      <c r="A14" s="47"/>
      <c r="AY14" s="48"/>
    </row>
    <row r="15" spans="1:51" x14ac:dyDescent="0.3">
      <c r="A15" s="47"/>
      <c r="AY15" s="48"/>
    </row>
    <row r="16" spans="1:51" x14ac:dyDescent="0.3">
      <c r="A16" s="47"/>
      <c r="AY16" s="48"/>
    </row>
    <row r="17" spans="1:51" x14ac:dyDescent="0.3">
      <c r="A17" s="47"/>
      <c r="AY17" s="48"/>
    </row>
    <row r="18" spans="1:51" x14ac:dyDescent="0.3">
      <c r="A18" s="47"/>
      <c r="AY18" s="48"/>
    </row>
    <row r="19" spans="1:51" x14ac:dyDescent="0.3">
      <c r="A19" s="47"/>
      <c r="AY19" s="48"/>
    </row>
    <row r="20" spans="1:51" x14ac:dyDescent="0.3">
      <c r="A20" s="47"/>
      <c r="AY20" s="48"/>
    </row>
    <row r="21" spans="1:51" x14ac:dyDescent="0.3">
      <c r="A21" s="47"/>
      <c r="AY21" s="48"/>
    </row>
    <row r="22" spans="1:51" x14ac:dyDescent="0.3">
      <c r="A22" s="47"/>
      <c r="AY22" s="48"/>
    </row>
    <row r="23" spans="1:51" x14ac:dyDescent="0.3">
      <c r="A23" s="47"/>
      <c r="AY23" s="48"/>
    </row>
    <row r="24" spans="1:51" x14ac:dyDescent="0.3">
      <c r="A24" s="47"/>
      <c r="AY24" s="48"/>
    </row>
    <row r="25" spans="1:51" x14ac:dyDescent="0.3">
      <c r="A25" s="47"/>
      <c r="AY25" s="48"/>
    </row>
    <row r="26" spans="1:51" x14ac:dyDescent="0.3">
      <c r="A26" s="47"/>
      <c r="AY26" s="48"/>
    </row>
    <row r="27" spans="1:51" x14ac:dyDescent="0.3">
      <c r="A27" s="47"/>
      <c r="AY27" s="48"/>
    </row>
    <row r="28" spans="1:51" x14ac:dyDescent="0.3">
      <c r="A28" s="47"/>
      <c r="AY28" s="48"/>
    </row>
    <row r="29" spans="1:51" x14ac:dyDescent="0.3">
      <c r="A29" s="47"/>
      <c r="AY29" s="48"/>
    </row>
    <row r="30" spans="1:51" x14ac:dyDescent="0.3">
      <c r="A30" s="47"/>
      <c r="AY30" s="48"/>
    </row>
    <row r="31" spans="1:51" x14ac:dyDescent="0.3">
      <c r="A31" s="47"/>
      <c r="AY31" s="48"/>
    </row>
    <row r="32" spans="1:51" x14ac:dyDescent="0.3">
      <c r="A32" s="47"/>
      <c r="AY32" s="48"/>
    </row>
    <row r="33" spans="1:57" x14ac:dyDescent="0.3">
      <c r="A33" s="47"/>
      <c r="AY33" s="48"/>
    </row>
    <row r="34" spans="1:57" x14ac:dyDescent="0.3">
      <c r="A34" s="47"/>
      <c r="AY34" s="48"/>
    </row>
    <row r="35" spans="1:57" x14ac:dyDescent="0.3">
      <c r="A35" s="47"/>
      <c r="AY35" s="48"/>
    </row>
    <row r="36" spans="1:57" x14ac:dyDescent="0.3">
      <c r="A36" s="47"/>
      <c r="AY36" s="48"/>
    </row>
    <row r="37" spans="1:57" x14ac:dyDescent="0.3">
      <c r="A37" s="47"/>
      <c r="AY37" s="48"/>
    </row>
    <row r="38" spans="1:57" x14ac:dyDescent="0.3">
      <c r="A38" s="47"/>
      <c r="AY38" s="48"/>
    </row>
    <row r="39" spans="1:57" x14ac:dyDescent="0.3">
      <c r="A39" s="47"/>
      <c r="AY39" s="48"/>
    </row>
    <row r="40" spans="1:57" x14ac:dyDescent="0.3">
      <c r="A40" s="47"/>
      <c r="AY40" s="48"/>
    </row>
    <row r="41" spans="1:57" x14ac:dyDescent="0.3">
      <c r="A41" s="47"/>
      <c r="AY41" s="48"/>
    </row>
    <row r="42" spans="1:57" x14ac:dyDescent="0.3">
      <c r="A42" s="47"/>
      <c r="AY42" s="48"/>
    </row>
    <row r="43" spans="1:57" x14ac:dyDescent="0.3">
      <c r="A43" s="47"/>
      <c r="AY43" s="48"/>
    </row>
    <row r="44" spans="1:57" ht="15" thickBo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1"/>
    </row>
    <row r="45" spans="1:57" x14ac:dyDescent="0.3">
      <c r="A45" s="44"/>
      <c r="B45" s="45"/>
      <c r="C45" s="45"/>
      <c r="D45" s="45"/>
      <c r="E45" s="45"/>
      <c r="F45" s="45"/>
      <c r="G45" s="45"/>
      <c r="H45" s="45"/>
      <c r="I45" s="45"/>
      <c r="J45" s="46"/>
      <c r="K45" s="44"/>
      <c r="L45" s="45"/>
      <c r="M45" s="45"/>
      <c r="N45" s="45"/>
      <c r="O45" s="45"/>
      <c r="P45" s="45"/>
      <c r="Q45" s="45"/>
      <c r="R45" s="45"/>
      <c r="S45" s="46"/>
      <c r="T45" s="44"/>
      <c r="U45" s="45"/>
      <c r="V45" s="45"/>
      <c r="W45" s="45"/>
      <c r="X45" s="45"/>
      <c r="Y45" s="46"/>
      <c r="Z45" s="44"/>
      <c r="AA45" s="45"/>
      <c r="AB45" s="45"/>
      <c r="AC45" s="45"/>
      <c r="AD45" s="45"/>
      <c r="AE45" s="45"/>
      <c r="AF45" s="46"/>
      <c r="AG45" s="44"/>
      <c r="AH45" s="45"/>
      <c r="AI45" s="45"/>
      <c r="AJ45" s="45"/>
      <c r="AK45" s="45"/>
      <c r="AL45" s="45"/>
      <c r="AM45" s="45"/>
      <c r="AN45" s="45"/>
      <c r="AO45" s="45"/>
      <c r="AP45" s="46"/>
      <c r="AQ45" s="44"/>
      <c r="AR45" s="45"/>
      <c r="AS45" s="45"/>
      <c r="AT45" s="45"/>
      <c r="AU45" s="45"/>
      <c r="AV45" s="45"/>
      <c r="AW45" s="45"/>
      <c r="AX45" s="45"/>
      <c r="AY45" s="46"/>
      <c r="AZ45" s="44"/>
      <c r="BA45" s="45"/>
      <c r="BB45" s="45"/>
      <c r="BC45" s="45"/>
      <c r="BD45" s="45"/>
      <c r="BE45" s="46"/>
    </row>
    <row r="46" spans="1:57" x14ac:dyDescent="0.3">
      <c r="A46" s="47"/>
      <c r="J46" s="48"/>
      <c r="K46" s="47"/>
      <c r="S46" s="48"/>
      <c r="T46" s="47"/>
      <c r="Y46" s="48"/>
      <c r="Z46" s="47"/>
      <c r="AF46" s="48"/>
      <c r="AG46" s="47"/>
      <c r="AP46" s="48"/>
      <c r="AQ46" s="47"/>
      <c r="AY46" s="48"/>
      <c r="AZ46" s="47"/>
      <c r="BE46" s="48"/>
    </row>
    <row r="47" spans="1:57" x14ac:dyDescent="0.3">
      <c r="A47" s="47"/>
      <c r="J47" s="48"/>
      <c r="K47" s="47"/>
      <c r="S47" s="48"/>
      <c r="T47" s="47"/>
      <c r="Y47" s="48"/>
      <c r="Z47" s="47"/>
      <c r="AF47" s="48"/>
      <c r="AG47" s="47"/>
      <c r="AP47" s="48"/>
      <c r="AQ47" s="47"/>
      <c r="AY47" s="48"/>
      <c r="AZ47" s="47"/>
      <c r="BE47" s="48"/>
    </row>
    <row r="48" spans="1:57" x14ac:dyDescent="0.3">
      <c r="A48" s="47"/>
      <c r="B48" t="s">
        <v>1185</v>
      </c>
      <c r="C48">
        <f>COUNTIF('IaC Tools'!E:E,"?")</f>
        <v>36</v>
      </c>
      <c r="J48" s="48"/>
      <c r="K48" s="47"/>
      <c r="S48" s="48"/>
      <c r="T48" s="47"/>
      <c r="Y48" s="48"/>
      <c r="Z48" s="47"/>
      <c r="AF48" s="48"/>
      <c r="AG48" s="47"/>
      <c r="AP48" s="48"/>
      <c r="AQ48" s="47"/>
      <c r="AY48" s="48"/>
      <c r="AZ48" s="47"/>
      <c r="BE48" s="48"/>
    </row>
    <row r="49" spans="1:57" x14ac:dyDescent="0.3">
      <c r="A49" s="47"/>
      <c r="B49">
        <v>2013</v>
      </c>
      <c r="C49">
        <f>COUNTIF('IaC Tools'!E:E,"2013")</f>
        <v>2</v>
      </c>
      <c r="J49" s="48"/>
      <c r="K49" s="47"/>
      <c r="S49" s="48"/>
      <c r="T49" s="47"/>
      <c r="Y49" s="48"/>
      <c r="Z49" s="47"/>
      <c r="AF49" s="48"/>
      <c r="AG49" s="47"/>
      <c r="AP49" s="48"/>
      <c r="AQ49" s="47"/>
      <c r="AY49" s="48"/>
      <c r="AZ49" s="47"/>
      <c r="BA49" t="s">
        <v>2370</v>
      </c>
      <c r="BB49">
        <f>COUNTIFS('IaC Tools'!L251:GY251, "y",'IaC Tools'!L241:GY241, "&lt; 5")</f>
        <v>24</v>
      </c>
      <c r="BE49" s="48"/>
    </row>
    <row r="50" spans="1:57" x14ac:dyDescent="0.3">
      <c r="A50" s="47"/>
      <c r="B50">
        <v>2014</v>
      </c>
      <c r="C50">
        <f>COUNTIF('IaC Tools'!E:E,"2014")</f>
        <v>0</v>
      </c>
      <c r="J50" s="48"/>
      <c r="K50" s="47"/>
      <c r="S50" s="48"/>
      <c r="T50" s="47"/>
      <c r="Y50" s="48"/>
      <c r="Z50" s="47"/>
      <c r="AF50" s="48"/>
      <c r="AG50" s="47"/>
      <c r="AP50" s="48"/>
      <c r="AQ50" s="47"/>
      <c r="AY50" s="48"/>
      <c r="AZ50" s="47"/>
      <c r="BA50" t="s">
        <v>2371</v>
      </c>
      <c r="BB50">
        <f>COUNTIFS('IaC Tools'!L251:GY251, "n",'IaC Tools'!L241:GY241, "&lt; 5")</f>
        <v>134</v>
      </c>
      <c r="BE50" s="48"/>
    </row>
    <row r="51" spans="1:57" x14ac:dyDescent="0.3">
      <c r="A51" s="47"/>
      <c r="B51">
        <v>2015</v>
      </c>
      <c r="C51">
        <f>COUNTIF('IaC Tools'!E:E,"2015")</f>
        <v>0</v>
      </c>
      <c r="J51" s="48"/>
      <c r="K51" s="47"/>
      <c r="L51" t="s">
        <v>17</v>
      </c>
      <c r="M51">
        <f>COUNTIF('IaC Tools'!D:D,"IAWP")</f>
        <v>148</v>
      </c>
      <c r="S51" s="48"/>
      <c r="T51" s="47"/>
      <c r="U51" t="s">
        <v>405</v>
      </c>
      <c r="V51">
        <f>COUNTIF('IaC Tools'!I:I,"Infrastructure as Code Tools")</f>
        <v>93</v>
      </c>
      <c r="Y51" s="48"/>
      <c r="Z51" s="47"/>
      <c r="AA51" t="s">
        <v>636</v>
      </c>
      <c r="AB51">
        <f>SUM(Table35[[#Totals],[Kubernetes]:[Mesosphere]])-5</f>
        <v>107</v>
      </c>
      <c r="AC51" t="s">
        <v>2556</v>
      </c>
      <c r="AD51" s="2" t="s">
        <v>1119</v>
      </c>
      <c r="AF51" s="48"/>
      <c r="AG51" s="47"/>
      <c r="AH51" t="s">
        <v>1309</v>
      </c>
      <c r="AI51">
        <f>SUMIF('IaC Tools'!L251:GY251, "y",Table35[[#Totals],[Chef]:[Apache Hadoop YARN]])</f>
        <v>1184</v>
      </c>
      <c r="AP51" s="48"/>
      <c r="AQ51" s="47"/>
      <c r="AR51" t="s">
        <v>2368</v>
      </c>
      <c r="AY51" s="48"/>
      <c r="AZ51" s="47"/>
      <c r="BA51" t="s">
        <v>2382</v>
      </c>
      <c r="BB51">
        <f>COUNTIFS('IaC Tools'!L251:GY251, "y",'IaC Tools'!L241:GY241, "&gt;= 5")</f>
        <v>21</v>
      </c>
      <c r="BE51" s="48"/>
    </row>
    <row r="52" spans="1:57" x14ac:dyDescent="0.3">
      <c r="A52" s="47"/>
      <c r="B52">
        <v>2016</v>
      </c>
      <c r="C52">
        <f>COUNTIF('IaC Tools'!E:E,"2016")</f>
        <v>1</v>
      </c>
      <c r="J52" s="48"/>
      <c r="K52" s="47"/>
      <c r="L52" t="s">
        <v>428</v>
      </c>
      <c r="M52">
        <f>COUNTIF('IaC Tools'!D:D,"J")</f>
        <v>37</v>
      </c>
      <c r="S52" s="48"/>
      <c r="T52" s="47"/>
      <c r="U52" t="s">
        <v>30</v>
      </c>
      <c r="V52">
        <f>COUNTIF('IaC Tools'!I:I,"Orchestration Tool")</f>
        <v>34</v>
      </c>
      <c r="Y52" s="48"/>
      <c r="Z52" s="47"/>
      <c r="AA52" t="s">
        <v>1306</v>
      </c>
      <c r="AB52">
        <f>SUM(Table35[[#Totals],[Docker]:[Azure VM Image Builder]])</f>
        <v>85</v>
      </c>
      <c r="AF52" s="48"/>
      <c r="AG52" s="47"/>
      <c r="AH52" t="s">
        <v>1310</v>
      </c>
      <c r="AI52">
        <f>SUMIF('IaC Tools'!L251:GY251, "n",Table35[[#Totals],[Chef]:[Apache Hadoop YARN]])</f>
        <v>354</v>
      </c>
      <c r="AP52" s="48"/>
      <c r="AQ52" s="47"/>
      <c r="AR52" t="s">
        <v>2337</v>
      </c>
      <c r="AS52">
        <f>COUNTIF('IaC Tools'!L251:GY251, "y")</f>
        <v>45</v>
      </c>
      <c r="AY52" s="48"/>
      <c r="AZ52" s="47"/>
      <c r="BA52" t="s">
        <v>2383</v>
      </c>
      <c r="BB52">
        <f>COUNTIFS('IaC Tools'!L251:GY251, "n",'IaC Tools'!L241:GY241, "&gt;= 5")</f>
        <v>17</v>
      </c>
      <c r="BE52" s="48"/>
    </row>
    <row r="53" spans="1:57" x14ac:dyDescent="0.3">
      <c r="A53" s="47"/>
      <c r="B53">
        <v>2017</v>
      </c>
      <c r="C53">
        <f>COUNTIF('IaC Tools'!E:E,"2017")</f>
        <v>3</v>
      </c>
      <c r="J53" s="48"/>
      <c r="K53" s="47"/>
      <c r="L53" t="s">
        <v>334</v>
      </c>
      <c r="M53">
        <f>COUNTIF('IaC Tools'!D:D,"C")</f>
        <v>22</v>
      </c>
      <c r="S53" s="48"/>
      <c r="T53" s="47"/>
      <c r="U53" t="s">
        <v>25</v>
      </c>
      <c r="V53">
        <f>COUNTIF('IaC Tools'!I:I,"Server Templating Tools")</f>
        <v>2</v>
      </c>
      <c r="Y53" s="48"/>
      <c r="Z53" s="47"/>
      <c r="AA53" t="s">
        <v>1307</v>
      </c>
      <c r="AB53">
        <f>SUM(Table35[[#Totals],[Chef]:[SmartFrog]])-3</f>
        <v>574</v>
      </c>
      <c r="AC53" t="s">
        <v>2372</v>
      </c>
      <c r="AD53" s="2" t="s">
        <v>1119</v>
      </c>
      <c r="AF53" s="48"/>
      <c r="AG53" s="47"/>
      <c r="AH53" t="s">
        <v>1063</v>
      </c>
      <c r="AI53">
        <f>SUM(Table35[[#Totals],[Chef]:[Apache Hadoop YARN]])</f>
        <v>1538</v>
      </c>
      <c r="AP53" s="48"/>
      <c r="AQ53" s="47"/>
      <c r="AR53" t="s">
        <v>2338</v>
      </c>
      <c r="AS53">
        <f>COUNTIF('IaC Tools'!L251:GY251, "n")</f>
        <v>151</v>
      </c>
      <c r="AY53" s="48"/>
      <c r="AZ53" s="47"/>
      <c r="BA53" t="s">
        <v>1063</v>
      </c>
      <c r="BB53">
        <f>SUM(BB49:BB52)</f>
        <v>196</v>
      </c>
      <c r="BE53" s="48"/>
    </row>
    <row r="54" spans="1:57" x14ac:dyDescent="0.3">
      <c r="A54" s="47"/>
      <c r="B54">
        <v>2018</v>
      </c>
      <c r="C54">
        <f>COUNTIF('IaC Tools'!E:E,"2018")</f>
        <v>6</v>
      </c>
      <c r="J54" s="48"/>
      <c r="K54" s="47"/>
      <c r="L54" t="s">
        <v>1067</v>
      </c>
      <c r="M54">
        <f>COUNTIF('IaC Tools'!D:D,"N")</f>
        <v>6</v>
      </c>
      <c r="S54" s="48"/>
      <c r="T54" s="47"/>
      <c r="U54" t="s">
        <v>26</v>
      </c>
      <c r="V54">
        <f>COUNTIF('IaC Tools'!I:I,"Configuration Management Tools")</f>
        <v>51</v>
      </c>
      <c r="Y54" s="48"/>
      <c r="Z54" s="47"/>
      <c r="AA54" t="s">
        <v>1308</v>
      </c>
      <c r="AB54">
        <f>SUM(Table35[[#Totals],[Terraform]:[Architect]])</f>
        <v>413</v>
      </c>
      <c r="AF54" s="48"/>
      <c r="AG54" s="47"/>
      <c r="AH54" t="s">
        <v>2369</v>
      </c>
      <c r="AI54">
        <f>100/AI53*AI51</f>
        <v>76.98309492847855</v>
      </c>
      <c r="AP54" s="48"/>
      <c r="AQ54" s="47"/>
      <c r="AR54" t="s">
        <v>1063</v>
      </c>
      <c r="AS54">
        <f>AS52+AS53</f>
        <v>196</v>
      </c>
      <c r="AY54" s="48"/>
      <c r="AZ54" s="47"/>
      <c r="BE54" s="48"/>
    </row>
    <row r="55" spans="1:57" x14ac:dyDescent="0.3">
      <c r="A55" s="47"/>
      <c r="B55">
        <v>2019</v>
      </c>
      <c r="C55">
        <f>COUNTIF('IaC Tools'!E:E,"2019")</f>
        <v>7</v>
      </c>
      <c r="J55" s="48"/>
      <c r="K55" s="47"/>
      <c r="L55" t="s">
        <v>1045</v>
      </c>
      <c r="M55">
        <f>COUNTIF('IaC Tools'!D:D,"JA")</f>
        <v>1</v>
      </c>
      <c r="S55" s="48"/>
      <c r="T55" s="47"/>
      <c r="U55" t="s">
        <v>36</v>
      </c>
      <c r="V55">
        <f>COUNTIF('IaC Tools'!I:I,"Provisioning Tools")</f>
        <v>9</v>
      </c>
      <c r="Y55" s="48"/>
      <c r="Z55" s="47"/>
      <c r="AA55" t="s">
        <v>1399</v>
      </c>
      <c r="AB55">
        <f>SUM(Table35[[#Totals],[Helm]])</f>
        <v>6</v>
      </c>
      <c r="AF55" s="48"/>
      <c r="AG55" s="47"/>
      <c r="AP55" s="48"/>
      <c r="AQ55" s="47"/>
      <c r="AR55" t="s">
        <v>2369</v>
      </c>
      <c r="AS55">
        <f>100/AS54*AS52</f>
        <v>22.95918367346939</v>
      </c>
      <c r="AY55" s="48"/>
      <c r="AZ55" s="47"/>
      <c r="BE55" s="48"/>
    </row>
    <row r="56" spans="1:57" x14ac:dyDescent="0.3">
      <c r="A56" s="47"/>
      <c r="B56">
        <v>2020</v>
      </c>
      <c r="C56">
        <f>COUNTIF('IaC Tools'!E:E,"2020")</f>
        <v>59</v>
      </c>
      <c r="J56" s="48"/>
      <c r="K56" s="47"/>
      <c r="L56" t="s">
        <v>308</v>
      </c>
      <c r="M56">
        <f>COUNTIF('IaC Tools'!D:D,"B")</f>
        <v>19</v>
      </c>
      <c r="S56" s="48"/>
      <c r="T56" s="47"/>
      <c r="U56" t="s">
        <v>952</v>
      </c>
      <c r="V56">
        <f>COUNTIF('IaC Tools'!I:I,"Cloud Infrastructure Automation Tools")</f>
        <v>22</v>
      </c>
      <c r="Y56" s="48"/>
      <c r="Z56" s="47"/>
      <c r="AF56" s="48"/>
      <c r="AG56" s="47"/>
      <c r="AP56" s="48"/>
      <c r="AQ56" s="47"/>
      <c r="AY56" s="48"/>
      <c r="AZ56" s="47"/>
      <c r="BE56" s="48"/>
    </row>
    <row r="57" spans="1:57" x14ac:dyDescent="0.3">
      <c r="A57" s="47"/>
      <c r="B57">
        <v>2021</v>
      </c>
      <c r="C57">
        <f>COUNTIF('IaC Tools'!E:E,"2021")</f>
        <v>79</v>
      </c>
      <c r="J57" s="48"/>
      <c r="K57" s="47"/>
      <c r="L57" t="s">
        <v>1423</v>
      </c>
      <c r="M57">
        <f>COUNTIF('IaC Tools'!D:D,"V")</f>
        <v>5</v>
      </c>
      <c r="S57" s="48"/>
      <c r="T57" s="47"/>
      <c r="U57" t="s">
        <v>1305</v>
      </c>
      <c r="V57">
        <f>COUNTIF('IaC Tools'!I:I,"Found During Literature Review")</f>
        <v>25</v>
      </c>
      <c r="Y57" s="48"/>
      <c r="Z57" s="47"/>
      <c r="AF57" s="48"/>
      <c r="AG57" s="47"/>
      <c r="AP57" s="48"/>
      <c r="AQ57" s="47"/>
      <c r="AY57" s="48"/>
      <c r="AZ57" s="47"/>
      <c r="BE57" s="48"/>
    </row>
    <row r="58" spans="1:57" x14ac:dyDescent="0.3">
      <c r="A58" s="47"/>
      <c r="B58">
        <v>2022</v>
      </c>
      <c r="C58">
        <f>COUNTIF('IaC Tools'!E:E,"2022")</f>
        <v>45</v>
      </c>
      <c r="J58" s="48"/>
      <c r="K58" s="47"/>
      <c r="S58" s="48"/>
      <c r="T58" s="47"/>
      <c r="Y58" s="48"/>
      <c r="Z58" s="47"/>
      <c r="AF58" s="48"/>
      <c r="AG58" s="47"/>
      <c r="AP58" s="48"/>
      <c r="AQ58" s="47"/>
      <c r="AY58" s="48"/>
      <c r="AZ58" s="47"/>
      <c r="BE58" s="48"/>
    </row>
    <row r="59" spans="1:57" x14ac:dyDescent="0.3">
      <c r="A59" s="47"/>
      <c r="J59" s="48"/>
      <c r="K59" s="47"/>
      <c r="S59" s="48"/>
      <c r="T59" s="47"/>
      <c r="Y59" s="48"/>
      <c r="Z59" s="47"/>
      <c r="AF59" s="48"/>
      <c r="AG59" s="47"/>
      <c r="AP59" s="48"/>
      <c r="AQ59" s="47"/>
      <c r="AY59" s="48"/>
      <c r="AZ59" s="47"/>
      <c r="BE59" s="48"/>
    </row>
    <row r="60" spans="1:57" x14ac:dyDescent="0.3">
      <c r="A60" s="47"/>
      <c r="J60" s="48"/>
      <c r="K60" s="47"/>
      <c r="S60" s="48"/>
      <c r="T60" s="47"/>
      <c r="Y60" s="48"/>
      <c r="Z60" s="47"/>
      <c r="AF60" s="48"/>
      <c r="AG60" s="47"/>
      <c r="AP60" s="48"/>
      <c r="AQ60" s="47"/>
      <c r="AY60" s="48"/>
      <c r="AZ60" s="47"/>
      <c r="BE60" s="48"/>
    </row>
    <row r="61" spans="1:57" x14ac:dyDescent="0.3">
      <c r="A61" s="47"/>
      <c r="J61" s="48"/>
      <c r="K61" s="47"/>
      <c r="S61" s="48"/>
      <c r="T61" s="47"/>
      <c r="Y61" s="48"/>
      <c r="Z61" s="47"/>
      <c r="AF61" s="48"/>
      <c r="AG61" s="47"/>
      <c r="AP61" s="48"/>
      <c r="AQ61" s="47"/>
      <c r="AY61" s="48"/>
      <c r="AZ61" s="47"/>
      <c r="BE61" s="48"/>
    </row>
    <row r="62" spans="1:57" x14ac:dyDescent="0.3">
      <c r="A62" s="47"/>
      <c r="J62" s="48"/>
      <c r="K62" s="47"/>
      <c r="S62" s="48"/>
      <c r="T62" s="47"/>
      <c r="Y62" s="48"/>
      <c r="Z62" s="47"/>
      <c r="AF62" s="48"/>
      <c r="AG62" s="47"/>
      <c r="AP62" s="48"/>
      <c r="AQ62" s="47"/>
      <c r="AY62" s="48"/>
      <c r="AZ62" s="47"/>
      <c r="BE62" s="48"/>
    </row>
    <row r="63" spans="1:57" x14ac:dyDescent="0.3">
      <c r="A63" s="47"/>
      <c r="J63" s="48"/>
      <c r="K63" s="47"/>
      <c r="S63" s="48"/>
      <c r="T63" s="47"/>
      <c r="Y63" s="48"/>
      <c r="Z63" s="47"/>
      <c r="AF63" s="48"/>
      <c r="AG63" s="47"/>
      <c r="AP63" s="48"/>
      <c r="AQ63" s="47"/>
      <c r="AY63" s="48"/>
      <c r="AZ63" s="47"/>
      <c r="BE63" s="48"/>
    </row>
    <row r="64" spans="1:57" x14ac:dyDescent="0.3">
      <c r="A64" s="47"/>
      <c r="J64" s="48"/>
      <c r="K64" s="47"/>
      <c r="S64" s="48"/>
      <c r="T64" s="47"/>
      <c r="Y64" s="48"/>
      <c r="Z64" s="47"/>
      <c r="AF64" s="48"/>
      <c r="AG64" s="47"/>
      <c r="AP64" s="48"/>
      <c r="AQ64" s="47"/>
      <c r="AY64" s="48"/>
      <c r="AZ64" s="47"/>
      <c r="BE64" s="48"/>
    </row>
    <row r="65" spans="1:57" x14ac:dyDescent="0.3">
      <c r="A65" s="47"/>
      <c r="J65" s="48"/>
      <c r="K65" s="47"/>
      <c r="S65" s="48"/>
      <c r="T65" s="47"/>
      <c r="Y65" s="48"/>
      <c r="Z65" s="47"/>
      <c r="AF65" s="48"/>
      <c r="AG65" s="47"/>
      <c r="AP65" s="48"/>
      <c r="AQ65" s="47"/>
      <c r="AY65" s="48"/>
      <c r="AZ65" s="47"/>
      <c r="BE65" s="48"/>
    </row>
    <row r="66" spans="1:57" x14ac:dyDescent="0.3">
      <c r="A66" s="47"/>
      <c r="J66" s="48"/>
      <c r="K66" s="47"/>
      <c r="S66" s="48"/>
      <c r="T66" s="47"/>
      <c r="Y66" s="48"/>
      <c r="Z66" s="47"/>
      <c r="AF66" s="48"/>
      <c r="AG66" s="47"/>
      <c r="AP66" s="48"/>
      <c r="AQ66" s="47"/>
      <c r="AY66" s="48"/>
      <c r="AZ66" s="47"/>
      <c r="BE66" s="48"/>
    </row>
    <row r="67" spans="1:57" x14ac:dyDescent="0.3">
      <c r="A67" s="47"/>
      <c r="J67" s="48"/>
      <c r="K67" s="47"/>
      <c r="S67" s="48"/>
      <c r="T67" s="47"/>
      <c r="Y67" s="48"/>
      <c r="Z67" s="47"/>
      <c r="AF67" s="48"/>
      <c r="AG67" s="47"/>
      <c r="AP67" s="48"/>
      <c r="AQ67" s="47"/>
      <c r="AY67" s="48"/>
      <c r="AZ67" s="47"/>
      <c r="BE67" s="48"/>
    </row>
    <row r="68" spans="1:57" x14ac:dyDescent="0.3">
      <c r="A68" s="47"/>
      <c r="J68" s="48"/>
      <c r="K68" s="47"/>
      <c r="S68" s="48"/>
      <c r="T68" s="47"/>
      <c r="Y68" s="48"/>
      <c r="Z68" s="47"/>
      <c r="AF68" s="48"/>
      <c r="AG68" s="47"/>
      <c r="AP68" s="48"/>
      <c r="AQ68" s="47"/>
      <c r="AY68" s="48"/>
      <c r="AZ68" s="47"/>
      <c r="BE68" s="48"/>
    </row>
    <row r="69" spans="1:57" x14ac:dyDescent="0.3">
      <c r="A69" s="47"/>
      <c r="J69" s="48"/>
      <c r="K69" s="47"/>
      <c r="S69" s="48"/>
      <c r="T69" s="47"/>
      <c r="Y69" s="48"/>
      <c r="Z69" s="47"/>
      <c r="AF69" s="48"/>
      <c r="AG69" s="47"/>
      <c r="AP69" s="48"/>
      <c r="AQ69" s="47"/>
      <c r="AY69" s="48"/>
      <c r="AZ69" s="47"/>
      <c r="BE69" s="48"/>
    </row>
    <row r="70" spans="1:57" x14ac:dyDescent="0.3">
      <c r="A70" s="47"/>
      <c r="J70" s="48"/>
      <c r="K70" s="47"/>
      <c r="S70" s="48"/>
      <c r="T70" s="47"/>
      <c r="Y70" s="48"/>
      <c r="Z70" s="47"/>
      <c r="AF70" s="48"/>
      <c r="AG70" s="47"/>
      <c r="AP70" s="48"/>
      <c r="AQ70" s="47"/>
      <c r="AY70" s="48"/>
      <c r="AZ70" s="47"/>
      <c r="BE70" s="48"/>
    </row>
    <row r="71" spans="1:57" x14ac:dyDescent="0.3">
      <c r="A71" s="47"/>
      <c r="J71" s="48"/>
      <c r="K71" s="47"/>
      <c r="S71" s="48"/>
      <c r="T71" s="47"/>
      <c r="Y71" s="48"/>
      <c r="Z71" s="47"/>
      <c r="AF71" s="48"/>
      <c r="AG71" s="47"/>
      <c r="AP71" s="48"/>
      <c r="AQ71" s="47"/>
      <c r="AY71" s="48"/>
      <c r="AZ71" s="47"/>
      <c r="BE71" s="48"/>
    </row>
    <row r="72" spans="1:57" x14ac:dyDescent="0.3">
      <c r="A72" s="47"/>
      <c r="J72" s="48"/>
      <c r="K72" s="47"/>
      <c r="S72" s="48"/>
      <c r="T72" s="47"/>
      <c r="Y72" s="48"/>
      <c r="Z72" s="47"/>
      <c r="AF72" s="48"/>
      <c r="AG72" s="47"/>
      <c r="AP72" s="48"/>
      <c r="AQ72" s="47"/>
      <c r="AY72" s="48"/>
      <c r="AZ72" s="47"/>
      <c r="BE72" s="48"/>
    </row>
    <row r="73" spans="1:57" x14ac:dyDescent="0.3">
      <c r="A73" s="47"/>
      <c r="J73" s="48"/>
      <c r="K73" s="47"/>
      <c r="S73" s="48"/>
      <c r="T73" s="47"/>
      <c r="Y73" s="48"/>
      <c r="Z73" s="47"/>
      <c r="AF73" s="48"/>
      <c r="AG73" s="47"/>
      <c r="AP73" s="48"/>
      <c r="AQ73" s="47"/>
      <c r="AY73" s="48"/>
      <c r="AZ73" s="47"/>
      <c r="BE73" s="48"/>
    </row>
    <row r="74" spans="1:57" x14ac:dyDescent="0.3">
      <c r="A74" s="47"/>
      <c r="J74" s="48"/>
      <c r="K74" s="47"/>
      <c r="S74" s="48"/>
      <c r="T74" s="47"/>
      <c r="Y74" s="48"/>
      <c r="Z74" s="47"/>
      <c r="AF74" s="48"/>
      <c r="AG74" s="47"/>
      <c r="AP74" s="48"/>
      <c r="AQ74" s="47"/>
      <c r="AY74" s="48"/>
      <c r="AZ74" s="47"/>
      <c r="BE74" s="48"/>
    </row>
    <row r="75" spans="1:57" x14ac:dyDescent="0.3">
      <c r="A75" s="47"/>
      <c r="J75" s="48"/>
      <c r="K75" s="47"/>
      <c r="S75" s="48"/>
      <c r="T75" s="47"/>
      <c r="Y75" s="48"/>
      <c r="Z75" s="47"/>
      <c r="AF75" s="48"/>
      <c r="AG75" s="47"/>
      <c r="AP75" s="48"/>
      <c r="AQ75" s="47"/>
      <c r="AY75" s="48"/>
      <c r="AZ75" s="47"/>
      <c r="BE75" s="48"/>
    </row>
    <row r="76" spans="1:57" ht="15" thickBo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1"/>
      <c r="K76" s="49"/>
      <c r="L76" s="50"/>
      <c r="M76" s="50"/>
      <c r="N76" s="50"/>
      <c r="O76" s="50"/>
      <c r="P76" s="50"/>
      <c r="Q76" s="50"/>
      <c r="R76" s="50"/>
      <c r="S76" s="51"/>
      <c r="T76" s="49"/>
      <c r="U76" s="50"/>
      <c r="V76" s="50"/>
      <c r="W76" s="50"/>
      <c r="X76" s="50"/>
      <c r="Y76" s="51"/>
      <c r="Z76" s="49"/>
      <c r="AA76" s="50"/>
      <c r="AB76" s="50"/>
      <c r="AC76" s="50"/>
      <c r="AD76" s="50"/>
      <c r="AE76" s="50"/>
      <c r="AF76" s="51"/>
      <c r="AG76" s="49"/>
      <c r="AH76" s="50"/>
      <c r="AI76" s="50"/>
      <c r="AJ76" s="50"/>
      <c r="AK76" s="50"/>
      <c r="AL76" s="50"/>
      <c r="AM76" s="50"/>
      <c r="AN76" s="50"/>
      <c r="AO76" s="50"/>
      <c r="AP76" s="51"/>
      <c r="AQ76" s="49"/>
      <c r="AR76" s="50"/>
      <c r="AS76" s="50"/>
      <c r="AT76" s="50"/>
      <c r="AU76" s="50"/>
      <c r="AV76" s="50"/>
      <c r="AW76" s="50"/>
      <c r="AX76" s="50"/>
      <c r="AY76" s="51"/>
      <c r="AZ76" s="49"/>
      <c r="BA76" s="50"/>
      <c r="BB76" s="50"/>
      <c r="BC76" s="50"/>
      <c r="BD76" s="50"/>
      <c r="BE76" s="51"/>
    </row>
    <row r="187" spans="2:2" x14ac:dyDescent="0.3">
      <c r="B187" s="26">
        <f>COUNTIF(Table35[Chef],"x")</f>
        <v>135</v>
      </c>
    </row>
    <row r="188" spans="2:2" x14ac:dyDescent="0.3">
      <c r="B188" s="26">
        <f>COUNTIF(Table35[Puppet],"x")</f>
        <v>146</v>
      </c>
    </row>
    <row r="189" spans="2:2" x14ac:dyDescent="0.3">
      <c r="B189" s="26">
        <f>COUNTIF(Table35[Ansible],"x")</f>
        <v>161</v>
      </c>
    </row>
    <row r="190" spans="2:2" x14ac:dyDescent="0.3">
      <c r="B190" s="26">
        <f>COUNTIF(Table35[SaltStack],"x")</f>
        <v>86</v>
      </c>
    </row>
    <row r="191" spans="2:2" x14ac:dyDescent="0.3">
      <c r="B191" s="26">
        <f>COUNTIF(Table35[CFEngine],"x")</f>
        <v>38</v>
      </c>
    </row>
    <row r="192" spans="2:2" x14ac:dyDescent="0.3">
      <c r="B192" s="26">
        <f>COUNTIF(Table35[R?ex],"x")</f>
        <v>3</v>
      </c>
    </row>
    <row r="193" spans="2:2" x14ac:dyDescent="0.3">
      <c r="B193" s="26">
        <f>COUNTIF(Table35[cloud-init],"x")</f>
        <v>1</v>
      </c>
    </row>
    <row r="194" spans="2:2" x14ac:dyDescent="0.3">
      <c r="B194" s="26">
        <f>COUNTIF(Table35[Quattor],"x")</f>
        <v>2</v>
      </c>
    </row>
    <row r="195" spans="2:2" x14ac:dyDescent="0.3">
      <c r="B195" s="26">
        <f>COUNTIF(Table35[cdist],"x")</f>
        <v>1</v>
      </c>
    </row>
    <row r="196" spans="2:2" x14ac:dyDescent="0.3">
      <c r="B196" s="26">
        <f>COUNTIF(Table35[Bcfg2],"x")</f>
        <v>2</v>
      </c>
    </row>
    <row r="197" spans="2:2" x14ac:dyDescent="0.3">
      <c r="B197" s="26">
        <f>COUNTIF(Table35[mgmt],"x")</f>
        <v>1</v>
      </c>
    </row>
    <row r="198" spans="2:2" x14ac:dyDescent="0.3">
      <c r="B198" s="26">
        <f>COUNTIF(Table35[Augeas],"x")</f>
        <v>1</v>
      </c>
    </row>
    <row r="199" spans="2:2" x14ac:dyDescent="0.3">
      <c r="B199" s="26">
        <f>COUNTIF(Table35[Docker],"x")</f>
        <v>38</v>
      </c>
    </row>
    <row r="200" spans="2:2" x14ac:dyDescent="0.3">
      <c r="B200" s="26">
        <f>COUNTIF(Table35[Packer],"x")</f>
        <v>18</v>
      </c>
    </row>
    <row r="201" spans="2:2" x14ac:dyDescent="0.3">
      <c r="B201" s="26">
        <f>COUNTIF(Table35[Vagrant],"x")</f>
        <v>26</v>
      </c>
    </row>
    <row r="202" spans="2:2" x14ac:dyDescent="0.3">
      <c r="B202" s="26">
        <f>COUNTIF(Table35[NixOS],"x")</f>
        <v>2</v>
      </c>
    </row>
    <row r="203" spans="2:2" x14ac:dyDescent="0.3">
      <c r="B203" s="26">
        <f>COUNTIF(Table35[Azure VM Image Builder],"x")</f>
        <v>1</v>
      </c>
    </row>
    <row r="204" spans="2:2" x14ac:dyDescent="0.3">
      <c r="B204" s="26">
        <f>COUNTIF(Table35[Kubernetes],"x")</f>
        <v>57</v>
      </c>
    </row>
    <row r="205" spans="2:2" x14ac:dyDescent="0.3">
      <c r="B205" s="26">
        <f>COUNTIF(Table35[Swarm],"x")</f>
        <v>22</v>
      </c>
    </row>
    <row r="206" spans="2:2" x14ac:dyDescent="0.3">
      <c r="B206" s="26">
        <f>COUNTIF(Table35[Nomad],"x")</f>
        <v>8</v>
      </c>
    </row>
    <row r="207" spans="2:2" x14ac:dyDescent="0.3">
      <c r="B207" s="26">
        <f>COUNTIF(Table35[Docker Compose],"x")</f>
        <v>7</v>
      </c>
    </row>
    <row r="208" spans="2:2" x14ac:dyDescent="0.3">
      <c r="B208" s="26">
        <f>COUNTIF(Table35[Podman],"x")</f>
        <v>2</v>
      </c>
    </row>
    <row r="209" spans="2:2" x14ac:dyDescent="0.3">
      <c r="B209" s="26">
        <f>COUNTIF(Table35[AWS Copilot],"x")</f>
        <v>2</v>
      </c>
    </row>
    <row r="210" spans="2:2" x14ac:dyDescent="0.3">
      <c r="B210" s="26">
        <f>COUNTIF(Table35[Apache Brooklyn],"x")</f>
        <v>2</v>
      </c>
    </row>
    <row r="211" spans="2:2" x14ac:dyDescent="0.3">
      <c r="B211" s="26">
        <f>COUNTIF(Table35[DevOpsLang],"x")</f>
        <v>1</v>
      </c>
    </row>
    <row r="212" spans="2:2" x14ac:dyDescent="0.3">
      <c r="B212" s="26">
        <f>COUNTIF(Table35[Fargate],"x")</f>
        <v>1</v>
      </c>
    </row>
    <row r="213" spans="2:2" x14ac:dyDescent="0.3">
      <c r="B213" s="26">
        <f>COUNTIF(Table35[DC/OS],"x")</f>
        <v>2</v>
      </c>
    </row>
    <row r="214" spans="2:2" x14ac:dyDescent="0.3">
      <c r="B214" s="26">
        <f>COUNTIF(Table35[Hyscale],"x")</f>
        <v>3</v>
      </c>
    </row>
    <row r="215" spans="2:2" x14ac:dyDescent="0.3">
      <c r="B215" s="26">
        <f>COUNTIF(Table35[RackHD],"x")</f>
        <v>1</v>
      </c>
    </row>
    <row r="216" spans="2:2" x14ac:dyDescent="0.3">
      <c r="B216" s="26">
        <f>COUNTIF(Table35[AWS Serverless Application Model (SAM)],"x")</f>
        <v>1</v>
      </c>
    </row>
    <row r="217" spans="2:2" x14ac:dyDescent="0.3">
      <c r="B217" s="26">
        <f>COUNTIF(Table35[Azure Functions],"x")</f>
        <v>1</v>
      </c>
    </row>
    <row r="218" spans="2:2" x14ac:dyDescent="0.3">
      <c r="B218" s="26">
        <f>COUNTIF(Table35[Bolt],"x")</f>
        <v>1</v>
      </c>
    </row>
    <row r="219" spans="2:2" x14ac:dyDescent="0.3">
      <c r="B219" s="26">
        <f>COUNTIF(Table35[Mesosphere],"x")</f>
        <v>1</v>
      </c>
    </row>
    <row r="220" spans="2:2" x14ac:dyDescent="0.3">
      <c r="B220" s="26">
        <f>COUNTIF(Table35[Terraform],"x")</f>
        <v>145</v>
      </c>
    </row>
    <row r="221" spans="2:2" x14ac:dyDescent="0.3">
      <c r="B221" s="26">
        <f>COUNTIF(Table35[CloudFormation],"x")</f>
        <v>97</v>
      </c>
    </row>
    <row r="222" spans="2:2" x14ac:dyDescent="0.3">
      <c r="B222" s="26">
        <f>COUNTIF(Table35[Azure Resource Manager | Microsoft ARM Templates],"x")</f>
        <v>46</v>
      </c>
    </row>
    <row r="223" spans="2:2" x14ac:dyDescent="0.3">
      <c r="B223" s="26">
        <f>COUNTIF(Table35[Bicep],"x")</f>
        <v>3</v>
      </c>
    </row>
    <row r="224" spans="2:2" x14ac:dyDescent="0.3">
      <c r="B224" s="26">
        <f>COUNTIF(Table35[Google Deployment Manager],"x")</f>
        <v>38</v>
      </c>
    </row>
    <row r="225" spans="2:2" x14ac:dyDescent="0.3">
      <c r="B225" s="26">
        <f>COUNTIF(Table35[OpenStack Heat],"x")</f>
        <v>13</v>
      </c>
    </row>
    <row r="226" spans="2:2" x14ac:dyDescent="0.3">
      <c r="B226" s="26">
        <f>COUNTIF(Table35[Terragrunt],"x")</f>
        <v>1</v>
      </c>
    </row>
    <row r="227" spans="2:2" x14ac:dyDescent="0.3">
      <c r="B227" s="26">
        <f>COUNTIF(Table35[Pulumi],"x")</f>
        <v>39</v>
      </c>
    </row>
    <row r="228" spans="2:2" x14ac:dyDescent="0.3">
      <c r="B228" s="26">
        <f>COUNTIF(Table35[AWS CDK],"x")</f>
        <v>8</v>
      </c>
    </row>
    <row r="229" spans="2:2" x14ac:dyDescent="0.3">
      <c r="B229" s="26">
        <f>COUNTIF(Table35[Serverless Framework],"x")</f>
        <v>4</v>
      </c>
    </row>
    <row r="230" spans="2:2" x14ac:dyDescent="0.3">
      <c r="B230" s="26">
        <f>COUNTIF(Table35[Opta],"x")</f>
        <v>1</v>
      </c>
    </row>
    <row r="231" spans="2:2" x14ac:dyDescent="0.3">
      <c r="B231" s="26">
        <f>COUNTIF(Table35[CDKTF ],"x")</f>
        <v>1</v>
      </c>
    </row>
    <row r="232" spans="2:2" x14ac:dyDescent="0.3">
      <c r="B232" s="26">
        <f>COUNTIF(Table35[Cloudify],"x")</f>
        <v>9</v>
      </c>
    </row>
    <row r="233" spans="2:2" x14ac:dyDescent="0.3">
      <c r="B233" s="26">
        <f>COUNTIF(Table35[Bosh],"x")</f>
        <v>2</v>
      </c>
    </row>
    <row r="234" spans="2:2" x14ac:dyDescent="0.3">
      <c r="B234" s="26">
        <f>COUNTIF(Table35[Charon],"x")</f>
        <v>2</v>
      </c>
    </row>
    <row r="235" spans="2:2" x14ac:dyDescent="0.3">
      <c r="B235" s="26">
        <f>COUNTIF(Table35[Argon],"x")</f>
        <v>3</v>
      </c>
    </row>
    <row r="236" spans="2:2" x14ac:dyDescent="0.3">
      <c r="B236" s="26">
        <f>COUNTIF(Table35[Architect],"x")</f>
        <v>1</v>
      </c>
    </row>
    <row r="237" spans="2:2" x14ac:dyDescent="0.3">
      <c r="B237" s="26">
        <f>COUNTIF(Table35[Helm],"x")</f>
        <v>6</v>
      </c>
    </row>
    <row r="238" spans="2:2" x14ac:dyDescent="0.3">
      <c r="B238" s="26">
        <f>COUNTIF(Table35[Octopus Deploy],"x")</f>
        <v>12</v>
      </c>
    </row>
    <row r="239" spans="2:2" x14ac:dyDescent="0.3">
      <c r="B239" s="26">
        <f>COUNTIF(Table35[EC2 Image builder],"x")</f>
        <v>1</v>
      </c>
    </row>
    <row r="240" spans="2:2" x14ac:dyDescent="0.3">
      <c r="B240" s="26">
        <f>COUNTIF(Table35[Otter],"x")</f>
        <v>4</v>
      </c>
    </row>
    <row r="241" spans="2:2" x14ac:dyDescent="0.3">
      <c r="B241" s="26">
        <f>COUNTIF(Table35[AWS Config],"x")</f>
        <v>3</v>
      </c>
    </row>
    <row r="242" spans="2:2" x14ac:dyDescent="0.3">
      <c r="B242" s="26">
        <f>COUNTIF(Table35[Microsoft Azure Automation],"x")</f>
        <v>4</v>
      </c>
    </row>
    <row r="243" spans="2:2" x14ac:dyDescent="0.3">
      <c r="B243" s="26">
        <f>COUNTIF(Table35[Rudder],"x")</f>
        <v>14</v>
      </c>
    </row>
    <row r="244" spans="2:2" x14ac:dyDescent="0.3">
      <c r="B244" s="26">
        <f>COUNTIF(Table35[Marathon/Mesos],"x")</f>
        <v>14</v>
      </c>
    </row>
    <row r="245" spans="2:2" x14ac:dyDescent="0.3">
      <c r="B245" s="26">
        <f>COUNTIF(Table35[Amazon ECS],"x")</f>
        <v>6</v>
      </c>
    </row>
    <row r="246" spans="2:2" x14ac:dyDescent="0.3">
      <c r="B246" s="26">
        <f>COUNTIF(Table35[OpenShift],"x")</f>
        <v>9</v>
      </c>
    </row>
    <row r="247" spans="2:2" x14ac:dyDescent="0.3">
      <c r="B247" s="26">
        <f>COUNTIF(Table35[AWS AppRunner],"x")</f>
        <v>1</v>
      </c>
    </row>
    <row r="248" spans="2:2" x14ac:dyDescent="0.3">
      <c r="B248" s="26">
        <f>COUNTIF(Table35[CloudShell Colony],"x")</f>
        <v>1</v>
      </c>
    </row>
    <row r="249" spans="2:2" x14ac:dyDescent="0.3">
      <c r="B249" s="26">
        <f>COUNTIF(Table35[TOSCA],"x")</f>
        <v>9</v>
      </c>
    </row>
    <row r="250" spans="2:2" x14ac:dyDescent="0.3">
      <c r="B250" s="26">
        <f>COUNTIF(Table35[IBM Tivoli System Automation],"x")</f>
        <v>1</v>
      </c>
    </row>
    <row r="251" spans="2:2" x14ac:dyDescent="0.3">
      <c r="B251" s="26">
        <f>COUNTIF(Table35[Google Cloud Run],"x")</f>
        <v>1</v>
      </c>
    </row>
    <row r="252" spans="2:2" x14ac:dyDescent="0.3">
      <c r="B252" s="26">
        <f>COUNTIF(Table35[Portainer],"x")</f>
        <v>1</v>
      </c>
    </row>
    <row r="253" spans="2:2" x14ac:dyDescent="0.3">
      <c r="B253" s="26">
        <f>COUNTIF(Table35[Azure Service Fabric],"x")</f>
        <v>3</v>
      </c>
    </row>
    <row r="254" spans="2:2" x14ac:dyDescent="0.3">
      <c r="B254" s="26">
        <f>COUNTIF(Table35[Spot Ocean],"x")</f>
        <v>1</v>
      </c>
    </row>
    <row r="255" spans="2:2" x14ac:dyDescent="0.3">
      <c r="B255" s="26">
        <f>COUNTIF(Table35[AWS Elastic Beanstalk],"x")</f>
        <v>1</v>
      </c>
    </row>
    <row r="256" spans="2:2" x14ac:dyDescent="0.3">
      <c r="B256" s="26">
        <f>COUNTIF(Table35[Azure CLI],"x")</f>
        <v>1</v>
      </c>
    </row>
    <row r="257" spans="2:2" x14ac:dyDescent="0.3">
      <c r="B257" s="26">
        <f>COUNTIF(Table35[PowerShell],"x")</f>
        <v>5</v>
      </c>
    </row>
    <row r="258" spans="2:2" x14ac:dyDescent="0.3">
      <c r="B258" s="26">
        <f>COUNTIF(Table35[Shell],"x")</f>
        <v>1</v>
      </c>
    </row>
    <row r="259" spans="2:2" x14ac:dyDescent="0.3">
      <c r="B259" s="26">
        <f>COUNTIF(Table35[AWS Amplify],"x")</f>
        <v>2</v>
      </c>
    </row>
    <row r="260" spans="2:2" x14ac:dyDescent="0.3">
      <c r="B260" s="26">
        <f>COUNTIF(Table35[Quali Torque],"x")</f>
        <v>1</v>
      </c>
    </row>
    <row r="261" spans="2:2" x14ac:dyDescent="0.3">
      <c r="B261" s="26">
        <f>COUNTIF(Table35[Crossplane],"x")</f>
        <v>2</v>
      </c>
    </row>
    <row r="262" spans="2:2" x14ac:dyDescent="0.3">
      <c r="B262" s="26">
        <f>COUNTIF(Table35[Juju],"x")</f>
        <v>21</v>
      </c>
    </row>
    <row r="263" spans="2:2" x14ac:dyDescent="0.3">
      <c r="B263" s="26">
        <f>COUNTIF(Table35[Pallet],"x")</f>
        <v>1</v>
      </c>
    </row>
    <row r="264" spans="2:2" x14ac:dyDescent="0.3">
      <c r="B264" s="26">
        <f>COUNTIF(Table35[Foreman],"x")</f>
        <v>4</v>
      </c>
    </row>
    <row r="265" spans="2:2" x14ac:dyDescent="0.3">
      <c r="B265" s="26">
        <f>COUNTIF(Table35[Omnia],"x")</f>
        <v>1</v>
      </c>
    </row>
    <row r="266" spans="2:2" x14ac:dyDescent="0.3">
      <c r="B266" s="26">
        <f>COUNTIF(Table35[VMware vRealize Automation],"x")</f>
        <v>3</v>
      </c>
    </row>
    <row r="267" spans="2:2" x14ac:dyDescent="0.3">
      <c r="B267" s="26">
        <f>COUNTIF(Table35[IBM Cloud Schematics],"x")</f>
        <v>2</v>
      </c>
    </row>
    <row r="268" spans="2:2" x14ac:dyDescent="0.3">
      <c r="B268" s="26">
        <f>COUNTIF(Table35[AWS CLI],"x")</f>
        <v>1</v>
      </c>
    </row>
    <row r="269" spans="2:2" x14ac:dyDescent="0.3">
      <c r="B269" s="26">
        <f>COUNTIF(Table35[Azure CLI],"x")</f>
        <v>1</v>
      </c>
    </row>
    <row r="270" spans="2:2" x14ac:dyDescent="0.3">
      <c r="B270" s="26">
        <f>COUNTIF(Table35[HPE Synergy],"x")</f>
        <v>1</v>
      </c>
    </row>
    <row r="271" spans="2:2" x14ac:dyDescent="0.3">
      <c r="B271" s="26">
        <f>COUNTIF(Table35[ABS Modeling Language],"x")</f>
        <v>1</v>
      </c>
    </row>
    <row r="272" spans="2:2" x14ac:dyDescent="0.3">
      <c r="B272" s="26">
        <f>COUNTIF(Table35[Helios],"x")</f>
        <v>3</v>
      </c>
    </row>
    <row r="273" spans="2:2" x14ac:dyDescent="0.3">
      <c r="B273" s="26">
        <f>COUNTIF(Table35[SpectralOps],"x")</f>
        <v>2</v>
      </c>
    </row>
    <row r="274" spans="2:2" x14ac:dyDescent="0.3">
      <c r="B274" s="26">
        <f>COUNTIF(Table35[Sonatype Nexus],"x")</f>
        <v>1</v>
      </c>
    </row>
    <row r="275" spans="2:2" x14ac:dyDescent="0.3">
      <c r="B275" s="26">
        <f>COUNTIF(Table35[env0],"x")</f>
        <v>1</v>
      </c>
    </row>
    <row r="276" spans="2:2" x14ac:dyDescent="0.3">
      <c r="B276" s="26">
        <f>COUNTIF(Table35[oak9],"x")</f>
        <v>1</v>
      </c>
    </row>
    <row r="277" spans="2:2" x14ac:dyDescent="0.3">
      <c r="B277" s="26">
        <f>COUNTIF(Table35[Spacelift],"x")</f>
        <v>1</v>
      </c>
    </row>
    <row r="278" spans="2:2" x14ac:dyDescent="0.3">
      <c r="B278" s="26">
        <f>COUNTIF(Table35[Conducto],"x")</f>
        <v>1</v>
      </c>
    </row>
    <row r="279" spans="2:2" x14ac:dyDescent="0.3">
      <c r="B279" s="26">
        <f>COUNTIF(Table35[Jenkins],"x")</f>
        <v>7</v>
      </c>
    </row>
    <row r="280" spans="2:2" x14ac:dyDescent="0.3">
      <c r="B280" s="26">
        <f>COUNTIF(Table35[rkt],"x")</f>
        <v>2</v>
      </c>
    </row>
    <row r="281" spans="2:2" x14ac:dyDescent="0.3">
      <c r="B281" s="26">
        <f>COUNTIF(Table35[App Container Spec (appc)],"x")</f>
        <v>1</v>
      </c>
    </row>
    <row r="282" spans="2:2" x14ac:dyDescent="0.3">
      <c r="B282" s="26">
        <f>COUNTIF(Table35[Git],"x")</f>
        <v>1</v>
      </c>
    </row>
    <row r="283" spans="2:2" x14ac:dyDescent="0.3">
      <c r="B283" s="26">
        <f>COUNTIF(Table35[Splunk],"x")</f>
        <v>1</v>
      </c>
    </row>
    <row r="284" spans="2:2" x14ac:dyDescent="0.3">
      <c r="B284" s="26">
        <f>COUNTIF(Table35[Selenium],"x")</f>
        <v>2</v>
      </c>
    </row>
    <row r="285" spans="2:2" x14ac:dyDescent="0.3">
      <c r="B285" s="26">
        <f>COUNTIF(Table35[Azure DevOps],"x")</f>
        <v>1</v>
      </c>
    </row>
    <row r="286" spans="2:2" x14ac:dyDescent="0.3">
      <c r="B286" s="26">
        <f>COUNTIF(Table35[Config ValidLang],"x")</f>
        <v>1</v>
      </c>
    </row>
    <row r="287" spans="2:2" x14ac:dyDescent="0.3">
      <c r="B287" s="26">
        <f>COUNTIF(Table35[Rancher],"x")</f>
        <v>7</v>
      </c>
    </row>
    <row r="288" spans="2:2" x14ac:dyDescent="0.3">
      <c r="B288" s="26">
        <f>COUNTIF(Table35[Containership],"x")</f>
        <v>1</v>
      </c>
    </row>
    <row r="289" spans="2:2" x14ac:dyDescent="0.3">
      <c r="B289" s="26">
        <f>COUNTIF(Table35[AZK],"x")</f>
        <v>1</v>
      </c>
    </row>
    <row r="290" spans="2:2" x14ac:dyDescent="0.3">
      <c r="B290" s="26">
        <f>COUNTIF(Table35[GKE],"x")</f>
        <v>3</v>
      </c>
    </row>
    <row r="291" spans="2:2" x14ac:dyDescent="0.3">
      <c r="B291" s="26">
        <f>COUNTIF(Table35[AKS],"x")</f>
        <v>4</v>
      </c>
    </row>
    <row r="292" spans="2:2" x14ac:dyDescent="0.3">
      <c r="B292" s="26">
        <f>COUNTIF(Table35[AWS EKS],"x")</f>
        <v>4</v>
      </c>
    </row>
    <row r="293" spans="2:2" x14ac:dyDescent="0.3">
      <c r="B293" s="26">
        <f>COUNTIF(Table35[Digital Ocean Kubernetes Services],"x")</f>
        <v>1</v>
      </c>
    </row>
    <row r="294" spans="2:2" x14ac:dyDescent="0.3">
      <c r="B294" s="26">
        <f>COUNTIF(Table35[Linode],"x")</f>
        <v>1</v>
      </c>
    </row>
    <row r="295" spans="2:2" x14ac:dyDescent="0.3">
      <c r="B295" s="26">
        <f>COUNTIF(Table35[Mirantis Kubernetes Engine],"x")</f>
        <v>2</v>
      </c>
    </row>
    <row r="296" spans="2:2" x14ac:dyDescent="0.3">
      <c r="B296" s="26">
        <f>COUNTIF(Table35[IBM Cloud Kubernetes],"x")</f>
        <v>1</v>
      </c>
    </row>
    <row r="297" spans="2:2" x14ac:dyDescent="0.3">
      <c r="B297" s="26">
        <f>COUNTIF(Table35[IBM Orchestrator Platform],"x")</f>
        <v>1</v>
      </c>
    </row>
    <row r="298" spans="2:2" x14ac:dyDescent="0.3">
      <c r="B298" s="26">
        <f>COUNTIF(Table35[Azure Resource Explorer],"x")</f>
        <v>1</v>
      </c>
    </row>
    <row r="299" spans="2:2" x14ac:dyDescent="0.3">
      <c r="B299" s="26">
        <f>COUNTIF(Table35[SolarWinds Server Configuration Monitor],"x")</f>
        <v>7</v>
      </c>
    </row>
    <row r="300" spans="2:2" x14ac:dyDescent="0.3">
      <c r="B300" s="26">
        <f>COUNTIF(Table35[Auvik],"x")</f>
        <v>3</v>
      </c>
    </row>
    <row r="301" spans="2:2" x14ac:dyDescent="0.3">
      <c r="B301" s="26">
        <f>COUNTIF(Table35[Bamboo Configuration Management],"x")</f>
        <v>9</v>
      </c>
    </row>
    <row r="302" spans="2:2" x14ac:dyDescent="0.3">
      <c r="B302" s="26">
        <f>COUNTIF(Table35[TeamCity Configuration Tool],"x")</f>
        <v>10</v>
      </c>
    </row>
    <row r="303" spans="2:2" x14ac:dyDescent="0.3">
      <c r="B303" s="26">
        <f>COUNTIF(Table35[IBM Rational Team Concert],"x")</f>
        <v>3</v>
      </c>
    </row>
    <row r="304" spans="2:2" x14ac:dyDescent="0.3">
      <c r="B304" s="26">
        <f>COUNTIF(Table35[SVN],"x")</f>
        <v>3</v>
      </c>
    </row>
    <row r="305" spans="2:2" x14ac:dyDescent="0.3">
      <c r="B305" s="26">
        <f>COUNTIF(Table35[GitHub],"x")</f>
        <v>3</v>
      </c>
    </row>
    <row r="306" spans="2:2" x14ac:dyDescent="0.3">
      <c r="B306" s="26">
        <f>COUNTIF(Table35[Circle CI],"x")</f>
        <v>1</v>
      </c>
    </row>
    <row r="307" spans="2:2" x14ac:dyDescent="0.3">
      <c r="B307" s="26">
        <f>COUNTIF(Table35[GitLab CI],"x")</f>
        <v>1</v>
      </c>
    </row>
    <row r="308" spans="2:2" x14ac:dyDescent="0.3">
      <c r="B308" s="26">
        <f>COUNTIF(Table35[GitLab],"x")</f>
        <v>2</v>
      </c>
    </row>
    <row r="309" spans="2:2" x14ac:dyDescent="0.3">
      <c r="B309" s="26">
        <f>COUNTIF(Table35[Bitbucket],"x")</f>
        <v>1</v>
      </c>
    </row>
    <row r="310" spans="2:2" x14ac:dyDescent="0.3">
      <c r="B310" s="26">
        <f>COUNTIF(Table35[ConfigHub],"x")</f>
        <v>5</v>
      </c>
    </row>
    <row r="311" spans="2:2" x14ac:dyDescent="0.3">
      <c r="B311" s="26">
        <f>COUNTIF(Table35[ButterCMS],"x")</f>
        <v>1</v>
      </c>
    </row>
    <row r="312" spans="2:2" x14ac:dyDescent="0.3">
      <c r="B312" s="26">
        <f>COUNTIF(Table35[AWS OpsWorks],"x")</f>
        <v>6</v>
      </c>
    </row>
    <row r="313" spans="2:2" x14ac:dyDescent="0.3">
      <c r="B313" s="26">
        <f>COUNTIF(Table35[IBM Rational Clearcase],"x")</f>
        <v>6</v>
      </c>
    </row>
    <row r="314" spans="2:2" x14ac:dyDescent="0.3">
      <c r="B314" s="26">
        <f>COUNTIF(Table35[Concurrent Version System],"x")</f>
        <v>2</v>
      </c>
    </row>
    <row r="315" spans="2:2" x14ac:dyDescent="0.3">
      <c r="B315" s="26">
        <f>COUNTIF(Table35[Borland StarTeam],"x")</f>
        <v>2</v>
      </c>
    </row>
    <row r="316" spans="2:2" x14ac:dyDescent="0.3">
      <c r="B316" s="26">
        <f>COUNTIF(Table35[Alibaba Application Configuration Management],"x")</f>
        <v>5</v>
      </c>
    </row>
    <row r="317" spans="2:2" x14ac:dyDescent="0.3">
      <c r="B317" s="26">
        <f>COUNTIF(Table35[ManageEngine ServiceDesk Plus],"x")</f>
        <v>1</v>
      </c>
    </row>
    <row r="318" spans="2:2" x14ac:dyDescent="0.3">
      <c r="B318" s="26">
        <f>COUNTIF(Table35[Micro Focus Configuration Management System],"x")</f>
        <v>1</v>
      </c>
    </row>
    <row r="319" spans="2:2" x14ac:dyDescent="0.3">
      <c r="B319" s="26">
        <f>COUNTIF(Table35[SysAid],"x")</f>
        <v>1</v>
      </c>
    </row>
    <row r="320" spans="2:2" x14ac:dyDescent="0.3">
      <c r="B320" s="26">
        <f>COUNTIF(Table35[Comindware],"x")</f>
        <v>1</v>
      </c>
    </row>
    <row r="321" spans="2:2" x14ac:dyDescent="0.3">
      <c r="B321" s="26">
        <f>COUNTIF(Table35[Desktop Central],"x")</f>
        <v>2</v>
      </c>
    </row>
    <row r="322" spans="2:2" x14ac:dyDescent="0.3">
      <c r="B322" s="26">
        <f>COUNTIF(Table35[Spinnaker],"x")</f>
        <v>2</v>
      </c>
    </row>
    <row r="323" spans="2:2" x14ac:dyDescent="0.3">
      <c r="B323" s="26">
        <f>COUNTIF(Table35[ZENworks Configuration Management],"x")</f>
        <v>1</v>
      </c>
    </row>
    <row r="324" spans="2:2" x14ac:dyDescent="0.3">
      <c r="B324" s="26">
        <f>COUNTIF(Table35[HCL BigFix],"x")</f>
        <v>2</v>
      </c>
    </row>
    <row r="325" spans="2:2" x14ac:dyDescent="0.3">
      <c r="B325" s="26">
        <f>COUNTIF(Table35[BMC TrueSight Server Automation],"x")</f>
        <v>2</v>
      </c>
    </row>
    <row r="326" spans="2:2" x14ac:dyDescent="0.3">
      <c r="B326" s="26">
        <f>COUNTIF(Table35[Quest KACE Systemverwaltung],"x")</f>
        <v>2</v>
      </c>
    </row>
    <row r="327" spans="2:2" x14ac:dyDescent="0.3">
      <c r="B327" s="26">
        <f>COUNTIF(Table35[Red Hat Satellite],"x")</f>
        <v>3</v>
      </c>
    </row>
    <row r="328" spans="2:2" x14ac:dyDescent="0.3">
      <c r="B328" s="26">
        <f>COUNTIF(Table35[Microsoft Endpoint Manager (formerly known as SCCM)],"x")</f>
        <v>4</v>
      </c>
    </row>
    <row r="329" spans="2:2" x14ac:dyDescent="0.3">
      <c r="B329" s="26">
        <f>COUNTIF(Table35[vCenter Configuration Manager],"x")</f>
        <v>3</v>
      </c>
    </row>
    <row r="330" spans="2:2" x14ac:dyDescent="0.3">
      <c r="B330" s="26">
        <f>COUNTIF(Table35[CloudBees CI],"x")</f>
        <v>1</v>
      </c>
    </row>
    <row r="331" spans="2:2" x14ac:dyDescent="0.3">
      <c r="B331" s="26">
        <f>COUNTIF(Table35[ServiceNow],"x")</f>
        <v>2</v>
      </c>
    </row>
    <row r="332" spans="2:2" x14ac:dyDescent="0.3">
      <c r="B332" s="26">
        <f>COUNTIF(Table35[Codenvy],"x")</f>
        <v>1</v>
      </c>
    </row>
    <row r="333" spans="2:2" x14ac:dyDescent="0.3">
      <c r="B333" s="26">
        <f>COUNTIF(Table35[AWS CodePipeline],"x")</f>
        <v>1</v>
      </c>
    </row>
    <row r="334" spans="2:2" x14ac:dyDescent="0.3">
      <c r="B334" s="26">
        <f>COUNTIF(Table35[Opsera],"x")</f>
        <v>1</v>
      </c>
    </row>
    <row r="335" spans="2:2" x14ac:dyDescent="0.3">
      <c r="B335" s="26">
        <f>COUNTIF(Table35[Micro Focus AccuRev],"x")</f>
        <v>3</v>
      </c>
    </row>
    <row r="336" spans="2:2" x14ac:dyDescent="0.3">
      <c r="B336" s="26">
        <f>COUNTIF(Table35[Strongpoint],"x")</f>
        <v>1</v>
      </c>
    </row>
    <row r="337" spans="2:2" x14ac:dyDescent="0.3">
      <c r="B337" s="26">
        <f>COUNTIF(Table35[BackBox],"x")</f>
        <v>1</v>
      </c>
    </row>
    <row r="338" spans="2:2" x14ac:dyDescent="0.3">
      <c r="B338" s="26">
        <f>COUNTIF(Table35[Optimizely Web Experimentation],"x")</f>
        <v>1</v>
      </c>
    </row>
    <row r="339" spans="2:2" x14ac:dyDescent="0.3">
      <c r="B339" s="26">
        <f>COUNTIF(Table35[ConfigCat],"x")</f>
        <v>1</v>
      </c>
    </row>
    <row r="340" spans="2:2" x14ac:dyDescent="0.3">
      <c r="B340" s="26">
        <f>COUNTIF(Table35[Split],"x")</f>
        <v>1</v>
      </c>
    </row>
    <row r="341" spans="2:2" x14ac:dyDescent="0.3">
      <c r="B341" s="26">
        <f>COUNTIF(Table35[CA Harvest Software Change Manager],"x")</f>
        <v>1</v>
      </c>
    </row>
    <row r="342" spans="2:2" x14ac:dyDescent="0.3">
      <c r="B342" s="26">
        <f>COUNTIF(Table35[Fugue],"x")</f>
        <v>1</v>
      </c>
    </row>
    <row r="343" spans="2:2" x14ac:dyDescent="0.3">
      <c r="B343" s="26">
        <f>COUNTIF(Table35[Digital.ai Deploy],"x")</f>
        <v>1</v>
      </c>
    </row>
    <row r="344" spans="2:2" x14ac:dyDescent="0.3">
      <c r="B344" s="26">
        <f>COUNTIF(Table35[CA Endevor],"x")</f>
        <v>2</v>
      </c>
    </row>
    <row r="345" spans="2:2" x14ac:dyDescent="0.3">
      <c r="B345" s="26">
        <f>COUNTIF(Table35[Kamatera],"x")</f>
        <v>1</v>
      </c>
    </row>
    <row r="346" spans="2:2" x14ac:dyDescent="0.3">
      <c r="B346" s="26">
        <f>COUNTIF(Table35[IBM Rational Synergy],"x")</f>
        <v>2</v>
      </c>
    </row>
    <row r="347" spans="2:2" x14ac:dyDescent="0.3">
      <c r="B347" s="26">
        <f>COUNTIF(Table35[Plastic SCM],"x")</f>
        <v>1</v>
      </c>
    </row>
    <row r="348" spans="2:2" x14ac:dyDescent="0.3">
      <c r="B348" s="26">
        <f>COUNTIF(Table35[IBM Rational ClearQuest],"x")</f>
        <v>1</v>
      </c>
    </row>
    <row r="349" spans="2:2" x14ac:dyDescent="0.3">
      <c r="B349" s="26">
        <f>COUNTIF(Table35[Surround SCM],"x")</f>
        <v>1</v>
      </c>
    </row>
    <row r="350" spans="2:2" x14ac:dyDescent="0.3">
      <c r="B350" s="26">
        <f>COUNTIF(Table35[IBM Cloud Continuous Delivery],"x")</f>
        <v>1</v>
      </c>
    </row>
    <row r="351" spans="2:2" x14ac:dyDescent="0.3">
      <c r="B351" s="26">
        <f>COUNTIF(Table35[ChangeMan ZMF],"x")</f>
        <v>1</v>
      </c>
    </row>
    <row r="352" spans="2:2" x14ac:dyDescent="0.3">
      <c r="B352" s="26">
        <f>COUNTIF(Table35[GitHub Actions],"x")</f>
        <v>1</v>
      </c>
    </row>
    <row r="353" spans="2:2" x14ac:dyDescent="0.3">
      <c r="B353" s="26">
        <f>COUNTIF(Table35[Claudia.js],"x")</f>
        <v>1</v>
      </c>
    </row>
    <row r="354" spans="2:2" x14ac:dyDescent="0.3">
      <c r="B354" s="26">
        <f>COUNTIF(Table35[IBM UrbanCode Deploy],"x")</f>
        <v>1</v>
      </c>
    </row>
    <row r="355" spans="2:2" x14ac:dyDescent="0.3">
      <c r="B355" s="26">
        <f>COUNTIF(Table35[SpiraTeam],"x")</f>
        <v>1</v>
      </c>
    </row>
    <row r="356" spans="2:2" x14ac:dyDescent="0.3">
      <c r="B356" s="26">
        <f>COUNTIF(Table35[Microsoft Operations Management Suite],"x")</f>
        <v>1</v>
      </c>
    </row>
    <row r="357" spans="2:2" x14ac:dyDescent="0.3">
      <c r="B357" s="26">
        <f>COUNTIF(Table35[CollabNet Subversion],"x")</f>
        <v>1</v>
      </c>
    </row>
    <row r="358" spans="2:2" x14ac:dyDescent="0.3">
      <c r="B358" s="26">
        <f>COUNTIF(Table35[Perforce Helix],"x")</f>
        <v>1</v>
      </c>
    </row>
    <row r="359" spans="2:2" x14ac:dyDescent="0.3">
      <c r="B359" s="26">
        <f>COUNTIF(Table35[Microsoft Visual Studio Team System],"x")</f>
        <v>1</v>
      </c>
    </row>
    <row r="360" spans="2:2" x14ac:dyDescent="0.3">
      <c r="B360" s="26">
        <f>COUNTIF(Table35[IBM Interactive System Productivity Facility],"x")</f>
        <v>1</v>
      </c>
    </row>
    <row r="361" spans="2:2" x14ac:dyDescent="0.3">
      <c r="B361" s="26">
        <f>COUNTIF(Table35[Aiden],"x")</f>
        <v>1</v>
      </c>
    </row>
    <row r="362" spans="2:2" x14ac:dyDescent="0.3">
      <c r="B362" s="26">
        <f>COUNTIF(Table35[Orca],"x")</f>
        <v>1</v>
      </c>
    </row>
    <row r="363" spans="2:2" x14ac:dyDescent="0.3">
      <c r="B363" s="26">
        <f>COUNTIF(Table35[DuploClud],"x")</f>
        <v>1</v>
      </c>
    </row>
    <row r="364" spans="2:2" x14ac:dyDescent="0.3">
      <c r="B364" s="26">
        <f>COUNTIF(Table35[HCL Launch],"x")</f>
        <v>1</v>
      </c>
    </row>
    <row r="365" spans="2:2" x14ac:dyDescent="0.3">
      <c r="B365" s="26">
        <f>COUNTIF(Table35[Nirmata Policy Manager],"x")</f>
        <v>1</v>
      </c>
    </row>
    <row r="366" spans="2:2" x14ac:dyDescent="0.3">
      <c r="B366" s="26">
        <f>COUNTIF(Table35[Cisco Intelligent Automation for Cloud],"x")</f>
        <v>3</v>
      </c>
    </row>
    <row r="367" spans="2:2" x14ac:dyDescent="0.3">
      <c r="B367" s="26">
        <f>COUNTIF(Table35[NetApp Cloud Volumes ONTAP],"x")</f>
        <v>3</v>
      </c>
    </row>
    <row r="368" spans="2:2" x14ac:dyDescent="0.3">
      <c r="B368" s="26">
        <f>COUNTIF(Table35[JHipster],"x")</f>
        <v>1</v>
      </c>
    </row>
    <row r="369" spans="2:2" x14ac:dyDescent="0.3">
      <c r="B369" s="26">
        <f>COUNTIF(Table35[Jfrog Artifactory],"x")</f>
        <v>1</v>
      </c>
    </row>
    <row r="370" spans="2:2" x14ac:dyDescent="0.3">
      <c r="B370" s="26">
        <f>COUNTIF(Table35[Resolve],"x")</f>
        <v>1</v>
      </c>
    </row>
    <row r="371" spans="2:2" x14ac:dyDescent="0.3">
      <c r="B371" s="26">
        <f>COUNTIF(Table35[Densify],"x")</f>
        <v>1</v>
      </c>
    </row>
    <row r="372" spans="2:2" x14ac:dyDescent="0.3">
      <c r="B372" s="26">
        <f>COUNTIF(Table35[Dynatrace Virtualization Monitoring],"x")</f>
        <v>1</v>
      </c>
    </row>
    <row r="373" spans="2:2" x14ac:dyDescent="0.3">
      <c r="B373" s="26">
        <f>COUNTIF(Table35[MicroFocus],"x")</f>
        <v>1</v>
      </c>
    </row>
    <row r="374" spans="2:2" x14ac:dyDescent="0.3">
      <c r="B374" s="26">
        <f>COUNTIF(Table35[Mist.io],"x")</f>
        <v>1</v>
      </c>
    </row>
    <row r="375" spans="2:2" x14ac:dyDescent="0.3">
      <c r="B375" s="26">
        <f>COUNTIF(Table35[Quest Cloud Manager],"x")</f>
        <v>1</v>
      </c>
    </row>
    <row r="376" spans="2:2" x14ac:dyDescent="0.3">
      <c r="B376" s="26">
        <f>COUNTIF(Table35[Rundeck],"x")</f>
        <v>1</v>
      </c>
    </row>
    <row r="377" spans="2:2" x14ac:dyDescent="0.3">
      <c r="B377" s="26">
        <f>COUNTIF(Table35[Scalr],"x")</f>
        <v>1</v>
      </c>
    </row>
    <row r="378" spans="2:2" x14ac:dyDescent="0.3">
      <c r="B378" s="26">
        <f>COUNTIF(Table35[Bunnyshell],"x")</f>
        <v>1</v>
      </c>
    </row>
    <row r="379" spans="2:2" x14ac:dyDescent="0.3">
      <c r="B379" s="26">
        <f>COUNTIF(Table35[Datadog],"x")</f>
        <v>2</v>
      </c>
    </row>
    <row r="380" spans="2:2" x14ac:dyDescent="0.3">
      <c r="B380" s="26">
        <f>COUNTIF(Table35[AWS CLI],"x")</f>
        <v>1</v>
      </c>
    </row>
    <row r="381" spans="2:2" x14ac:dyDescent="0.3">
      <c r="B381" s="26">
        <f>COUNTIF(Table35[Augeas],"x")</f>
        <v>1</v>
      </c>
    </row>
    <row r="382" spans="2:2" x14ac:dyDescent="0.3">
      <c r="B382" s="26">
        <f>COUNTIF(Table35[Augeas],"x")</f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9E02-FDA3-4B62-8321-1CAA935BBA31}">
  <sheetPr>
    <tabColor theme="9"/>
  </sheetPr>
  <dimension ref="A1:FF165"/>
  <sheetViews>
    <sheetView zoomScaleNormal="100" workbookViewId="0">
      <selection activeCell="H1" sqref="H1"/>
    </sheetView>
  </sheetViews>
  <sheetFormatPr defaultColWidth="8.77734375" defaultRowHeight="14.4" x14ac:dyDescent="0.3"/>
  <cols>
    <col min="1" max="1" width="5.21875" bestFit="1" customWidth="1"/>
    <col min="2" max="2" width="71.5546875" customWidth="1"/>
    <col min="3" max="3" width="49.88671875" customWidth="1"/>
    <col min="4" max="4" width="5.44140625" customWidth="1"/>
    <col min="5" max="5" width="6.33203125" customWidth="1"/>
    <col min="6" max="6" width="15.44140625" customWidth="1"/>
    <col min="7" max="7" width="47" customWidth="1"/>
    <col min="8" max="8" width="35.77734375" bestFit="1" customWidth="1"/>
    <col min="9" max="9" width="23.88671875" customWidth="1"/>
    <col min="10" max="10" width="19.33203125" customWidth="1"/>
    <col min="11" max="11" width="10.21875" customWidth="1"/>
    <col min="12" max="12" width="23.21875" customWidth="1"/>
    <col min="13" max="13" width="10.5546875" customWidth="1"/>
    <col min="14" max="14" width="13.21875" customWidth="1"/>
    <col min="15" max="15" width="10.88671875" customWidth="1"/>
    <col min="16" max="16" width="10" customWidth="1"/>
    <col min="17" max="17" width="10.21875" customWidth="1"/>
    <col min="18" max="18" width="10.5546875" customWidth="1"/>
    <col min="19" max="19" width="23.109375" customWidth="1"/>
    <col min="20" max="20" width="28.77734375" customWidth="1"/>
    <col min="21" max="21" width="12.6640625" customWidth="1"/>
    <col min="22" max="23" width="10.6640625" customWidth="1"/>
    <col min="24" max="24" width="10.33203125" customWidth="1"/>
    <col min="25" max="25" width="11.5546875" customWidth="1"/>
    <col min="26" max="26" width="11" customWidth="1"/>
    <col min="27" max="27" width="12.77734375" customWidth="1"/>
    <col min="28" max="28" width="10.5546875" customWidth="1"/>
    <col min="29" max="29" width="10.21875" customWidth="1"/>
    <col min="30" max="30" width="22.44140625" customWidth="1"/>
    <col min="31" max="31" width="11.21875" customWidth="1"/>
    <col min="32" max="32" width="11.109375" customWidth="1"/>
    <col min="33" max="33" width="12.33203125" customWidth="1"/>
    <col min="34" max="34" width="10.5546875" customWidth="1"/>
    <col min="35" max="35" width="10.44140625" customWidth="1"/>
    <col min="36" max="36" width="10.109375" customWidth="1"/>
    <col min="37" max="37" width="10.21875" customWidth="1"/>
    <col min="38" max="38" width="10.44140625" customWidth="1"/>
    <col min="39" max="39" width="14" customWidth="1"/>
    <col min="40" max="40" width="10.6640625" customWidth="1"/>
    <col min="41" max="41" width="10.88671875" customWidth="1"/>
    <col min="42" max="42" width="16" customWidth="1"/>
    <col min="43" max="43" width="15" customWidth="1"/>
    <col min="44" max="44" width="13.109375" customWidth="1"/>
    <col min="45" max="45" width="11.5546875" customWidth="1"/>
    <col min="46" max="47" width="10.33203125" customWidth="1"/>
    <col min="48" max="48" width="13.5546875" customWidth="1"/>
    <col min="49" max="49" width="13.33203125" customWidth="1"/>
    <col min="50" max="50" width="13.21875" customWidth="1"/>
    <col min="51" max="51" width="12.33203125" customWidth="1"/>
    <col min="52" max="52" width="11.5546875" customWidth="1"/>
    <col min="53" max="53" width="13.88671875" customWidth="1"/>
    <col min="54" max="54" width="15.5546875" customWidth="1"/>
    <col min="55" max="55" width="10.44140625" customWidth="1"/>
    <col min="56" max="56" width="11.5546875" customWidth="1"/>
    <col min="57" max="57" width="11" customWidth="1"/>
    <col min="58" max="58" width="10.109375" customWidth="1"/>
    <col min="59" max="59" width="12.109375" customWidth="1"/>
    <col min="60" max="60" width="10.109375" customWidth="1"/>
    <col min="61" max="61" width="10.88671875" customWidth="1"/>
    <col min="62" max="62" width="17.77734375" customWidth="1"/>
    <col min="63" max="63" width="12.44140625" customWidth="1"/>
    <col min="64" max="64" width="10.33203125" customWidth="1"/>
    <col min="65" max="65" width="12" customWidth="1"/>
    <col min="66" max="66" width="16.21875" customWidth="1"/>
    <col min="67" max="67" width="10.5546875" customWidth="1"/>
    <col min="68" max="68" width="10.21875" customWidth="1"/>
    <col min="69" max="69" width="19.88671875" customWidth="1"/>
    <col min="70" max="70" width="11.21875" customWidth="1"/>
    <col min="71" max="71" width="14.5546875" customWidth="1"/>
    <col min="72" max="72" width="30.33203125" customWidth="1"/>
    <col min="73" max="73" width="12" customWidth="1"/>
    <col min="74" max="74" width="13.77734375" customWidth="1"/>
    <col min="75" max="75" width="10.21875" customWidth="1"/>
    <col min="76" max="76" width="10" customWidth="1"/>
    <col min="77" max="77" width="10.33203125" customWidth="1"/>
    <col min="78" max="78" width="11" customWidth="1"/>
    <col min="79" max="79" width="10.21875" customWidth="1"/>
    <col min="80" max="80" width="16.77734375" customWidth="1"/>
    <col min="81" max="81" width="22.44140625" customWidth="1"/>
    <col min="82" max="82" width="16.109375" customWidth="1"/>
    <col min="83" max="83" width="12.21875" customWidth="1"/>
    <col min="84" max="84" width="11.88671875" customWidth="1"/>
    <col min="85" max="85" width="8.88671875" customWidth="1"/>
    <col min="86" max="86" width="13.5546875" customWidth="1"/>
    <col min="87" max="88" width="7.21875" customWidth="1"/>
    <col min="89" max="89" width="17.6640625" customWidth="1"/>
    <col min="90" max="90" width="10.88671875" customWidth="1"/>
    <col min="91" max="91" width="18.5546875" customWidth="1"/>
    <col min="92" max="92" width="15.33203125" customWidth="1"/>
    <col min="93" max="93" width="12.6640625" customWidth="1"/>
    <col min="94" max="94" width="10.44140625" customWidth="1"/>
    <col min="95" max="95" width="10.21875" customWidth="1"/>
    <col min="96" max="96" width="14.5546875" customWidth="1"/>
    <col min="97" max="97" width="6.6640625" customWidth="1"/>
    <col min="98" max="98" width="10.6640625" customWidth="1"/>
    <col min="99" max="99" width="29.44140625" customWidth="1"/>
    <col min="100" max="100" width="8.44140625" customWidth="1"/>
    <col min="101" max="101" width="22.77734375" customWidth="1"/>
    <col min="102" max="102" width="10.88671875" customWidth="1"/>
    <col min="103" max="103" width="11.33203125" customWidth="1"/>
    <col min="104" max="104" width="13.21875" customWidth="1"/>
    <col min="105" max="105" width="27.6640625" customWidth="1"/>
    <col min="106" max="106" width="10.5546875" customWidth="1"/>
    <col min="107" max="107" width="11.33203125" customWidth="1"/>
    <col min="108" max="108" width="19" customWidth="1"/>
    <col min="109" max="109" width="14.77734375" customWidth="1"/>
    <col min="110" max="110" width="10.77734375" customWidth="1"/>
    <col min="111" max="111" width="11.21875" customWidth="1"/>
    <col min="112" max="112" width="11.109375" customWidth="1"/>
    <col min="113" max="113" width="10.33203125" customWidth="1"/>
    <col min="114" max="114" width="12.88671875" customWidth="1"/>
    <col min="115" max="115" width="16.109375" customWidth="1"/>
    <col min="116" max="116" width="13.5546875" customWidth="1"/>
    <col min="117" max="117" width="31.33203125" customWidth="1"/>
    <col min="118" max="118" width="12.88671875" customWidth="1"/>
    <col min="119" max="119" width="17" customWidth="1"/>
    <col min="120" max="120" width="14.33203125" customWidth="1"/>
    <col min="121" max="121" width="14.88671875" customWidth="1"/>
    <col min="122" max="122" width="11" customWidth="1"/>
    <col min="123" max="123" width="7.88671875" customWidth="1"/>
    <col min="124" max="124" width="8.44140625" customWidth="1"/>
    <col min="125" max="125" width="13.33203125" customWidth="1"/>
    <col min="126" max="126" width="16.21875" customWidth="1"/>
    <col min="127" max="127" width="9" customWidth="1"/>
    <col min="128" max="128" width="13.109375" customWidth="1"/>
    <col min="129" max="129" width="22.88671875" customWidth="1"/>
    <col min="130" max="130" width="17.33203125" customWidth="1"/>
    <col min="131" max="131" width="10.6640625" customWidth="1"/>
    <col min="132" max="132" width="15.44140625" customWidth="1"/>
    <col min="133" max="133" width="17" customWidth="1"/>
    <col min="134" max="134" width="14.6640625" customWidth="1"/>
    <col min="135" max="135" width="11.21875" customWidth="1"/>
    <col min="136" max="136" width="17.77734375" customWidth="1"/>
    <col min="137" max="137" width="15.6640625" customWidth="1"/>
    <col min="138" max="138" width="15.5546875" customWidth="1"/>
    <col min="139" max="139" width="10.5546875" customWidth="1"/>
    <col min="140" max="140" width="19.44140625" customWidth="1"/>
    <col min="141" max="141" width="16.44140625" customWidth="1"/>
    <col min="142" max="142" width="14.109375" customWidth="1"/>
    <col min="143" max="143" width="10.77734375" customWidth="1"/>
    <col min="144" max="144" width="10.88671875" customWidth="1"/>
    <col min="145" max="145" width="11.44140625" customWidth="1"/>
    <col min="146" max="146" width="13.5546875" customWidth="1"/>
    <col min="147" max="147" width="11.5546875" customWidth="1"/>
    <col min="148" max="148" width="12.109375" customWidth="1"/>
    <col min="149" max="149" width="19.33203125" customWidth="1"/>
    <col min="150" max="150" width="16" customWidth="1"/>
    <col min="151" max="151" width="22.6640625" customWidth="1"/>
    <col min="152" max="152" width="11.6640625" customWidth="1"/>
    <col min="153" max="153" width="19.21875" bestFit="1" customWidth="1"/>
    <col min="154" max="157" width="9.88671875" bestFit="1" customWidth="1"/>
    <col min="159" max="160" width="9.88671875" bestFit="1" customWidth="1"/>
    <col min="161" max="162" width="10.109375" bestFit="1" customWidth="1"/>
  </cols>
  <sheetData>
    <row r="1" spans="1:162" x14ac:dyDescent="0.3">
      <c r="A1" s="74" t="s">
        <v>551</v>
      </c>
      <c r="B1" s="75"/>
      <c r="C1" s="76"/>
      <c r="D1" s="77" t="s">
        <v>2</v>
      </c>
      <c r="E1" s="78"/>
      <c r="F1" s="79"/>
      <c r="G1" s="4"/>
    </row>
    <row r="2" spans="1:162" x14ac:dyDescent="0.3">
      <c r="A2" s="5" t="s">
        <v>0</v>
      </c>
      <c r="B2" s="5" t="s">
        <v>1430</v>
      </c>
      <c r="C2" s="5" t="s">
        <v>1</v>
      </c>
      <c r="D2" s="4" t="s">
        <v>1083</v>
      </c>
      <c r="E2" s="4" t="s">
        <v>3</v>
      </c>
      <c r="F2" s="4" t="s">
        <v>6</v>
      </c>
      <c r="G2" s="4" t="s">
        <v>645</v>
      </c>
      <c r="H2" s="52" t="s">
        <v>569</v>
      </c>
      <c r="I2" s="10" t="s">
        <v>444</v>
      </c>
      <c r="J2" t="s">
        <v>214</v>
      </c>
      <c r="K2" t="s">
        <v>215</v>
      </c>
      <c r="L2" t="s">
        <v>216</v>
      </c>
      <c r="M2" t="s">
        <v>220</v>
      </c>
      <c r="N2" t="s">
        <v>223</v>
      </c>
      <c r="O2" t="s">
        <v>1605</v>
      </c>
      <c r="P2" t="s">
        <v>253</v>
      </c>
      <c r="Q2" t="s">
        <v>297</v>
      </c>
      <c r="R2" t="s">
        <v>298</v>
      </c>
      <c r="S2" t="s">
        <v>299</v>
      </c>
      <c r="T2" t="s">
        <v>300</v>
      </c>
      <c r="U2" t="s">
        <v>301</v>
      </c>
      <c r="V2" t="s">
        <v>385</v>
      </c>
      <c r="W2" t="s">
        <v>386</v>
      </c>
      <c r="X2" t="s">
        <v>449</v>
      </c>
      <c r="Y2" t="s">
        <v>450</v>
      </c>
      <c r="Z2" t="s">
        <v>451</v>
      </c>
      <c r="AA2" t="s">
        <v>455</v>
      </c>
      <c r="AB2" t="s">
        <v>452</v>
      </c>
      <c r="AC2" t="s">
        <v>456</v>
      </c>
      <c r="AD2" t="s">
        <v>453</v>
      </c>
      <c r="AE2" t="s">
        <v>457</v>
      </c>
      <c r="AF2" t="s">
        <v>458</v>
      </c>
      <c r="AG2" t="s">
        <v>460</v>
      </c>
      <c r="AH2" t="s">
        <v>461</v>
      </c>
      <c r="AI2" t="s">
        <v>462</v>
      </c>
      <c r="AJ2" t="s">
        <v>463</v>
      </c>
      <c r="AK2" t="s">
        <v>465</v>
      </c>
      <c r="AL2" t="s">
        <v>466</v>
      </c>
      <c r="AM2" t="s">
        <v>471</v>
      </c>
      <c r="AN2" t="s">
        <v>472</v>
      </c>
      <c r="AO2" t="s">
        <v>473</v>
      </c>
      <c r="AP2" t="s">
        <v>475</v>
      </c>
      <c r="AQ2" t="s">
        <v>485</v>
      </c>
      <c r="AR2" t="s">
        <v>105</v>
      </c>
      <c r="AS2" t="s">
        <v>490</v>
      </c>
      <c r="AT2" t="s">
        <v>491</v>
      </c>
      <c r="AU2" t="s">
        <v>492</v>
      </c>
      <c r="AV2" t="s">
        <v>493</v>
      </c>
      <c r="AW2" t="s">
        <v>494</v>
      </c>
      <c r="AX2" t="s">
        <v>495</v>
      </c>
      <c r="AY2" t="s">
        <v>496</v>
      </c>
      <c r="AZ2" t="s">
        <v>497</v>
      </c>
      <c r="BA2" t="s">
        <v>498</v>
      </c>
      <c r="BB2" t="s">
        <v>499</v>
      </c>
      <c r="BC2" t="s">
        <v>500</v>
      </c>
      <c r="BD2" t="s">
        <v>501</v>
      </c>
      <c r="BE2" t="s">
        <v>502</v>
      </c>
      <c r="BF2" t="s">
        <v>503</v>
      </c>
      <c r="BG2" t="s">
        <v>504</v>
      </c>
      <c r="BH2" t="s">
        <v>505</v>
      </c>
      <c r="BI2" t="s">
        <v>506</v>
      </c>
      <c r="BJ2" t="s">
        <v>507</v>
      </c>
      <c r="BK2" t="s">
        <v>508</v>
      </c>
      <c r="BL2" t="s">
        <v>509</v>
      </c>
      <c r="BM2" t="s">
        <v>510</v>
      </c>
      <c r="BN2" t="s">
        <v>2410</v>
      </c>
      <c r="BO2" t="s">
        <v>511</v>
      </c>
      <c r="BP2" t="s">
        <v>515</v>
      </c>
      <c r="BQ2" t="s">
        <v>516</v>
      </c>
      <c r="BR2" t="s">
        <v>517</v>
      </c>
      <c r="BS2" t="s">
        <v>2411</v>
      </c>
      <c r="BT2" t="s">
        <v>146</v>
      </c>
      <c r="BU2" t="s">
        <v>2412</v>
      </c>
      <c r="BV2" t="s">
        <v>518</v>
      </c>
      <c r="BW2" t="s">
        <v>519</v>
      </c>
      <c r="BX2" t="s">
        <v>2076</v>
      </c>
      <c r="BY2" t="s">
        <v>529</v>
      </c>
      <c r="BZ2" t="s">
        <v>530</v>
      </c>
      <c r="CA2" t="s">
        <v>1013</v>
      </c>
      <c r="CB2" t="s">
        <v>1014</v>
      </c>
      <c r="CC2" t="s">
        <v>1079</v>
      </c>
      <c r="CD2" t="s">
        <v>1082</v>
      </c>
      <c r="CE2" t="s">
        <v>1086</v>
      </c>
      <c r="CF2" t="s">
        <v>45</v>
      </c>
      <c r="CG2" t="s">
        <v>139</v>
      </c>
      <c r="CH2" t="s">
        <v>140</v>
      </c>
      <c r="CI2" t="s">
        <v>779</v>
      </c>
      <c r="CJ2" t="s">
        <v>1447</v>
      </c>
      <c r="CK2" t="s">
        <v>1437</v>
      </c>
      <c r="CL2" t="s">
        <v>1438</v>
      </c>
      <c r="CM2" t="s">
        <v>1439</v>
      </c>
      <c r="CN2" t="s">
        <v>1445</v>
      </c>
      <c r="CO2" t="s">
        <v>1428</v>
      </c>
      <c r="CP2" t="s">
        <v>1456</v>
      </c>
      <c r="CQ2" t="s">
        <v>1463</v>
      </c>
      <c r="CR2" t="s">
        <v>1464</v>
      </c>
      <c r="CS2" t="s">
        <v>2106</v>
      </c>
      <c r="CT2" t="s">
        <v>1474</v>
      </c>
      <c r="CU2" t="s">
        <v>268</v>
      </c>
      <c r="CV2" t="s">
        <v>1488</v>
      </c>
      <c r="CW2" t="s">
        <v>1497</v>
      </c>
      <c r="CX2" t="s">
        <v>1503</v>
      </c>
      <c r="CY2" t="s">
        <v>1510</v>
      </c>
      <c r="CZ2" t="s">
        <v>1517</v>
      </c>
      <c r="DA2" t="s">
        <v>1529</v>
      </c>
      <c r="DB2" t="s">
        <v>1536</v>
      </c>
      <c r="DC2" t="s">
        <v>1537</v>
      </c>
      <c r="DD2" t="s">
        <v>1538</v>
      </c>
      <c r="DE2" t="s">
        <v>1540</v>
      </c>
      <c r="DF2" t="s">
        <v>1541</v>
      </c>
      <c r="DG2" t="s">
        <v>1542</v>
      </c>
      <c r="DH2" t="s">
        <v>1543</v>
      </c>
      <c r="DI2" t="s">
        <v>1544</v>
      </c>
      <c r="DJ2" t="s">
        <v>1545</v>
      </c>
      <c r="DK2" t="s">
        <v>1546</v>
      </c>
      <c r="DL2" t="s">
        <v>1547</v>
      </c>
      <c r="DM2" t="s">
        <v>1548</v>
      </c>
      <c r="DN2" t="s">
        <v>1592</v>
      </c>
      <c r="DO2" t="s">
        <v>1595</v>
      </c>
      <c r="DP2" t="s">
        <v>1596</v>
      </c>
      <c r="DQ2" t="s">
        <v>1622</v>
      </c>
      <c r="DR2" t="s">
        <v>1650</v>
      </c>
      <c r="DS2" t="s">
        <v>1651</v>
      </c>
      <c r="DT2" t="s">
        <v>1663</v>
      </c>
      <c r="DU2" t="s">
        <v>1665</v>
      </c>
      <c r="DV2" t="s">
        <v>1667</v>
      </c>
      <c r="DW2" t="s">
        <v>1668</v>
      </c>
      <c r="DX2" t="s">
        <v>1670</v>
      </c>
      <c r="DY2" t="s">
        <v>1672</v>
      </c>
      <c r="DZ2" t="s">
        <v>1678</v>
      </c>
      <c r="EA2" t="s">
        <v>1681</v>
      </c>
      <c r="EB2" t="s">
        <v>1683</v>
      </c>
      <c r="EC2" t="s">
        <v>1685</v>
      </c>
      <c r="ED2" t="s">
        <v>1688</v>
      </c>
      <c r="EE2" t="s">
        <v>1690</v>
      </c>
      <c r="EF2" t="s">
        <v>1691</v>
      </c>
      <c r="EG2" t="s">
        <v>1738</v>
      </c>
      <c r="EH2" t="s">
        <v>2023</v>
      </c>
      <c r="EI2" t="s">
        <v>2149</v>
      </c>
      <c r="EJ2" t="s">
        <v>2150</v>
      </c>
      <c r="EK2" t="s">
        <v>2155</v>
      </c>
      <c r="EL2" t="s">
        <v>2159</v>
      </c>
      <c r="EM2" t="s">
        <v>2163</v>
      </c>
      <c r="EN2" t="s">
        <v>2166</v>
      </c>
      <c r="EO2" t="s">
        <v>2170</v>
      </c>
      <c r="EP2" t="s">
        <v>2175</v>
      </c>
      <c r="EQ2" t="s">
        <v>2179</v>
      </c>
      <c r="ER2" t="s">
        <v>2183</v>
      </c>
      <c r="ES2" t="s">
        <v>2188</v>
      </c>
      <c r="ET2" t="s">
        <v>2191</v>
      </c>
      <c r="EU2" t="s">
        <v>2194</v>
      </c>
      <c r="EV2" t="s">
        <v>2195</v>
      </c>
      <c r="EW2" t="s">
        <v>2248</v>
      </c>
      <c r="EX2" t="s">
        <v>2274</v>
      </c>
      <c r="EY2" t="s">
        <v>2275</v>
      </c>
      <c r="EZ2" s="33" t="s">
        <v>2276</v>
      </c>
      <c r="FA2" t="s">
        <v>2277</v>
      </c>
      <c r="FB2" t="s">
        <v>2278</v>
      </c>
      <c r="FC2" t="s">
        <v>2279</v>
      </c>
      <c r="FD2" t="s">
        <v>2280</v>
      </c>
      <c r="FE2" t="s">
        <v>2373</v>
      </c>
      <c r="FF2" t="s">
        <v>2374</v>
      </c>
    </row>
    <row r="3" spans="1:162" ht="14.4" customHeight="1" x14ac:dyDescent="0.3">
      <c r="A3">
        <v>1</v>
      </c>
      <c r="B3" t="s">
        <v>218</v>
      </c>
      <c r="C3" t="s">
        <v>217</v>
      </c>
      <c r="D3" t="s">
        <v>17</v>
      </c>
      <c r="E3">
        <v>2020</v>
      </c>
      <c r="F3" t="s">
        <v>219</v>
      </c>
      <c r="G3" s="2" t="s">
        <v>202</v>
      </c>
      <c r="H3" t="s">
        <v>1431</v>
      </c>
      <c r="I3" s="10">
        <f t="shared" ref="I3:I34" si="0">COUNTIF(J3:XEK3,"x")</f>
        <v>6</v>
      </c>
      <c r="J3" t="s">
        <v>41</v>
      </c>
      <c r="K3" t="s">
        <v>41</v>
      </c>
      <c r="L3" t="s">
        <v>41</v>
      </c>
      <c r="M3" t="s">
        <v>41</v>
      </c>
      <c r="AA3" t="s">
        <v>41</v>
      </c>
      <c r="AE3" t="s">
        <v>41</v>
      </c>
      <c r="CT3" s="28"/>
    </row>
    <row r="4" spans="1:162" x14ac:dyDescent="0.3">
      <c r="A4">
        <v>2</v>
      </c>
      <c r="B4" t="s">
        <v>222</v>
      </c>
      <c r="C4" t="s">
        <v>221</v>
      </c>
      <c r="D4" t="s">
        <v>17</v>
      </c>
      <c r="E4" t="s">
        <v>111</v>
      </c>
      <c r="F4" t="s">
        <v>111</v>
      </c>
      <c r="G4" s="2" t="s">
        <v>202</v>
      </c>
      <c r="H4" t="s">
        <v>2251</v>
      </c>
      <c r="I4" s="10">
        <f t="shared" si="0"/>
        <v>2</v>
      </c>
      <c r="N4" t="s">
        <v>41</v>
      </c>
      <c r="O4" t="s">
        <v>41</v>
      </c>
    </row>
    <row r="5" spans="1:162" x14ac:dyDescent="0.3">
      <c r="A5">
        <v>3</v>
      </c>
      <c r="B5" t="s">
        <v>254</v>
      </c>
      <c r="C5" t="s">
        <v>252</v>
      </c>
      <c r="D5" t="s">
        <v>17</v>
      </c>
      <c r="E5" t="s">
        <v>111</v>
      </c>
      <c r="F5" t="s">
        <v>255</v>
      </c>
      <c r="G5" s="2" t="s">
        <v>202</v>
      </c>
      <c r="H5" t="s">
        <v>2251</v>
      </c>
      <c r="I5" s="10">
        <f t="shared" si="0"/>
        <v>2</v>
      </c>
      <c r="K5" t="s">
        <v>41</v>
      </c>
      <c r="P5" t="s">
        <v>41</v>
      </c>
    </row>
    <row r="6" spans="1:162" x14ac:dyDescent="0.3">
      <c r="A6">
        <v>4</v>
      </c>
      <c r="B6" t="s">
        <v>295</v>
      </c>
      <c r="C6" t="s">
        <v>294</v>
      </c>
      <c r="D6" t="s">
        <v>17</v>
      </c>
      <c r="E6">
        <v>2020</v>
      </c>
      <c r="F6" t="s">
        <v>296</v>
      </c>
      <c r="G6" s="2" t="s">
        <v>202</v>
      </c>
      <c r="H6" t="s">
        <v>1305</v>
      </c>
      <c r="I6" s="10">
        <f t="shared" si="0"/>
        <v>6</v>
      </c>
      <c r="O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</row>
    <row r="7" spans="1:162" x14ac:dyDescent="0.3">
      <c r="A7">
        <v>5</v>
      </c>
      <c r="B7" t="s">
        <v>387</v>
      </c>
      <c r="C7" t="s">
        <v>384</v>
      </c>
      <c r="D7" t="s">
        <v>17</v>
      </c>
      <c r="E7">
        <v>2020</v>
      </c>
      <c r="F7" t="s">
        <v>111</v>
      </c>
      <c r="G7" s="2" t="s">
        <v>202</v>
      </c>
      <c r="H7" t="s">
        <v>1305</v>
      </c>
      <c r="I7" s="10">
        <f t="shared" si="0"/>
        <v>3</v>
      </c>
      <c r="Q7" t="s">
        <v>41</v>
      </c>
      <c r="V7" t="s">
        <v>41</v>
      </c>
      <c r="W7" t="s">
        <v>41</v>
      </c>
    </row>
    <row r="8" spans="1:162" x14ac:dyDescent="0.3">
      <c r="A8">
        <v>6</v>
      </c>
      <c r="B8" t="s">
        <v>448</v>
      </c>
      <c r="C8" s="2" t="s">
        <v>202</v>
      </c>
      <c r="D8" t="s">
        <v>334</v>
      </c>
      <c r="E8">
        <v>2020</v>
      </c>
      <c r="F8" t="s">
        <v>447</v>
      </c>
      <c r="G8" s="2" t="s">
        <v>202</v>
      </c>
      <c r="H8" t="s">
        <v>1305</v>
      </c>
      <c r="I8" s="10">
        <f t="shared" si="0"/>
        <v>4</v>
      </c>
      <c r="K8" t="s">
        <v>41</v>
      </c>
      <c r="X8" t="s">
        <v>41</v>
      </c>
      <c r="Y8" t="s">
        <v>41</v>
      </c>
      <c r="Z8" t="s">
        <v>41</v>
      </c>
    </row>
    <row r="9" spans="1:162" x14ac:dyDescent="0.3">
      <c r="A9">
        <v>7</v>
      </c>
      <c r="B9" t="s">
        <v>459</v>
      </c>
      <c r="C9" s="2" t="s">
        <v>202</v>
      </c>
      <c r="D9" t="s">
        <v>308</v>
      </c>
      <c r="E9">
        <v>2022</v>
      </c>
      <c r="F9" t="s">
        <v>433</v>
      </c>
      <c r="G9" s="2" t="s">
        <v>202</v>
      </c>
      <c r="H9" t="s">
        <v>1305</v>
      </c>
      <c r="I9" s="10">
        <f t="shared" si="0"/>
        <v>12</v>
      </c>
      <c r="J9" t="s">
        <v>41</v>
      </c>
      <c r="K9" t="s">
        <v>41</v>
      </c>
      <c r="M9" t="s">
        <v>41</v>
      </c>
      <c r="O9" t="s">
        <v>41</v>
      </c>
      <c r="V9" t="s">
        <v>41</v>
      </c>
      <c r="W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</row>
    <row r="10" spans="1:162" x14ac:dyDescent="0.3">
      <c r="A10">
        <v>8</v>
      </c>
      <c r="B10" t="s">
        <v>108</v>
      </c>
      <c r="C10" s="2" t="s">
        <v>202</v>
      </c>
      <c r="D10" t="s">
        <v>308</v>
      </c>
      <c r="E10">
        <v>2020</v>
      </c>
      <c r="F10" t="s">
        <v>430</v>
      </c>
      <c r="G10" s="2" t="s">
        <v>202</v>
      </c>
      <c r="H10" t="s">
        <v>1305</v>
      </c>
      <c r="I10" s="10">
        <f t="shared" si="0"/>
        <v>11</v>
      </c>
      <c r="K10" t="s">
        <v>41</v>
      </c>
      <c r="O10" t="s">
        <v>41</v>
      </c>
      <c r="P10" t="s">
        <v>41</v>
      </c>
      <c r="V10" t="s">
        <v>41</v>
      </c>
      <c r="AB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</row>
    <row r="11" spans="1:162" x14ac:dyDescent="0.3">
      <c r="A11">
        <v>9</v>
      </c>
      <c r="B11" t="s">
        <v>464</v>
      </c>
      <c r="C11" s="2" t="s">
        <v>202</v>
      </c>
      <c r="D11" t="s">
        <v>308</v>
      </c>
      <c r="E11">
        <v>2022</v>
      </c>
      <c r="F11" t="s">
        <v>434</v>
      </c>
      <c r="G11" s="2" t="s">
        <v>202</v>
      </c>
      <c r="H11" t="s">
        <v>1305</v>
      </c>
      <c r="I11" s="10">
        <f t="shared" si="0"/>
        <v>5</v>
      </c>
      <c r="M11" t="s">
        <v>41</v>
      </c>
      <c r="Z11" t="s">
        <v>41</v>
      </c>
      <c r="AK11" t="s">
        <v>41</v>
      </c>
      <c r="AL11" t="s">
        <v>41</v>
      </c>
      <c r="BN11" t="s">
        <v>41</v>
      </c>
    </row>
    <row r="12" spans="1:162" x14ac:dyDescent="0.3">
      <c r="A12">
        <v>10</v>
      </c>
      <c r="B12" t="s">
        <v>468</v>
      </c>
      <c r="C12" s="2" t="s">
        <v>202</v>
      </c>
      <c r="D12" t="s">
        <v>308</v>
      </c>
      <c r="E12">
        <v>2022</v>
      </c>
      <c r="F12" t="s">
        <v>467</v>
      </c>
      <c r="G12" s="2" t="s">
        <v>202</v>
      </c>
      <c r="H12" t="s">
        <v>1305</v>
      </c>
      <c r="I12" s="10">
        <f t="shared" si="0"/>
        <v>1</v>
      </c>
      <c r="W12" t="s">
        <v>41</v>
      </c>
    </row>
    <row r="13" spans="1:162" x14ac:dyDescent="0.3">
      <c r="A13">
        <v>11</v>
      </c>
      <c r="B13" t="s">
        <v>470</v>
      </c>
      <c r="C13" s="2" t="s">
        <v>202</v>
      </c>
      <c r="D13" t="s">
        <v>308</v>
      </c>
      <c r="E13">
        <v>2021</v>
      </c>
      <c r="F13" t="s">
        <v>469</v>
      </c>
      <c r="G13" s="2" t="s">
        <v>202</v>
      </c>
      <c r="H13" t="s">
        <v>1305</v>
      </c>
      <c r="I13" s="10">
        <f t="shared" si="0"/>
        <v>4</v>
      </c>
      <c r="AM13" t="s">
        <v>41</v>
      </c>
      <c r="AN13" t="s">
        <v>41</v>
      </c>
      <c r="AO13" t="s">
        <v>41</v>
      </c>
      <c r="EH13" t="s">
        <v>41</v>
      </c>
    </row>
    <row r="14" spans="1:162" x14ac:dyDescent="0.3">
      <c r="A14">
        <v>12</v>
      </c>
      <c r="B14" t="s">
        <v>474</v>
      </c>
      <c r="C14" s="2" t="s">
        <v>202</v>
      </c>
      <c r="D14" t="s">
        <v>308</v>
      </c>
      <c r="E14">
        <v>2016</v>
      </c>
      <c r="F14" t="s">
        <v>435</v>
      </c>
      <c r="G14" s="2" t="s">
        <v>202</v>
      </c>
      <c r="H14" t="s">
        <v>1305</v>
      </c>
      <c r="I14" s="10">
        <f t="shared" si="0"/>
        <v>3</v>
      </c>
      <c r="X14" t="s">
        <v>41</v>
      </c>
      <c r="AF14" t="s">
        <v>41</v>
      </c>
      <c r="AP14" t="s">
        <v>41</v>
      </c>
    </row>
    <row r="15" spans="1:162" x14ac:dyDescent="0.3">
      <c r="A15">
        <v>13</v>
      </c>
      <c r="B15" t="s">
        <v>478</v>
      </c>
      <c r="C15" s="2" t="s">
        <v>202</v>
      </c>
      <c r="D15" t="s">
        <v>334</v>
      </c>
      <c r="E15">
        <v>2018</v>
      </c>
      <c r="F15" t="s">
        <v>479</v>
      </c>
      <c r="G15" s="2" t="s">
        <v>202</v>
      </c>
      <c r="H15" t="s">
        <v>1305</v>
      </c>
      <c r="I15" s="10">
        <f t="shared" si="0"/>
        <v>2</v>
      </c>
      <c r="Z15" t="s">
        <v>41</v>
      </c>
      <c r="AP15" t="s">
        <v>41</v>
      </c>
    </row>
    <row r="16" spans="1:162" x14ac:dyDescent="0.3">
      <c r="A16">
        <v>14</v>
      </c>
      <c r="B16" t="s">
        <v>482</v>
      </c>
      <c r="C16" s="2" t="s">
        <v>202</v>
      </c>
      <c r="D16" t="s">
        <v>334</v>
      </c>
      <c r="E16">
        <v>2018</v>
      </c>
      <c r="F16" t="s">
        <v>486</v>
      </c>
      <c r="G16" s="2" t="s">
        <v>202</v>
      </c>
      <c r="H16" t="s">
        <v>1305</v>
      </c>
      <c r="I16" s="10">
        <f t="shared" si="0"/>
        <v>2</v>
      </c>
      <c r="X16" t="s">
        <v>41</v>
      </c>
      <c r="AQ16" t="s">
        <v>41</v>
      </c>
    </row>
    <row r="17" spans="1:87" x14ac:dyDescent="0.3">
      <c r="A17">
        <v>15</v>
      </c>
      <c r="B17" t="s">
        <v>487</v>
      </c>
      <c r="C17" s="2" t="s">
        <v>202</v>
      </c>
      <c r="D17" t="s">
        <v>1648</v>
      </c>
      <c r="E17">
        <v>2015</v>
      </c>
      <c r="F17" t="s">
        <v>488</v>
      </c>
      <c r="G17" s="2" t="s">
        <v>202</v>
      </c>
      <c r="H17" t="s">
        <v>1305</v>
      </c>
      <c r="I17" s="10">
        <f t="shared" si="0"/>
        <v>1</v>
      </c>
      <c r="AQ17" t="s">
        <v>41</v>
      </c>
    </row>
    <row r="18" spans="1:87" x14ac:dyDescent="0.3">
      <c r="A18">
        <v>16</v>
      </c>
      <c r="B18" t="s">
        <v>489</v>
      </c>
      <c r="C18" s="2" t="s">
        <v>202</v>
      </c>
      <c r="D18" t="s">
        <v>1648</v>
      </c>
      <c r="E18">
        <v>2021</v>
      </c>
      <c r="F18" t="s">
        <v>512</v>
      </c>
      <c r="G18" s="2" t="s">
        <v>202</v>
      </c>
      <c r="H18" t="s">
        <v>1305</v>
      </c>
      <c r="I18" s="10">
        <f t="shared" si="0"/>
        <v>30</v>
      </c>
      <c r="K18" t="s">
        <v>41</v>
      </c>
      <c r="O18" t="s">
        <v>41</v>
      </c>
      <c r="Z18" t="s">
        <v>41</v>
      </c>
      <c r="AB18" t="s">
        <v>41</v>
      </c>
      <c r="AD18" t="s">
        <v>41</v>
      </c>
      <c r="AP18" t="s">
        <v>41</v>
      </c>
      <c r="AR18" t="s">
        <v>41</v>
      </c>
      <c r="AS18" t="s">
        <v>41</v>
      </c>
      <c r="AT18" t="s">
        <v>41</v>
      </c>
      <c r="AU18" t="s">
        <v>41</v>
      </c>
      <c r="AV18" t="s">
        <v>41</v>
      </c>
      <c r="AW18" t="s">
        <v>41</v>
      </c>
      <c r="AX18" t="s">
        <v>41</v>
      </c>
      <c r="AY18" t="s">
        <v>41</v>
      </c>
      <c r="AZ18" t="s">
        <v>41</v>
      </c>
      <c r="BA18" t="s">
        <v>41</v>
      </c>
      <c r="BB18" t="s">
        <v>41</v>
      </c>
      <c r="BC18" t="s">
        <v>41</v>
      </c>
      <c r="BD18" t="s">
        <v>41</v>
      </c>
      <c r="BE18" t="s">
        <v>41</v>
      </c>
      <c r="BF18" t="s">
        <v>41</v>
      </c>
      <c r="BG18" t="s">
        <v>41</v>
      </c>
      <c r="BH18" t="s">
        <v>41</v>
      </c>
      <c r="BI18" t="s">
        <v>41</v>
      </c>
      <c r="BJ18" t="s">
        <v>41</v>
      </c>
      <c r="BK18" t="s">
        <v>41</v>
      </c>
      <c r="BL18" t="s">
        <v>41</v>
      </c>
      <c r="BM18" t="s">
        <v>41</v>
      </c>
      <c r="BN18" t="s">
        <v>41</v>
      </c>
      <c r="BO18" t="s">
        <v>41</v>
      </c>
    </row>
    <row r="19" spans="1:87" x14ac:dyDescent="0.3">
      <c r="A19">
        <v>17</v>
      </c>
      <c r="B19" t="s">
        <v>514</v>
      </c>
      <c r="C19" t="s">
        <v>513</v>
      </c>
      <c r="D19" t="s">
        <v>17</v>
      </c>
      <c r="E19" t="s">
        <v>111</v>
      </c>
      <c r="F19" t="s">
        <v>111</v>
      </c>
      <c r="G19" s="2" t="s">
        <v>202</v>
      </c>
      <c r="H19" t="s">
        <v>1431</v>
      </c>
      <c r="I19" s="10">
        <f t="shared" si="0"/>
        <v>13</v>
      </c>
      <c r="K19" t="s">
        <v>41</v>
      </c>
      <c r="N19" t="s">
        <v>41</v>
      </c>
      <c r="AB19" t="s">
        <v>41</v>
      </c>
      <c r="AR19" t="s">
        <v>41</v>
      </c>
      <c r="BK19" t="s">
        <v>41</v>
      </c>
      <c r="BP19" t="s">
        <v>41</v>
      </c>
      <c r="BQ19" t="s">
        <v>41</v>
      </c>
      <c r="BR19" t="s">
        <v>41</v>
      </c>
      <c r="BS19" t="s">
        <v>41</v>
      </c>
      <c r="BT19" t="s">
        <v>41</v>
      </c>
      <c r="BU19" t="s">
        <v>41</v>
      </c>
      <c r="BV19" t="s">
        <v>41</v>
      </c>
      <c r="BW19" t="s">
        <v>41</v>
      </c>
    </row>
    <row r="20" spans="1:87" x14ac:dyDescent="0.3">
      <c r="A20">
        <v>18</v>
      </c>
      <c r="B20" t="s">
        <v>521</v>
      </c>
      <c r="C20" t="s">
        <v>520</v>
      </c>
      <c r="D20" t="s">
        <v>17</v>
      </c>
      <c r="E20">
        <v>2019</v>
      </c>
      <c r="F20" t="s">
        <v>522</v>
      </c>
      <c r="G20" s="2" t="s">
        <v>202</v>
      </c>
      <c r="H20" t="s">
        <v>1305</v>
      </c>
      <c r="I20" s="10">
        <f t="shared" si="0"/>
        <v>8</v>
      </c>
      <c r="M20" t="s">
        <v>41</v>
      </c>
      <c r="Z20" t="s">
        <v>41</v>
      </c>
      <c r="AE20" t="s">
        <v>41</v>
      </c>
      <c r="AF20" t="s">
        <v>41</v>
      </c>
      <c r="AL20" t="s">
        <v>41</v>
      </c>
      <c r="BB20" t="s">
        <v>41</v>
      </c>
      <c r="BI20" t="s">
        <v>41</v>
      </c>
      <c r="BX20" t="s">
        <v>41</v>
      </c>
    </row>
    <row r="21" spans="1:87" x14ac:dyDescent="0.3">
      <c r="A21">
        <v>19</v>
      </c>
      <c r="B21" t="s">
        <v>527</v>
      </c>
      <c r="C21" s="2" t="s">
        <v>202</v>
      </c>
      <c r="D21" t="s">
        <v>428</v>
      </c>
      <c r="E21">
        <v>2019</v>
      </c>
      <c r="F21" t="s">
        <v>528</v>
      </c>
      <c r="G21" s="2" t="s">
        <v>202</v>
      </c>
      <c r="H21" t="s">
        <v>1305</v>
      </c>
      <c r="I21" s="10">
        <f t="shared" si="0"/>
        <v>2</v>
      </c>
      <c r="BY21" t="s">
        <v>41</v>
      </c>
      <c r="BZ21" t="s">
        <v>41</v>
      </c>
    </row>
    <row r="22" spans="1:87" x14ac:dyDescent="0.3">
      <c r="A22">
        <v>20</v>
      </c>
      <c r="B22" t="s">
        <v>537</v>
      </c>
      <c r="C22" s="2" t="s">
        <v>202</v>
      </c>
      <c r="D22" t="s">
        <v>334</v>
      </c>
      <c r="E22">
        <v>2018</v>
      </c>
      <c r="F22" t="s">
        <v>538</v>
      </c>
      <c r="G22" s="2" t="s">
        <v>202</v>
      </c>
      <c r="H22" t="s">
        <v>2251</v>
      </c>
      <c r="I22" s="10">
        <f t="shared" si="0"/>
        <v>1</v>
      </c>
      <c r="BA22" t="s">
        <v>41</v>
      </c>
    </row>
    <row r="23" spans="1:87" x14ac:dyDescent="0.3">
      <c r="A23">
        <v>21</v>
      </c>
      <c r="B23" t="s">
        <v>544</v>
      </c>
      <c r="C23" s="2" t="s">
        <v>202</v>
      </c>
      <c r="D23" t="s">
        <v>334</v>
      </c>
      <c r="E23">
        <v>2017</v>
      </c>
      <c r="F23" t="s">
        <v>2413</v>
      </c>
      <c r="G23" s="2" t="s">
        <v>202</v>
      </c>
      <c r="H23" t="s">
        <v>1305</v>
      </c>
      <c r="I23" s="10">
        <f t="shared" si="0"/>
        <v>1</v>
      </c>
      <c r="BE23" t="s">
        <v>41</v>
      </c>
    </row>
    <row r="24" spans="1:87" x14ac:dyDescent="0.3">
      <c r="A24">
        <v>22</v>
      </c>
      <c r="B24" t="s">
        <v>1010</v>
      </c>
      <c r="C24" t="s">
        <v>1011</v>
      </c>
      <c r="D24" t="s">
        <v>17</v>
      </c>
      <c r="E24">
        <v>2017</v>
      </c>
      <c r="F24" t="s">
        <v>1012</v>
      </c>
      <c r="G24" s="2" t="s">
        <v>202</v>
      </c>
      <c r="H24" t="s">
        <v>2251</v>
      </c>
      <c r="I24" s="10">
        <f t="shared" si="0"/>
        <v>2</v>
      </c>
      <c r="CA24" t="s">
        <v>41</v>
      </c>
      <c r="CB24" t="s">
        <v>41</v>
      </c>
    </row>
    <row r="25" spans="1:87" x14ac:dyDescent="0.3">
      <c r="A25">
        <v>23</v>
      </c>
      <c r="B25" t="s">
        <v>1080</v>
      </c>
      <c r="C25" t="s">
        <v>1081</v>
      </c>
      <c r="D25" t="s">
        <v>17</v>
      </c>
      <c r="E25">
        <v>2022</v>
      </c>
      <c r="F25" t="s">
        <v>1068</v>
      </c>
      <c r="G25" s="2" t="s">
        <v>202</v>
      </c>
      <c r="H25" t="s">
        <v>2251</v>
      </c>
      <c r="I25" s="10">
        <f t="shared" si="0"/>
        <v>2</v>
      </c>
      <c r="CC25" t="s">
        <v>41</v>
      </c>
      <c r="CD25" t="s">
        <v>41</v>
      </c>
    </row>
    <row r="26" spans="1:87" x14ac:dyDescent="0.3">
      <c r="A26">
        <v>24</v>
      </c>
      <c r="B26" t="s">
        <v>1084</v>
      </c>
      <c r="C26" t="s">
        <v>1085</v>
      </c>
      <c r="D26" t="s">
        <v>17</v>
      </c>
      <c r="E26">
        <v>2021</v>
      </c>
      <c r="F26" t="s">
        <v>1068</v>
      </c>
      <c r="G26" s="2" t="s">
        <v>202</v>
      </c>
      <c r="H26" t="s">
        <v>2251</v>
      </c>
      <c r="I26" s="10">
        <f t="shared" si="0"/>
        <v>1</v>
      </c>
      <c r="CE26" t="s">
        <v>41</v>
      </c>
    </row>
    <row r="27" spans="1:87" x14ac:dyDescent="0.3">
      <c r="A27">
        <v>25</v>
      </c>
      <c r="B27" t="s">
        <v>1087</v>
      </c>
      <c r="C27" t="s">
        <v>1088</v>
      </c>
      <c r="D27" t="s">
        <v>17</v>
      </c>
      <c r="E27">
        <v>2021</v>
      </c>
      <c r="F27" t="s">
        <v>1068</v>
      </c>
      <c r="G27" s="2" t="s">
        <v>202</v>
      </c>
      <c r="H27" t="s">
        <v>2251</v>
      </c>
      <c r="I27" s="10">
        <f t="shared" si="0"/>
        <v>1</v>
      </c>
      <c r="W27" t="s">
        <v>41</v>
      </c>
    </row>
    <row r="28" spans="1:87" x14ac:dyDescent="0.3">
      <c r="A28">
        <v>26</v>
      </c>
      <c r="B28" t="s">
        <v>15</v>
      </c>
      <c r="C28" t="s">
        <v>16</v>
      </c>
      <c r="D28" t="s">
        <v>17</v>
      </c>
      <c r="E28">
        <v>2021</v>
      </c>
      <c r="F28" t="s">
        <v>14</v>
      </c>
      <c r="G28" s="2" t="s">
        <v>202</v>
      </c>
      <c r="H28" t="s">
        <v>2251</v>
      </c>
      <c r="I28" s="10">
        <f t="shared" si="0"/>
        <v>1</v>
      </c>
      <c r="CF28" t="s">
        <v>41</v>
      </c>
    </row>
    <row r="29" spans="1:87" x14ac:dyDescent="0.3">
      <c r="A29">
        <v>27</v>
      </c>
      <c r="B29" t="s">
        <v>139</v>
      </c>
      <c r="C29" t="s">
        <v>1188</v>
      </c>
      <c r="D29" t="s">
        <v>17</v>
      </c>
      <c r="E29" t="s">
        <v>111</v>
      </c>
      <c r="F29" t="s">
        <v>111</v>
      </c>
      <c r="G29" s="2" t="s">
        <v>202</v>
      </c>
      <c r="H29" t="s">
        <v>1305</v>
      </c>
      <c r="I29" s="10">
        <f t="shared" si="0"/>
        <v>1</v>
      </c>
      <c r="CG29" t="s">
        <v>41</v>
      </c>
    </row>
    <row r="30" spans="1:87" x14ac:dyDescent="0.3">
      <c r="A30">
        <v>28</v>
      </c>
      <c r="B30" t="s">
        <v>1191</v>
      </c>
      <c r="C30" t="s">
        <v>1190</v>
      </c>
      <c r="D30" t="s">
        <v>17</v>
      </c>
      <c r="E30" t="s">
        <v>111</v>
      </c>
      <c r="F30" t="s">
        <v>111</v>
      </c>
      <c r="G30" s="2" t="s">
        <v>202</v>
      </c>
      <c r="H30" t="s">
        <v>1305</v>
      </c>
      <c r="I30" s="10">
        <f t="shared" si="0"/>
        <v>1</v>
      </c>
      <c r="CH30" t="s">
        <v>41</v>
      </c>
    </row>
    <row r="31" spans="1:87" x14ac:dyDescent="0.3">
      <c r="A31">
        <v>29</v>
      </c>
      <c r="B31" t="s">
        <v>1205</v>
      </c>
      <c r="C31" t="s">
        <v>1204</v>
      </c>
      <c r="D31" t="s">
        <v>17</v>
      </c>
      <c r="E31">
        <v>2017</v>
      </c>
      <c r="F31" t="s">
        <v>1206</v>
      </c>
      <c r="G31" s="2" t="s">
        <v>202</v>
      </c>
      <c r="H31" t="s">
        <v>1305</v>
      </c>
      <c r="I31" s="10">
        <f t="shared" si="0"/>
        <v>1</v>
      </c>
      <c r="BZ31" t="s">
        <v>41</v>
      </c>
    </row>
    <row r="32" spans="1:87" x14ac:dyDescent="0.3">
      <c r="A32">
        <v>30</v>
      </c>
      <c r="B32" t="s">
        <v>1227</v>
      </c>
      <c r="C32" t="s">
        <v>765</v>
      </c>
      <c r="D32" t="s">
        <v>17</v>
      </c>
      <c r="E32" t="s">
        <v>111</v>
      </c>
      <c r="F32" t="s">
        <v>111</v>
      </c>
      <c r="G32" s="2" t="s">
        <v>202</v>
      </c>
      <c r="H32" t="s">
        <v>1305</v>
      </c>
      <c r="I32" s="10">
        <f t="shared" si="0"/>
        <v>1</v>
      </c>
      <c r="CI32" t="s">
        <v>41</v>
      </c>
    </row>
    <row r="33" spans="1:99" x14ac:dyDescent="0.3">
      <c r="A33">
        <v>31</v>
      </c>
      <c r="B33" t="s">
        <v>1432</v>
      </c>
      <c r="C33" t="s">
        <v>1434</v>
      </c>
      <c r="D33" t="s">
        <v>17</v>
      </c>
      <c r="E33">
        <v>2020</v>
      </c>
      <c r="F33" t="s">
        <v>1433</v>
      </c>
      <c r="G33" s="2" t="s">
        <v>202</v>
      </c>
      <c r="H33" t="s">
        <v>1431</v>
      </c>
      <c r="I33" s="10">
        <f t="shared" si="0"/>
        <v>2</v>
      </c>
      <c r="AB33" t="s">
        <v>41</v>
      </c>
      <c r="CJ33" t="s">
        <v>41</v>
      </c>
    </row>
    <row r="34" spans="1:99" x14ac:dyDescent="0.3">
      <c r="A34">
        <v>32</v>
      </c>
      <c r="B34" t="s">
        <v>1435</v>
      </c>
      <c r="C34" t="s">
        <v>1436</v>
      </c>
      <c r="D34" t="s">
        <v>17</v>
      </c>
      <c r="E34">
        <v>2021</v>
      </c>
      <c r="F34" t="s">
        <v>1440</v>
      </c>
      <c r="G34" s="2" t="s">
        <v>202</v>
      </c>
      <c r="H34" t="s">
        <v>1431</v>
      </c>
      <c r="I34" s="10">
        <f t="shared" si="0"/>
        <v>10</v>
      </c>
      <c r="J34" t="s">
        <v>41</v>
      </c>
      <c r="K34" t="s">
        <v>41</v>
      </c>
      <c r="N34" t="s">
        <v>41</v>
      </c>
      <c r="Q34" t="s">
        <v>41</v>
      </c>
      <c r="AB34" t="s">
        <v>41</v>
      </c>
      <c r="AM34" t="s">
        <v>41</v>
      </c>
      <c r="BN34" t="s">
        <v>41</v>
      </c>
      <c r="CK34" t="s">
        <v>41</v>
      </c>
      <c r="CL34" t="s">
        <v>41</v>
      </c>
      <c r="CM34" t="s">
        <v>41</v>
      </c>
    </row>
    <row r="35" spans="1:99" x14ac:dyDescent="0.3">
      <c r="A35">
        <v>33</v>
      </c>
      <c r="B35" t="s">
        <v>106</v>
      </c>
      <c r="C35" t="s">
        <v>104</v>
      </c>
      <c r="D35" t="s">
        <v>17</v>
      </c>
      <c r="E35">
        <v>2020</v>
      </c>
      <c r="F35" t="s">
        <v>103</v>
      </c>
      <c r="G35" s="2" t="s">
        <v>202</v>
      </c>
      <c r="H35" t="s">
        <v>1431</v>
      </c>
      <c r="I35" s="10">
        <f t="shared" ref="I35:I66" si="1">COUNTIF(J35:XEK35,"x")</f>
        <v>2</v>
      </c>
      <c r="AR35" t="s">
        <v>41</v>
      </c>
      <c r="BK35" t="s">
        <v>41</v>
      </c>
    </row>
    <row r="36" spans="1:99" x14ac:dyDescent="0.3">
      <c r="A36">
        <v>34</v>
      </c>
      <c r="B36" t="s">
        <v>1443</v>
      </c>
      <c r="C36" t="s">
        <v>1441</v>
      </c>
      <c r="D36" t="s">
        <v>17</v>
      </c>
      <c r="E36">
        <v>2021</v>
      </c>
      <c r="F36" t="s">
        <v>1442</v>
      </c>
      <c r="G36" t="s">
        <v>1444</v>
      </c>
      <c r="H36" t="s">
        <v>1431</v>
      </c>
      <c r="I36" s="10">
        <f t="shared" si="1"/>
        <v>11</v>
      </c>
      <c r="K36" t="s">
        <v>41</v>
      </c>
      <c r="O36" t="s">
        <v>41</v>
      </c>
      <c r="W36" t="s">
        <v>41</v>
      </c>
      <c r="AB36" t="s">
        <v>41</v>
      </c>
      <c r="AC36" t="s">
        <v>41</v>
      </c>
      <c r="AD36" t="s">
        <v>41</v>
      </c>
      <c r="AR36" t="s">
        <v>41</v>
      </c>
      <c r="CE36" t="s">
        <v>41</v>
      </c>
      <c r="CI36" t="s">
        <v>41</v>
      </c>
      <c r="CJ36" t="s">
        <v>41</v>
      </c>
      <c r="CN36" t="s">
        <v>41</v>
      </c>
    </row>
    <row r="37" spans="1:99" x14ac:dyDescent="0.3">
      <c r="A37">
        <v>35</v>
      </c>
      <c r="B37" t="s">
        <v>1449</v>
      </c>
      <c r="C37" t="s">
        <v>1448</v>
      </c>
      <c r="D37" t="s">
        <v>17</v>
      </c>
      <c r="E37">
        <v>2021</v>
      </c>
      <c r="F37" t="s">
        <v>1450</v>
      </c>
      <c r="G37" s="2" t="s">
        <v>202</v>
      </c>
      <c r="H37" t="s">
        <v>1431</v>
      </c>
      <c r="I37" s="10">
        <f t="shared" si="1"/>
        <v>5</v>
      </c>
      <c r="K37" t="s">
        <v>41</v>
      </c>
      <c r="AB37" t="s">
        <v>41</v>
      </c>
      <c r="AV37" t="s">
        <v>41</v>
      </c>
      <c r="AW37" t="s">
        <v>41</v>
      </c>
      <c r="CN37" t="s">
        <v>41</v>
      </c>
    </row>
    <row r="38" spans="1:99" x14ac:dyDescent="0.3">
      <c r="A38">
        <v>36</v>
      </c>
      <c r="B38" t="s">
        <v>1451</v>
      </c>
      <c r="C38" t="s">
        <v>1429</v>
      </c>
      <c r="D38" t="s">
        <v>17</v>
      </c>
      <c r="E38">
        <v>2021</v>
      </c>
      <c r="F38" t="s">
        <v>1452</v>
      </c>
      <c r="G38" s="2" t="s">
        <v>202</v>
      </c>
      <c r="H38" t="s">
        <v>1431</v>
      </c>
      <c r="I38" s="10">
        <f t="shared" si="1"/>
        <v>1</v>
      </c>
      <c r="CO38" t="s">
        <v>41</v>
      </c>
    </row>
    <row r="39" spans="1:99" x14ac:dyDescent="0.3">
      <c r="A39">
        <v>37</v>
      </c>
      <c r="B39" t="s">
        <v>1455</v>
      </c>
      <c r="C39" t="s">
        <v>1453</v>
      </c>
      <c r="D39" t="s">
        <v>17</v>
      </c>
      <c r="E39">
        <v>2021</v>
      </c>
      <c r="F39" t="s">
        <v>1454</v>
      </c>
      <c r="G39" s="2" t="s">
        <v>202</v>
      </c>
      <c r="H39" t="s">
        <v>1431</v>
      </c>
      <c r="I39" s="10">
        <f t="shared" si="1"/>
        <v>1</v>
      </c>
      <c r="CP39" t="s">
        <v>41</v>
      </c>
    </row>
    <row r="40" spans="1:99" x14ac:dyDescent="0.3">
      <c r="A40">
        <v>38</v>
      </c>
      <c r="B40" t="s">
        <v>1459</v>
      </c>
      <c r="C40" t="s">
        <v>1457</v>
      </c>
      <c r="D40" t="s">
        <v>17</v>
      </c>
      <c r="E40">
        <v>2022</v>
      </c>
      <c r="F40" t="s">
        <v>1458</v>
      </c>
      <c r="G40" s="2" t="s">
        <v>202</v>
      </c>
      <c r="H40" t="s">
        <v>1431</v>
      </c>
      <c r="I40" s="10">
        <f t="shared" si="1"/>
        <v>1</v>
      </c>
      <c r="CP40" t="s">
        <v>41</v>
      </c>
    </row>
    <row r="41" spans="1:99" x14ac:dyDescent="0.3">
      <c r="A41">
        <v>39</v>
      </c>
      <c r="B41" t="s">
        <v>222</v>
      </c>
      <c r="C41" t="s">
        <v>221</v>
      </c>
      <c r="D41" t="s">
        <v>17</v>
      </c>
      <c r="E41" t="s">
        <v>111</v>
      </c>
      <c r="F41" t="s">
        <v>111</v>
      </c>
      <c r="G41" s="2" t="s">
        <v>202</v>
      </c>
      <c r="H41" t="s">
        <v>1431</v>
      </c>
      <c r="I41" s="10">
        <f t="shared" si="1"/>
        <v>2</v>
      </c>
      <c r="N41" t="s">
        <v>41</v>
      </c>
      <c r="O41" t="s">
        <v>41</v>
      </c>
    </row>
    <row r="42" spans="1:99" x14ac:dyDescent="0.3">
      <c r="A42">
        <v>40</v>
      </c>
      <c r="B42" t="s">
        <v>1462</v>
      </c>
      <c r="C42" t="s">
        <v>1460</v>
      </c>
      <c r="D42" t="s">
        <v>17</v>
      </c>
      <c r="E42">
        <v>2022</v>
      </c>
      <c r="F42" t="s">
        <v>1461</v>
      </c>
      <c r="G42" t="s">
        <v>1465</v>
      </c>
      <c r="H42" t="s">
        <v>1431</v>
      </c>
      <c r="I42" s="10">
        <f t="shared" si="1"/>
        <v>14</v>
      </c>
      <c r="O42" t="s">
        <v>41</v>
      </c>
      <c r="W42" t="s">
        <v>41</v>
      </c>
      <c r="AB42" t="s">
        <v>41</v>
      </c>
      <c r="AC42" t="s">
        <v>41</v>
      </c>
      <c r="AD42" t="s">
        <v>41</v>
      </c>
      <c r="AE42" t="s">
        <v>41</v>
      </c>
      <c r="CE42" t="s">
        <v>41</v>
      </c>
      <c r="CI42" t="s">
        <v>41</v>
      </c>
      <c r="CJ42" t="s">
        <v>41</v>
      </c>
      <c r="CN42" t="s">
        <v>41</v>
      </c>
      <c r="CO42" t="s">
        <v>41</v>
      </c>
      <c r="CP42" t="s">
        <v>41</v>
      </c>
      <c r="CQ42" t="s">
        <v>41</v>
      </c>
      <c r="CR42" t="s">
        <v>41</v>
      </c>
    </row>
    <row r="43" spans="1:99" x14ac:dyDescent="0.3">
      <c r="A43">
        <v>41</v>
      </c>
      <c r="B43" t="s">
        <v>1467</v>
      </c>
      <c r="C43" s="2" t="s">
        <v>202</v>
      </c>
      <c r="D43" t="s">
        <v>334</v>
      </c>
      <c r="E43">
        <v>2021</v>
      </c>
      <c r="F43" t="s">
        <v>1466</v>
      </c>
      <c r="G43" s="2" t="s">
        <v>202</v>
      </c>
      <c r="H43" t="s">
        <v>1431</v>
      </c>
      <c r="I43" s="10">
        <f t="shared" si="1"/>
        <v>1</v>
      </c>
      <c r="CS43" t="s">
        <v>41</v>
      </c>
    </row>
    <row r="44" spans="1:99" x14ac:dyDescent="0.3">
      <c r="A44">
        <v>42</v>
      </c>
      <c r="B44" t="s">
        <v>1473</v>
      </c>
      <c r="C44" t="s">
        <v>1472</v>
      </c>
      <c r="D44" t="s">
        <v>17</v>
      </c>
      <c r="E44">
        <v>2021</v>
      </c>
      <c r="F44" t="s">
        <v>267</v>
      </c>
      <c r="G44" s="2" t="s">
        <v>202</v>
      </c>
      <c r="H44" t="s">
        <v>1431</v>
      </c>
      <c r="I44" s="10">
        <f t="shared" si="1"/>
        <v>5</v>
      </c>
      <c r="O44" t="s">
        <v>41</v>
      </c>
      <c r="AA44" t="s">
        <v>41</v>
      </c>
      <c r="AB44" t="s">
        <v>41</v>
      </c>
      <c r="CT44" t="s">
        <v>41</v>
      </c>
      <c r="CU44" t="s">
        <v>41</v>
      </c>
    </row>
    <row r="45" spans="1:99" x14ac:dyDescent="0.3">
      <c r="A45">
        <v>43</v>
      </c>
      <c r="B45" t="s">
        <v>1476</v>
      </c>
      <c r="C45" t="s">
        <v>1475</v>
      </c>
      <c r="D45" t="s">
        <v>17</v>
      </c>
      <c r="E45" t="s">
        <v>111</v>
      </c>
      <c r="F45" t="s">
        <v>111</v>
      </c>
      <c r="G45" s="2" t="s">
        <v>202</v>
      </c>
      <c r="H45" t="s">
        <v>1431</v>
      </c>
      <c r="I45" s="10">
        <f t="shared" si="1"/>
        <v>1</v>
      </c>
      <c r="CP45" t="s">
        <v>41</v>
      </c>
    </row>
    <row r="46" spans="1:99" x14ac:dyDescent="0.3">
      <c r="A46">
        <v>44</v>
      </c>
      <c r="B46" t="s">
        <v>1478</v>
      </c>
      <c r="C46" t="s">
        <v>1477</v>
      </c>
      <c r="D46" t="s">
        <v>17</v>
      </c>
      <c r="E46" t="s">
        <v>111</v>
      </c>
      <c r="F46" t="s">
        <v>111</v>
      </c>
      <c r="G46" s="2" t="s">
        <v>202</v>
      </c>
      <c r="H46" t="s">
        <v>1431</v>
      </c>
      <c r="I46" s="10">
        <f t="shared" si="1"/>
        <v>1</v>
      </c>
      <c r="CP46" t="s">
        <v>41</v>
      </c>
    </row>
    <row r="47" spans="1:99" x14ac:dyDescent="0.3">
      <c r="A47">
        <v>45</v>
      </c>
      <c r="B47" t="s">
        <v>1479</v>
      </c>
      <c r="C47" t="s">
        <v>1480</v>
      </c>
      <c r="D47" t="s">
        <v>17</v>
      </c>
      <c r="E47">
        <v>2020</v>
      </c>
      <c r="F47" t="s">
        <v>1481</v>
      </c>
      <c r="G47" s="2" t="s">
        <v>202</v>
      </c>
      <c r="H47" t="s">
        <v>1431</v>
      </c>
      <c r="I47" s="10">
        <f t="shared" si="1"/>
        <v>1</v>
      </c>
      <c r="AB47" t="s">
        <v>41</v>
      </c>
    </row>
    <row r="48" spans="1:99" x14ac:dyDescent="0.3">
      <c r="A48">
        <v>46</v>
      </c>
      <c r="B48" t="s">
        <v>1483</v>
      </c>
      <c r="C48" t="s">
        <v>1482</v>
      </c>
      <c r="D48" t="s">
        <v>17</v>
      </c>
      <c r="E48" t="s">
        <v>111</v>
      </c>
      <c r="F48" t="s">
        <v>111</v>
      </c>
      <c r="G48" s="2" t="s">
        <v>202</v>
      </c>
      <c r="H48" t="s">
        <v>1431</v>
      </c>
      <c r="I48" s="10">
        <f t="shared" si="1"/>
        <v>1</v>
      </c>
      <c r="AB48" t="s">
        <v>41</v>
      </c>
    </row>
    <row r="49" spans="1:117" x14ac:dyDescent="0.3">
      <c r="A49">
        <v>47</v>
      </c>
      <c r="B49" t="s">
        <v>281</v>
      </c>
      <c r="C49" t="s">
        <v>280</v>
      </c>
      <c r="D49" t="s">
        <v>17</v>
      </c>
      <c r="E49">
        <v>2020</v>
      </c>
      <c r="F49" t="s">
        <v>282</v>
      </c>
      <c r="G49" s="2" t="s">
        <v>202</v>
      </c>
      <c r="H49" t="s">
        <v>1431</v>
      </c>
      <c r="I49" s="10">
        <f t="shared" si="1"/>
        <v>1</v>
      </c>
      <c r="V49" t="s">
        <v>41</v>
      </c>
    </row>
    <row r="50" spans="1:117" x14ac:dyDescent="0.3">
      <c r="A50">
        <v>48</v>
      </c>
      <c r="B50" t="s">
        <v>1485</v>
      </c>
      <c r="C50" t="s">
        <v>1484</v>
      </c>
      <c r="D50" t="s">
        <v>17</v>
      </c>
      <c r="E50" t="s">
        <v>111</v>
      </c>
      <c r="F50" t="s">
        <v>111</v>
      </c>
      <c r="G50" s="2" t="s">
        <v>202</v>
      </c>
      <c r="H50" t="s">
        <v>1431</v>
      </c>
      <c r="I50" s="10">
        <f t="shared" si="1"/>
        <v>1</v>
      </c>
      <c r="CJ50" t="s">
        <v>41</v>
      </c>
    </row>
    <row r="51" spans="1:117" x14ac:dyDescent="0.3">
      <c r="A51">
        <v>49</v>
      </c>
      <c r="B51" t="s">
        <v>1487</v>
      </c>
      <c r="C51" t="s">
        <v>1486</v>
      </c>
      <c r="D51" t="s">
        <v>17</v>
      </c>
      <c r="E51" t="s">
        <v>111</v>
      </c>
      <c r="F51" t="s">
        <v>111</v>
      </c>
      <c r="G51" s="2" t="s">
        <v>202</v>
      </c>
      <c r="H51" t="s">
        <v>1431</v>
      </c>
      <c r="I51" s="10">
        <f t="shared" si="1"/>
        <v>1</v>
      </c>
      <c r="CV51" t="s">
        <v>41</v>
      </c>
    </row>
    <row r="52" spans="1:117" x14ac:dyDescent="0.3">
      <c r="A52">
        <v>50</v>
      </c>
      <c r="B52" t="s">
        <v>1490</v>
      </c>
      <c r="C52" t="s">
        <v>1489</v>
      </c>
      <c r="D52" t="s">
        <v>17</v>
      </c>
      <c r="E52">
        <v>2022</v>
      </c>
      <c r="F52" t="s">
        <v>1491</v>
      </c>
      <c r="G52" s="2" t="s">
        <v>202</v>
      </c>
      <c r="H52" t="s">
        <v>1431</v>
      </c>
      <c r="I52" s="10">
        <f t="shared" si="1"/>
        <v>1</v>
      </c>
      <c r="AB52" t="s">
        <v>41</v>
      </c>
    </row>
    <row r="53" spans="1:117" x14ac:dyDescent="0.3">
      <c r="A53">
        <v>51</v>
      </c>
      <c r="B53" t="s">
        <v>1494</v>
      </c>
      <c r="C53" t="s">
        <v>1492</v>
      </c>
      <c r="D53" t="s">
        <v>17</v>
      </c>
      <c r="E53">
        <v>2021</v>
      </c>
      <c r="F53" t="s">
        <v>1493</v>
      </c>
      <c r="G53" s="2" t="s">
        <v>202</v>
      </c>
      <c r="H53" t="s">
        <v>1431</v>
      </c>
      <c r="I53" s="10">
        <f t="shared" si="1"/>
        <v>5</v>
      </c>
      <c r="K53" t="s">
        <v>41</v>
      </c>
      <c r="AB53" t="s">
        <v>41</v>
      </c>
      <c r="AV53" t="s">
        <v>41</v>
      </c>
      <c r="AW53" t="s">
        <v>41</v>
      </c>
      <c r="CN53" t="s">
        <v>41</v>
      </c>
    </row>
    <row r="54" spans="1:117" x14ac:dyDescent="0.3">
      <c r="A54">
        <v>52</v>
      </c>
      <c r="B54" t="s">
        <v>1498</v>
      </c>
      <c r="C54" t="s">
        <v>1499</v>
      </c>
      <c r="D54" t="s">
        <v>17</v>
      </c>
      <c r="E54">
        <v>2020</v>
      </c>
      <c r="F54" t="s">
        <v>111</v>
      </c>
      <c r="G54" s="2" t="s">
        <v>202</v>
      </c>
      <c r="H54" t="s">
        <v>1431</v>
      </c>
      <c r="I54" s="10">
        <f t="shared" si="1"/>
        <v>4</v>
      </c>
      <c r="Q54" t="s">
        <v>41</v>
      </c>
      <c r="W54" t="s">
        <v>41</v>
      </c>
      <c r="CQ54" t="s">
        <v>41</v>
      </c>
      <c r="CW54" t="s">
        <v>41</v>
      </c>
    </row>
    <row r="55" spans="1:117" x14ac:dyDescent="0.3">
      <c r="A55">
        <v>53</v>
      </c>
      <c r="B55" t="s">
        <v>1502</v>
      </c>
      <c r="C55" t="s">
        <v>1501</v>
      </c>
      <c r="D55" t="s">
        <v>17</v>
      </c>
      <c r="E55">
        <v>2021</v>
      </c>
      <c r="F55" t="s">
        <v>1500</v>
      </c>
      <c r="G55" s="2" t="s">
        <v>202</v>
      </c>
      <c r="H55" t="s">
        <v>1431</v>
      </c>
      <c r="I55" s="10">
        <f t="shared" si="1"/>
        <v>1</v>
      </c>
      <c r="CX55" t="s">
        <v>41</v>
      </c>
    </row>
    <row r="56" spans="1:117" x14ac:dyDescent="0.3">
      <c r="A56">
        <v>54</v>
      </c>
      <c r="B56" t="s">
        <v>1505</v>
      </c>
      <c r="C56" t="s">
        <v>1504</v>
      </c>
      <c r="D56" t="s">
        <v>17</v>
      </c>
      <c r="E56">
        <v>2020</v>
      </c>
      <c r="F56" t="s">
        <v>1506</v>
      </c>
      <c r="G56" t="s">
        <v>1507</v>
      </c>
      <c r="H56" t="s">
        <v>1431</v>
      </c>
      <c r="I56" s="10">
        <f t="shared" si="1"/>
        <v>4</v>
      </c>
      <c r="O56" t="s">
        <v>41</v>
      </c>
      <c r="AB56" t="s">
        <v>41</v>
      </c>
      <c r="AD56" t="s">
        <v>41</v>
      </c>
      <c r="AG56" t="s">
        <v>41</v>
      </c>
      <c r="CX56" s="28"/>
    </row>
    <row r="57" spans="1:117" x14ac:dyDescent="0.3">
      <c r="A57">
        <v>55</v>
      </c>
      <c r="B57" t="s">
        <v>1509</v>
      </c>
      <c r="C57" t="s">
        <v>1508</v>
      </c>
      <c r="D57" t="s">
        <v>17</v>
      </c>
      <c r="E57">
        <v>2020</v>
      </c>
      <c r="F57" t="s">
        <v>111</v>
      </c>
      <c r="G57" s="2" t="s">
        <v>202</v>
      </c>
      <c r="H57" t="s">
        <v>1431</v>
      </c>
      <c r="I57" s="10">
        <f t="shared" si="1"/>
        <v>1</v>
      </c>
      <c r="CY57" t="s">
        <v>41</v>
      </c>
    </row>
    <row r="58" spans="1:117" x14ac:dyDescent="0.3">
      <c r="A58">
        <v>56</v>
      </c>
      <c r="B58" t="s">
        <v>1512</v>
      </c>
      <c r="C58" t="s">
        <v>1511</v>
      </c>
      <c r="D58" t="s">
        <v>17</v>
      </c>
      <c r="E58">
        <v>2020</v>
      </c>
      <c r="F58" t="s">
        <v>1513</v>
      </c>
      <c r="G58" s="2" t="s">
        <v>202</v>
      </c>
      <c r="H58" t="s">
        <v>1431</v>
      </c>
      <c r="I58" s="10">
        <f t="shared" si="1"/>
        <v>5</v>
      </c>
      <c r="N58" t="s">
        <v>41</v>
      </c>
      <c r="AR58" t="s">
        <v>41</v>
      </c>
      <c r="CJ58" t="s">
        <v>41</v>
      </c>
      <c r="CM58" t="s">
        <v>41</v>
      </c>
      <c r="CN58" t="s">
        <v>41</v>
      </c>
    </row>
    <row r="59" spans="1:117" x14ac:dyDescent="0.3">
      <c r="A59">
        <v>57</v>
      </c>
      <c r="B59" t="s">
        <v>1515</v>
      </c>
      <c r="C59" t="s">
        <v>1514</v>
      </c>
      <c r="D59" t="s">
        <v>17</v>
      </c>
      <c r="E59">
        <v>2021</v>
      </c>
      <c r="F59" t="s">
        <v>1516</v>
      </c>
      <c r="G59" s="2" t="s">
        <v>202</v>
      </c>
      <c r="H59" t="s">
        <v>1431</v>
      </c>
      <c r="I59" s="10">
        <f t="shared" si="1"/>
        <v>1</v>
      </c>
      <c r="CZ59" t="s">
        <v>41</v>
      </c>
    </row>
    <row r="60" spans="1:117" x14ac:dyDescent="0.3">
      <c r="A60">
        <v>58</v>
      </c>
      <c r="B60" t="s">
        <v>1521</v>
      </c>
      <c r="C60" t="s">
        <v>1518</v>
      </c>
      <c r="D60" t="s">
        <v>17</v>
      </c>
      <c r="E60">
        <v>2021</v>
      </c>
      <c r="F60" t="s">
        <v>1520</v>
      </c>
      <c r="G60" t="s">
        <v>1519</v>
      </c>
      <c r="H60" t="s">
        <v>1431</v>
      </c>
      <c r="I60" s="10">
        <f t="shared" si="1"/>
        <v>6</v>
      </c>
      <c r="O60" t="s">
        <v>41</v>
      </c>
      <c r="AB60" t="s">
        <v>41</v>
      </c>
      <c r="AD60" t="s">
        <v>41</v>
      </c>
      <c r="AR60" t="s">
        <v>41</v>
      </c>
      <c r="CP60" t="s">
        <v>41</v>
      </c>
      <c r="CU60" t="s">
        <v>41</v>
      </c>
    </row>
    <row r="61" spans="1:117" x14ac:dyDescent="0.3">
      <c r="A61">
        <v>59</v>
      </c>
      <c r="B61" t="s">
        <v>1526</v>
      </c>
      <c r="C61" t="s">
        <v>1528</v>
      </c>
      <c r="D61" t="s">
        <v>17</v>
      </c>
      <c r="E61">
        <v>2021</v>
      </c>
      <c r="F61" t="s">
        <v>1527</v>
      </c>
      <c r="G61" t="s">
        <v>1530</v>
      </c>
      <c r="H61" t="s">
        <v>1431</v>
      </c>
      <c r="I61" s="10">
        <f t="shared" si="1"/>
        <v>10</v>
      </c>
      <c r="K61" t="s">
        <v>41</v>
      </c>
      <c r="O61" t="s">
        <v>41</v>
      </c>
      <c r="Q61" t="s">
        <v>41</v>
      </c>
      <c r="V61" t="s">
        <v>41</v>
      </c>
      <c r="AB61" t="s">
        <v>41</v>
      </c>
      <c r="AC61" t="s">
        <v>41</v>
      </c>
      <c r="AD61" t="s">
        <v>41</v>
      </c>
      <c r="AR61" t="s">
        <v>41</v>
      </c>
      <c r="AW61" t="s">
        <v>41</v>
      </c>
      <c r="DA61" t="s">
        <v>41</v>
      </c>
    </row>
    <row r="62" spans="1:117" x14ac:dyDescent="0.3">
      <c r="A62">
        <v>60</v>
      </c>
      <c r="B62" t="s">
        <v>1531</v>
      </c>
      <c r="C62" t="s">
        <v>1532</v>
      </c>
      <c r="D62" t="s">
        <v>17</v>
      </c>
      <c r="E62" t="s">
        <v>111</v>
      </c>
      <c r="F62" t="s">
        <v>111</v>
      </c>
      <c r="G62" s="2" t="s">
        <v>202</v>
      </c>
      <c r="H62" t="s">
        <v>1431</v>
      </c>
      <c r="I62" s="10">
        <f t="shared" si="1"/>
        <v>2</v>
      </c>
      <c r="O62" t="s">
        <v>41</v>
      </c>
      <c r="AR62" t="s">
        <v>41</v>
      </c>
    </row>
    <row r="63" spans="1:117" x14ac:dyDescent="0.3">
      <c r="A63">
        <v>61</v>
      </c>
      <c r="B63" t="s">
        <v>1533</v>
      </c>
      <c r="C63" t="s">
        <v>1427</v>
      </c>
      <c r="D63" t="s">
        <v>17</v>
      </c>
      <c r="E63" t="s">
        <v>111</v>
      </c>
      <c r="F63" t="s">
        <v>111</v>
      </c>
      <c r="G63" s="2" t="s">
        <v>202</v>
      </c>
      <c r="H63" t="s">
        <v>1431</v>
      </c>
      <c r="I63" s="10">
        <f t="shared" si="1"/>
        <v>1</v>
      </c>
      <c r="CO63" t="s">
        <v>41</v>
      </c>
    </row>
    <row r="64" spans="1:117" x14ac:dyDescent="0.3">
      <c r="A64">
        <v>62</v>
      </c>
      <c r="B64" t="s">
        <v>1535</v>
      </c>
      <c r="C64" t="s">
        <v>1534</v>
      </c>
      <c r="D64" t="s">
        <v>17</v>
      </c>
      <c r="E64" t="s">
        <v>111</v>
      </c>
      <c r="F64" t="s">
        <v>111</v>
      </c>
      <c r="G64" t="s">
        <v>1539</v>
      </c>
      <c r="H64" t="s">
        <v>1431</v>
      </c>
      <c r="I64" s="10">
        <f t="shared" si="1"/>
        <v>26</v>
      </c>
      <c r="N64" t="s">
        <v>41</v>
      </c>
      <c r="O64" t="s">
        <v>41</v>
      </c>
      <c r="Q64" t="s">
        <v>41</v>
      </c>
      <c r="R64" t="s">
        <v>41</v>
      </c>
      <c r="T64" t="s">
        <v>41</v>
      </c>
      <c r="W64" t="s">
        <v>41</v>
      </c>
      <c r="AA64" t="s">
        <v>41</v>
      </c>
      <c r="AB64" t="s">
        <v>41</v>
      </c>
      <c r="AD64" t="s">
        <v>41</v>
      </c>
      <c r="BV64" t="s">
        <v>41</v>
      </c>
      <c r="BW64" t="s">
        <v>41</v>
      </c>
      <c r="CE64" t="s">
        <v>41</v>
      </c>
      <c r="CQ64" t="s">
        <v>41</v>
      </c>
      <c r="CW64" t="s">
        <v>41</v>
      </c>
      <c r="DB64" t="s">
        <v>41</v>
      </c>
      <c r="DC64" t="s">
        <v>41</v>
      </c>
      <c r="DD64" t="s">
        <v>41</v>
      </c>
      <c r="DE64" t="s">
        <v>41</v>
      </c>
      <c r="DF64" t="s">
        <v>41</v>
      </c>
      <c r="DG64" t="s">
        <v>41</v>
      </c>
      <c r="DH64" t="s">
        <v>41</v>
      </c>
      <c r="DI64" t="s">
        <v>41</v>
      </c>
      <c r="DJ64" t="s">
        <v>41</v>
      </c>
      <c r="DK64" t="s">
        <v>41</v>
      </c>
      <c r="DL64" t="s">
        <v>41</v>
      </c>
      <c r="DM64" t="s">
        <v>41</v>
      </c>
    </row>
    <row r="65" spans="1:121" x14ac:dyDescent="0.3">
      <c r="A65">
        <v>63</v>
      </c>
      <c r="B65" t="s">
        <v>1564</v>
      </c>
      <c r="C65" t="s">
        <v>1562</v>
      </c>
      <c r="D65" t="s">
        <v>17</v>
      </c>
      <c r="E65">
        <v>2021</v>
      </c>
      <c r="F65" t="s">
        <v>1563</v>
      </c>
      <c r="G65" s="2" t="s">
        <v>202</v>
      </c>
      <c r="H65" t="s">
        <v>1431</v>
      </c>
      <c r="I65" s="10">
        <f t="shared" si="1"/>
        <v>3</v>
      </c>
      <c r="AB65" t="s">
        <v>41</v>
      </c>
      <c r="AD65" t="s">
        <v>41</v>
      </c>
      <c r="AG65" t="s">
        <v>41</v>
      </c>
    </row>
    <row r="66" spans="1:121" x14ac:dyDescent="0.3">
      <c r="A66">
        <v>64</v>
      </c>
      <c r="B66" t="s">
        <v>1566</v>
      </c>
      <c r="C66" t="s">
        <v>1565</v>
      </c>
      <c r="D66" t="s">
        <v>17</v>
      </c>
      <c r="E66">
        <v>2022</v>
      </c>
      <c r="F66" t="s">
        <v>111</v>
      </c>
      <c r="G66" s="2" t="s">
        <v>202</v>
      </c>
      <c r="H66" t="s">
        <v>1431</v>
      </c>
      <c r="I66" s="10">
        <f t="shared" si="1"/>
        <v>2</v>
      </c>
      <c r="AB66" t="s">
        <v>41</v>
      </c>
      <c r="CJ66" t="s">
        <v>41</v>
      </c>
    </row>
    <row r="67" spans="1:121" x14ac:dyDescent="0.3">
      <c r="A67">
        <v>65</v>
      </c>
      <c r="B67" t="s">
        <v>1576</v>
      </c>
      <c r="C67" t="s">
        <v>1575</v>
      </c>
      <c r="D67" t="s">
        <v>17</v>
      </c>
      <c r="E67">
        <v>2021</v>
      </c>
      <c r="F67" t="s">
        <v>1577</v>
      </c>
      <c r="G67" s="2" t="s">
        <v>202</v>
      </c>
      <c r="H67" t="s">
        <v>1431</v>
      </c>
      <c r="I67" s="10">
        <f t="shared" ref="I67:I98" si="2">COUNTIF(J67:XEK67,"x")</f>
        <v>2</v>
      </c>
      <c r="AB67" t="s">
        <v>41</v>
      </c>
      <c r="CO67" t="s">
        <v>41</v>
      </c>
    </row>
    <row r="68" spans="1:121" x14ac:dyDescent="0.3">
      <c r="A68">
        <v>66</v>
      </c>
      <c r="B68" t="s">
        <v>1580</v>
      </c>
      <c r="C68" t="s">
        <v>1578</v>
      </c>
      <c r="D68" t="s">
        <v>17</v>
      </c>
      <c r="E68">
        <v>2022</v>
      </c>
      <c r="F68" t="s">
        <v>1579</v>
      </c>
      <c r="G68" t="s">
        <v>1530</v>
      </c>
      <c r="H68" t="s">
        <v>1431</v>
      </c>
      <c r="I68" s="10">
        <f t="shared" si="2"/>
        <v>4</v>
      </c>
      <c r="O68" t="s">
        <v>41</v>
      </c>
      <c r="AB68" t="s">
        <v>41</v>
      </c>
      <c r="AD68" t="s">
        <v>41</v>
      </c>
      <c r="AR68" t="s">
        <v>41</v>
      </c>
    </row>
    <row r="69" spans="1:121" x14ac:dyDescent="0.3">
      <c r="A69">
        <v>67</v>
      </c>
      <c r="B69" t="s">
        <v>1590</v>
      </c>
      <c r="C69" t="s">
        <v>1591</v>
      </c>
      <c r="D69" t="s">
        <v>17</v>
      </c>
      <c r="E69" t="s">
        <v>111</v>
      </c>
      <c r="F69" t="s">
        <v>111</v>
      </c>
      <c r="G69" s="2" t="s">
        <v>202</v>
      </c>
      <c r="H69" t="s">
        <v>1431</v>
      </c>
      <c r="I69" s="10">
        <f t="shared" si="2"/>
        <v>6</v>
      </c>
      <c r="K69" t="s">
        <v>41</v>
      </c>
      <c r="O69" t="s">
        <v>41</v>
      </c>
      <c r="U69" t="s">
        <v>41</v>
      </c>
      <c r="CC69" t="s">
        <v>41</v>
      </c>
      <c r="CD69" t="s">
        <v>41</v>
      </c>
      <c r="DN69" t="s">
        <v>41</v>
      </c>
    </row>
    <row r="70" spans="1:121" x14ac:dyDescent="0.3">
      <c r="A70">
        <v>68</v>
      </c>
      <c r="B70" t="s">
        <v>1594</v>
      </c>
      <c r="C70" t="s">
        <v>1593</v>
      </c>
      <c r="D70" t="s">
        <v>17</v>
      </c>
      <c r="E70" t="s">
        <v>111</v>
      </c>
      <c r="F70" t="s">
        <v>111</v>
      </c>
      <c r="G70" s="2" t="s">
        <v>202</v>
      </c>
      <c r="H70" t="s">
        <v>1431</v>
      </c>
      <c r="I70" s="10">
        <f t="shared" si="2"/>
        <v>5</v>
      </c>
      <c r="AU70" t="s">
        <v>41</v>
      </c>
      <c r="CP70" t="s">
        <v>41</v>
      </c>
      <c r="CQ70" t="s">
        <v>41</v>
      </c>
      <c r="DO70" t="s">
        <v>41</v>
      </c>
      <c r="DP70" t="s">
        <v>41</v>
      </c>
    </row>
    <row r="71" spans="1:121" x14ac:dyDescent="0.3">
      <c r="A71">
        <v>69</v>
      </c>
      <c r="B71" t="s">
        <v>1603</v>
      </c>
      <c r="C71" t="s">
        <v>1602</v>
      </c>
      <c r="D71" t="s">
        <v>17</v>
      </c>
      <c r="E71" t="s">
        <v>111</v>
      </c>
      <c r="F71" t="s">
        <v>1604</v>
      </c>
      <c r="G71" s="2" t="s">
        <v>202</v>
      </c>
      <c r="H71" t="s">
        <v>1431</v>
      </c>
      <c r="I71" s="10">
        <f t="shared" si="2"/>
        <v>1</v>
      </c>
      <c r="O71" t="s">
        <v>41</v>
      </c>
    </row>
    <row r="72" spans="1:121" x14ac:dyDescent="0.3">
      <c r="A72">
        <v>70</v>
      </c>
      <c r="B72" t="s">
        <v>1607</v>
      </c>
      <c r="C72" t="s">
        <v>1606</v>
      </c>
      <c r="D72" t="s">
        <v>17</v>
      </c>
      <c r="E72">
        <v>2021</v>
      </c>
      <c r="F72" t="s">
        <v>1608</v>
      </c>
      <c r="G72" t="s">
        <v>1530</v>
      </c>
      <c r="H72" t="s">
        <v>1431</v>
      </c>
      <c r="I72" s="10">
        <f t="shared" si="2"/>
        <v>10</v>
      </c>
      <c r="K72" t="s">
        <v>41</v>
      </c>
      <c r="O72" t="s">
        <v>41</v>
      </c>
      <c r="P72" t="s">
        <v>41</v>
      </c>
      <c r="W72" t="s">
        <v>41</v>
      </c>
      <c r="AA72" t="s">
        <v>41</v>
      </c>
      <c r="AB72" t="s">
        <v>41</v>
      </c>
      <c r="AD72" t="s">
        <v>41</v>
      </c>
      <c r="AG72" t="s">
        <v>41</v>
      </c>
      <c r="CL72" t="s">
        <v>41</v>
      </c>
      <c r="CP72" t="s">
        <v>41</v>
      </c>
    </row>
    <row r="73" spans="1:121" x14ac:dyDescent="0.3">
      <c r="A73">
        <v>71</v>
      </c>
      <c r="B73" t="s">
        <v>1611</v>
      </c>
      <c r="C73" t="s">
        <v>1609</v>
      </c>
      <c r="D73" t="s">
        <v>17</v>
      </c>
      <c r="E73" t="s">
        <v>111</v>
      </c>
      <c r="F73" t="s">
        <v>1610</v>
      </c>
      <c r="G73" s="2" t="s">
        <v>202</v>
      </c>
      <c r="H73" t="s">
        <v>1431</v>
      </c>
      <c r="I73" s="10">
        <f t="shared" si="2"/>
        <v>2</v>
      </c>
      <c r="J73" t="s">
        <v>41</v>
      </c>
      <c r="AB73" t="s">
        <v>41</v>
      </c>
    </row>
    <row r="74" spans="1:121" x14ac:dyDescent="0.3">
      <c r="A74">
        <v>72</v>
      </c>
      <c r="B74" t="s">
        <v>1619</v>
      </c>
      <c r="C74" t="s">
        <v>1616</v>
      </c>
      <c r="D74" t="s">
        <v>1617</v>
      </c>
      <c r="E74">
        <v>2020</v>
      </c>
      <c r="F74" t="s">
        <v>1618</v>
      </c>
      <c r="G74" s="2" t="s">
        <v>202</v>
      </c>
      <c r="H74" t="s">
        <v>1431</v>
      </c>
      <c r="I74" s="10">
        <f t="shared" si="2"/>
        <v>6</v>
      </c>
      <c r="O74" t="s">
        <v>41</v>
      </c>
      <c r="Q74" t="s">
        <v>41</v>
      </c>
      <c r="W74" t="s">
        <v>41</v>
      </c>
      <c r="AB74" t="s">
        <v>41</v>
      </c>
      <c r="AD74" t="s">
        <v>41</v>
      </c>
      <c r="AW74" t="s">
        <v>41</v>
      </c>
    </row>
    <row r="75" spans="1:121" x14ac:dyDescent="0.3">
      <c r="A75">
        <v>73</v>
      </c>
      <c r="B75" t="s">
        <v>1620</v>
      </c>
      <c r="C75" s="2" t="s">
        <v>202</v>
      </c>
      <c r="D75" t="s">
        <v>334</v>
      </c>
      <c r="E75">
        <v>2020</v>
      </c>
      <c r="F75" t="s">
        <v>1621</v>
      </c>
      <c r="G75" s="2" t="s">
        <v>202</v>
      </c>
      <c r="H75" t="s">
        <v>1431</v>
      </c>
      <c r="I75" s="10">
        <f t="shared" si="2"/>
        <v>3</v>
      </c>
      <c r="Z75" t="s">
        <v>41</v>
      </c>
      <c r="BI75" t="s">
        <v>41</v>
      </c>
      <c r="DQ75" t="s">
        <v>41</v>
      </c>
    </row>
    <row r="76" spans="1:121" x14ac:dyDescent="0.3">
      <c r="A76">
        <v>74</v>
      </c>
      <c r="B76" t="s">
        <v>1626</v>
      </c>
      <c r="C76" t="s">
        <v>1625</v>
      </c>
      <c r="D76" t="s">
        <v>17</v>
      </c>
      <c r="E76">
        <v>2021</v>
      </c>
      <c r="F76" t="s">
        <v>82</v>
      </c>
      <c r="G76" s="2" t="s">
        <v>202</v>
      </c>
      <c r="H76" t="s">
        <v>1431</v>
      </c>
      <c r="I76" s="10">
        <f t="shared" si="2"/>
        <v>4</v>
      </c>
      <c r="O76" t="s">
        <v>41</v>
      </c>
      <c r="Q76" t="s">
        <v>41</v>
      </c>
      <c r="AB76" t="s">
        <v>41</v>
      </c>
      <c r="CE76" t="s">
        <v>41</v>
      </c>
    </row>
    <row r="77" spans="1:121" x14ac:dyDescent="0.3">
      <c r="A77">
        <v>75</v>
      </c>
      <c r="B77" t="s">
        <v>1628</v>
      </c>
      <c r="C77" t="s">
        <v>1627</v>
      </c>
      <c r="D77" t="s">
        <v>17</v>
      </c>
      <c r="E77" t="s">
        <v>111</v>
      </c>
      <c r="F77" t="s">
        <v>111</v>
      </c>
      <c r="G77" s="2" t="s">
        <v>202</v>
      </c>
      <c r="H77" t="s">
        <v>1431</v>
      </c>
      <c r="I77" s="10">
        <f t="shared" si="2"/>
        <v>2</v>
      </c>
      <c r="N77" t="s">
        <v>41</v>
      </c>
      <c r="BA77" t="s">
        <v>41</v>
      </c>
    </row>
    <row r="78" spans="1:121" x14ac:dyDescent="0.3">
      <c r="A78">
        <v>76</v>
      </c>
      <c r="B78" t="s">
        <v>448</v>
      </c>
      <c r="C78" s="2" t="s">
        <v>202</v>
      </c>
      <c r="D78" t="s">
        <v>334</v>
      </c>
      <c r="E78">
        <v>2020</v>
      </c>
      <c r="F78" t="s">
        <v>1630</v>
      </c>
      <c r="G78" s="2" t="s">
        <v>202</v>
      </c>
      <c r="H78" t="s">
        <v>1431</v>
      </c>
      <c r="I78" s="10">
        <f t="shared" si="2"/>
        <v>3</v>
      </c>
      <c r="K78" t="s">
        <v>41</v>
      </c>
      <c r="X78" t="s">
        <v>41</v>
      </c>
      <c r="Z78" t="s">
        <v>41</v>
      </c>
    </row>
    <row r="79" spans="1:121" x14ac:dyDescent="0.3">
      <c r="A79">
        <v>77</v>
      </c>
      <c r="B79" t="s">
        <v>1632</v>
      </c>
      <c r="C79" t="s">
        <v>1631</v>
      </c>
      <c r="D79" t="s">
        <v>17</v>
      </c>
      <c r="E79">
        <v>2021</v>
      </c>
      <c r="F79" t="s">
        <v>111</v>
      </c>
      <c r="G79" s="2" t="s">
        <v>202</v>
      </c>
      <c r="H79" t="s">
        <v>1431</v>
      </c>
      <c r="I79" s="10">
        <f t="shared" si="2"/>
        <v>1</v>
      </c>
      <c r="AB79" t="s">
        <v>41</v>
      </c>
    </row>
    <row r="80" spans="1:121" x14ac:dyDescent="0.3">
      <c r="A80">
        <v>78</v>
      </c>
      <c r="B80" t="s">
        <v>1634</v>
      </c>
      <c r="C80" t="s">
        <v>1633</v>
      </c>
      <c r="D80" t="s">
        <v>1635</v>
      </c>
      <c r="E80">
        <v>2021</v>
      </c>
      <c r="F80" t="s">
        <v>111</v>
      </c>
      <c r="G80" s="2" t="s">
        <v>202</v>
      </c>
      <c r="H80" t="s">
        <v>1431</v>
      </c>
      <c r="I80" s="10">
        <f t="shared" si="2"/>
        <v>3</v>
      </c>
      <c r="K80" t="s">
        <v>41</v>
      </c>
      <c r="AD80" t="s">
        <v>41</v>
      </c>
      <c r="CH80" t="s">
        <v>41</v>
      </c>
    </row>
    <row r="81" spans="1:137" x14ac:dyDescent="0.3">
      <c r="A81">
        <v>79</v>
      </c>
      <c r="B81" t="s">
        <v>1637</v>
      </c>
      <c r="C81" t="s">
        <v>1636</v>
      </c>
      <c r="D81" t="s">
        <v>17</v>
      </c>
      <c r="E81">
        <v>2021</v>
      </c>
      <c r="F81" t="s">
        <v>111</v>
      </c>
      <c r="G81" s="2" t="s">
        <v>202</v>
      </c>
      <c r="H81" t="s">
        <v>1431</v>
      </c>
      <c r="I81" s="10">
        <f t="shared" si="2"/>
        <v>1</v>
      </c>
      <c r="AB81" t="s">
        <v>41</v>
      </c>
    </row>
    <row r="82" spans="1:137" x14ac:dyDescent="0.3">
      <c r="A82">
        <v>80</v>
      </c>
      <c r="B82" t="s">
        <v>1647</v>
      </c>
      <c r="C82" s="2" t="s">
        <v>202</v>
      </c>
      <c r="D82" t="s">
        <v>1648</v>
      </c>
      <c r="E82">
        <v>2022</v>
      </c>
      <c r="F82" t="s">
        <v>1649</v>
      </c>
      <c r="G82" s="2" t="s">
        <v>202</v>
      </c>
      <c r="H82" t="s">
        <v>1431</v>
      </c>
      <c r="I82" s="10">
        <f t="shared" si="2"/>
        <v>5</v>
      </c>
      <c r="X82" t="s">
        <v>41</v>
      </c>
      <c r="CS82" t="s">
        <v>41</v>
      </c>
      <c r="CZ82" t="s">
        <v>41</v>
      </c>
      <c r="DR82" t="s">
        <v>41</v>
      </c>
      <c r="DS82" t="s">
        <v>41</v>
      </c>
    </row>
    <row r="83" spans="1:137" x14ac:dyDescent="0.3">
      <c r="A83">
        <v>81</v>
      </c>
      <c r="B83" t="s">
        <v>1656</v>
      </c>
      <c r="C83" t="s">
        <v>1655</v>
      </c>
      <c r="D83" t="s">
        <v>17</v>
      </c>
      <c r="E83" t="s">
        <v>111</v>
      </c>
      <c r="F83" t="s">
        <v>1657</v>
      </c>
      <c r="G83" s="2" t="s">
        <v>202</v>
      </c>
      <c r="H83" t="s">
        <v>1431</v>
      </c>
      <c r="I83" s="10">
        <f t="shared" si="2"/>
        <v>2</v>
      </c>
      <c r="Z83" t="s">
        <v>41</v>
      </c>
      <c r="AL83" t="s">
        <v>41</v>
      </c>
    </row>
    <row r="84" spans="1:137" x14ac:dyDescent="0.3">
      <c r="A84">
        <v>82</v>
      </c>
      <c r="B84" t="s">
        <v>1658</v>
      </c>
      <c r="C84" t="s">
        <v>1659</v>
      </c>
      <c r="D84" t="s">
        <v>17</v>
      </c>
      <c r="E84">
        <v>2020</v>
      </c>
      <c r="F84" t="s">
        <v>1660</v>
      </c>
      <c r="G84" s="2" t="s">
        <v>202</v>
      </c>
      <c r="H84" t="s">
        <v>1431</v>
      </c>
      <c r="I84" s="10">
        <f t="shared" si="2"/>
        <v>1</v>
      </c>
      <c r="AB84" t="s">
        <v>41</v>
      </c>
    </row>
    <row r="85" spans="1:137" x14ac:dyDescent="0.3">
      <c r="A85">
        <v>83</v>
      </c>
      <c r="B85" t="s">
        <v>1662</v>
      </c>
      <c r="C85" t="s">
        <v>1661</v>
      </c>
      <c r="D85" t="s">
        <v>17</v>
      </c>
      <c r="E85" t="s">
        <v>111</v>
      </c>
      <c r="F85" t="s">
        <v>111</v>
      </c>
      <c r="G85" t="s">
        <v>1675</v>
      </c>
      <c r="H85" t="s">
        <v>1431</v>
      </c>
      <c r="I85" s="10">
        <f t="shared" si="2"/>
        <v>26</v>
      </c>
      <c r="N85" t="s">
        <v>41</v>
      </c>
      <c r="O85" t="s">
        <v>41</v>
      </c>
      <c r="T85" t="s">
        <v>41</v>
      </c>
      <c r="Z85" t="s">
        <v>41</v>
      </c>
      <c r="AB85" t="s">
        <v>41</v>
      </c>
      <c r="AC85" t="s">
        <v>41</v>
      </c>
      <c r="AD85" t="s">
        <v>41</v>
      </c>
      <c r="AG85" t="s">
        <v>41</v>
      </c>
      <c r="AR85" t="s">
        <v>41</v>
      </c>
      <c r="BA85" t="s">
        <v>41</v>
      </c>
      <c r="BJ85" t="s">
        <v>41</v>
      </c>
      <c r="BK85" t="s">
        <v>41</v>
      </c>
      <c r="BS85" t="s">
        <v>41</v>
      </c>
      <c r="BT85" t="s">
        <v>41</v>
      </c>
      <c r="BV85" t="s">
        <v>41</v>
      </c>
      <c r="BW85" t="s">
        <v>41</v>
      </c>
      <c r="CE85" t="s">
        <v>41</v>
      </c>
      <c r="CF85" t="s">
        <v>41</v>
      </c>
      <c r="CM85" t="s">
        <v>41</v>
      </c>
      <c r="CP85" t="s">
        <v>41</v>
      </c>
      <c r="DT85" t="s">
        <v>41</v>
      </c>
      <c r="DU85" t="s">
        <v>41</v>
      </c>
      <c r="DV85" t="s">
        <v>41</v>
      </c>
      <c r="DW85" t="s">
        <v>41</v>
      </c>
      <c r="DX85" t="s">
        <v>41</v>
      </c>
      <c r="DY85" t="s">
        <v>41</v>
      </c>
    </row>
    <row r="86" spans="1:137" x14ac:dyDescent="0.3">
      <c r="A86">
        <v>84</v>
      </c>
      <c r="B86" t="s">
        <v>1628</v>
      </c>
      <c r="C86" t="s">
        <v>1674</v>
      </c>
      <c r="D86" t="s">
        <v>17</v>
      </c>
      <c r="E86" t="s">
        <v>111</v>
      </c>
      <c r="F86" t="s">
        <v>111</v>
      </c>
      <c r="G86" t="s">
        <v>1677</v>
      </c>
      <c r="H86" t="s">
        <v>1676</v>
      </c>
      <c r="I86" s="10">
        <f t="shared" si="2"/>
        <v>31</v>
      </c>
      <c r="K86" t="s">
        <v>41</v>
      </c>
      <c r="O86" t="s">
        <v>41</v>
      </c>
      <c r="P86" t="s">
        <v>41</v>
      </c>
      <c r="T86" t="s">
        <v>41</v>
      </c>
      <c r="X86" t="s">
        <v>41</v>
      </c>
      <c r="Z86" t="s">
        <v>41</v>
      </c>
      <c r="AB86" t="s">
        <v>41</v>
      </c>
      <c r="AC86" t="s">
        <v>41</v>
      </c>
      <c r="AD86" t="s">
        <v>41</v>
      </c>
      <c r="AG86" t="s">
        <v>41</v>
      </c>
      <c r="AP86" t="s">
        <v>41</v>
      </c>
      <c r="AX86" t="s">
        <v>41</v>
      </c>
      <c r="BA86" t="s">
        <v>41</v>
      </c>
      <c r="BJ86" t="s">
        <v>41</v>
      </c>
      <c r="BN86" t="s">
        <v>41</v>
      </c>
      <c r="BV86" t="s">
        <v>41</v>
      </c>
      <c r="BW86" t="s">
        <v>41</v>
      </c>
      <c r="CJ86" t="s">
        <v>41</v>
      </c>
      <c r="CL86" t="s">
        <v>41</v>
      </c>
      <c r="CM86" t="s">
        <v>41</v>
      </c>
      <c r="CP86" t="s">
        <v>41</v>
      </c>
      <c r="CT86" t="s">
        <v>41</v>
      </c>
      <c r="DL86" t="s">
        <v>41</v>
      </c>
      <c r="DP86" t="s">
        <v>41</v>
      </c>
      <c r="DZ86" t="s">
        <v>41</v>
      </c>
      <c r="EA86" t="s">
        <v>41</v>
      </c>
      <c r="EB86" t="s">
        <v>41</v>
      </c>
      <c r="EC86" t="s">
        <v>41</v>
      </c>
      <c r="ED86" t="s">
        <v>41</v>
      </c>
      <c r="EE86" t="s">
        <v>41</v>
      </c>
      <c r="EF86" t="s">
        <v>41</v>
      </c>
    </row>
    <row r="87" spans="1:137" x14ac:dyDescent="0.3">
      <c r="A87">
        <v>85</v>
      </c>
      <c r="B87" t="s">
        <v>1697</v>
      </c>
      <c r="C87" t="s">
        <v>1695</v>
      </c>
      <c r="D87" t="s">
        <v>17</v>
      </c>
      <c r="E87">
        <v>2021</v>
      </c>
      <c r="F87" t="s">
        <v>1696</v>
      </c>
      <c r="G87" s="2" t="s">
        <v>202</v>
      </c>
      <c r="H87" t="s">
        <v>1431</v>
      </c>
      <c r="I87" s="10">
        <f t="shared" si="2"/>
        <v>1</v>
      </c>
      <c r="AB87" t="s">
        <v>41</v>
      </c>
    </row>
    <row r="88" spans="1:137" x14ac:dyDescent="0.3">
      <c r="A88">
        <v>86</v>
      </c>
      <c r="B88" t="s">
        <v>1699</v>
      </c>
      <c r="C88" t="s">
        <v>1698</v>
      </c>
      <c r="D88" t="s">
        <v>17</v>
      </c>
      <c r="E88">
        <v>2021</v>
      </c>
      <c r="F88" t="s">
        <v>1700</v>
      </c>
      <c r="G88" s="2" t="s">
        <v>202</v>
      </c>
      <c r="H88" t="s">
        <v>1431</v>
      </c>
      <c r="I88" s="10">
        <f t="shared" si="2"/>
        <v>4</v>
      </c>
      <c r="J88" t="s">
        <v>41</v>
      </c>
      <c r="O88" t="s">
        <v>41</v>
      </c>
      <c r="AD88" t="s">
        <v>41</v>
      </c>
      <c r="AR88" t="s">
        <v>41</v>
      </c>
    </row>
    <row r="89" spans="1:137" x14ac:dyDescent="0.3">
      <c r="A89">
        <v>87</v>
      </c>
      <c r="B89" t="s">
        <v>1701</v>
      </c>
      <c r="C89" t="s">
        <v>1702</v>
      </c>
      <c r="D89" t="s">
        <v>17</v>
      </c>
      <c r="E89">
        <v>2022</v>
      </c>
      <c r="F89" t="s">
        <v>1703</v>
      </c>
      <c r="G89" s="2" t="s">
        <v>202</v>
      </c>
      <c r="H89" t="s">
        <v>1431</v>
      </c>
      <c r="I89" s="10">
        <f t="shared" si="2"/>
        <v>6</v>
      </c>
      <c r="K89" t="s">
        <v>41</v>
      </c>
      <c r="Q89" t="s">
        <v>41</v>
      </c>
      <c r="V89" t="s">
        <v>41</v>
      </c>
      <c r="X89" t="s">
        <v>41</v>
      </c>
      <c r="AF89" t="s">
        <v>41</v>
      </c>
      <c r="BA89" t="s">
        <v>41</v>
      </c>
    </row>
    <row r="90" spans="1:137" x14ac:dyDescent="0.3">
      <c r="A90">
        <v>88</v>
      </c>
      <c r="B90" t="s">
        <v>1637</v>
      </c>
      <c r="C90" t="s">
        <v>1708</v>
      </c>
      <c r="D90" t="s">
        <v>17</v>
      </c>
      <c r="E90">
        <v>2021</v>
      </c>
      <c r="F90" t="s">
        <v>111</v>
      </c>
      <c r="G90" s="2" t="s">
        <v>202</v>
      </c>
      <c r="H90" t="s">
        <v>1431</v>
      </c>
      <c r="I90" s="10">
        <f t="shared" si="2"/>
        <v>1</v>
      </c>
      <c r="AB90" t="s">
        <v>41</v>
      </c>
    </row>
    <row r="91" spans="1:137" x14ac:dyDescent="0.3">
      <c r="A91">
        <v>89</v>
      </c>
      <c r="B91" t="s">
        <v>1710</v>
      </c>
      <c r="C91" t="s">
        <v>1709</v>
      </c>
      <c r="D91" t="s">
        <v>17</v>
      </c>
      <c r="E91">
        <v>2020</v>
      </c>
      <c r="F91" t="s">
        <v>1718</v>
      </c>
      <c r="G91" s="2" t="s">
        <v>202</v>
      </c>
      <c r="H91" t="s">
        <v>1431</v>
      </c>
      <c r="I91" s="10">
        <f t="shared" si="2"/>
        <v>1</v>
      </c>
      <c r="AB91" t="s">
        <v>41</v>
      </c>
    </row>
    <row r="92" spans="1:137" x14ac:dyDescent="0.3">
      <c r="A92">
        <v>90</v>
      </c>
      <c r="B92" t="s">
        <v>1719</v>
      </c>
      <c r="C92" t="s">
        <v>1716</v>
      </c>
      <c r="D92" t="s">
        <v>17</v>
      </c>
      <c r="E92">
        <v>2021</v>
      </c>
      <c r="F92" t="s">
        <v>1717</v>
      </c>
      <c r="G92" s="2" t="s">
        <v>202</v>
      </c>
      <c r="H92" t="s">
        <v>1431</v>
      </c>
      <c r="I92" s="10">
        <f t="shared" si="2"/>
        <v>1</v>
      </c>
      <c r="AB92" t="s">
        <v>41</v>
      </c>
    </row>
    <row r="93" spans="1:137" x14ac:dyDescent="0.3">
      <c r="A93">
        <v>91</v>
      </c>
      <c r="B93" t="s">
        <v>1722</v>
      </c>
      <c r="C93" t="s">
        <v>1720</v>
      </c>
      <c r="D93" t="s">
        <v>17</v>
      </c>
      <c r="E93">
        <v>2021</v>
      </c>
      <c r="F93" t="s">
        <v>1721</v>
      </c>
      <c r="G93" s="2" t="s">
        <v>202</v>
      </c>
      <c r="H93" t="s">
        <v>1431</v>
      </c>
      <c r="I93" s="10">
        <f t="shared" si="2"/>
        <v>3</v>
      </c>
      <c r="O93" t="s">
        <v>41</v>
      </c>
      <c r="AG93" t="s">
        <v>41</v>
      </c>
      <c r="AR93" t="s">
        <v>41</v>
      </c>
    </row>
    <row r="94" spans="1:137" x14ac:dyDescent="0.3">
      <c r="A94">
        <v>92</v>
      </c>
      <c r="B94" t="s">
        <v>1728</v>
      </c>
      <c r="C94" s="2" t="s">
        <v>202</v>
      </c>
      <c r="D94" t="s">
        <v>428</v>
      </c>
      <c r="E94">
        <v>2021</v>
      </c>
      <c r="F94" t="s">
        <v>1727</v>
      </c>
      <c r="G94" s="2" t="s">
        <v>202</v>
      </c>
      <c r="H94" t="s">
        <v>1431</v>
      </c>
      <c r="I94" s="10">
        <f t="shared" si="2"/>
        <v>1</v>
      </c>
      <c r="DR94" t="s">
        <v>41</v>
      </c>
    </row>
    <row r="95" spans="1:137" x14ac:dyDescent="0.3">
      <c r="A95">
        <v>93</v>
      </c>
      <c r="B95" t="s">
        <v>1733</v>
      </c>
      <c r="C95" t="s">
        <v>1734</v>
      </c>
      <c r="D95" t="s">
        <v>17</v>
      </c>
      <c r="E95">
        <v>2021</v>
      </c>
      <c r="F95" t="s">
        <v>111</v>
      </c>
      <c r="G95" s="2" t="s">
        <v>202</v>
      </c>
      <c r="H95" t="s">
        <v>1431</v>
      </c>
      <c r="I95" s="10">
        <f t="shared" si="2"/>
        <v>1</v>
      </c>
      <c r="AD95" t="s">
        <v>41</v>
      </c>
    </row>
    <row r="96" spans="1:137" x14ac:dyDescent="0.3">
      <c r="A96">
        <v>94</v>
      </c>
      <c r="B96" t="s">
        <v>1740</v>
      </c>
      <c r="C96" t="s">
        <v>1742</v>
      </c>
      <c r="D96" t="s">
        <v>1648</v>
      </c>
      <c r="E96">
        <v>2021</v>
      </c>
      <c r="F96" t="s">
        <v>1741</v>
      </c>
      <c r="G96" s="2" t="s">
        <v>202</v>
      </c>
      <c r="H96" t="s">
        <v>1431</v>
      </c>
      <c r="I96" s="10">
        <f t="shared" si="2"/>
        <v>2</v>
      </c>
      <c r="CZ96" t="s">
        <v>41</v>
      </c>
      <c r="EG96" t="s">
        <v>41</v>
      </c>
    </row>
    <row r="97" spans="1:139" x14ac:dyDescent="0.3">
      <c r="A97">
        <v>95</v>
      </c>
      <c r="B97" t="s">
        <v>1745</v>
      </c>
      <c r="C97" t="s">
        <v>1743</v>
      </c>
      <c r="D97" t="s">
        <v>17</v>
      </c>
      <c r="E97">
        <v>2021</v>
      </c>
      <c r="F97" t="s">
        <v>1744</v>
      </c>
      <c r="G97" s="2" t="s">
        <v>202</v>
      </c>
      <c r="H97" t="s">
        <v>1431</v>
      </c>
      <c r="I97" s="10">
        <f t="shared" si="2"/>
        <v>5</v>
      </c>
      <c r="O97" t="s">
        <v>41</v>
      </c>
      <c r="AB97" t="s">
        <v>41</v>
      </c>
      <c r="BC97" t="s">
        <v>41</v>
      </c>
      <c r="CP97" t="s">
        <v>41</v>
      </c>
      <c r="CQ97" t="s">
        <v>41</v>
      </c>
    </row>
    <row r="98" spans="1:139" x14ac:dyDescent="0.3">
      <c r="A98">
        <v>96</v>
      </c>
      <c r="B98" t="s">
        <v>1747</v>
      </c>
      <c r="C98" t="s">
        <v>1746</v>
      </c>
      <c r="D98" t="s">
        <v>17</v>
      </c>
      <c r="E98">
        <v>2021</v>
      </c>
      <c r="F98" t="s">
        <v>111</v>
      </c>
      <c r="G98" s="2" t="s">
        <v>202</v>
      </c>
      <c r="H98" t="s">
        <v>1431</v>
      </c>
      <c r="I98" s="10">
        <f t="shared" si="2"/>
        <v>4</v>
      </c>
      <c r="O98" t="s">
        <v>41</v>
      </c>
      <c r="P98" t="s">
        <v>41</v>
      </c>
      <c r="AD98" t="s">
        <v>41</v>
      </c>
      <c r="BT98" t="s">
        <v>41</v>
      </c>
    </row>
    <row r="99" spans="1:139" x14ac:dyDescent="0.3">
      <c r="A99">
        <v>97</v>
      </c>
      <c r="B99" t="s">
        <v>1749</v>
      </c>
      <c r="C99" t="s">
        <v>1748</v>
      </c>
      <c r="D99" t="s">
        <v>17</v>
      </c>
      <c r="E99" t="s">
        <v>111</v>
      </c>
      <c r="F99" t="s">
        <v>111</v>
      </c>
      <c r="G99" s="2" t="s">
        <v>202</v>
      </c>
      <c r="H99" t="s">
        <v>1431</v>
      </c>
      <c r="I99" s="10">
        <f t="shared" ref="I99:I134" si="3">COUNTIF(J99:XEK99,"x")</f>
        <v>1</v>
      </c>
      <c r="CQ99" t="s">
        <v>41</v>
      </c>
    </row>
    <row r="100" spans="1:139" x14ac:dyDescent="0.3">
      <c r="A100">
        <v>98</v>
      </c>
      <c r="B100" t="s">
        <v>1756</v>
      </c>
      <c r="C100" t="s">
        <v>1755</v>
      </c>
      <c r="D100" t="s">
        <v>17</v>
      </c>
      <c r="E100">
        <v>2021</v>
      </c>
      <c r="F100" t="s">
        <v>111</v>
      </c>
      <c r="G100" s="2" t="s">
        <v>202</v>
      </c>
      <c r="H100" t="s">
        <v>1431</v>
      </c>
      <c r="I100" s="10">
        <f t="shared" si="3"/>
        <v>6</v>
      </c>
      <c r="W100" t="s">
        <v>41</v>
      </c>
      <c r="AB100" t="s">
        <v>41</v>
      </c>
      <c r="AD100" t="s">
        <v>41</v>
      </c>
      <c r="BW100" t="s">
        <v>41</v>
      </c>
      <c r="CL100" t="s">
        <v>41</v>
      </c>
      <c r="CM100" t="s">
        <v>41</v>
      </c>
    </row>
    <row r="101" spans="1:139" x14ac:dyDescent="0.3">
      <c r="A101">
        <v>99</v>
      </c>
      <c r="B101" t="s">
        <v>1758</v>
      </c>
      <c r="C101" t="s">
        <v>1757</v>
      </c>
      <c r="D101" t="s">
        <v>17</v>
      </c>
      <c r="E101" t="s">
        <v>111</v>
      </c>
      <c r="F101" t="s">
        <v>111</v>
      </c>
      <c r="G101" s="2" t="s">
        <v>202</v>
      </c>
      <c r="H101" t="s">
        <v>1431</v>
      </c>
      <c r="I101" s="10">
        <f t="shared" si="3"/>
        <v>7</v>
      </c>
      <c r="N101" t="s">
        <v>41</v>
      </c>
      <c r="O101" t="s">
        <v>41</v>
      </c>
      <c r="AB101" t="s">
        <v>41</v>
      </c>
      <c r="BC101" t="s">
        <v>41</v>
      </c>
      <c r="BI101" t="s">
        <v>41</v>
      </c>
      <c r="BJ101" t="s">
        <v>41</v>
      </c>
      <c r="CQ101" t="s">
        <v>41</v>
      </c>
    </row>
    <row r="102" spans="1:139" x14ac:dyDescent="0.3">
      <c r="A102">
        <v>100</v>
      </c>
      <c r="B102" t="s">
        <v>1767</v>
      </c>
      <c r="C102" t="s">
        <v>1766</v>
      </c>
      <c r="D102" t="s">
        <v>17</v>
      </c>
      <c r="E102" t="s">
        <v>111</v>
      </c>
      <c r="F102" t="s">
        <v>111</v>
      </c>
      <c r="G102" s="2" t="s">
        <v>202</v>
      </c>
      <c r="H102" t="s">
        <v>1761</v>
      </c>
      <c r="I102" s="10">
        <f t="shared" si="3"/>
        <v>1</v>
      </c>
      <c r="AR102" t="s">
        <v>41</v>
      </c>
    </row>
    <row r="103" spans="1:139" x14ac:dyDescent="0.3">
      <c r="A103">
        <v>101</v>
      </c>
      <c r="B103" t="s">
        <v>1769</v>
      </c>
      <c r="C103" t="s">
        <v>1768</v>
      </c>
      <c r="D103" t="s">
        <v>17</v>
      </c>
      <c r="E103">
        <v>2021</v>
      </c>
      <c r="F103" t="s">
        <v>1770</v>
      </c>
      <c r="G103" s="2" t="s">
        <v>202</v>
      </c>
      <c r="H103" t="s">
        <v>1761</v>
      </c>
      <c r="I103" s="10">
        <f t="shared" si="3"/>
        <v>3</v>
      </c>
      <c r="N103" t="s">
        <v>41</v>
      </c>
      <c r="O103" t="s">
        <v>41</v>
      </c>
      <c r="AR103" t="s">
        <v>41</v>
      </c>
    </row>
    <row r="104" spans="1:139" x14ac:dyDescent="0.3">
      <c r="A104">
        <v>102</v>
      </c>
      <c r="B104" t="s">
        <v>1772</v>
      </c>
      <c r="C104" t="s">
        <v>1771</v>
      </c>
      <c r="D104" t="s">
        <v>17</v>
      </c>
      <c r="E104" t="s">
        <v>111</v>
      </c>
      <c r="F104" t="s">
        <v>111</v>
      </c>
      <c r="G104" s="2" t="s">
        <v>202</v>
      </c>
      <c r="H104" t="s">
        <v>1487</v>
      </c>
      <c r="I104" s="10">
        <f t="shared" si="3"/>
        <v>0</v>
      </c>
    </row>
    <row r="105" spans="1:139" x14ac:dyDescent="0.3">
      <c r="A105">
        <v>103</v>
      </c>
      <c r="B105" t="s">
        <v>1778</v>
      </c>
      <c r="C105" t="s">
        <v>1776</v>
      </c>
      <c r="D105" t="s">
        <v>17</v>
      </c>
      <c r="E105">
        <v>2020</v>
      </c>
      <c r="F105" t="s">
        <v>1777</v>
      </c>
      <c r="G105" s="2" t="s">
        <v>202</v>
      </c>
      <c r="H105" t="s">
        <v>1487</v>
      </c>
      <c r="I105" s="10">
        <f t="shared" si="3"/>
        <v>1</v>
      </c>
      <c r="AB105" t="s">
        <v>41</v>
      </c>
    </row>
    <row r="106" spans="1:139" x14ac:dyDescent="0.3">
      <c r="A106">
        <v>104</v>
      </c>
      <c r="B106" t="s">
        <v>1782</v>
      </c>
      <c r="C106" t="s">
        <v>1780</v>
      </c>
      <c r="D106" t="s">
        <v>17</v>
      </c>
      <c r="E106">
        <v>2022</v>
      </c>
      <c r="F106" t="s">
        <v>1781</v>
      </c>
      <c r="G106" s="2" t="s">
        <v>202</v>
      </c>
      <c r="H106" t="s">
        <v>1487</v>
      </c>
      <c r="I106" s="10">
        <f t="shared" si="3"/>
        <v>6</v>
      </c>
      <c r="K106" t="s">
        <v>41</v>
      </c>
      <c r="O106" t="s">
        <v>41</v>
      </c>
      <c r="AB106" t="s">
        <v>41</v>
      </c>
      <c r="AD106" t="s">
        <v>41</v>
      </c>
      <c r="CP106" t="s">
        <v>41</v>
      </c>
      <c r="CQ106" t="s">
        <v>41</v>
      </c>
    </row>
    <row r="107" spans="1:139" x14ac:dyDescent="0.3">
      <c r="A107">
        <v>105</v>
      </c>
      <c r="B107" t="s">
        <v>1783</v>
      </c>
      <c r="C107" t="s">
        <v>364</v>
      </c>
      <c r="D107" t="s">
        <v>17</v>
      </c>
      <c r="E107" t="s">
        <v>111</v>
      </c>
      <c r="F107" t="s">
        <v>111</v>
      </c>
      <c r="G107" s="2" t="s">
        <v>202</v>
      </c>
      <c r="H107" t="s">
        <v>1487</v>
      </c>
      <c r="I107" s="10">
        <f t="shared" si="3"/>
        <v>1</v>
      </c>
      <c r="CI107" t="s">
        <v>41</v>
      </c>
    </row>
    <row r="108" spans="1:139" x14ac:dyDescent="0.3">
      <c r="A108">
        <v>106</v>
      </c>
      <c r="B108" t="s">
        <v>1788</v>
      </c>
      <c r="C108" t="s">
        <v>1787</v>
      </c>
      <c r="D108" t="s">
        <v>17</v>
      </c>
      <c r="E108">
        <v>2021</v>
      </c>
      <c r="F108" t="s">
        <v>1789</v>
      </c>
      <c r="G108" s="2" t="s">
        <v>202</v>
      </c>
      <c r="H108" t="s">
        <v>1487</v>
      </c>
      <c r="I108" s="10">
        <f t="shared" si="3"/>
        <v>1</v>
      </c>
      <c r="AR108" t="s">
        <v>41</v>
      </c>
    </row>
    <row r="109" spans="1:139" x14ac:dyDescent="0.3">
      <c r="A109">
        <v>107</v>
      </c>
      <c r="B109" t="s">
        <v>1804</v>
      </c>
      <c r="C109" t="s">
        <v>1802</v>
      </c>
      <c r="D109" t="s">
        <v>17</v>
      </c>
      <c r="E109">
        <v>2021</v>
      </c>
      <c r="F109" t="s">
        <v>1803</v>
      </c>
      <c r="G109" s="2" t="s">
        <v>202</v>
      </c>
      <c r="H109" t="s">
        <v>1801</v>
      </c>
      <c r="I109" s="10">
        <f t="shared" si="3"/>
        <v>1</v>
      </c>
      <c r="CP109" t="s">
        <v>41</v>
      </c>
    </row>
    <row r="110" spans="1:139" x14ac:dyDescent="0.3">
      <c r="A110">
        <v>108</v>
      </c>
      <c r="B110" t="s">
        <v>413</v>
      </c>
      <c r="C110" s="2" t="s">
        <v>202</v>
      </c>
      <c r="D110" t="s">
        <v>428</v>
      </c>
      <c r="E110">
        <v>2021</v>
      </c>
      <c r="F110" t="s">
        <v>1629</v>
      </c>
      <c r="G110" s="2" t="s">
        <v>202</v>
      </c>
      <c r="H110" t="s">
        <v>1801</v>
      </c>
      <c r="I110" s="10">
        <f t="shared" si="3"/>
        <v>2</v>
      </c>
      <c r="AP110" t="s">
        <v>41</v>
      </c>
      <c r="BA110" t="s">
        <v>41</v>
      </c>
    </row>
    <row r="111" spans="1:139" x14ac:dyDescent="0.3">
      <c r="A111">
        <v>109</v>
      </c>
      <c r="B111" t="s">
        <v>1809</v>
      </c>
      <c r="C111" t="s">
        <v>1808</v>
      </c>
      <c r="D111" t="s">
        <v>17</v>
      </c>
      <c r="E111">
        <v>2021</v>
      </c>
      <c r="F111" t="s">
        <v>111</v>
      </c>
      <c r="G111" s="2" t="s">
        <v>202</v>
      </c>
      <c r="H111" t="s">
        <v>1801</v>
      </c>
      <c r="I111" s="10">
        <f t="shared" si="3"/>
        <v>2</v>
      </c>
      <c r="V111" t="s">
        <v>41</v>
      </c>
      <c r="Y111" t="s">
        <v>41</v>
      </c>
    </row>
    <row r="112" spans="1:139" x14ac:dyDescent="0.3">
      <c r="A112">
        <v>110</v>
      </c>
      <c r="B112" t="s">
        <v>2385</v>
      </c>
      <c r="C112" t="s">
        <v>2148</v>
      </c>
      <c r="D112" t="s">
        <v>17</v>
      </c>
      <c r="E112">
        <v>2019</v>
      </c>
      <c r="F112" t="s">
        <v>2384</v>
      </c>
      <c r="G112" s="2" t="s">
        <v>202</v>
      </c>
      <c r="H112" t="s">
        <v>1676</v>
      </c>
      <c r="I112" s="10">
        <f t="shared" si="3"/>
        <v>1</v>
      </c>
      <c r="EI112" t="s">
        <v>41</v>
      </c>
    </row>
    <row r="113" spans="1:160" x14ac:dyDescent="0.3">
      <c r="A113">
        <v>111</v>
      </c>
      <c r="B113" t="s">
        <v>2150</v>
      </c>
      <c r="C113" t="s">
        <v>2151</v>
      </c>
      <c r="D113" t="s">
        <v>17</v>
      </c>
      <c r="E113">
        <v>2020</v>
      </c>
      <c r="F113" t="s">
        <v>2386</v>
      </c>
      <c r="G113" s="2" t="s">
        <v>202</v>
      </c>
      <c r="H113" t="s">
        <v>1676</v>
      </c>
      <c r="I113" s="10">
        <f t="shared" si="3"/>
        <v>1</v>
      </c>
      <c r="EJ113" t="s">
        <v>41</v>
      </c>
    </row>
    <row r="114" spans="1:160" x14ac:dyDescent="0.3">
      <c r="A114">
        <v>112</v>
      </c>
      <c r="B114" t="s">
        <v>2387</v>
      </c>
      <c r="C114" t="s">
        <v>2154</v>
      </c>
      <c r="D114" t="s">
        <v>17</v>
      </c>
      <c r="E114">
        <v>2020</v>
      </c>
      <c r="F114" t="s">
        <v>2388</v>
      </c>
      <c r="G114" s="2" t="s">
        <v>202</v>
      </c>
      <c r="H114" t="s">
        <v>1676</v>
      </c>
      <c r="I114" s="10">
        <f t="shared" si="3"/>
        <v>1</v>
      </c>
      <c r="EK114" t="s">
        <v>41</v>
      </c>
    </row>
    <row r="115" spans="1:160" x14ac:dyDescent="0.3">
      <c r="A115">
        <v>113</v>
      </c>
      <c r="B115" t="s">
        <v>2389</v>
      </c>
      <c r="C115" t="s">
        <v>2160</v>
      </c>
      <c r="D115" t="s">
        <v>17</v>
      </c>
      <c r="E115">
        <v>2022</v>
      </c>
      <c r="F115" t="s">
        <v>2390</v>
      </c>
      <c r="G115" s="2" t="s">
        <v>202</v>
      </c>
      <c r="H115" t="s">
        <v>1676</v>
      </c>
      <c r="I115" s="10">
        <f t="shared" si="3"/>
        <v>1</v>
      </c>
      <c r="EL115" t="s">
        <v>41</v>
      </c>
    </row>
    <row r="116" spans="1:160" x14ac:dyDescent="0.3">
      <c r="A116">
        <v>114</v>
      </c>
      <c r="B116" t="s">
        <v>2391</v>
      </c>
      <c r="C116" t="s">
        <v>2164</v>
      </c>
      <c r="D116" t="s">
        <v>17</v>
      </c>
      <c r="E116">
        <v>2018</v>
      </c>
      <c r="F116" t="s">
        <v>2392</v>
      </c>
      <c r="G116" s="2" t="s">
        <v>202</v>
      </c>
      <c r="H116" t="s">
        <v>1676</v>
      </c>
      <c r="I116" s="10">
        <f t="shared" si="3"/>
        <v>1</v>
      </c>
      <c r="EM116" t="s">
        <v>41</v>
      </c>
    </row>
    <row r="117" spans="1:160" x14ac:dyDescent="0.3">
      <c r="A117">
        <v>115</v>
      </c>
      <c r="B117" t="s">
        <v>2393</v>
      </c>
      <c r="C117" t="s">
        <v>2167</v>
      </c>
      <c r="D117" t="s">
        <v>17</v>
      </c>
      <c r="E117">
        <v>2016</v>
      </c>
      <c r="F117" t="s">
        <v>2394</v>
      </c>
      <c r="G117" s="2" t="s">
        <v>202</v>
      </c>
      <c r="H117" t="s">
        <v>1676</v>
      </c>
      <c r="I117" s="10">
        <f t="shared" si="3"/>
        <v>1</v>
      </c>
      <c r="EN117" t="s">
        <v>41</v>
      </c>
    </row>
    <row r="118" spans="1:160" x14ac:dyDescent="0.3">
      <c r="A118">
        <v>116</v>
      </c>
      <c r="B118" t="s">
        <v>2395</v>
      </c>
      <c r="C118" t="s">
        <v>2171</v>
      </c>
      <c r="D118" t="s">
        <v>17</v>
      </c>
      <c r="E118">
        <v>2022</v>
      </c>
      <c r="F118" t="s">
        <v>2396</v>
      </c>
      <c r="G118" s="2" t="s">
        <v>202</v>
      </c>
      <c r="H118" t="s">
        <v>1676</v>
      </c>
      <c r="I118" s="10">
        <f t="shared" si="3"/>
        <v>1</v>
      </c>
      <c r="EO118" t="s">
        <v>41</v>
      </c>
    </row>
    <row r="119" spans="1:160" x14ac:dyDescent="0.3">
      <c r="A119">
        <v>117</v>
      </c>
      <c r="B119" t="s">
        <v>2397</v>
      </c>
      <c r="C119" t="s">
        <v>2176</v>
      </c>
      <c r="D119" t="s">
        <v>17</v>
      </c>
      <c r="E119">
        <v>2022</v>
      </c>
      <c r="F119" t="s">
        <v>2398</v>
      </c>
      <c r="G119" s="2" t="s">
        <v>202</v>
      </c>
      <c r="H119" t="s">
        <v>1676</v>
      </c>
      <c r="I119" s="10">
        <f t="shared" si="3"/>
        <v>1</v>
      </c>
      <c r="EP119" t="s">
        <v>41</v>
      </c>
    </row>
    <row r="120" spans="1:160" x14ac:dyDescent="0.3">
      <c r="A120">
        <v>118</v>
      </c>
      <c r="B120" t="s">
        <v>2399</v>
      </c>
      <c r="C120" t="s">
        <v>2180</v>
      </c>
      <c r="D120" t="s">
        <v>17</v>
      </c>
      <c r="E120">
        <v>2022</v>
      </c>
      <c r="F120" t="s">
        <v>2400</v>
      </c>
      <c r="G120" s="2" t="s">
        <v>202</v>
      </c>
      <c r="H120" t="s">
        <v>1676</v>
      </c>
      <c r="I120" s="10">
        <f t="shared" si="3"/>
        <v>1</v>
      </c>
      <c r="EQ120" t="s">
        <v>41</v>
      </c>
    </row>
    <row r="121" spans="1:160" x14ac:dyDescent="0.3">
      <c r="A121">
        <v>119</v>
      </c>
      <c r="B121" t="s">
        <v>2401</v>
      </c>
      <c r="C121" t="s">
        <v>2184</v>
      </c>
      <c r="D121" t="s">
        <v>17</v>
      </c>
      <c r="E121">
        <v>2022</v>
      </c>
      <c r="F121" t="s">
        <v>2402</v>
      </c>
      <c r="G121" s="2" t="s">
        <v>202</v>
      </c>
      <c r="H121" t="s">
        <v>1676</v>
      </c>
      <c r="I121" s="10">
        <f t="shared" si="3"/>
        <v>1</v>
      </c>
      <c r="ER121" t="s">
        <v>41</v>
      </c>
    </row>
    <row r="122" spans="1:160" x14ac:dyDescent="0.3">
      <c r="A122">
        <v>120</v>
      </c>
      <c r="B122" t="s">
        <v>2403</v>
      </c>
      <c r="C122" t="s">
        <v>2187</v>
      </c>
      <c r="D122" t="s">
        <v>17</v>
      </c>
      <c r="E122">
        <v>2022</v>
      </c>
      <c r="F122" t="s">
        <v>2404</v>
      </c>
      <c r="G122" s="2" t="s">
        <v>202</v>
      </c>
      <c r="H122" t="s">
        <v>1676</v>
      </c>
      <c r="I122" s="10">
        <f t="shared" si="3"/>
        <v>1</v>
      </c>
      <c r="ES122" t="s">
        <v>41</v>
      </c>
    </row>
    <row r="123" spans="1:160" x14ac:dyDescent="0.3">
      <c r="A123">
        <v>121</v>
      </c>
      <c r="B123" t="s">
        <v>2406</v>
      </c>
      <c r="C123" t="s">
        <v>2192</v>
      </c>
      <c r="D123" t="s">
        <v>17</v>
      </c>
      <c r="E123">
        <v>2022</v>
      </c>
      <c r="F123" t="s">
        <v>2405</v>
      </c>
      <c r="G123" s="2" t="s">
        <v>202</v>
      </c>
      <c r="H123" t="s">
        <v>1676</v>
      </c>
      <c r="I123" s="10">
        <f t="shared" si="3"/>
        <v>1</v>
      </c>
      <c r="ET123" t="s">
        <v>41</v>
      </c>
    </row>
    <row r="124" spans="1:160" x14ac:dyDescent="0.3">
      <c r="A124">
        <v>122</v>
      </c>
      <c r="B124" t="s">
        <v>2408</v>
      </c>
      <c r="C124" t="s">
        <v>2407</v>
      </c>
      <c r="D124" t="s">
        <v>17</v>
      </c>
      <c r="E124">
        <v>2022</v>
      </c>
      <c r="F124" t="s">
        <v>31</v>
      </c>
      <c r="G124" s="2" t="s">
        <v>202</v>
      </c>
      <c r="H124" t="s">
        <v>1676</v>
      </c>
      <c r="I124" s="10">
        <f t="shared" si="3"/>
        <v>1</v>
      </c>
      <c r="EU124" t="s">
        <v>41</v>
      </c>
    </row>
    <row r="125" spans="1:160" x14ac:dyDescent="0.3">
      <c r="A125">
        <v>123</v>
      </c>
      <c r="B125" t="s">
        <v>2409</v>
      </c>
      <c r="C125" t="s">
        <v>2196</v>
      </c>
      <c r="D125" t="s">
        <v>17</v>
      </c>
      <c r="E125">
        <v>2022</v>
      </c>
      <c r="F125" t="s">
        <v>235</v>
      </c>
      <c r="G125" s="2" t="s">
        <v>202</v>
      </c>
      <c r="H125" t="s">
        <v>1676</v>
      </c>
      <c r="I125" s="10">
        <f t="shared" si="3"/>
        <v>1</v>
      </c>
      <c r="EV125" t="s">
        <v>41</v>
      </c>
    </row>
    <row r="126" spans="1:160" x14ac:dyDescent="0.3">
      <c r="A126">
        <v>124</v>
      </c>
      <c r="B126" t="s">
        <v>2243</v>
      </c>
      <c r="C126" s="2" t="s">
        <v>202</v>
      </c>
      <c r="D126" t="s">
        <v>428</v>
      </c>
      <c r="E126">
        <v>2020</v>
      </c>
      <c r="F126" t="s">
        <v>2244</v>
      </c>
      <c r="G126" s="2" t="s">
        <v>202</v>
      </c>
      <c r="H126" t="s">
        <v>1305</v>
      </c>
      <c r="I126" s="10">
        <f t="shared" si="3"/>
        <v>3</v>
      </c>
      <c r="Z126" t="s">
        <v>41</v>
      </c>
      <c r="CZ126" t="s">
        <v>41</v>
      </c>
      <c r="EW126" t="s">
        <v>41</v>
      </c>
    </row>
    <row r="127" spans="1:160" x14ac:dyDescent="0.3">
      <c r="A127">
        <v>125</v>
      </c>
      <c r="B127" t="s">
        <v>2271</v>
      </c>
      <c r="C127" s="2" t="s">
        <v>202</v>
      </c>
      <c r="D127" t="s">
        <v>334</v>
      </c>
      <c r="E127">
        <v>2022</v>
      </c>
      <c r="F127" t="s">
        <v>2272</v>
      </c>
      <c r="G127" s="2" t="s">
        <v>202</v>
      </c>
      <c r="H127" t="s">
        <v>2273</v>
      </c>
      <c r="I127" s="10">
        <f t="shared" si="3"/>
        <v>14</v>
      </c>
      <c r="X127" t="s">
        <v>41</v>
      </c>
      <c r="AQ127" t="s">
        <v>41</v>
      </c>
      <c r="CS127" t="s">
        <v>41</v>
      </c>
      <c r="CZ127" t="s">
        <v>41</v>
      </c>
      <c r="DQ127" t="s">
        <v>41</v>
      </c>
      <c r="DR127" t="s">
        <v>41</v>
      </c>
      <c r="EW127" t="s">
        <v>41</v>
      </c>
      <c r="EX127" t="s">
        <v>41</v>
      </c>
      <c r="EY127" t="s">
        <v>41</v>
      </c>
      <c r="EZ127" t="s">
        <v>41</v>
      </c>
      <c r="FA127" t="s">
        <v>41</v>
      </c>
      <c r="FB127" t="s">
        <v>41</v>
      </c>
      <c r="FC127" t="s">
        <v>41</v>
      </c>
      <c r="FD127" t="s">
        <v>41</v>
      </c>
    </row>
    <row r="128" spans="1:160" x14ac:dyDescent="0.3">
      <c r="A128">
        <v>126</v>
      </c>
      <c r="B128" t="s">
        <v>2298</v>
      </c>
      <c r="C128" s="2" t="s">
        <v>202</v>
      </c>
      <c r="D128" t="s">
        <v>1648</v>
      </c>
      <c r="E128">
        <v>2020</v>
      </c>
      <c r="F128" t="s">
        <v>2299</v>
      </c>
      <c r="G128" s="2" t="s">
        <v>202</v>
      </c>
      <c r="H128" t="s">
        <v>2273</v>
      </c>
      <c r="I128" s="10">
        <f t="shared" si="3"/>
        <v>1</v>
      </c>
      <c r="CZ128" t="s">
        <v>41</v>
      </c>
    </row>
    <row r="129" spans="1:162" x14ac:dyDescent="0.3">
      <c r="A129">
        <v>127</v>
      </c>
      <c r="B129" t="s">
        <v>2300</v>
      </c>
      <c r="C129" s="2" t="s">
        <v>202</v>
      </c>
      <c r="D129" t="s">
        <v>1648</v>
      </c>
      <c r="E129">
        <v>2021</v>
      </c>
      <c r="F129" t="s">
        <v>2301</v>
      </c>
      <c r="G129" s="2" t="s">
        <v>202</v>
      </c>
      <c r="H129" t="s">
        <v>2273</v>
      </c>
      <c r="I129" s="10">
        <f t="shared" si="3"/>
        <v>1</v>
      </c>
      <c r="CZ129" t="s">
        <v>41</v>
      </c>
    </row>
    <row r="130" spans="1:162" x14ac:dyDescent="0.3">
      <c r="A130">
        <v>128</v>
      </c>
      <c r="B130" t="s">
        <v>2304</v>
      </c>
      <c r="C130" s="2" t="s">
        <v>202</v>
      </c>
      <c r="D130" t="s">
        <v>334</v>
      </c>
      <c r="E130">
        <v>2022</v>
      </c>
      <c r="F130" t="s">
        <v>2303</v>
      </c>
      <c r="G130" s="2" t="s">
        <v>202</v>
      </c>
      <c r="H130" t="s">
        <v>2302</v>
      </c>
      <c r="I130" s="10">
        <f t="shared" si="3"/>
        <v>1</v>
      </c>
      <c r="O130" t="s">
        <v>41</v>
      </c>
    </row>
    <row r="131" spans="1:162" x14ac:dyDescent="0.3">
      <c r="A131">
        <v>129</v>
      </c>
      <c r="B131" t="s">
        <v>2305</v>
      </c>
      <c r="C131" s="2" t="s">
        <v>202</v>
      </c>
      <c r="D131" t="s">
        <v>334</v>
      </c>
      <c r="E131">
        <v>2020</v>
      </c>
      <c r="F131" t="s">
        <v>2306</v>
      </c>
      <c r="G131" s="2" t="s">
        <v>202</v>
      </c>
      <c r="H131" t="s">
        <v>2302</v>
      </c>
      <c r="I131" s="10">
        <f t="shared" si="3"/>
        <v>1</v>
      </c>
      <c r="AQ131" t="s">
        <v>41</v>
      </c>
    </row>
    <row r="132" spans="1:162" x14ac:dyDescent="0.3">
      <c r="A132">
        <v>130</v>
      </c>
      <c r="B132" t="s">
        <v>2307</v>
      </c>
      <c r="C132" s="2" t="s">
        <v>202</v>
      </c>
      <c r="D132" t="s">
        <v>334</v>
      </c>
      <c r="E132">
        <v>2020</v>
      </c>
      <c r="F132" t="s">
        <v>2308</v>
      </c>
      <c r="G132" s="2" t="s">
        <v>202</v>
      </c>
      <c r="H132" t="s">
        <v>2302</v>
      </c>
      <c r="I132" s="10">
        <f t="shared" si="3"/>
        <v>1</v>
      </c>
      <c r="CZ132" t="s">
        <v>41</v>
      </c>
    </row>
    <row r="133" spans="1:162" x14ac:dyDescent="0.3">
      <c r="A133">
        <v>131</v>
      </c>
      <c r="B133" t="s">
        <v>2312</v>
      </c>
      <c r="C133" s="2" t="s">
        <v>202</v>
      </c>
      <c r="D133" t="s">
        <v>334</v>
      </c>
      <c r="E133">
        <v>2022</v>
      </c>
      <c r="F133" t="s">
        <v>2313</v>
      </c>
      <c r="G133" s="2" t="s">
        <v>202</v>
      </c>
      <c r="H133" t="s">
        <v>2302</v>
      </c>
      <c r="I133" s="10">
        <f t="shared" si="3"/>
        <v>3</v>
      </c>
      <c r="O133" t="s">
        <v>41</v>
      </c>
      <c r="AB133" t="s">
        <v>41</v>
      </c>
      <c r="AD133" t="s">
        <v>41</v>
      </c>
    </row>
    <row r="134" spans="1:162" x14ac:dyDescent="0.3">
      <c r="A134">
        <v>132</v>
      </c>
      <c r="B134" t="s">
        <v>2321</v>
      </c>
      <c r="C134" s="2" t="s">
        <v>202</v>
      </c>
      <c r="D134" t="s">
        <v>334</v>
      </c>
      <c r="E134">
        <v>2021</v>
      </c>
      <c r="F134" t="s">
        <v>2322</v>
      </c>
      <c r="G134" s="2" t="s">
        <v>202</v>
      </c>
      <c r="H134" t="s">
        <v>2302</v>
      </c>
      <c r="I134" s="10">
        <f t="shared" si="3"/>
        <v>2</v>
      </c>
      <c r="EW134" t="s">
        <v>41</v>
      </c>
      <c r="FC134" t="s">
        <v>41</v>
      </c>
    </row>
    <row r="135" spans="1:162" x14ac:dyDescent="0.3">
      <c r="A135" t="s">
        <v>1063</v>
      </c>
      <c r="I135" s="9">
        <f>SUM(I3:I134)</f>
        <v>485</v>
      </c>
      <c r="J135">
        <f t="shared" ref="J135:AO135" si="4">COUNTIF(J3:J134,"x")</f>
        <v>5</v>
      </c>
      <c r="K135">
        <f t="shared" si="4"/>
        <v>19</v>
      </c>
      <c r="L135">
        <f t="shared" si="4"/>
        <v>1</v>
      </c>
      <c r="M135">
        <f t="shared" si="4"/>
        <v>4</v>
      </c>
      <c r="N135">
        <f t="shared" si="4"/>
        <v>10</v>
      </c>
      <c r="O135">
        <f t="shared" si="4"/>
        <v>31</v>
      </c>
      <c r="P135">
        <f t="shared" si="4"/>
        <v>5</v>
      </c>
      <c r="Q135">
        <f t="shared" si="4"/>
        <v>9</v>
      </c>
      <c r="R135">
        <f t="shared" si="4"/>
        <v>2</v>
      </c>
      <c r="S135">
        <f t="shared" si="4"/>
        <v>1</v>
      </c>
      <c r="T135">
        <f t="shared" si="4"/>
        <v>4</v>
      </c>
      <c r="U135">
        <f t="shared" si="4"/>
        <v>2</v>
      </c>
      <c r="V135">
        <f t="shared" si="4"/>
        <v>7</v>
      </c>
      <c r="W135">
        <f t="shared" si="4"/>
        <v>11</v>
      </c>
      <c r="X135">
        <f t="shared" si="4"/>
        <v>8</v>
      </c>
      <c r="Y135">
        <f t="shared" si="4"/>
        <v>2</v>
      </c>
      <c r="Z135">
        <f t="shared" si="4"/>
        <v>11</v>
      </c>
      <c r="AA135">
        <f t="shared" si="4"/>
        <v>5</v>
      </c>
      <c r="AB135">
        <f t="shared" si="4"/>
        <v>41</v>
      </c>
      <c r="AC135">
        <f t="shared" si="4"/>
        <v>6</v>
      </c>
      <c r="AD135">
        <f t="shared" si="4"/>
        <v>21</v>
      </c>
      <c r="AE135">
        <f t="shared" si="4"/>
        <v>5</v>
      </c>
      <c r="AF135">
        <f t="shared" si="4"/>
        <v>5</v>
      </c>
      <c r="AG135">
        <f t="shared" si="4"/>
        <v>7</v>
      </c>
      <c r="AH135">
        <f t="shared" si="4"/>
        <v>1</v>
      </c>
      <c r="AI135">
        <f t="shared" si="4"/>
        <v>1</v>
      </c>
      <c r="AJ135">
        <f t="shared" si="4"/>
        <v>1</v>
      </c>
      <c r="AK135">
        <f t="shared" si="4"/>
        <v>1</v>
      </c>
      <c r="AL135">
        <f t="shared" si="4"/>
        <v>3</v>
      </c>
      <c r="AM135">
        <f t="shared" si="4"/>
        <v>2</v>
      </c>
      <c r="AN135">
        <f t="shared" si="4"/>
        <v>1</v>
      </c>
      <c r="AO135">
        <f t="shared" si="4"/>
        <v>1</v>
      </c>
      <c r="AP135">
        <f t="shared" ref="AP135:BU135" si="5">COUNTIF(AP3:AP134,"x")</f>
        <v>5</v>
      </c>
      <c r="AQ135">
        <f t="shared" si="5"/>
        <v>4</v>
      </c>
      <c r="AR135">
        <f t="shared" si="5"/>
        <v>15</v>
      </c>
      <c r="AS135">
        <f t="shared" si="5"/>
        <v>1</v>
      </c>
      <c r="AT135">
        <f t="shared" si="5"/>
        <v>1</v>
      </c>
      <c r="AU135">
        <f t="shared" si="5"/>
        <v>2</v>
      </c>
      <c r="AV135">
        <f t="shared" si="5"/>
        <v>3</v>
      </c>
      <c r="AW135">
        <f t="shared" si="5"/>
        <v>5</v>
      </c>
      <c r="AX135">
        <f t="shared" si="5"/>
        <v>2</v>
      </c>
      <c r="AY135">
        <f t="shared" si="5"/>
        <v>1</v>
      </c>
      <c r="AZ135">
        <f t="shared" si="5"/>
        <v>1</v>
      </c>
      <c r="BA135">
        <f t="shared" si="5"/>
        <v>7</v>
      </c>
      <c r="BB135">
        <f t="shared" si="5"/>
        <v>2</v>
      </c>
      <c r="BC135">
        <f t="shared" si="5"/>
        <v>3</v>
      </c>
      <c r="BD135">
        <f t="shared" si="5"/>
        <v>1</v>
      </c>
      <c r="BE135">
        <f t="shared" si="5"/>
        <v>2</v>
      </c>
      <c r="BF135">
        <f t="shared" si="5"/>
        <v>1</v>
      </c>
      <c r="BG135">
        <f t="shared" si="5"/>
        <v>1</v>
      </c>
      <c r="BH135">
        <f t="shared" si="5"/>
        <v>1</v>
      </c>
      <c r="BI135">
        <f t="shared" si="5"/>
        <v>4</v>
      </c>
      <c r="BJ135">
        <f t="shared" si="5"/>
        <v>4</v>
      </c>
      <c r="BK135">
        <f t="shared" si="5"/>
        <v>4</v>
      </c>
      <c r="BL135">
        <f t="shared" si="5"/>
        <v>1</v>
      </c>
      <c r="BM135">
        <f t="shared" si="5"/>
        <v>1</v>
      </c>
      <c r="BN135">
        <f t="shared" si="5"/>
        <v>4</v>
      </c>
      <c r="BO135">
        <f t="shared" si="5"/>
        <v>1</v>
      </c>
      <c r="BP135">
        <f t="shared" si="5"/>
        <v>1</v>
      </c>
      <c r="BQ135">
        <f t="shared" si="5"/>
        <v>1</v>
      </c>
      <c r="BR135">
        <f t="shared" si="5"/>
        <v>1</v>
      </c>
      <c r="BS135">
        <f t="shared" si="5"/>
        <v>2</v>
      </c>
      <c r="BT135">
        <f t="shared" si="5"/>
        <v>3</v>
      </c>
      <c r="BU135">
        <f t="shared" si="5"/>
        <v>1</v>
      </c>
      <c r="BV135">
        <f t="shared" ref="BV135:DA135" si="6">COUNTIF(BV3:BV134,"x")</f>
        <v>4</v>
      </c>
      <c r="BW135">
        <f t="shared" si="6"/>
        <v>5</v>
      </c>
      <c r="BX135">
        <f t="shared" si="6"/>
        <v>1</v>
      </c>
      <c r="BY135">
        <f t="shared" si="6"/>
        <v>1</v>
      </c>
      <c r="BZ135">
        <f t="shared" si="6"/>
        <v>2</v>
      </c>
      <c r="CA135">
        <f t="shared" si="6"/>
        <v>1</v>
      </c>
      <c r="CB135">
        <f t="shared" si="6"/>
        <v>1</v>
      </c>
      <c r="CC135">
        <f t="shared" si="6"/>
        <v>2</v>
      </c>
      <c r="CD135">
        <f t="shared" si="6"/>
        <v>2</v>
      </c>
      <c r="CE135">
        <f t="shared" si="6"/>
        <v>6</v>
      </c>
      <c r="CF135">
        <f t="shared" si="6"/>
        <v>2</v>
      </c>
      <c r="CG135">
        <f t="shared" si="6"/>
        <v>1</v>
      </c>
      <c r="CH135">
        <f t="shared" si="6"/>
        <v>2</v>
      </c>
      <c r="CI135">
        <f t="shared" si="6"/>
        <v>4</v>
      </c>
      <c r="CJ135">
        <f t="shared" si="6"/>
        <v>7</v>
      </c>
      <c r="CK135">
        <f t="shared" si="6"/>
        <v>1</v>
      </c>
      <c r="CL135">
        <f t="shared" si="6"/>
        <v>4</v>
      </c>
      <c r="CM135">
        <f t="shared" si="6"/>
        <v>5</v>
      </c>
      <c r="CN135">
        <f t="shared" si="6"/>
        <v>5</v>
      </c>
      <c r="CO135">
        <f t="shared" si="6"/>
        <v>4</v>
      </c>
      <c r="CP135">
        <f t="shared" si="6"/>
        <v>13</v>
      </c>
      <c r="CQ135">
        <f t="shared" si="6"/>
        <v>8</v>
      </c>
      <c r="CR135">
        <f t="shared" si="6"/>
        <v>1</v>
      </c>
      <c r="CS135">
        <f t="shared" si="6"/>
        <v>3</v>
      </c>
      <c r="CT135">
        <f t="shared" si="6"/>
        <v>2</v>
      </c>
      <c r="CU135">
        <f t="shared" si="6"/>
        <v>2</v>
      </c>
      <c r="CV135">
        <f t="shared" si="6"/>
        <v>1</v>
      </c>
      <c r="CW135">
        <f t="shared" si="6"/>
        <v>2</v>
      </c>
      <c r="CX135">
        <f t="shared" si="6"/>
        <v>1</v>
      </c>
      <c r="CY135">
        <f t="shared" si="6"/>
        <v>1</v>
      </c>
      <c r="CZ135">
        <f t="shared" si="6"/>
        <v>8</v>
      </c>
      <c r="DA135">
        <f t="shared" si="6"/>
        <v>1</v>
      </c>
      <c r="DB135">
        <f t="shared" ref="DB135:EG135" si="7">COUNTIF(DB3:DB134,"x")</f>
        <v>1</v>
      </c>
      <c r="DC135">
        <f t="shared" si="7"/>
        <v>1</v>
      </c>
      <c r="DD135">
        <f t="shared" si="7"/>
        <v>1</v>
      </c>
      <c r="DE135">
        <f t="shared" si="7"/>
        <v>1</v>
      </c>
      <c r="DF135">
        <f t="shared" si="7"/>
        <v>1</v>
      </c>
      <c r="DG135">
        <f t="shared" si="7"/>
        <v>1</v>
      </c>
      <c r="DH135">
        <f t="shared" si="7"/>
        <v>1</v>
      </c>
      <c r="DI135">
        <f t="shared" si="7"/>
        <v>1</v>
      </c>
      <c r="DJ135">
        <f t="shared" si="7"/>
        <v>1</v>
      </c>
      <c r="DK135">
        <f t="shared" si="7"/>
        <v>1</v>
      </c>
      <c r="DL135">
        <f t="shared" si="7"/>
        <v>2</v>
      </c>
      <c r="DM135">
        <f t="shared" si="7"/>
        <v>1</v>
      </c>
      <c r="DN135">
        <f t="shared" si="7"/>
        <v>1</v>
      </c>
      <c r="DO135">
        <f t="shared" si="7"/>
        <v>1</v>
      </c>
      <c r="DP135">
        <f t="shared" si="7"/>
        <v>2</v>
      </c>
      <c r="DQ135">
        <f t="shared" si="7"/>
        <v>2</v>
      </c>
      <c r="DR135">
        <f t="shared" si="7"/>
        <v>3</v>
      </c>
      <c r="DS135">
        <f t="shared" si="7"/>
        <v>1</v>
      </c>
      <c r="DT135">
        <f t="shared" si="7"/>
        <v>1</v>
      </c>
      <c r="DU135">
        <f t="shared" si="7"/>
        <v>1</v>
      </c>
      <c r="DV135">
        <f t="shared" si="7"/>
        <v>1</v>
      </c>
      <c r="DW135">
        <f t="shared" si="7"/>
        <v>1</v>
      </c>
      <c r="DX135">
        <f t="shared" si="7"/>
        <v>1</v>
      </c>
      <c r="DY135">
        <f t="shared" si="7"/>
        <v>1</v>
      </c>
      <c r="DZ135">
        <f t="shared" si="7"/>
        <v>1</v>
      </c>
      <c r="EA135">
        <f t="shared" si="7"/>
        <v>1</v>
      </c>
      <c r="EB135">
        <f t="shared" si="7"/>
        <v>1</v>
      </c>
      <c r="EC135">
        <f t="shared" si="7"/>
        <v>1</v>
      </c>
      <c r="ED135">
        <f t="shared" si="7"/>
        <v>1</v>
      </c>
      <c r="EE135">
        <f t="shared" si="7"/>
        <v>1</v>
      </c>
      <c r="EF135">
        <f t="shared" si="7"/>
        <v>1</v>
      </c>
      <c r="EG135">
        <f t="shared" si="7"/>
        <v>1</v>
      </c>
      <c r="EH135">
        <f t="shared" ref="EH135:FF135" si="8">COUNTIF(EH3:EH134,"x")</f>
        <v>1</v>
      </c>
      <c r="EI135">
        <f t="shared" si="8"/>
        <v>1</v>
      </c>
      <c r="EJ135">
        <f t="shared" si="8"/>
        <v>1</v>
      </c>
      <c r="EK135">
        <f t="shared" si="8"/>
        <v>1</v>
      </c>
      <c r="EL135">
        <f t="shared" si="8"/>
        <v>1</v>
      </c>
      <c r="EM135">
        <f t="shared" si="8"/>
        <v>1</v>
      </c>
      <c r="EN135">
        <f t="shared" si="8"/>
        <v>1</v>
      </c>
      <c r="EO135">
        <f t="shared" si="8"/>
        <v>1</v>
      </c>
      <c r="EP135">
        <f t="shared" si="8"/>
        <v>1</v>
      </c>
      <c r="EQ135">
        <f t="shared" si="8"/>
        <v>1</v>
      </c>
      <c r="ER135">
        <f t="shared" si="8"/>
        <v>1</v>
      </c>
      <c r="ES135">
        <f t="shared" si="8"/>
        <v>1</v>
      </c>
      <c r="ET135">
        <f t="shared" si="8"/>
        <v>1</v>
      </c>
      <c r="EU135">
        <f t="shared" si="8"/>
        <v>1</v>
      </c>
      <c r="EV135">
        <f t="shared" si="8"/>
        <v>1</v>
      </c>
      <c r="EW135">
        <f t="shared" si="8"/>
        <v>3</v>
      </c>
      <c r="EX135">
        <f t="shared" si="8"/>
        <v>1</v>
      </c>
      <c r="EY135">
        <f t="shared" si="8"/>
        <v>1</v>
      </c>
      <c r="EZ135">
        <f t="shared" si="8"/>
        <v>1</v>
      </c>
      <c r="FA135">
        <f t="shared" si="8"/>
        <v>1</v>
      </c>
      <c r="FB135">
        <f t="shared" si="8"/>
        <v>1</v>
      </c>
      <c r="FC135">
        <f t="shared" si="8"/>
        <v>2</v>
      </c>
      <c r="FD135">
        <f t="shared" si="8"/>
        <v>1</v>
      </c>
      <c r="FE135" s="53">
        <f t="shared" si="8"/>
        <v>0</v>
      </c>
      <c r="FF135" s="53">
        <f t="shared" si="8"/>
        <v>0</v>
      </c>
    </row>
    <row r="137" spans="1:162" x14ac:dyDescent="0.3">
      <c r="I137" t="s">
        <v>1421</v>
      </c>
      <c r="J137" s="26" t="s">
        <v>214</v>
      </c>
      <c r="K137" s="26" t="s">
        <v>215</v>
      </c>
      <c r="L137" s="26" t="s">
        <v>216</v>
      </c>
      <c r="M137" s="26" t="s">
        <v>220</v>
      </c>
      <c r="N137" s="26" t="s">
        <v>223</v>
      </c>
      <c r="O137" s="26" t="s">
        <v>1605</v>
      </c>
      <c r="P137" s="26" t="s">
        <v>253</v>
      </c>
      <c r="Q137" s="26" t="s">
        <v>297</v>
      </c>
      <c r="R137" s="26" t="s">
        <v>298</v>
      </c>
      <c r="S137" s="26" t="s">
        <v>299</v>
      </c>
      <c r="T137" s="26" t="s">
        <v>300</v>
      </c>
      <c r="U137" s="26" t="s">
        <v>301</v>
      </c>
      <c r="V137" s="26" t="s">
        <v>385</v>
      </c>
      <c r="W137" s="26" t="s">
        <v>386</v>
      </c>
      <c r="X137" s="26" t="s">
        <v>449</v>
      </c>
      <c r="Y137" s="26" t="s">
        <v>450</v>
      </c>
      <c r="Z137" s="26" t="s">
        <v>451</v>
      </c>
      <c r="AA137" s="26" t="s">
        <v>455</v>
      </c>
      <c r="AB137" s="26" t="s">
        <v>452</v>
      </c>
      <c r="AC137" s="26" t="s">
        <v>456</v>
      </c>
      <c r="AD137" s="26" t="s">
        <v>453</v>
      </c>
      <c r="AE137" s="26" t="s">
        <v>457</v>
      </c>
      <c r="AF137" s="26" t="s">
        <v>458</v>
      </c>
      <c r="AG137" s="26" t="s">
        <v>460</v>
      </c>
      <c r="AH137" s="26" t="s">
        <v>461</v>
      </c>
      <c r="AI137" s="26" t="s">
        <v>462</v>
      </c>
      <c r="AJ137" s="26" t="s">
        <v>463</v>
      </c>
      <c r="AK137" s="26" t="s">
        <v>465</v>
      </c>
      <c r="AL137" s="26" t="s">
        <v>466</v>
      </c>
      <c r="AM137" s="26" t="s">
        <v>471</v>
      </c>
      <c r="AN137" s="26" t="s">
        <v>472</v>
      </c>
      <c r="AO137" s="26" t="s">
        <v>2021</v>
      </c>
      <c r="AP137" s="26" t="s">
        <v>475</v>
      </c>
      <c r="AQ137" s="26" t="s">
        <v>485</v>
      </c>
      <c r="AR137" s="26" t="s">
        <v>105</v>
      </c>
      <c r="AS137" s="26" t="s">
        <v>490</v>
      </c>
      <c r="AT137" s="26" t="s">
        <v>491</v>
      </c>
      <c r="AU137" s="26" t="s">
        <v>492</v>
      </c>
      <c r="AV137" s="26" t="s">
        <v>493</v>
      </c>
      <c r="AW137" s="26" t="s">
        <v>494</v>
      </c>
      <c r="AX137" s="26" t="s">
        <v>495</v>
      </c>
      <c r="AY137" s="26" t="s">
        <v>496</v>
      </c>
      <c r="AZ137" s="26" t="s">
        <v>497</v>
      </c>
      <c r="BA137" s="26" t="s">
        <v>498</v>
      </c>
      <c r="BB137" s="26" t="s">
        <v>499</v>
      </c>
      <c r="BC137" s="26" t="s">
        <v>500</v>
      </c>
      <c r="BD137" s="26" t="s">
        <v>501</v>
      </c>
      <c r="BE137" s="26" t="s">
        <v>502</v>
      </c>
      <c r="BF137" s="26" t="s">
        <v>503</v>
      </c>
      <c r="BG137" s="26" t="s">
        <v>504</v>
      </c>
      <c r="BH137" s="26" t="s">
        <v>505</v>
      </c>
      <c r="BI137" s="26" t="s">
        <v>506</v>
      </c>
      <c r="BJ137" s="26" t="s">
        <v>507</v>
      </c>
      <c r="BK137" s="26" t="s">
        <v>508</v>
      </c>
      <c r="BL137" s="26" t="s">
        <v>509</v>
      </c>
      <c r="BM137" s="26" t="s">
        <v>510</v>
      </c>
      <c r="BN137" s="26" t="s">
        <v>2410</v>
      </c>
      <c r="BO137" s="26" t="s">
        <v>511</v>
      </c>
      <c r="BP137" s="26" t="s">
        <v>515</v>
      </c>
      <c r="BQ137" s="26" t="s">
        <v>516</v>
      </c>
      <c r="BR137" s="26" t="s">
        <v>517</v>
      </c>
      <c r="BS137" s="26" t="s">
        <v>2411</v>
      </c>
      <c r="BT137" s="26" t="s">
        <v>146</v>
      </c>
      <c r="BU137" s="26" t="s">
        <v>2412</v>
      </c>
      <c r="BV137" s="26" t="s">
        <v>518</v>
      </c>
      <c r="BW137" s="26" t="s">
        <v>519</v>
      </c>
      <c r="BX137" s="26" t="s">
        <v>2076</v>
      </c>
      <c r="BY137" s="26" t="s">
        <v>529</v>
      </c>
      <c r="BZ137" s="26" t="s">
        <v>530</v>
      </c>
      <c r="CA137" s="26" t="s">
        <v>1013</v>
      </c>
      <c r="CB137" s="26" t="s">
        <v>1014</v>
      </c>
      <c r="CC137" s="26" t="s">
        <v>1079</v>
      </c>
      <c r="CD137" s="26" t="s">
        <v>1082</v>
      </c>
      <c r="CE137" s="26" t="s">
        <v>1086</v>
      </c>
      <c r="CF137" s="26" t="s">
        <v>45</v>
      </c>
      <c r="CG137" s="26" t="s">
        <v>139</v>
      </c>
      <c r="CH137" s="26" t="s">
        <v>140</v>
      </c>
      <c r="CI137" s="26" t="s">
        <v>779</v>
      </c>
      <c r="CJ137" s="26" t="s">
        <v>1447</v>
      </c>
      <c r="CK137" s="26" t="s">
        <v>1437</v>
      </c>
      <c r="CL137" s="26" t="s">
        <v>1438</v>
      </c>
      <c r="CM137" s="26" t="s">
        <v>1439</v>
      </c>
      <c r="CN137" s="26" t="s">
        <v>1445</v>
      </c>
      <c r="CO137" s="26" t="s">
        <v>1428</v>
      </c>
      <c r="CP137" s="26" t="s">
        <v>1456</v>
      </c>
      <c r="CQ137" s="26" t="s">
        <v>1463</v>
      </c>
      <c r="CR137" s="26" t="s">
        <v>1464</v>
      </c>
      <c r="CS137" s="26" t="s">
        <v>2106</v>
      </c>
      <c r="CT137" s="26" t="s">
        <v>1474</v>
      </c>
      <c r="CU137" s="26" t="s">
        <v>268</v>
      </c>
      <c r="CV137" s="26" t="s">
        <v>1488</v>
      </c>
      <c r="CW137" s="26" t="s">
        <v>1497</v>
      </c>
      <c r="CX137" s="26" t="s">
        <v>1503</v>
      </c>
      <c r="CY137" s="26" t="s">
        <v>1510</v>
      </c>
      <c r="CZ137" s="26" t="s">
        <v>1517</v>
      </c>
      <c r="DA137" s="26" t="s">
        <v>1529</v>
      </c>
      <c r="DB137" s="26" t="s">
        <v>1536</v>
      </c>
      <c r="DC137" s="26" t="s">
        <v>1537</v>
      </c>
      <c r="DD137" s="26" t="s">
        <v>1538</v>
      </c>
      <c r="DE137" s="26" t="s">
        <v>1540</v>
      </c>
      <c r="DF137" s="26" t="s">
        <v>1541</v>
      </c>
      <c r="DG137" s="26" t="s">
        <v>1542</v>
      </c>
      <c r="DH137" s="26" t="s">
        <v>1543</v>
      </c>
      <c r="DI137" s="26" t="s">
        <v>1544</v>
      </c>
      <c r="DJ137" s="26" t="s">
        <v>1545</v>
      </c>
      <c r="DK137" s="26" t="s">
        <v>1546</v>
      </c>
      <c r="DL137" s="26" t="s">
        <v>1547</v>
      </c>
      <c r="DM137" s="26" t="s">
        <v>1548</v>
      </c>
      <c r="DN137" s="26" t="s">
        <v>1592</v>
      </c>
      <c r="DO137" s="26" t="s">
        <v>1595</v>
      </c>
      <c r="DP137" s="26" t="s">
        <v>1596</v>
      </c>
      <c r="DQ137" s="26" t="s">
        <v>1622</v>
      </c>
      <c r="DR137" s="26" t="s">
        <v>1650</v>
      </c>
      <c r="DS137" s="26" t="s">
        <v>1651</v>
      </c>
      <c r="DT137" s="26" t="s">
        <v>1663</v>
      </c>
      <c r="DU137" s="26" t="s">
        <v>1665</v>
      </c>
      <c r="DV137" s="26" t="s">
        <v>1667</v>
      </c>
      <c r="DW137" s="26" t="s">
        <v>1668</v>
      </c>
      <c r="DX137" s="26" t="s">
        <v>1670</v>
      </c>
      <c r="DY137" s="26" t="s">
        <v>1672</v>
      </c>
      <c r="DZ137" s="26" t="s">
        <v>1678</v>
      </c>
      <c r="EA137" s="26" t="s">
        <v>1681</v>
      </c>
      <c r="EB137" s="26" t="s">
        <v>1683</v>
      </c>
      <c r="EC137" s="26" t="s">
        <v>1685</v>
      </c>
      <c r="ED137" s="26" t="s">
        <v>1688</v>
      </c>
      <c r="EE137" s="26" t="s">
        <v>1690</v>
      </c>
      <c r="EF137" s="26" t="s">
        <v>1691</v>
      </c>
      <c r="EG137" s="26" t="s">
        <v>1738</v>
      </c>
      <c r="EH137" s="33" t="s">
        <v>2023</v>
      </c>
      <c r="EI137" s="33" t="s">
        <v>2149</v>
      </c>
      <c r="EJ137" s="33" t="s">
        <v>2150</v>
      </c>
      <c r="EK137" s="33" t="s">
        <v>2155</v>
      </c>
      <c r="EL137" s="33" t="s">
        <v>2159</v>
      </c>
      <c r="EM137" s="33" t="s">
        <v>2163</v>
      </c>
      <c r="EN137" s="33" t="s">
        <v>2166</v>
      </c>
      <c r="EO137" s="33" t="s">
        <v>2170</v>
      </c>
      <c r="EP137" s="33" t="s">
        <v>2175</v>
      </c>
      <c r="EQ137" s="33" t="s">
        <v>2179</v>
      </c>
      <c r="ER137" s="33" t="s">
        <v>2183</v>
      </c>
      <c r="ES137" s="33" t="s">
        <v>2188</v>
      </c>
      <c r="ET137" s="33" t="s">
        <v>2191</v>
      </c>
      <c r="EU137" s="33" t="s">
        <v>2194</v>
      </c>
      <c r="EV137" s="33" t="s">
        <v>2195</v>
      </c>
      <c r="EW137" s="33" t="s">
        <v>2248</v>
      </c>
      <c r="EX137" s="33" t="s">
        <v>2274</v>
      </c>
      <c r="EY137" s="33" t="s">
        <v>2275</v>
      </c>
      <c r="EZ137" s="33" t="s">
        <v>2276</v>
      </c>
      <c r="FA137" s="33" t="s">
        <v>2277</v>
      </c>
      <c r="FB137" s="33" t="s">
        <v>2278</v>
      </c>
      <c r="FC137" s="33" t="s">
        <v>2279</v>
      </c>
      <c r="FD137" s="33" t="s">
        <v>2280</v>
      </c>
      <c r="FE137" s="33" t="s">
        <v>2373</v>
      </c>
      <c r="FF137" s="33" t="s">
        <v>2374</v>
      </c>
    </row>
    <row r="138" spans="1:162" x14ac:dyDescent="0.3">
      <c r="I138" t="s">
        <v>1237</v>
      </c>
      <c r="J138" s="2" t="s">
        <v>202</v>
      </c>
      <c r="K138" t="s">
        <v>1814</v>
      </c>
      <c r="L138" s="2" t="s">
        <v>202</v>
      </c>
      <c r="M138" t="s">
        <v>1855</v>
      </c>
      <c r="N138" t="s">
        <v>1874</v>
      </c>
      <c r="O138" t="s">
        <v>1817</v>
      </c>
      <c r="P138" t="s">
        <v>1974</v>
      </c>
      <c r="Q138" t="s">
        <v>1821</v>
      </c>
      <c r="R138" t="s">
        <v>1858</v>
      </c>
      <c r="S138" t="s">
        <v>1859</v>
      </c>
      <c r="T138" t="s">
        <v>1553</v>
      </c>
      <c r="U138" t="s">
        <v>1825</v>
      </c>
      <c r="V138" t="s">
        <v>1877</v>
      </c>
      <c r="W138" t="s">
        <v>1880</v>
      </c>
      <c r="X138" t="s">
        <v>1837</v>
      </c>
      <c r="Y138" t="s">
        <v>1934</v>
      </c>
      <c r="Z138" t="s">
        <v>1830</v>
      </c>
      <c r="AA138" s="2" t="s">
        <v>202</v>
      </c>
      <c r="AB138" t="s">
        <v>1828</v>
      </c>
      <c r="AC138" t="s">
        <v>1853</v>
      </c>
      <c r="AD138" t="s">
        <v>1848</v>
      </c>
      <c r="AE138" t="s">
        <v>1845</v>
      </c>
      <c r="AF138" t="s">
        <v>1843</v>
      </c>
      <c r="AG138" t="s">
        <v>1833</v>
      </c>
      <c r="AH138" t="s">
        <v>1851</v>
      </c>
      <c r="AI138" t="s">
        <v>2010</v>
      </c>
      <c r="AJ138" t="s">
        <v>1939</v>
      </c>
      <c r="AK138" t="s">
        <v>1834</v>
      </c>
      <c r="AL138" t="s">
        <v>2017</v>
      </c>
      <c r="AM138" s="2" t="s">
        <v>202</v>
      </c>
      <c r="AN138" s="2" t="s">
        <v>202</v>
      </c>
      <c r="AO138" s="2" t="s">
        <v>202</v>
      </c>
      <c r="AP138" t="s">
        <v>1693</v>
      </c>
      <c r="AQ138" t="s">
        <v>2024</v>
      </c>
      <c r="AR138" t="s">
        <v>1913</v>
      </c>
      <c r="AS138" t="s">
        <v>1862</v>
      </c>
      <c r="AT138" t="s">
        <v>1864</v>
      </c>
      <c r="AU138" t="s">
        <v>1917</v>
      </c>
      <c r="AV138" t="s">
        <v>1921</v>
      </c>
      <c r="AW138" t="s">
        <v>2028</v>
      </c>
      <c r="AX138" t="s">
        <v>1840</v>
      </c>
      <c r="AY138" t="s">
        <v>2049</v>
      </c>
      <c r="AZ138" t="s">
        <v>2052</v>
      </c>
      <c r="BA138" t="s">
        <v>1869</v>
      </c>
      <c r="BB138" t="s">
        <v>1924</v>
      </c>
      <c r="BC138" t="s">
        <v>1943</v>
      </c>
      <c r="BD138" t="s">
        <v>1947</v>
      </c>
      <c r="BE138" t="s">
        <v>1871</v>
      </c>
      <c r="BF138" t="s">
        <v>2030</v>
      </c>
      <c r="BG138" t="s">
        <v>2033</v>
      </c>
      <c r="BH138" t="s">
        <v>2056</v>
      </c>
      <c r="BI138" t="s">
        <v>2037</v>
      </c>
      <c r="BJ138" t="s">
        <v>1694</v>
      </c>
      <c r="BK138" t="s">
        <v>1987</v>
      </c>
      <c r="BL138" t="s">
        <v>2040</v>
      </c>
      <c r="BM138" t="s">
        <v>1989</v>
      </c>
      <c r="BN138" t="s">
        <v>1981</v>
      </c>
      <c r="BO138" t="s">
        <v>2060</v>
      </c>
      <c r="BP138" t="s">
        <v>2043</v>
      </c>
      <c r="BQ138" t="s">
        <v>2066</v>
      </c>
      <c r="BR138" t="s">
        <v>2064</v>
      </c>
      <c r="BS138" t="s">
        <v>1910</v>
      </c>
      <c r="BT138" s="2" t="s">
        <v>202</v>
      </c>
      <c r="BU138" s="2" t="s">
        <v>2071</v>
      </c>
      <c r="BV138" t="s">
        <v>1556</v>
      </c>
      <c r="BW138" t="s">
        <v>2073</v>
      </c>
      <c r="BX138" t="s">
        <v>2077</v>
      </c>
      <c r="BY138" s="2" t="s">
        <v>202</v>
      </c>
      <c r="BZ138" s="2" t="s">
        <v>202</v>
      </c>
      <c r="CA138" s="2" t="s">
        <v>202</v>
      </c>
      <c r="CB138" s="2" t="s">
        <v>202</v>
      </c>
      <c r="CC138" t="s">
        <v>1950</v>
      </c>
      <c r="CD138" t="s">
        <v>1953</v>
      </c>
      <c r="CE138" t="s">
        <v>1958</v>
      </c>
      <c r="CF138" s="2" t="s">
        <v>202</v>
      </c>
      <c r="CG138" s="2" t="s">
        <v>202</v>
      </c>
      <c r="CH138" s="2" t="s">
        <v>202</v>
      </c>
      <c r="CI138" s="2" t="s">
        <v>202</v>
      </c>
      <c r="CJ138" s="2" t="s">
        <v>202</v>
      </c>
      <c r="CK138" s="2" t="s">
        <v>202</v>
      </c>
      <c r="CL138" t="s">
        <v>1687</v>
      </c>
      <c r="CM138" s="2" t="s">
        <v>2096</v>
      </c>
      <c r="CN138" s="2" t="s">
        <v>202</v>
      </c>
      <c r="CO138" s="2" t="s">
        <v>202</v>
      </c>
      <c r="CP138" t="s">
        <v>1900</v>
      </c>
      <c r="CQ138" t="s">
        <v>1903</v>
      </c>
      <c r="CR138" t="s">
        <v>2102</v>
      </c>
      <c r="CS138" t="s">
        <v>2107</v>
      </c>
      <c r="CT138" t="s">
        <v>1680</v>
      </c>
      <c r="CU138" s="2" t="s">
        <v>202</v>
      </c>
      <c r="CV138" s="2" t="s">
        <v>202</v>
      </c>
      <c r="CW138" t="s">
        <v>2112</v>
      </c>
      <c r="CX138" s="2" t="s">
        <v>202</v>
      </c>
      <c r="CY138" t="s">
        <v>2003</v>
      </c>
      <c r="CZ138" t="s">
        <v>2250</v>
      </c>
      <c r="DA138" t="s">
        <v>1932</v>
      </c>
      <c r="DB138" t="s">
        <v>2001</v>
      </c>
      <c r="DC138" t="s">
        <v>1561</v>
      </c>
      <c r="DD138" t="s">
        <v>1560</v>
      </c>
      <c r="DE138" t="s">
        <v>1559</v>
      </c>
      <c r="DF138" t="s">
        <v>1558</v>
      </c>
      <c r="DG138" t="s">
        <v>1557</v>
      </c>
      <c r="DH138" t="s">
        <v>1555</v>
      </c>
      <c r="DI138" t="s">
        <v>1554</v>
      </c>
      <c r="DJ138" t="s">
        <v>1552</v>
      </c>
      <c r="DK138" t="s">
        <v>1551</v>
      </c>
      <c r="DL138" t="s">
        <v>1550</v>
      </c>
      <c r="DM138" t="s">
        <v>1549</v>
      </c>
      <c r="DN138" t="s">
        <v>1992</v>
      </c>
      <c r="DO138" t="s">
        <v>1598</v>
      </c>
      <c r="DP138" t="s">
        <v>1597</v>
      </c>
      <c r="DQ138" s="2" t="s">
        <v>202</v>
      </c>
      <c r="DR138" s="30" t="s">
        <v>2128</v>
      </c>
      <c r="DS138" s="30" t="s">
        <v>2128</v>
      </c>
      <c r="DT138" s="2" t="s">
        <v>202</v>
      </c>
      <c r="DU138" t="s">
        <v>1664</v>
      </c>
      <c r="DV138" t="s">
        <v>1666</v>
      </c>
      <c r="DW138" t="s">
        <v>1669</v>
      </c>
      <c r="DX138" t="s">
        <v>1671</v>
      </c>
      <c r="DY138" t="s">
        <v>1673</v>
      </c>
      <c r="DZ138" t="s">
        <v>2137</v>
      </c>
      <c r="EA138" t="s">
        <v>1682</v>
      </c>
      <c r="EB138" t="s">
        <v>1684</v>
      </c>
      <c r="EC138" t="s">
        <v>2143</v>
      </c>
      <c r="ED138" t="s">
        <v>1689</v>
      </c>
      <c r="EE138" t="s">
        <v>1867</v>
      </c>
      <c r="EF138" t="s">
        <v>1692</v>
      </c>
      <c r="EG138" t="s">
        <v>1739</v>
      </c>
      <c r="EH138" s="2" t="s">
        <v>202</v>
      </c>
      <c r="EI138" t="s">
        <v>2148</v>
      </c>
      <c r="EJ138" t="s">
        <v>2151</v>
      </c>
      <c r="EK138" t="s">
        <v>2154</v>
      </c>
      <c r="EL138" t="s">
        <v>2160</v>
      </c>
      <c r="EM138" t="s">
        <v>2164</v>
      </c>
      <c r="EN138" t="s">
        <v>2167</v>
      </c>
      <c r="EO138" t="s">
        <v>2171</v>
      </c>
      <c r="EP138" t="s">
        <v>2176</v>
      </c>
      <c r="EQ138" t="s">
        <v>2180</v>
      </c>
      <c r="ER138" t="s">
        <v>2184</v>
      </c>
      <c r="ES138" t="s">
        <v>2187</v>
      </c>
      <c r="ET138" t="s">
        <v>2192</v>
      </c>
      <c r="EU138" s="2" t="s">
        <v>202</v>
      </c>
      <c r="EV138" s="2" t="s">
        <v>202</v>
      </c>
      <c r="EW138" t="s">
        <v>2245</v>
      </c>
      <c r="EX138" s="2" t="s">
        <v>202</v>
      </c>
      <c r="EY138" t="s">
        <v>2283</v>
      </c>
      <c r="EZ138" t="s">
        <v>2286</v>
      </c>
      <c r="FA138" t="s">
        <v>2288</v>
      </c>
      <c r="FB138" s="35" t="s">
        <v>2291</v>
      </c>
      <c r="FC138" t="s">
        <v>2293</v>
      </c>
      <c r="FD138" t="s">
        <v>2294</v>
      </c>
      <c r="FE138" t="s">
        <v>2375</v>
      </c>
      <c r="FF138" t="s">
        <v>2378</v>
      </c>
    </row>
    <row r="139" spans="1:162" x14ac:dyDescent="0.3">
      <c r="I139" t="s">
        <v>1313</v>
      </c>
      <c r="J139" t="s">
        <v>1815</v>
      </c>
      <c r="K139" t="s">
        <v>1815</v>
      </c>
      <c r="L139" t="s">
        <v>1815</v>
      </c>
      <c r="M139" t="s">
        <v>1815</v>
      </c>
      <c r="N139" t="s">
        <v>1815</v>
      </c>
      <c r="O139" t="s">
        <v>1815</v>
      </c>
      <c r="P139" t="s">
        <v>1815</v>
      </c>
      <c r="Q139" t="s">
        <v>1815</v>
      </c>
      <c r="R139" t="s">
        <v>1815</v>
      </c>
      <c r="S139" t="s">
        <v>1815</v>
      </c>
      <c r="T139" t="s">
        <v>1815</v>
      </c>
      <c r="U139" t="s">
        <v>1815</v>
      </c>
      <c r="V139" t="s">
        <v>1815</v>
      </c>
      <c r="W139" t="s">
        <v>1815</v>
      </c>
      <c r="X139" t="s">
        <v>1815</v>
      </c>
      <c r="Y139" t="s">
        <v>1815</v>
      </c>
      <c r="Z139" t="s">
        <v>1815</v>
      </c>
      <c r="AA139" s="2" t="s">
        <v>202</v>
      </c>
      <c r="AB139" t="s">
        <v>1815</v>
      </c>
      <c r="AC139" t="s">
        <v>1815</v>
      </c>
      <c r="AD139" t="s">
        <v>1815</v>
      </c>
      <c r="AE139" t="s">
        <v>1815</v>
      </c>
      <c r="AF139" t="s">
        <v>1815</v>
      </c>
      <c r="AG139" t="s">
        <v>1815</v>
      </c>
      <c r="AH139" t="s">
        <v>1815</v>
      </c>
      <c r="AI139" t="s">
        <v>1815</v>
      </c>
      <c r="AJ139" t="s">
        <v>1815</v>
      </c>
      <c r="AK139" t="s">
        <v>1815</v>
      </c>
      <c r="AL139" t="s">
        <v>1815</v>
      </c>
      <c r="AM139" t="s">
        <v>1815</v>
      </c>
      <c r="AN139" t="s">
        <v>1815</v>
      </c>
      <c r="AO139" t="s">
        <v>1815</v>
      </c>
      <c r="AP139" t="s">
        <v>1815</v>
      </c>
      <c r="AQ139" t="s">
        <v>1815</v>
      </c>
      <c r="AR139" s="30" t="s">
        <v>2266</v>
      </c>
      <c r="AS139" t="s">
        <v>1815</v>
      </c>
      <c r="AT139" t="s">
        <v>1815</v>
      </c>
      <c r="AU139" t="s">
        <v>1815</v>
      </c>
      <c r="AV139" t="s">
        <v>1815</v>
      </c>
      <c r="AW139" t="s">
        <v>1815</v>
      </c>
      <c r="AX139" t="s">
        <v>1815</v>
      </c>
      <c r="AY139" t="s">
        <v>1815</v>
      </c>
      <c r="AZ139" t="s">
        <v>1815</v>
      </c>
      <c r="BA139" t="s">
        <v>1815</v>
      </c>
      <c r="BB139" t="s">
        <v>1815</v>
      </c>
      <c r="BC139" t="s">
        <v>1815</v>
      </c>
      <c r="BD139" t="s">
        <v>1815</v>
      </c>
      <c r="BE139" t="s">
        <v>1815</v>
      </c>
      <c r="BF139" t="s">
        <v>1815</v>
      </c>
      <c r="BG139" t="s">
        <v>1815</v>
      </c>
      <c r="BH139" t="s">
        <v>1815</v>
      </c>
      <c r="BI139" t="s">
        <v>1815</v>
      </c>
      <c r="BJ139" t="s">
        <v>1815</v>
      </c>
      <c r="BK139" t="s">
        <v>1815</v>
      </c>
      <c r="BL139" t="s">
        <v>1815</v>
      </c>
      <c r="BM139" t="s">
        <v>1815</v>
      </c>
      <c r="BN139" t="s">
        <v>1815</v>
      </c>
      <c r="BO139" t="s">
        <v>1815</v>
      </c>
      <c r="BP139" t="s">
        <v>1815</v>
      </c>
      <c r="BQ139" t="s">
        <v>1815</v>
      </c>
      <c r="BR139" t="s">
        <v>1815</v>
      </c>
      <c r="BS139" t="s">
        <v>1815</v>
      </c>
      <c r="BT139" t="s">
        <v>1815</v>
      </c>
      <c r="BU139" s="30" t="s">
        <v>2072</v>
      </c>
      <c r="BV139" t="s">
        <v>1815</v>
      </c>
      <c r="BW139" t="s">
        <v>1815</v>
      </c>
      <c r="BX139" t="s">
        <v>1815</v>
      </c>
      <c r="BY139" s="2" t="s">
        <v>202</v>
      </c>
      <c r="BZ139" s="2" t="s">
        <v>111</v>
      </c>
      <c r="CA139" t="s">
        <v>1815</v>
      </c>
      <c r="CB139" t="s">
        <v>1815</v>
      </c>
      <c r="CC139" t="s">
        <v>1815</v>
      </c>
      <c r="CD139" t="s">
        <v>1815</v>
      </c>
      <c r="CE139" t="s">
        <v>1815</v>
      </c>
      <c r="CF139" s="30" t="s">
        <v>2072</v>
      </c>
      <c r="CG139" s="30" t="s">
        <v>2072</v>
      </c>
      <c r="CH139" s="30" t="s">
        <v>2072</v>
      </c>
      <c r="CI139" s="30" t="s">
        <v>2072</v>
      </c>
      <c r="CJ139" s="30" t="s">
        <v>1446</v>
      </c>
      <c r="CK139" t="s">
        <v>1815</v>
      </c>
      <c r="CL139" t="s">
        <v>1815</v>
      </c>
      <c r="CM139" t="s">
        <v>1815</v>
      </c>
      <c r="CN139" s="30" t="s">
        <v>1446</v>
      </c>
      <c r="CO139" s="30" t="s">
        <v>1446</v>
      </c>
      <c r="CP139" t="s">
        <v>1815</v>
      </c>
      <c r="CQ139" t="s">
        <v>1815</v>
      </c>
      <c r="CR139" t="s">
        <v>1815</v>
      </c>
      <c r="CS139" t="s">
        <v>1815</v>
      </c>
      <c r="CT139" t="s">
        <v>1815</v>
      </c>
      <c r="CU139" s="30" t="s">
        <v>2421</v>
      </c>
      <c r="CV139" s="30" t="s">
        <v>1446</v>
      </c>
      <c r="CW139" t="s">
        <v>1815</v>
      </c>
      <c r="CX139" s="30" t="s">
        <v>1446</v>
      </c>
      <c r="CY139" t="s">
        <v>1815</v>
      </c>
      <c r="CZ139" t="s">
        <v>1815</v>
      </c>
      <c r="DA139" t="s">
        <v>1815</v>
      </c>
      <c r="DB139" t="s">
        <v>1815</v>
      </c>
      <c r="DC139" t="s">
        <v>1815</v>
      </c>
      <c r="DD139" t="s">
        <v>1815</v>
      </c>
      <c r="DE139" t="s">
        <v>1815</v>
      </c>
      <c r="DF139" t="s">
        <v>1815</v>
      </c>
      <c r="DG139" t="s">
        <v>1815</v>
      </c>
      <c r="DH139" t="s">
        <v>1815</v>
      </c>
      <c r="DI139" s="30" t="s">
        <v>2422</v>
      </c>
      <c r="DJ139" t="s">
        <v>1815</v>
      </c>
      <c r="DK139" t="s">
        <v>1815</v>
      </c>
      <c r="DL139" t="s">
        <v>1815</v>
      </c>
      <c r="DM139" t="s">
        <v>1815</v>
      </c>
      <c r="DN139" t="s">
        <v>1815</v>
      </c>
      <c r="DO139" t="s">
        <v>1815</v>
      </c>
      <c r="DP139" t="s">
        <v>1815</v>
      </c>
      <c r="DQ139" s="30" t="s">
        <v>1412</v>
      </c>
      <c r="DR139" t="s">
        <v>1815</v>
      </c>
      <c r="DS139" t="s">
        <v>1815</v>
      </c>
      <c r="DT139" s="30" t="s">
        <v>1446</v>
      </c>
      <c r="DU139" t="s">
        <v>1815</v>
      </c>
      <c r="DV139" t="s">
        <v>1815</v>
      </c>
      <c r="DW139" t="s">
        <v>1815</v>
      </c>
      <c r="DX139" t="s">
        <v>1815</v>
      </c>
      <c r="DY139" t="s">
        <v>1815</v>
      </c>
      <c r="DZ139" t="s">
        <v>1815</v>
      </c>
      <c r="EA139" t="s">
        <v>1815</v>
      </c>
      <c r="EB139" t="s">
        <v>1815</v>
      </c>
      <c r="EC139" t="s">
        <v>1815</v>
      </c>
      <c r="ED139" t="s">
        <v>1815</v>
      </c>
      <c r="EE139" t="s">
        <v>1815</v>
      </c>
      <c r="EF139" t="s">
        <v>1815</v>
      </c>
      <c r="EG139" s="2" t="s">
        <v>202</v>
      </c>
      <c r="EH139" t="s">
        <v>1815</v>
      </c>
      <c r="EI139" t="s">
        <v>1815</v>
      </c>
      <c r="EJ139" t="s">
        <v>1815</v>
      </c>
      <c r="EK139" t="s">
        <v>1815</v>
      </c>
      <c r="EL139" t="s">
        <v>1815</v>
      </c>
      <c r="EM139" t="s">
        <v>1815</v>
      </c>
      <c r="EN139" t="s">
        <v>1815</v>
      </c>
      <c r="EO139" t="s">
        <v>1815</v>
      </c>
      <c r="EP139" t="s">
        <v>1815</v>
      </c>
      <c r="EQ139" t="s">
        <v>1815</v>
      </c>
      <c r="ER139" t="s">
        <v>1815</v>
      </c>
      <c r="ES139" t="s">
        <v>1815</v>
      </c>
      <c r="ET139" t="s">
        <v>1815</v>
      </c>
      <c r="EU139" t="s">
        <v>1815</v>
      </c>
      <c r="EV139" t="s">
        <v>1815</v>
      </c>
      <c r="EW139" t="s">
        <v>1815</v>
      </c>
      <c r="EX139" t="s">
        <v>1815</v>
      </c>
      <c r="EY139" t="s">
        <v>1815</v>
      </c>
      <c r="EZ139" t="s">
        <v>1815</v>
      </c>
      <c r="FA139" t="s">
        <v>1815</v>
      </c>
      <c r="FB139" s="2" t="s">
        <v>1815</v>
      </c>
      <c r="FC139" t="s">
        <v>1815</v>
      </c>
      <c r="FD139" t="s">
        <v>1815</v>
      </c>
      <c r="FE139" t="s">
        <v>1815</v>
      </c>
      <c r="FF139" t="s">
        <v>1815</v>
      </c>
    </row>
    <row r="140" spans="1:162" x14ac:dyDescent="0.3">
      <c r="I140" t="s">
        <v>645</v>
      </c>
      <c r="J140" t="s">
        <v>1813</v>
      </c>
      <c r="K140" t="s">
        <v>1816</v>
      </c>
      <c r="L140" t="s">
        <v>2007</v>
      </c>
      <c r="M140" s="30" t="s">
        <v>1856</v>
      </c>
      <c r="N140" t="s">
        <v>1876</v>
      </c>
      <c r="O140" t="s">
        <v>1818</v>
      </c>
      <c r="P140" t="s">
        <v>1820</v>
      </c>
      <c r="Q140" s="2" t="s">
        <v>202</v>
      </c>
      <c r="R140" s="30" t="s">
        <v>2270</v>
      </c>
      <c r="S140" s="30" t="s">
        <v>1861</v>
      </c>
      <c r="T140" t="s">
        <v>1824</v>
      </c>
      <c r="U140" t="s">
        <v>1826</v>
      </c>
      <c r="V140" t="s">
        <v>1879</v>
      </c>
      <c r="W140" t="s">
        <v>1882</v>
      </c>
      <c r="X140" t="s">
        <v>1838</v>
      </c>
      <c r="Y140" t="s">
        <v>1937</v>
      </c>
      <c r="Z140" t="s">
        <v>1832</v>
      </c>
      <c r="AA140" s="30" t="s">
        <v>2009</v>
      </c>
      <c r="AB140" t="s">
        <v>1829</v>
      </c>
      <c r="AC140" t="s">
        <v>1854</v>
      </c>
      <c r="AD140" t="s">
        <v>1849</v>
      </c>
      <c r="AE140" s="30" t="s">
        <v>1847</v>
      </c>
      <c r="AF140" s="30" t="s">
        <v>2415</v>
      </c>
      <c r="AG140" t="s">
        <v>1820</v>
      </c>
      <c r="AH140" s="30" t="s">
        <v>1852</v>
      </c>
      <c r="AI140" s="30" t="s">
        <v>2012</v>
      </c>
      <c r="AJ140" s="30" t="s">
        <v>1941</v>
      </c>
      <c r="AK140" t="s">
        <v>1832</v>
      </c>
      <c r="AL140" s="30" t="s">
        <v>2016</v>
      </c>
      <c r="AM140" t="s">
        <v>2019</v>
      </c>
      <c r="AN140" s="30" t="s">
        <v>2020</v>
      </c>
      <c r="AO140" s="30" t="s">
        <v>2022</v>
      </c>
      <c r="AP140" t="s">
        <v>1884</v>
      </c>
      <c r="AQ140" t="s">
        <v>2027</v>
      </c>
      <c r="AR140" t="s">
        <v>1916</v>
      </c>
      <c r="AS140" s="30" t="s">
        <v>1863</v>
      </c>
      <c r="AT140" t="s">
        <v>1865</v>
      </c>
      <c r="AU140" t="s">
        <v>1920</v>
      </c>
      <c r="AV140" s="30" t="s">
        <v>1923</v>
      </c>
      <c r="AW140" t="s">
        <v>2029</v>
      </c>
      <c r="AX140" t="s">
        <v>1841</v>
      </c>
      <c r="AY140" s="30" t="s">
        <v>2416</v>
      </c>
      <c r="AZ140" t="s">
        <v>2055</v>
      </c>
      <c r="BA140" t="s">
        <v>1870</v>
      </c>
      <c r="BB140" s="30" t="s">
        <v>1927</v>
      </c>
      <c r="BC140" s="30" t="s">
        <v>1946</v>
      </c>
      <c r="BD140" s="30" t="s">
        <v>1949</v>
      </c>
      <c r="BE140" s="30" t="s">
        <v>1873</v>
      </c>
      <c r="BF140" s="30" t="s">
        <v>2032</v>
      </c>
      <c r="BG140" s="30" t="s">
        <v>2036</v>
      </c>
      <c r="BH140" s="30" t="s">
        <v>2059</v>
      </c>
      <c r="BI140" s="30" t="s">
        <v>2039</v>
      </c>
      <c r="BJ140" t="s">
        <v>1963</v>
      </c>
      <c r="BK140" t="s">
        <v>1963</v>
      </c>
      <c r="BL140" s="30" t="s">
        <v>2042</v>
      </c>
      <c r="BM140" s="30" t="s">
        <v>1991</v>
      </c>
      <c r="BN140" s="30" t="s">
        <v>1982</v>
      </c>
      <c r="BO140" s="30" t="s">
        <v>2062</v>
      </c>
      <c r="BP140" s="30" t="s">
        <v>2046</v>
      </c>
      <c r="BQ140" s="30" t="s">
        <v>2068</v>
      </c>
      <c r="BR140" t="s">
        <v>2065</v>
      </c>
      <c r="BS140" t="s">
        <v>2209</v>
      </c>
      <c r="BT140" s="30" t="s">
        <v>2048</v>
      </c>
      <c r="BU140" s="30" t="s">
        <v>2070</v>
      </c>
      <c r="BV140" s="30" t="s">
        <v>1908</v>
      </c>
      <c r="BW140" s="30" t="s">
        <v>2075</v>
      </c>
      <c r="BX140" s="30" t="s">
        <v>2080</v>
      </c>
      <c r="BY140" s="30" t="s">
        <v>2081</v>
      </c>
      <c r="BZ140" s="30" t="s">
        <v>2082</v>
      </c>
      <c r="CA140" s="2" t="s">
        <v>2084</v>
      </c>
      <c r="CB140" s="30" t="s">
        <v>2085</v>
      </c>
      <c r="CC140" t="s">
        <v>1957</v>
      </c>
      <c r="CD140" t="s">
        <v>1956</v>
      </c>
      <c r="CE140" t="s">
        <v>1961</v>
      </c>
      <c r="CF140" s="2" t="s">
        <v>202</v>
      </c>
      <c r="CG140" s="30" t="s">
        <v>2087</v>
      </c>
      <c r="CH140" t="s">
        <v>2088</v>
      </c>
      <c r="CI140" t="s">
        <v>2091</v>
      </c>
      <c r="CJ140" s="12" t="s">
        <v>1907</v>
      </c>
      <c r="CK140" t="s">
        <v>2093</v>
      </c>
      <c r="CL140" t="s">
        <v>1899</v>
      </c>
      <c r="CM140" s="30" t="s">
        <v>2095</v>
      </c>
      <c r="CN140" t="s">
        <v>2100</v>
      </c>
      <c r="CO140" t="s">
        <v>2101</v>
      </c>
      <c r="CP140" t="s">
        <v>1902</v>
      </c>
      <c r="CQ140" t="s">
        <v>1906</v>
      </c>
      <c r="CR140" s="30" t="s">
        <v>2104</v>
      </c>
      <c r="CS140" s="30" t="s">
        <v>2108</v>
      </c>
      <c r="CT140" t="s">
        <v>2005</v>
      </c>
      <c r="CU140" t="s">
        <v>2109</v>
      </c>
      <c r="CV140" t="s">
        <v>1487</v>
      </c>
      <c r="CW140" s="30" t="s">
        <v>2115</v>
      </c>
      <c r="CX140" t="s">
        <v>2116</v>
      </c>
      <c r="CY140" t="s">
        <v>2119</v>
      </c>
      <c r="CZ140" t="s">
        <v>2120</v>
      </c>
      <c r="DA140" s="30" t="s">
        <v>2417</v>
      </c>
      <c r="DB140" t="s">
        <v>2122</v>
      </c>
      <c r="DC140" s="30" t="s">
        <v>2000</v>
      </c>
      <c r="DD140" t="s">
        <v>1997</v>
      </c>
      <c r="DE140" s="30" t="s">
        <v>2124</v>
      </c>
      <c r="DF140" s="30" t="s">
        <v>1931</v>
      </c>
      <c r="DG140" s="30" t="s">
        <v>2126</v>
      </c>
      <c r="DH140" t="s">
        <v>1896</v>
      </c>
      <c r="DI140" t="s">
        <v>1968</v>
      </c>
      <c r="DJ140" t="s">
        <v>2418</v>
      </c>
      <c r="DK140" t="s">
        <v>1893</v>
      </c>
      <c r="DL140" s="30" t="s">
        <v>2267</v>
      </c>
      <c r="DM140" s="30" t="s">
        <v>1889</v>
      </c>
      <c r="DN140" t="s">
        <v>1994</v>
      </c>
      <c r="DO140" s="30" t="s">
        <v>2269</v>
      </c>
      <c r="DP140" s="2" t="s">
        <v>202</v>
      </c>
      <c r="DQ140" t="s">
        <v>2419</v>
      </c>
      <c r="DR140" t="s">
        <v>2129</v>
      </c>
      <c r="DS140" t="s">
        <v>2130</v>
      </c>
      <c r="DT140" t="s">
        <v>2133</v>
      </c>
      <c r="DU140" s="30" t="s">
        <v>1965</v>
      </c>
      <c r="DV140" s="30" t="s">
        <v>1887</v>
      </c>
      <c r="DW140" t="s">
        <v>1963</v>
      </c>
      <c r="DX140" t="s">
        <v>1963</v>
      </c>
      <c r="DY140" t="s">
        <v>2136</v>
      </c>
      <c r="DZ140" s="30" t="s">
        <v>2139</v>
      </c>
      <c r="EA140" s="30" t="s">
        <v>2140</v>
      </c>
      <c r="EB140" s="30" t="s">
        <v>2142</v>
      </c>
      <c r="EC140" t="s">
        <v>2144</v>
      </c>
      <c r="ED140" t="s">
        <v>1885</v>
      </c>
      <c r="EE140" t="s">
        <v>1868</v>
      </c>
      <c r="EF140" t="s">
        <v>2147</v>
      </c>
      <c r="EG140" s="2" t="s">
        <v>202</v>
      </c>
      <c r="EH140" s="30" t="s">
        <v>2268</v>
      </c>
      <c r="EI140" t="s">
        <v>2153</v>
      </c>
      <c r="EJ140" t="s">
        <v>2153</v>
      </c>
      <c r="EK140" t="s">
        <v>2153</v>
      </c>
      <c r="EL140" t="s">
        <v>2162</v>
      </c>
      <c r="EM140" s="30" t="s">
        <v>2165</v>
      </c>
      <c r="EN140" t="s">
        <v>2169</v>
      </c>
      <c r="EO140" t="s">
        <v>2174</v>
      </c>
      <c r="EP140" s="30" t="s">
        <v>2178</v>
      </c>
      <c r="EQ140" t="s">
        <v>2182</v>
      </c>
      <c r="ER140" t="s">
        <v>2185</v>
      </c>
      <c r="ES140" t="s">
        <v>2189</v>
      </c>
      <c r="ET140" t="s">
        <v>2193</v>
      </c>
      <c r="EU140" s="30" t="s">
        <v>2420</v>
      </c>
      <c r="EV140" s="30" t="s">
        <v>2197</v>
      </c>
      <c r="EW140" t="s">
        <v>2247</v>
      </c>
      <c r="EX140" t="s">
        <v>2282</v>
      </c>
      <c r="EY140" s="30" t="s">
        <v>2284</v>
      </c>
      <c r="EZ140" t="s">
        <v>2285</v>
      </c>
      <c r="FA140" t="s">
        <v>2289</v>
      </c>
      <c r="FB140" t="s">
        <v>2290</v>
      </c>
      <c r="FC140" t="s">
        <v>2292</v>
      </c>
      <c r="FD140" t="s">
        <v>2295</v>
      </c>
      <c r="FE140" t="s">
        <v>2376</v>
      </c>
      <c r="FF140" t="s">
        <v>2379</v>
      </c>
    </row>
    <row r="141" spans="1:162" x14ac:dyDescent="0.3">
      <c r="I141" t="s">
        <v>1318</v>
      </c>
      <c r="J141" t="s">
        <v>1812</v>
      </c>
      <c r="K141" s="2" t="s">
        <v>202</v>
      </c>
      <c r="L141" t="s">
        <v>2006</v>
      </c>
      <c r="M141" t="s">
        <v>1857</v>
      </c>
      <c r="N141" t="s">
        <v>1875</v>
      </c>
      <c r="O141" t="s">
        <v>1819</v>
      </c>
      <c r="P141" s="2" t="s">
        <v>202</v>
      </c>
      <c r="Q141" t="s">
        <v>1822</v>
      </c>
      <c r="R141" s="2" t="s">
        <v>202</v>
      </c>
      <c r="S141" t="s">
        <v>1860</v>
      </c>
      <c r="T141" t="s">
        <v>1823</v>
      </c>
      <c r="U141" t="s">
        <v>1827</v>
      </c>
      <c r="V141" t="s">
        <v>1878</v>
      </c>
      <c r="W141" t="s">
        <v>1881</v>
      </c>
      <c r="X141" t="s">
        <v>1839</v>
      </c>
      <c r="Y141" t="s">
        <v>1936</v>
      </c>
      <c r="Z141" t="s">
        <v>1831</v>
      </c>
      <c r="AA141" t="s">
        <v>1938</v>
      </c>
      <c r="AB141" t="s">
        <v>1482</v>
      </c>
      <c r="AC141" t="s">
        <v>1854</v>
      </c>
      <c r="AD141" t="s">
        <v>1850</v>
      </c>
      <c r="AE141" t="s">
        <v>1846</v>
      </c>
      <c r="AF141" s="2" t="s">
        <v>1844</v>
      </c>
      <c r="AG141" s="2" t="s">
        <v>202</v>
      </c>
      <c r="AH141" s="2" t="s">
        <v>202</v>
      </c>
      <c r="AI141" s="2" t="s">
        <v>202</v>
      </c>
      <c r="AJ141" s="2" t="s">
        <v>1942</v>
      </c>
      <c r="AK141" t="s">
        <v>1835</v>
      </c>
      <c r="AL141" t="s">
        <v>2014</v>
      </c>
      <c r="AM141" t="s">
        <v>2018</v>
      </c>
      <c r="AN141" s="2" t="s">
        <v>202</v>
      </c>
      <c r="AO141" s="2" t="s">
        <v>202</v>
      </c>
      <c r="AP141" s="2" t="s">
        <v>202</v>
      </c>
      <c r="AQ141" t="s">
        <v>2026</v>
      </c>
      <c r="AR141" t="s">
        <v>1914</v>
      </c>
      <c r="AS141" s="2" t="s">
        <v>202</v>
      </c>
      <c r="AT141" s="2" t="s">
        <v>202</v>
      </c>
      <c r="AU141" t="s">
        <v>1919</v>
      </c>
      <c r="AV141" s="2" t="s">
        <v>202</v>
      </c>
      <c r="AW141" s="2" t="s">
        <v>202</v>
      </c>
      <c r="AX141" t="s">
        <v>1842</v>
      </c>
      <c r="AY141" t="s">
        <v>2051</v>
      </c>
      <c r="AZ141" t="s">
        <v>2054</v>
      </c>
      <c r="BA141" s="2" t="s">
        <v>202</v>
      </c>
      <c r="BB141" t="s">
        <v>1925</v>
      </c>
      <c r="BC141" t="s">
        <v>1944</v>
      </c>
      <c r="BD141" s="2" t="s">
        <v>202</v>
      </c>
      <c r="BE141" t="s">
        <v>1872</v>
      </c>
      <c r="BF141" t="s">
        <v>2031</v>
      </c>
      <c r="BG141" t="s">
        <v>2035</v>
      </c>
      <c r="BH141" t="s">
        <v>2058</v>
      </c>
      <c r="BI141" t="s">
        <v>2038</v>
      </c>
      <c r="BJ141" t="s">
        <v>1985</v>
      </c>
      <c r="BK141" s="37" t="s">
        <v>202</v>
      </c>
      <c r="BL141" s="2" t="s">
        <v>202</v>
      </c>
      <c r="BM141" s="2" t="s">
        <v>202</v>
      </c>
      <c r="BN141" t="s">
        <v>1984</v>
      </c>
      <c r="BO141" t="s">
        <v>2061</v>
      </c>
      <c r="BP141" t="s">
        <v>2045</v>
      </c>
      <c r="BQ141" s="2" t="s">
        <v>2066</v>
      </c>
      <c r="BR141" t="s">
        <v>2063</v>
      </c>
      <c r="BS141" t="s">
        <v>1911</v>
      </c>
      <c r="BT141" t="s">
        <v>2047</v>
      </c>
      <c r="BU141" t="s">
        <v>2069</v>
      </c>
      <c r="BV141" s="2" t="s">
        <v>202</v>
      </c>
      <c r="BW141" s="2" t="s">
        <v>202</v>
      </c>
      <c r="BX141" t="s">
        <v>2078</v>
      </c>
      <c r="BY141" s="2" t="s">
        <v>202</v>
      </c>
      <c r="BZ141" s="2" t="s">
        <v>202</v>
      </c>
      <c r="CA141" t="s">
        <v>2083</v>
      </c>
      <c r="CB141" t="s">
        <v>2083</v>
      </c>
      <c r="CC141" t="s">
        <v>1951</v>
      </c>
      <c r="CD141" t="s">
        <v>1954</v>
      </c>
      <c r="CE141" t="s">
        <v>1959</v>
      </c>
      <c r="CF141" t="s">
        <v>2086</v>
      </c>
      <c r="CG141" t="s">
        <v>1188</v>
      </c>
      <c r="CH141" t="s">
        <v>2089</v>
      </c>
      <c r="CI141" t="s">
        <v>2090</v>
      </c>
      <c r="CJ141" s="2" t="s">
        <v>202</v>
      </c>
      <c r="CK141" t="s">
        <v>2092</v>
      </c>
      <c r="CL141" t="s">
        <v>1897</v>
      </c>
      <c r="CM141" t="s">
        <v>2094</v>
      </c>
      <c r="CN141" t="s">
        <v>2099</v>
      </c>
      <c r="CO141" t="s">
        <v>1427</v>
      </c>
      <c r="CP141" t="s">
        <v>1810</v>
      </c>
      <c r="CQ141" t="s">
        <v>1904</v>
      </c>
      <c r="CR141" t="s">
        <v>2103</v>
      </c>
      <c r="CS141" s="2" t="s">
        <v>202</v>
      </c>
      <c r="CT141" s="2" t="s">
        <v>202</v>
      </c>
      <c r="CU141" s="2" t="s">
        <v>2110</v>
      </c>
      <c r="CV141" t="s">
        <v>2111</v>
      </c>
      <c r="CW141" t="s">
        <v>2113</v>
      </c>
      <c r="CX141" s="2" t="s">
        <v>202</v>
      </c>
      <c r="CY141" t="s">
        <v>2117</v>
      </c>
      <c r="CZ141" s="2" t="s">
        <v>202</v>
      </c>
      <c r="DA141" s="2" t="s">
        <v>202</v>
      </c>
      <c r="DB141" s="2" t="s">
        <v>202</v>
      </c>
      <c r="DC141" t="s">
        <v>1999</v>
      </c>
      <c r="DD141" t="s">
        <v>1995</v>
      </c>
      <c r="DE141" s="2" t="s">
        <v>202</v>
      </c>
      <c r="DF141" t="s">
        <v>1930</v>
      </c>
      <c r="DG141" s="2" t="s">
        <v>202</v>
      </c>
      <c r="DH141" s="2" t="s">
        <v>202</v>
      </c>
      <c r="DI141" s="2" t="s">
        <v>2127</v>
      </c>
      <c r="DJ141" s="2" t="s">
        <v>202</v>
      </c>
      <c r="DK141" t="s">
        <v>1891</v>
      </c>
      <c r="DL141" s="2" t="s">
        <v>202</v>
      </c>
      <c r="DM141" s="2" t="s">
        <v>202</v>
      </c>
      <c r="DN141" s="2" t="s">
        <v>202</v>
      </c>
      <c r="DO141" s="2" t="s">
        <v>1598</v>
      </c>
      <c r="DP141" t="s">
        <v>1966</v>
      </c>
      <c r="DQ141" t="s">
        <v>1623</v>
      </c>
      <c r="DR141" t="s">
        <v>2121</v>
      </c>
      <c r="DS141" t="s">
        <v>2131</v>
      </c>
      <c r="DT141" t="s">
        <v>2132</v>
      </c>
      <c r="DU141" s="2" t="s">
        <v>202</v>
      </c>
      <c r="DV141" t="s">
        <v>1886</v>
      </c>
      <c r="DW141" s="2" t="s">
        <v>202</v>
      </c>
      <c r="DX141" s="2" t="s">
        <v>202</v>
      </c>
      <c r="DY141" s="2" t="s">
        <v>202</v>
      </c>
      <c r="DZ141" t="s">
        <v>1679</v>
      </c>
      <c r="EA141" s="2" t="s">
        <v>202</v>
      </c>
      <c r="EB141" s="2" t="s">
        <v>202</v>
      </c>
      <c r="EC141" t="s">
        <v>1686</v>
      </c>
      <c r="ED141" s="2" t="s">
        <v>202</v>
      </c>
      <c r="EE141" t="s">
        <v>1866</v>
      </c>
      <c r="EF141" s="2" t="s">
        <v>202</v>
      </c>
      <c r="EG141" s="2" t="s">
        <v>202</v>
      </c>
      <c r="EH141" s="2" t="s">
        <v>202</v>
      </c>
      <c r="EI141" s="2" t="s">
        <v>202</v>
      </c>
      <c r="EJ141" s="2" t="s">
        <v>202</v>
      </c>
      <c r="EK141" t="s">
        <v>2156</v>
      </c>
      <c r="EL141" s="2" t="s">
        <v>202</v>
      </c>
      <c r="EM141" s="2" t="s">
        <v>202</v>
      </c>
      <c r="EN141" s="2" t="s">
        <v>202</v>
      </c>
      <c r="EO141" t="s">
        <v>2173</v>
      </c>
      <c r="EP141" s="2" t="s">
        <v>202</v>
      </c>
      <c r="EQ141" s="2" t="s">
        <v>202</v>
      </c>
      <c r="ER141" s="2" t="s">
        <v>202</v>
      </c>
      <c r="ES141" s="2" t="s">
        <v>202</v>
      </c>
      <c r="ET141" s="2" t="s">
        <v>202</v>
      </c>
      <c r="EU141" s="2" t="s">
        <v>202</v>
      </c>
      <c r="EV141" s="2" t="s">
        <v>2196</v>
      </c>
      <c r="EW141" t="s">
        <v>2249</v>
      </c>
      <c r="EX141" t="s">
        <v>2281</v>
      </c>
      <c r="EY141" s="2" t="s">
        <v>202</v>
      </c>
      <c r="EZ141" s="2" t="s">
        <v>202</v>
      </c>
      <c r="FA141" s="2" t="s">
        <v>202</v>
      </c>
      <c r="FB141" s="2" t="s">
        <v>202</v>
      </c>
      <c r="FC141" s="2" t="s">
        <v>202</v>
      </c>
      <c r="FD141" s="2" t="s">
        <v>202</v>
      </c>
      <c r="FE141" s="2" t="s">
        <v>202</v>
      </c>
      <c r="FF141" t="s">
        <v>2380</v>
      </c>
    </row>
    <row r="142" spans="1:162" x14ac:dyDescent="0.3">
      <c r="I142" t="s">
        <v>2432</v>
      </c>
      <c r="J142" s="2" t="s">
        <v>202</v>
      </c>
      <c r="K142">
        <v>3154</v>
      </c>
      <c r="L142" s="2" t="s">
        <v>202</v>
      </c>
      <c r="M142">
        <v>4815</v>
      </c>
      <c r="N142">
        <v>12545</v>
      </c>
      <c r="O142">
        <v>4630</v>
      </c>
      <c r="P142">
        <v>1906</v>
      </c>
      <c r="Q142">
        <v>2281</v>
      </c>
      <c r="R142">
        <v>386</v>
      </c>
      <c r="S142">
        <v>448</v>
      </c>
      <c r="T142">
        <v>1780</v>
      </c>
      <c r="U142">
        <v>6895</v>
      </c>
      <c r="V142">
        <v>6144</v>
      </c>
      <c r="W142">
        <v>6732</v>
      </c>
      <c r="X142">
        <v>417</v>
      </c>
      <c r="Y142">
        <v>3373</v>
      </c>
      <c r="Z142">
        <v>2827</v>
      </c>
      <c r="AA142" s="2" t="s">
        <v>202</v>
      </c>
      <c r="AB142">
        <v>4305</v>
      </c>
      <c r="AC142">
        <v>1154</v>
      </c>
      <c r="AD142">
        <v>3111</v>
      </c>
      <c r="AE142">
        <v>2518</v>
      </c>
      <c r="AF142">
        <v>2445</v>
      </c>
      <c r="AG142">
        <v>1032</v>
      </c>
      <c r="AH142">
        <v>1138</v>
      </c>
      <c r="AI142">
        <v>115</v>
      </c>
      <c r="AJ142">
        <v>991</v>
      </c>
      <c r="AK142">
        <v>65</v>
      </c>
      <c r="AL142">
        <v>2059</v>
      </c>
      <c r="AM142" s="2" t="s">
        <v>202</v>
      </c>
      <c r="AN142" s="2" t="s">
        <v>202</v>
      </c>
      <c r="AO142" s="2" t="s">
        <v>202</v>
      </c>
      <c r="AP142">
        <v>764</v>
      </c>
      <c r="AQ142" s="30">
        <v>11</v>
      </c>
      <c r="AR142">
        <v>3990</v>
      </c>
      <c r="AS142">
        <v>115</v>
      </c>
      <c r="AT142">
        <v>7965</v>
      </c>
      <c r="AU142">
        <v>671</v>
      </c>
      <c r="AV142">
        <v>2230</v>
      </c>
      <c r="AW142" s="30">
        <v>43</v>
      </c>
      <c r="AX142">
        <v>102</v>
      </c>
      <c r="AY142">
        <v>84</v>
      </c>
      <c r="AZ142" s="30">
        <v>29</v>
      </c>
      <c r="BA142">
        <v>7032</v>
      </c>
      <c r="BB142">
        <v>4041</v>
      </c>
      <c r="BC142">
        <v>4238</v>
      </c>
      <c r="BD142">
        <v>406</v>
      </c>
      <c r="BE142">
        <v>7112</v>
      </c>
      <c r="BF142">
        <v>367</v>
      </c>
      <c r="BG142">
        <v>20738</v>
      </c>
      <c r="BH142">
        <v>11772</v>
      </c>
      <c r="BI142">
        <v>29037</v>
      </c>
      <c r="BJ142">
        <v>9949</v>
      </c>
      <c r="BK142">
        <v>10183</v>
      </c>
      <c r="BL142">
        <v>1313</v>
      </c>
      <c r="BM142">
        <v>7376</v>
      </c>
      <c r="BN142">
        <v>1955</v>
      </c>
      <c r="BO142">
        <v>4192</v>
      </c>
      <c r="BP142">
        <v>703</v>
      </c>
      <c r="BQ142" s="30">
        <v>23</v>
      </c>
      <c r="BR142" s="30">
        <v>0</v>
      </c>
      <c r="BS142">
        <v>8648</v>
      </c>
      <c r="BT142" s="2" t="s">
        <v>202</v>
      </c>
      <c r="BU142" s="2" t="s">
        <v>202</v>
      </c>
      <c r="BV142">
        <v>970</v>
      </c>
      <c r="BW142">
        <v>8858</v>
      </c>
      <c r="BX142">
        <v>11827</v>
      </c>
      <c r="BY142" s="2" t="s">
        <v>202</v>
      </c>
      <c r="BZ142" s="2" t="s">
        <v>202</v>
      </c>
      <c r="CA142" s="2" t="s">
        <v>202</v>
      </c>
      <c r="CB142" s="2" t="s">
        <v>202</v>
      </c>
      <c r="CC142">
        <v>146</v>
      </c>
      <c r="CD142">
        <v>320</v>
      </c>
      <c r="CE142">
        <v>741</v>
      </c>
      <c r="CF142" s="2" t="s">
        <v>202</v>
      </c>
      <c r="CG142" s="2" t="s">
        <v>202</v>
      </c>
      <c r="CH142" s="2" t="s">
        <v>202</v>
      </c>
      <c r="CI142" s="2" t="s">
        <v>202</v>
      </c>
      <c r="CJ142" s="2" t="s">
        <v>202</v>
      </c>
      <c r="CK142" s="2" t="s">
        <v>202</v>
      </c>
      <c r="CL142">
        <v>1970</v>
      </c>
      <c r="CM142">
        <v>1465</v>
      </c>
      <c r="CN142" s="2" t="s">
        <v>202</v>
      </c>
      <c r="CO142" s="2" t="s">
        <v>202</v>
      </c>
      <c r="CP142">
        <v>1077</v>
      </c>
      <c r="CQ142">
        <v>6687</v>
      </c>
      <c r="CR142" s="30">
        <v>10</v>
      </c>
      <c r="CS142" s="2" t="s">
        <v>202</v>
      </c>
      <c r="CT142">
        <v>937</v>
      </c>
      <c r="CU142" s="2" t="s">
        <v>202</v>
      </c>
      <c r="CV142" s="2" t="s">
        <v>202</v>
      </c>
      <c r="CW142">
        <v>2610</v>
      </c>
      <c r="CX142" s="2" t="s">
        <v>202</v>
      </c>
      <c r="CY142">
        <v>106</v>
      </c>
      <c r="CZ142" s="30">
        <v>5</v>
      </c>
      <c r="DA142">
        <v>1065</v>
      </c>
      <c r="DB142">
        <v>71</v>
      </c>
      <c r="DC142">
        <v>535</v>
      </c>
      <c r="DD142">
        <v>368</v>
      </c>
      <c r="DE142">
        <v>731</v>
      </c>
      <c r="DF142">
        <v>1945</v>
      </c>
      <c r="DG142">
        <v>3978</v>
      </c>
      <c r="DH142">
        <v>195</v>
      </c>
      <c r="DI142" s="30">
        <v>17</v>
      </c>
      <c r="DJ142">
        <v>650</v>
      </c>
      <c r="DK142">
        <v>480</v>
      </c>
      <c r="DL142">
        <v>807</v>
      </c>
      <c r="DM142">
        <v>70</v>
      </c>
      <c r="DN142">
        <v>888</v>
      </c>
      <c r="DO142" s="2" t="s">
        <v>202</v>
      </c>
      <c r="DP142">
        <v>336</v>
      </c>
      <c r="DQ142" s="2" t="s">
        <v>202</v>
      </c>
      <c r="DR142" s="2" t="s">
        <v>202</v>
      </c>
      <c r="DS142" s="2" t="s">
        <v>202</v>
      </c>
      <c r="DT142" s="2" t="s">
        <v>202</v>
      </c>
      <c r="DU142">
        <v>7821</v>
      </c>
      <c r="DV142">
        <v>408</v>
      </c>
      <c r="DW142" s="2" t="s">
        <v>202</v>
      </c>
      <c r="DX142">
        <v>2341</v>
      </c>
      <c r="DY142">
        <v>568</v>
      </c>
      <c r="DZ142">
        <v>244</v>
      </c>
      <c r="EA142">
        <v>130</v>
      </c>
      <c r="EB142">
        <v>474</v>
      </c>
      <c r="EC142">
        <v>5593</v>
      </c>
      <c r="ED142">
        <v>158</v>
      </c>
      <c r="EE142">
        <v>2851</v>
      </c>
      <c r="EF142" s="30">
        <v>25</v>
      </c>
      <c r="EG142" s="30">
        <v>1</v>
      </c>
      <c r="EH142" s="2" t="s">
        <v>202</v>
      </c>
      <c r="EI142">
        <v>178</v>
      </c>
      <c r="EJ142">
        <v>62</v>
      </c>
      <c r="EK142">
        <v>876</v>
      </c>
      <c r="EL142">
        <v>580</v>
      </c>
      <c r="EM142">
        <v>173</v>
      </c>
      <c r="EN142">
        <v>232</v>
      </c>
      <c r="EO142">
        <v>2613</v>
      </c>
      <c r="EP142">
        <v>1020</v>
      </c>
      <c r="EQ142">
        <v>5919</v>
      </c>
      <c r="ER142">
        <v>815</v>
      </c>
      <c r="ES142">
        <v>78</v>
      </c>
      <c r="ET142" s="30">
        <v>37</v>
      </c>
      <c r="EU142" s="2" t="s">
        <v>202</v>
      </c>
      <c r="EV142" s="2" t="s">
        <v>202</v>
      </c>
      <c r="EW142" s="30">
        <v>10</v>
      </c>
      <c r="EX142" s="35" t="s">
        <v>202</v>
      </c>
      <c r="EY142" s="30">
        <v>0</v>
      </c>
      <c r="EZ142" s="30">
        <v>2</v>
      </c>
      <c r="FA142" s="30">
        <v>38</v>
      </c>
      <c r="FB142" s="2" t="s">
        <v>202</v>
      </c>
      <c r="FC142" s="30">
        <v>2</v>
      </c>
      <c r="FD142" s="30">
        <v>5</v>
      </c>
      <c r="FE142">
        <v>622</v>
      </c>
      <c r="FF142">
        <v>120</v>
      </c>
    </row>
    <row r="143" spans="1:162" x14ac:dyDescent="0.3">
      <c r="I143" t="s">
        <v>2433</v>
      </c>
      <c r="J143" s="2" t="s">
        <v>202</v>
      </c>
      <c r="K143">
        <v>261</v>
      </c>
      <c r="L143" s="2" t="s">
        <v>202</v>
      </c>
      <c r="M143">
        <v>429</v>
      </c>
      <c r="N143">
        <v>1177</v>
      </c>
      <c r="O143">
        <v>407</v>
      </c>
      <c r="P143">
        <v>437</v>
      </c>
      <c r="Q143">
        <v>240</v>
      </c>
      <c r="R143">
        <v>77</v>
      </c>
      <c r="S143">
        <v>109</v>
      </c>
      <c r="T143">
        <v>123</v>
      </c>
      <c r="U143">
        <v>314</v>
      </c>
      <c r="V143">
        <v>1086</v>
      </c>
      <c r="W143">
        <v>906</v>
      </c>
      <c r="X143">
        <v>160</v>
      </c>
      <c r="Y143">
        <v>578</v>
      </c>
      <c r="Z143">
        <v>476</v>
      </c>
      <c r="AA143" s="2" t="s">
        <v>202</v>
      </c>
      <c r="AB143">
        <v>637</v>
      </c>
      <c r="AC143">
        <v>134</v>
      </c>
      <c r="AD143">
        <v>357</v>
      </c>
      <c r="AE143">
        <v>670</v>
      </c>
      <c r="AF143">
        <v>376</v>
      </c>
      <c r="AG143">
        <v>185</v>
      </c>
      <c r="AH143">
        <v>196</v>
      </c>
      <c r="AI143">
        <v>8</v>
      </c>
      <c r="AJ143">
        <v>190</v>
      </c>
      <c r="AK143">
        <v>6</v>
      </c>
      <c r="AL143">
        <v>300</v>
      </c>
      <c r="AM143" s="2" t="s">
        <v>202</v>
      </c>
      <c r="AN143" s="2" t="s">
        <v>202</v>
      </c>
      <c r="AO143" s="2" t="s">
        <v>202</v>
      </c>
      <c r="AP143">
        <v>210</v>
      </c>
      <c r="AQ143">
        <v>3</v>
      </c>
      <c r="AR143">
        <v>456</v>
      </c>
      <c r="AS143">
        <v>5</v>
      </c>
      <c r="AT143">
        <v>853</v>
      </c>
      <c r="AU143">
        <v>99</v>
      </c>
      <c r="AV143">
        <v>509</v>
      </c>
      <c r="AW143">
        <v>6</v>
      </c>
      <c r="AX143">
        <v>45</v>
      </c>
      <c r="AY143">
        <v>59</v>
      </c>
      <c r="AZ143">
        <v>14</v>
      </c>
      <c r="BA143">
        <v>311</v>
      </c>
      <c r="BB143">
        <v>865</v>
      </c>
      <c r="BC143">
        <v>440</v>
      </c>
      <c r="BD143">
        <v>72</v>
      </c>
      <c r="BE143">
        <v>8282</v>
      </c>
      <c r="BF143">
        <v>52</v>
      </c>
      <c r="BG143">
        <v>3710</v>
      </c>
      <c r="BH143">
        <v>2194</v>
      </c>
      <c r="BI143">
        <v>1463</v>
      </c>
      <c r="BJ143">
        <v>922</v>
      </c>
      <c r="BK143">
        <v>1010</v>
      </c>
      <c r="BL143">
        <v>201</v>
      </c>
      <c r="BM143">
        <v>375</v>
      </c>
      <c r="BN143">
        <v>205</v>
      </c>
      <c r="BO143">
        <v>956</v>
      </c>
      <c r="BP143">
        <v>87</v>
      </c>
      <c r="BQ143">
        <v>9</v>
      </c>
      <c r="BR143">
        <v>0</v>
      </c>
      <c r="BS143">
        <v>1056</v>
      </c>
      <c r="BT143" s="2" t="s">
        <v>202</v>
      </c>
      <c r="BU143" s="2" t="s">
        <v>202</v>
      </c>
      <c r="BV143">
        <v>151</v>
      </c>
      <c r="BW143">
        <v>1083</v>
      </c>
      <c r="BX143">
        <v>2875</v>
      </c>
      <c r="BY143" s="2" t="s">
        <v>202</v>
      </c>
      <c r="BZ143" s="2" t="s">
        <v>202</v>
      </c>
      <c r="CA143" s="2" t="s">
        <v>202</v>
      </c>
      <c r="CB143" s="2" t="s">
        <v>202</v>
      </c>
      <c r="CC143">
        <v>24</v>
      </c>
      <c r="CD143">
        <v>24</v>
      </c>
      <c r="CE143">
        <v>78</v>
      </c>
      <c r="CF143" s="2" t="s">
        <v>202</v>
      </c>
      <c r="CG143" s="2" t="s">
        <v>202</v>
      </c>
      <c r="CH143" s="2" t="s">
        <v>202</v>
      </c>
      <c r="CI143" s="2" t="s">
        <v>202</v>
      </c>
      <c r="CJ143" s="2" t="s">
        <v>202</v>
      </c>
      <c r="CK143" s="2" t="s">
        <v>202</v>
      </c>
      <c r="CL143">
        <v>152</v>
      </c>
      <c r="CM143">
        <v>259</v>
      </c>
      <c r="CN143" s="2" t="s">
        <v>202</v>
      </c>
      <c r="CO143" s="2" t="s">
        <v>202</v>
      </c>
      <c r="CP143">
        <v>161</v>
      </c>
      <c r="CQ143">
        <v>347</v>
      </c>
      <c r="CR143">
        <v>1</v>
      </c>
      <c r="CS143" s="2" t="s">
        <v>202</v>
      </c>
      <c r="CT143">
        <v>120</v>
      </c>
      <c r="CU143" s="2" t="s">
        <v>202</v>
      </c>
      <c r="CV143" s="2" t="s">
        <v>202</v>
      </c>
      <c r="CW143">
        <v>542</v>
      </c>
      <c r="CX143" s="2" t="s">
        <v>202</v>
      </c>
      <c r="CY143">
        <v>26</v>
      </c>
      <c r="CZ143">
        <v>1</v>
      </c>
      <c r="DA143">
        <v>139</v>
      </c>
      <c r="DB143">
        <v>6</v>
      </c>
      <c r="DC143">
        <v>61</v>
      </c>
      <c r="DD143">
        <v>50</v>
      </c>
      <c r="DE143">
        <v>178</v>
      </c>
      <c r="DF143">
        <v>104</v>
      </c>
      <c r="DG143">
        <v>271</v>
      </c>
      <c r="DH143">
        <v>33</v>
      </c>
      <c r="DI143">
        <v>5</v>
      </c>
      <c r="DJ143">
        <v>89</v>
      </c>
      <c r="DK143">
        <v>39</v>
      </c>
      <c r="DL143">
        <v>163</v>
      </c>
      <c r="DM143">
        <v>14</v>
      </c>
      <c r="DN143">
        <v>52</v>
      </c>
      <c r="DO143" s="2" t="s">
        <v>202</v>
      </c>
      <c r="DP143">
        <v>13</v>
      </c>
      <c r="DQ143" s="2" t="s">
        <v>202</v>
      </c>
      <c r="DR143" s="2" t="s">
        <v>202</v>
      </c>
      <c r="DS143" s="2" t="s">
        <v>202</v>
      </c>
      <c r="DT143" s="2" t="s">
        <v>202</v>
      </c>
      <c r="DU143">
        <v>894</v>
      </c>
      <c r="DV143">
        <v>28</v>
      </c>
      <c r="DW143" s="2" t="s">
        <v>202</v>
      </c>
      <c r="DX143">
        <v>290</v>
      </c>
      <c r="DY143">
        <v>94</v>
      </c>
      <c r="DZ143">
        <v>5</v>
      </c>
      <c r="EA143">
        <v>35</v>
      </c>
      <c r="EB143">
        <v>37</v>
      </c>
      <c r="EC143">
        <v>253</v>
      </c>
      <c r="ED143">
        <v>11</v>
      </c>
      <c r="EE143">
        <v>219</v>
      </c>
      <c r="EF143">
        <v>28</v>
      </c>
      <c r="EG143">
        <v>1</v>
      </c>
      <c r="EH143" s="2" t="s">
        <v>202</v>
      </c>
      <c r="EI143">
        <v>26</v>
      </c>
      <c r="EJ143">
        <v>8</v>
      </c>
      <c r="EK143">
        <v>86</v>
      </c>
      <c r="EL143">
        <v>43</v>
      </c>
      <c r="EM143">
        <v>23</v>
      </c>
      <c r="EN143">
        <v>21</v>
      </c>
      <c r="EO143">
        <v>174</v>
      </c>
      <c r="EP143">
        <v>59</v>
      </c>
      <c r="EQ143">
        <v>312</v>
      </c>
      <c r="ER143">
        <v>72</v>
      </c>
      <c r="ES143">
        <v>8</v>
      </c>
      <c r="ET143">
        <v>35</v>
      </c>
      <c r="EU143" s="2" t="s">
        <v>202</v>
      </c>
      <c r="EV143" s="2" t="s">
        <v>202</v>
      </c>
      <c r="EW143">
        <v>3</v>
      </c>
      <c r="EX143" s="2" t="s">
        <v>202</v>
      </c>
      <c r="EY143">
        <v>5</v>
      </c>
      <c r="EZ143">
        <v>1</v>
      </c>
      <c r="FA143">
        <v>13</v>
      </c>
      <c r="FB143" s="2" t="s">
        <v>202</v>
      </c>
      <c r="FC143">
        <v>1</v>
      </c>
      <c r="FD143">
        <v>5</v>
      </c>
      <c r="FE143">
        <v>52</v>
      </c>
      <c r="FF143">
        <v>27</v>
      </c>
    </row>
    <row r="144" spans="1:162" x14ac:dyDescent="0.3">
      <c r="I144" t="s">
        <v>2434</v>
      </c>
      <c r="J144" s="2" t="s">
        <v>202</v>
      </c>
      <c r="K144">
        <v>81</v>
      </c>
      <c r="L144" s="2" t="s">
        <v>202</v>
      </c>
      <c r="M144">
        <v>91</v>
      </c>
      <c r="N144">
        <v>201</v>
      </c>
      <c r="O144">
        <v>100</v>
      </c>
      <c r="P144">
        <v>126</v>
      </c>
      <c r="Q144">
        <v>73</v>
      </c>
      <c r="R144">
        <v>44</v>
      </c>
      <c r="S144">
        <v>44</v>
      </c>
      <c r="T144">
        <v>32</v>
      </c>
      <c r="U144">
        <v>59</v>
      </c>
      <c r="V144">
        <v>167</v>
      </c>
      <c r="W144">
        <v>273</v>
      </c>
      <c r="X144">
        <v>69</v>
      </c>
      <c r="Y144">
        <v>257</v>
      </c>
      <c r="Z144">
        <v>178</v>
      </c>
      <c r="AA144" s="2" t="s">
        <v>202</v>
      </c>
      <c r="AB144">
        <v>234</v>
      </c>
      <c r="AC144">
        <v>36</v>
      </c>
      <c r="AD144">
        <v>69</v>
      </c>
      <c r="AE144">
        <v>287</v>
      </c>
      <c r="AF144">
        <v>128</v>
      </c>
      <c r="AG144">
        <v>40</v>
      </c>
      <c r="AH144">
        <v>74</v>
      </c>
      <c r="AI144">
        <v>2</v>
      </c>
      <c r="AJ144">
        <v>41</v>
      </c>
      <c r="AK144">
        <v>4</v>
      </c>
      <c r="AL144">
        <v>104</v>
      </c>
      <c r="AM144" s="2" t="s">
        <v>202</v>
      </c>
      <c r="AN144" s="2" t="s">
        <v>202</v>
      </c>
      <c r="AO144" s="2" t="s">
        <v>202</v>
      </c>
      <c r="AP144">
        <v>90</v>
      </c>
      <c r="AQ144">
        <v>3</v>
      </c>
      <c r="AR144">
        <v>183</v>
      </c>
      <c r="AS144">
        <v>3</v>
      </c>
      <c r="AT144">
        <v>177</v>
      </c>
      <c r="AU144">
        <v>47</v>
      </c>
      <c r="AV144">
        <v>67</v>
      </c>
      <c r="AW144">
        <v>1</v>
      </c>
      <c r="AX144">
        <v>28</v>
      </c>
      <c r="AY144">
        <v>75</v>
      </c>
      <c r="AZ144">
        <v>10</v>
      </c>
      <c r="BA144">
        <v>101</v>
      </c>
      <c r="BB144">
        <v>411</v>
      </c>
      <c r="BC144">
        <v>112</v>
      </c>
      <c r="BD144">
        <v>26</v>
      </c>
      <c r="BE144">
        <v>317</v>
      </c>
      <c r="BF144">
        <v>28</v>
      </c>
      <c r="BG144">
        <v>898</v>
      </c>
      <c r="BH144">
        <v>435</v>
      </c>
      <c r="BI144">
        <v>129</v>
      </c>
      <c r="BJ144">
        <v>99</v>
      </c>
      <c r="BK144">
        <v>27</v>
      </c>
      <c r="BL144">
        <v>53</v>
      </c>
      <c r="BM144">
        <v>17</v>
      </c>
      <c r="BN144">
        <v>64</v>
      </c>
      <c r="BO144">
        <v>221</v>
      </c>
      <c r="BP144">
        <v>9</v>
      </c>
      <c r="BQ144">
        <v>1</v>
      </c>
      <c r="BR144">
        <v>0</v>
      </c>
      <c r="BS144">
        <v>26</v>
      </c>
      <c r="BT144" s="2" t="s">
        <v>202</v>
      </c>
      <c r="BU144" s="2" t="s">
        <v>202</v>
      </c>
      <c r="BV144">
        <v>7</v>
      </c>
      <c r="BW144">
        <v>103</v>
      </c>
      <c r="BX144">
        <v>827</v>
      </c>
      <c r="BY144" s="2" t="s">
        <v>202</v>
      </c>
      <c r="BZ144" s="2" t="s">
        <v>202</v>
      </c>
      <c r="CA144" s="2" t="s">
        <v>202</v>
      </c>
      <c r="CB144" s="2" t="s">
        <v>202</v>
      </c>
      <c r="CC144">
        <v>1</v>
      </c>
      <c r="CD144">
        <v>6</v>
      </c>
      <c r="CE144">
        <v>21</v>
      </c>
      <c r="CF144" s="2" t="s">
        <v>202</v>
      </c>
      <c r="CG144" s="2" t="s">
        <v>202</v>
      </c>
      <c r="CH144" s="2" t="s">
        <v>202</v>
      </c>
      <c r="CI144" s="2" t="s">
        <v>202</v>
      </c>
      <c r="CJ144" s="2" t="s">
        <v>202</v>
      </c>
      <c r="CK144" s="2" t="s">
        <v>202</v>
      </c>
      <c r="CL144">
        <v>49</v>
      </c>
      <c r="CM144">
        <v>48</v>
      </c>
      <c r="CN144" s="2" t="s">
        <v>202</v>
      </c>
      <c r="CO144" s="2" t="s">
        <v>202</v>
      </c>
      <c r="CP144">
        <v>74</v>
      </c>
      <c r="CQ144">
        <v>93</v>
      </c>
      <c r="CR144">
        <v>5</v>
      </c>
      <c r="CS144" s="2" t="s">
        <v>202</v>
      </c>
      <c r="CT144">
        <v>22</v>
      </c>
      <c r="CU144" s="2" t="s">
        <v>202</v>
      </c>
      <c r="CV144" s="2" t="s">
        <v>202</v>
      </c>
      <c r="CW144">
        <v>149</v>
      </c>
      <c r="CX144" s="2" t="s">
        <v>202</v>
      </c>
      <c r="CY144">
        <v>13</v>
      </c>
      <c r="CZ144">
        <v>1</v>
      </c>
      <c r="DA144">
        <v>27</v>
      </c>
      <c r="DB144">
        <v>3</v>
      </c>
      <c r="DC144">
        <v>32</v>
      </c>
      <c r="DD144">
        <v>19</v>
      </c>
      <c r="DE144">
        <v>64</v>
      </c>
      <c r="DF144">
        <v>21</v>
      </c>
      <c r="DG144">
        <v>42</v>
      </c>
      <c r="DH144">
        <v>14</v>
      </c>
      <c r="DI144">
        <v>6</v>
      </c>
      <c r="DJ144">
        <v>12</v>
      </c>
      <c r="DK144">
        <v>9</v>
      </c>
      <c r="DL144">
        <v>47</v>
      </c>
      <c r="DM144">
        <v>2</v>
      </c>
      <c r="DN144">
        <v>5</v>
      </c>
      <c r="DO144" s="2" t="s">
        <v>202</v>
      </c>
      <c r="DP144">
        <v>4</v>
      </c>
      <c r="DQ144" s="2" t="s">
        <v>202</v>
      </c>
      <c r="DR144" s="2" t="s">
        <v>202</v>
      </c>
      <c r="DS144" s="2" t="s">
        <v>202</v>
      </c>
      <c r="DT144" s="2" t="s">
        <v>202</v>
      </c>
      <c r="DU144">
        <v>57</v>
      </c>
      <c r="DV144">
        <v>12</v>
      </c>
      <c r="DW144" s="2" t="s">
        <v>202</v>
      </c>
      <c r="DX144">
        <v>53</v>
      </c>
      <c r="DY144">
        <v>10</v>
      </c>
      <c r="DZ144">
        <v>10</v>
      </c>
      <c r="EA144">
        <v>20</v>
      </c>
      <c r="EB144">
        <v>24</v>
      </c>
      <c r="EC144">
        <v>46</v>
      </c>
      <c r="ED144">
        <v>2</v>
      </c>
      <c r="EE144">
        <v>39</v>
      </c>
      <c r="EF144">
        <v>33</v>
      </c>
      <c r="EG144">
        <v>1</v>
      </c>
      <c r="EH144" s="2" t="s">
        <v>202</v>
      </c>
      <c r="EI144">
        <v>16</v>
      </c>
      <c r="EJ144">
        <v>24</v>
      </c>
      <c r="EK144">
        <v>19</v>
      </c>
      <c r="EL144">
        <v>13</v>
      </c>
      <c r="EM144">
        <v>7</v>
      </c>
      <c r="EN144">
        <v>8</v>
      </c>
      <c r="EO144">
        <v>42</v>
      </c>
      <c r="EP144">
        <v>12</v>
      </c>
      <c r="EQ144">
        <v>43</v>
      </c>
      <c r="ER144">
        <v>26</v>
      </c>
      <c r="ES144">
        <v>5</v>
      </c>
      <c r="ET144">
        <v>17</v>
      </c>
      <c r="EU144" s="2" t="s">
        <v>202</v>
      </c>
      <c r="EV144" s="2" t="s">
        <v>202</v>
      </c>
      <c r="EW144">
        <v>2</v>
      </c>
      <c r="EX144" s="2" t="s">
        <v>202</v>
      </c>
      <c r="EY144">
        <v>2</v>
      </c>
      <c r="EZ144">
        <v>7</v>
      </c>
      <c r="FA144">
        <v>5</v>
      </c>
      <c r="FB144" s="2" t="s">
        <v>202</v>
      </c>
      <c r="FC144">
        <v>7</v>
      </c>
      <c r="FD144">
        <v>3</v>
      </c>
      <c r="FE144">
        <v>6</v>
      </c>
      <c r="FF144">
        <v>24</v>
      </c>
    </row>
    <row r="145" spans="9:162" x14ac:dyDescent="0.3">
      <c r="I145" t="s">
        <v>1836</v>
      </c>
      <c r="J145" s="2" t="s">
        <v>202</v>
      </c>
      <c r="K145" s="2" t="s">
        <v>202</v>
      </c>
      <c r="L145" s="2" t="s">
        <v>202</v>
      </c>
      <c r="M145" s="2" t="s">
        <v>202</v>
      </c>
      <c r="N145" s="2" t="s">
        <v>202</v>
      </c>
      <c r="O145" s="2" t="s">
        <v>202</v>
      </c>
      <c r="P145" s="2" t="s">
        <v>202</v>
      </c>
      <c r="Q145" s="2" t="s">
        <v>202</v>
      </c>
      <c r="R145" s="2" t="s">
        <v>202</v>
      </c>
      <c r="S145" s="2" t="s">
        <v>202</v>
      </c>
      <c r="T145" s="2" t="s">
        <v>202</v>
      </c>
      <c r="U145" s="2" t="s">
        <v>202</v>
      </c>
      <c r="V145" s="2" t="s">
        <v>202</v>
      </c>
      <c r="W145" s="2" t="s">
        <v>202</v>
      </c>
      <c r="X145" s="30" t="s">
        <v>41</v>
      </c>
      <c r="Y145" s="2" t="s">
        <v>202</v>
      </c>
      <c r="Z145" s="2" t="s">
        <v>202</v>
      </c>
      <c r="AA145" s="2" t="s">
        <v>202</v>
      </c>
      <c r="AB145" s="2" t="s">
        <v>202</v>
      </c>
      <c r="AC145" s="2" t="s">
        <v>202</v>
      </c>
      <c r="AD145" s="2" t="s">
        <v>202</v>
      </c>
      <c r="AE145" s="2" t="s">
        <v>202</v>
      </c>
      <c r="AF145" s="2" t="s">
        <v>202</v>
      </c>
      <c r="AG145" s="2" t="s">
        <v>202</v>
      </c>
      <c r="AH145" s="2" t="s">
        <v>202</v>
      </c>
      <c r="AI145" s="2" t="s">
        <v>202</v>
      </c>
      <c r="AJ145" s="2" t="s">
        <v>202</v>
      </c>
      <c r="AK145" s="2" t="s">
        <v>202</v>
      </c>
      <c r="AL145" s="2" t="s">
        <v>202</v>
      </c>
      <c r="AM145" s="2" t="s">
        <v>202</v>
      </c>
      <c r="AN145" s="2" t="s">
        <v>202</v>
      </c>
      <c r="AO145" s="2" t="s">
        <v>202</v>
      </c>
      <c r="AP145" s="2" t="s">
        <v>202</v>
      </c>
      <c r="AQ145" s="2" t="s">
        <v>202</v>
      </c>
      <c r="AR145" s="2" t="s">
        <v>202</v>
      </c>
      <c r="AS145" s="2" t="s">
        <v>202</v>
      </c>
      <c r="AT145" s="2" t="s">
        <v>202</v>
      </c>
      <c r="AU145" s="2" t="s">
        <v>202</v>
      </c>
      <c r="AV145" s="2" t="s">
        <v>202</v>
      </c>
      <c r="AW145" s="2" t="s">
        <v>202</v>
      </c>
      <c r="AX145" s="2" t="s">
        <v>202</v>
      </c>
      <c r="AY145" s="2" t="s">
        <v>202</v>
      </c>
      <c r="AZ145" s="2" t="s">
        <v>202</v>
      </c>
      <c r="BA145" s="2" t="s">
        <v>202</v>
      </c>
      <c r="BB145" s="2" t="s">
        <v>202</v>
      </c>
      <c r="BC145" s="2" t="s">
        <v>202</v>
      </c>
      <c r="BD145" s="2" t="s">
        <v>202</v>
      </c>
      <c r="BE145" s="2" t="s">
        <v>202</v>
      </c>
      <c r="BF145" s="2" t="s">
        <v>202</v>
      </c>
      <c r="BG145" s="2" t="s">
        <v>202</v>
      </c>
      <c r="BH145" s="2" t="s">
        <v>202</v>
      </c>
      <c r="BI145" s="2" t="s">
        <v>202</v>
      </c>
      <c r="BJ145" s="2" t="s">
        <v>202</v>
      </c>
      <c r="BK145" s="2" t="s">
        <v>202</v>
      </c>
      <c r="BL145" s="2" t="s">
        <v>202</v>
      </c>
      <c r="BM145" s="2" t="s">
        <v>202</v>
      </c>
      <c r="BN145" s="2" t="s">
        <v>202</v>
      </c>
      <c r="BO145" s="2" t="s">
        <v>202</v>
      </c>
      <c r="BP145" s="2" t="s">
        <v>202</v>
      </c>
      <c r="BQ145" s="2" t="s">
        <v>202</v>
      </c>
      <c r="BR145" s="2" t="s">
        <v>202</v>
      </c>
      <c r="BS145" s="2" t="s">
        <v>202</v>
      </c>
      <c r="BT145" s="2" t="s">
        <v>202</v>
      </c>
      <c r="BU145" s="2" t="s">
        <v>202</v>
      </c>
      <c r="BV145" s="2" t="s">
        <v>202</v>
      </c>
      <c r="BW145" s="2" t="s">
        <v>202</v>
      </c>
      <c r="BX145" s="2" t="s">
        <v>202</v>
      </c>
      <c r="BY145" s="2" t="s">
        <v>202</v>
      </c>
      <c r="BZ145" s="2" t="s">
        <v>202</v>
      </c>
      <c r="CA145" s="2" t="s">
        <v>202</v>
      </c>
      <c r="CB145" s="2" t="s">
        <v>202</v>
      </c>
      <c r="CC145" s="2" t="s">
        <v>202</v>
      </c>
      <c r="CD145" s="2" t="s">
        <v>202</v>
      </c>
      <c r="CE145" s="2" t="s">
        <v>202</v>
      </c>
      <c r="CF145" s="2" t="s">
        <v>202</v>
      </c>
      <c r="CG145" s="2" t="s">
        <v>202</v>
      </c>
      <c r="CH145" s="2" t="s">
        <v>202</v>
      </c>
      <c r="CI145" s="2" t="s">
        <v>202</v>
      </c>
      <c r="CJ145" s="2" t="s">
        <v>202</v>
      </c>
      <c r="CK145" s="2" t="s">
        <v>202</v>
      </c>
      <c r="CL145" s="2" t="s">
        <v>202</v>
      </c>
      <c r="CM145" s="2" t="s">
        <v>202</v>
      </c>
      <c r="CN145" s="2" t="s">
        <v>202</v>
      </c>
      <c r="CO145" s="2" t="s">
        <v>202</v>
      </c>
      <c r="CP145" s="2" t="s">
        <v>202</v>
      </c>
      <c r="CQ145" s="2" t="s">
        <v>202</v>
      </c>
      <c r="CR145" s="2" t="s">
        <v>202</v>
      </c>
      <c r="CS145" s="2" t="s">
        <v>202</v>
      </c>
      <c r="CT145" s="2" t="s">
        <v>202</v>
      </c>
      <c r="CU145" s="2" t="s">
        <v>202</v>
      </c>
      <c r="CV145" s="2" t="s">
        <v>202</v>
      </c>
      <c r="CW145" s="2" t="s">
        <v>202</v>
      </c>
      <c r="CX145" s="2" t="s">
        <v>202</v>
      </c>
      <c r="CY145" s="2" t="s">
        <v>202</v>
      </c>
      <c r="CZ145" s="2" t="s">
        <v>202</v>
      </c>
      <c r="DA145" s="2" t="s">
        <v>202</v>
      </c>
      <c r="DB145" s="2" t="s">
        <v>202</v>
      </c>
      <c r="DC145" s="2" t="s">
        <v>202</v>
      </c>
      <c r="DD145" s="2" t="s">
        <v>202</v>
      </c>
      <c r="DE145" s="2" t="s">
        <v>202</v>
      </c>
      <c r="DF145" s="2" t="s">
        <v>202</v>
      </c>
      <c r="DG145" s="2" t="s">
        <v>202</v>
      </c>
      <c r="DH145" s="2" t="s">
        <v>202</v>
      </c>
      <c r="DI145" s="2" t="s">
        <v>202</v>
      </c>
      <c r="DJ145" s="2" t="s">
        <v>202</v>
      </c>
      <c r="DK145" s="2" t="s">
        <v>202</v>
      </c>
      <c r="DL145" s="2" t="s">
        <v>202</v>
      </c>
      <c r="DM145" s="2" t="s">
        <v>202</v>
      </c>
      <c r="DN145" s="2" t="s">
        <v>202</v>
      </c>
      <c r="DO145" s="2" t="s">
        <v>202</v>
      </c>
      <c r="DP145" s="2" t="s">
        <v>202</v>
      </c>
      <c r="DQ145" s="2" t="s">
        <v>202</v>
      </c>
      <c r="DR145" s="2" t="s">
        <v>202</v>
      </c>
      <c r="DS145" s="2" t="s">
        <v>202</v>
      </c>
      <c r="DT145" s="2" t="s">
        <v>202</v>
      </c>
      <c r="DU145" s="2" t="s">
        <v>202</v>
      </c>
      <c r="DV145" s="2" t="s">
        <v>202</v>
      </c>
      <c r="DW145" s="35" t="s">
        <v>2134</v>
      </c>
      <c r="DX145" s="2" t="s">
        <v>202</v>
      </c>
      <c r="DY145" s="2" t="s">
        <v>202</v>
      </c>
      <c r="DZ145" s="2" t="s">
        <v>202</v>
      </c>
      <c r="EA145" s="2" t="s">
        <v>202</v>
      </c>
      <c r="EB145" s="2" t="s">
        <v>202</v>
      </c>
      <c r="EC145" s="2" t="s">
        <v>202</v>
      </c>
      <c r="ED145" s="2" t="s">
        <v>202</v>
      </c>
      <c r="EE145" s="2" t="s">
        <v>202</v>
      </c>
      <c r="EF145" s="2" t="s">
        <v>202</v>
      </c>
      <c r="EG145" s="2" t="s">
        <v>202</v>
      </c>
      <c r="EH145" s="2" t="s">
        <v>202</v>
      </c>
      <c r="EI145" s="2" t="s">
        <v>202</v>
      </c>
      <c r="EJ145" s="2" t="s">
        <v>202</v>
      </c>
      <c r="EK145" s="2" t="s">
        <v>202</v>
      </c>
      <c r="EL145" s="2" t="s">
        <v>202</v>
      </c>
      <c r="EM145" s="2" t="s">
        <v>202</v>
      </c>
      <c r="EN145" s="2" t="s">
        <v>202</v>
      </c>
      <c r="EO145" s="2" t="s">
        <v>202</v>
      </c>
      <c r="EP145" s="2" t="s">
        <v>202</v>
      </c>
      <c r="EQ145" s="2" t="s">
        <v>202</v>
      </c>
      <c r="ER145" s="2" t="s">
        <v>202</v>
      </c>
      <c r="ES145" s="30" t="s">
        <v>41</v>
      </c>
      <c r="ET145" s="2" t="s">
        <v>202</v>
      </c>
      <c r="EU145" s="2" t="s">
        <v>202</v>
      </c>
      <c r="EV145" s="2" t="s">
        <v>202</v>
      </c>
      <c r="EW145" s="2" t="s">
        <v>202</v>
      </c>
      <c r="EX145" s="2" t="s">
        <v>202</v>
      </c>
      <c r="EY145" s="2" t="s">
        <v>202</v>
      </c>
      <c r="EZ145" s="2" t="s">
        <v>202</v>
      </c>
      <c r="FA145" s="2" t="s">
        <v>202</v>
      </c>
      <c r="FB145" s="2" t="s">
        <v>202</v>
      </c>
      <c r="FC145" s="2" t="s">
        <v>202</v>
      </c>
      <c r="FD145" s="2" t="s">
        <v>202</v>
      </c>
      <c r="FE145" s="2" t="s">
        <v>202</v>
      </c>
      <c r="FF145" s="2" t="s">
        <v>202</v>
      </c>
    </row>
    <row r="146" spans="9:162" x14ac:dyDescent="0.3">
      <c r="I146" t="s">
        <v>2435</v>
      </c>
      <c r="J146" s="2" t="s">
        <v>202</v>
      </c>
      <c r="K146" t="s">
        <v>1970</v>
      </c>
      <c r="L146" s="2" t="s">
        <v>202</v>
      </c>
      <c r="M146" t="s">
        <v>1971</v>
      </c>
      <c r="N146" t="s">
        <v>1972</v>
      </c>
      <c r="O146" t="s">
        <v>1973</v>
      </c>
      <c r="P146" t="s">
        <v>1975</v>
      </c>
      <c r="Q146" t="s">
        <v>1976</v>
      </c>
      <c r="R146" t="s">
        <v>2008</v>
      </c>
      <c r="S146" s="2" t="s">
        <v>202</v>
      </c>
      <c r="T146" t="s">
        <v>1977</v>
      </c>
      <c r="U146" t="s">
        <v>1978</v>
      </c>
      <c r="V146" t="s">
        <v>1979</v>
      </c>
      <c r="W146" s="2" t="s">
        <v>202</v>
      </c>
      <c r="X146" s="30" t="s">
        <v>1980</v>
      </c>
      <c r="Y146" t="s">
        <v>1935</v>
      </c>
      <c r="Z146" s="2" t="s">
        <v>202</v>
      </c>
      <c r="AA146" s="2" t="s">
        <v>202</v>
      </c>
      <c r="AB146" s="2" t="s">
        <v>202</v>
      </c>
      <c r="AC146" s="2" t="s">
        <v>202</v>
      </c>
      <c r="AD146" s="2" t="s">
        <v>202</v>
      </c>
      <c r="AE146" s="2" t="s">
        <v>202</v>
      </c>
      <c r="AF146" s="2" t="s">
        <v>202</v>
      </c>
      <c r="AG146" s="2" t="s">
        <v>202</v>
      </c>
      <c r="AH146" s="2" t="s">
        <v>202</v>
      </c>
      <c r="AI146" t="s">
        <v>2011</v>
      </c>
      <c r="AJ146" t="s">
        <v>1940</v>
      </c>
      <c r="AK146" t="s">
        <v>2013</v>
      </c>
      <c r="AL146" t="s">
        <v>2015</v>
      </c>
      <c r="AM146" s="2" t="s">
        <v>202</v>
      </c>
      <c r="AN146" s="2" t="s">
        <v>202</v>
      </c>
      <c r="AO146" s="2" t="s">
        <v>202</v>
      </c>
      <c r="AP146" s="2" t="s">
        <v>202</v>
      </c>
      <c r="AQ146" t="s">
        <v>2025</v>
      </c>
      <c r="AR146" t="s">
        <v>1915</v>
      </c>
      <c r="AS146" s="2" t="s">
        <v>202</v>
      </c>
      <c r="AT146" s="2" t="s">
        <v>202</v>
      </c>
      <c r="AU146" t="s">
        <v>1918</v>
      </c>
      <c r="AV146" t="s">
        <v>1922</v>
      </c>
      <c r="AW146" s="2" t="s">
        <v>202</v>
      </c>
      <c r="AX146" s="37" t="s">
        <v>202</v>
      </c>
      <c r="AY146" s="32" t="s">
        <v>2050</v>
      </c>
      <c r="AZ146" s="32" t="s">
        <v>2053</v>
      </c>
      <c r="BA146" t="s">
        <v>1928</v>
      </c>
      <c r="BB146" t="s">
        <v>1926</v>
      </c>
      <c r="BC146" s="32" t="s">
        <v>1945</v>
      </c>
      <c r="BD146" t="s">
        <v>1948</v>
      </c>
      <c r="BE146" s="37" t="s">
        <v>202</v>
      </c>
      <c r="BF146" t="s">
        <v>1909</v>
      </c>
      <c r="BG146" t="s">
        <v>2034</v>
      </c>
      <c r="BH146" t="s">
        <v>2057</v>
      </c>
      <c r="BI146" t="s">
        <v>1909</v>
      </c>
      <c r="BJ146" t="s">
        <v>1986</v>
      </c>
      <c r="BK146" s="32" t="s">
        <v>1988</v>
      </c>
      <c r="BL146" t="s">
        <v>2041</v>
      </c>
      <c r="BM146" t="s">
        <v>1990</v>
      </c>
      <c r="BN146" t="s">
        <v>1983</v>
      </c>
      <c r="BO146" s="37" t="s">
        <v>202</v>
      </c>
      <c r="BP146" t="s">
        <v>2044</v>
      </c>
      <c r="BQ146" t="s">
        <v>2067</v>
      </c>
      <c r="BR146" s="2" t="s">
        <v>202</v>
      </c>
      <c r="BS146" t="s">
        <v>1912</v>
      </c>
      <c r="BT146" s="2" t="s">
        <v>202</v>
      </c>
      <c r="BU146" s="2" t="s">
        <v>202</v>
      </c>
      <c r="BV146" t="s">
        <v>1909</v>
      </c>
      <c r="BW146" t="s">
        <v>2074</v>
      </c>
      <c r="BX146" t="s">
        <v>2079</v>
      </c>
      <c r="BY146" s="2" t="s">
        <v>202</v>
      </c>
      <c r="BZ146" s="2" t="s">
        <v>202</v>
      </c>
      <c r="CA146" s="2" t="s">
        <v>202</v>
      </c>
      <c r="CB146" s="2" t="s">
        <v>202</v>
      </c>
      <c r="CC146" t="s">
        <v>1952</v>
      </c>
      <c r="CD146" t="s">
        <v>1955</v>
      </c>
      <c r="CE146" t="s">
        <v>1960</v>
      </c>
      <c r="CF146" s="2" t="s">
        <v>202</v>
      </c>
      <c r="CG146" s="2" t="s">
        <v>202</v>
      </c>
      <c r="CH146" s="2" t="s">
        <v>202</v>
      </c>
      <c r="CI146" s="2" t="s">
        <v>202</v>
      </c>
      <c r="CJ146" s="2" t="s">
        <v>202</v>
      </c>
      <c r="CK146" s="2" t="s">
        <v>202</v>
      </c>
      <c r="CL146" t="s">
        <v>1898</v>
      </c>
      <c r="CM146" t="s">
        <v>2097</v>
      </c>
      <c r="CN146" s="2" t="s">
        <v>202</v>
      </c>
      <c r="CO146" s="2" t="s">
        <v>202</v>
      </c>
      <c r="CP146" t="s">
        <v>1901</v>
      </c>
      <c r="CQ146" t="s">
        <v>1905</v>
      </c>
      <c r="CR146" t="s">
        <v>2105</v>
      </c>
      <c r="CS146" s="2" t="s">
        <v>202</v>
      </c>
      <c r="CT146" t="s">
        <v>2004</v>
      </c>
      <c r="CU146" s="2" t="s">
        <v>202</v>
      </c>
      <c r="CV146" s="2" t="s">
        <v>202</v>
      </c>
      <c r="CW146" t="s">
        <v>2114</v>
      </c>
      <c r="CX146" s="2" t="s">
        <v>202</v>
      </c>
      <c r="CY146" t="s">
        <v>2118</v>
      </c>
      <c r="CZ146" s="2" t="s">
        <v>202</v>
      </c>
      <c r="DA146" t="s">
        <v>1933</v>
      </c>
      <c r="DB146" t="s">
        <v>2002</v>
      </c>
      <c r="DC146" s="32" t="s">
        <v>1998</v>
      </c>
      <c r="DD146" s="32" t="s">
        <v>1996</v>
      </c>
      <c r="DE146" s="32" t="s">
        <v>2123</v>
      </c>
      <c r="DF146" t="s">
        <v>1929</v>
      </c>
      <c r="DG146" t="s">
        <v>2125</v>
      </c>
      <c r="DH146" t="s">
        <v>1895</v>
      </c>
      <c r="DI146" t="s">
        <v>1969</v>
      </c>
      <c r="DJ146" t="s">
        <v>1894</v>
      </c>
      <c r="DK146" t="s">
        <v>1892</v>
      </c>
      <c r="DL146" t="s">
        <v>1890</v>
      </c>
      <c r="DM146" t="s">
        <v>1888</v>
      </c>
      <c r="DN146" t="s">
        <v>1993</v>
      </c>
      <c r="DO146" s="2" t="s">
        <v>202</v>
      </c>
      <c r="DP146" t="s">
        <v>1967</v>
      </c>
      <c r="DQ146" s="2" t="s">
        <v>202</v>
      </c>
      <c r="DR146" s="2" t="s">
        <v>202</v>
      </c>
      <c r="DS146" s="2" t="s">
        <v>202</v>
      </c>
      <c r="DT146" s="2" t="s">
        <v>202</v>
      </c>
      <c r="DU146" t="s">
        <v>1964</v>
      </c>
      <c r="DV146" s="2" t="s">
        <v>202</v>
      </c>
      <c r="DW146" s="2" t="s">
        <v>202</v>
      </c>
      <c r="DX146" t="s">
        <v>1962</v>
      </c>
      <c r="DY146" t="s">
        <v>2135</v>
      </c>
      <c r="DZ146" t="s">
        <v>2138</v>
      </c>
      <c r="EA146" s="2" t="s">
        <v>202</v>
      </c>
      <c r="EB146" t="s">
        <v>2141</v>
      </c>
      <c r="EC146" s="32" t="s">
        <v>2145</v>
      </c>
      <c r="ED146" s="2" t="s">
        <v>202</v>
      </c>
      <c r="EE146" s="2" t="s">
        <v>202</v>
      </c>
      <c r="EF146" s="32" t="s">
        <v>2146</v>
      </c>
      <c r="EG146" s="2" t="s">
        <v>202</v>
      </c>
      <c r="EH146" s="2" t="s">
        <v>202</v>
      </c>
      <c r="EI146" s="2" t="s">
        <v>202</v>
      </c>
      <c r="EJ146" s="32" t="s">
        <v>2152</v>
      </c>
      <c r="EK146" t="s">
        <v>2158</v>
      </c>
      <c r="EL146" t="s">
        <v>2161</v>
      </c>
      <c r="EM146" s="2" t="s">
        <v>202</v>
      </c>
      <c r="EN146" t="s">
        <v>2168</v>
      </c>
      <c r="EO146" s="32" t="s">
        <v>2172</v>
      </c>
      <c r="EP146" t="s">
        <v>2177</v>
      </c>
      <c r="EQ146" t="s">
        <v>2181</v>
      </c>
      <c r="ER146" s="32" t="s">
        <v>2186</v>
      </c>
      <c r="ES146" s="32" t="s">
        <v>2190</v>
      </c>
      <c r="ET146" s="2" t="s">
        <v>202</v>
      </c>
      <c r="EU146" s="2" t="s">
        <v>202</v>
      </c>
      <c r="EV146" s="2" t="s">
        <v>202</v>
      </c>
      <c r="EW146" s="2" t="s">
        <v>2246</v>
      </c>
      <c r="EX146" s="2" t="s">
        <v>202</v>
      </c>
      <c r="EY146" s="2" t="s">
        <v>202</v>
      </c>
      <c r="EZ146" t="s">
        <v>2287</v>
      </c>
      <c r="FA146" s="2" t="s">
        <v>202</v>
      </c>
      <c r="FB146" s="2" t="s">
        <v>202</v>
      </c>
      <c r="FC146" t="s">
        <v>2287</v>
      </c>
      <c r="FD146" s="2" t="s">
        <v>202</v>
      </c>
      <c r="FE146" s="2" t="s">
        <v>2377</v>
      </c>
      <c r="FF146" s="2" t="s">
        <v>2381</v>
      </c>
    </row>
    <row r="147" spans="9:162" x14ac:dyDescent="0.3">
      <c r="I147" t="s">
        <v>2430</v>
      </c>
      <c r="J147" s="2" t="s">
        <v>202</v>
      </c>
      <c r="K147" s="31">
        <v>44739</v>
      </c>
      <c r="L147" s="2" t="s">
        <v>202</v>
      </c>
      <c r="M147" s="31">
        <v>44701</v>
      </c>
      <c r="N147" s="31">
        <v>44743</v>
      </c>
      <c r="O147" s="31">
        <v>44733</v>
      </c>
      <c r="P147" s="31">
        <v>44734</v>
      </c>
      <c r="Q147" s="31">
        <v>44736</v>
      </c>
      <c r="R147" s="31">
        <v>44736</v>
      </c>
      <c r="S147" s="31">
        <v>44735</v>
      </c>
      <c r="T147" s="31">
        <v>44741</v>
      </c>
      <c r="U147" s="31">
        <v>44742</v>
      </c>
      <c r="V147" s="31">
        <v>44742</v>
      </c>
      <c r="W147" s="31">
        <v>44742</v>
      </c>
      <c r="X147" s="34">
        <v>44004</v>
      </c>
      <c r="Y147" s="31">
        <v>44743</v>
      </c>
      <c r="Z147" s="31">
        <v>44726</v>
      </c>
      <c r="AA147" s="2" t="s">
        <v>202</v>
      </c>
      <c r="AB147" s="31">
        <v>44742</v>
      </c>
      <c r="AC147" s="31">
        <v>44736</v>
      </c>
      <c r="AD147" s="31">
        <v>44725</v>
      </c>
      <c r="AE147" s="31">
        <v>44740</v>
      </c>
      <c r="AF147" s="31">
        <v>44594</v>
      </c>
      <c r="AG147" s="31">
        <v>44719</v>
      </c>
      <c r="AH147" s="31">
        <v>44718</v>
      </c>
      <c r="AI147" s="31">
        <v>44178</v>
      </c>
      <c r="AJ147" s="31">
        <v>44727</v>
      </c>
      <c r="AK147" s="31">
        <v>44741</v>
      </c>
      <c r="AL147" s="31">
        <v>44732</v>
      </c>
      <c r="AM147" s="2" t="s">
        <v>202</v>
      </c>
      <c r="AN147" s="2" t="s">
        <v>202</v>
      </c>
      <c r="AO147" s="2" t="s">
        <v>202</v>
      </c>
      <c r="AP147" s="31">
        <v>44425</v>
      </c>
      <c r="AQ147" s="31">
        <v>43818</v>
      </c>
      <c r="AR147" s="31">
        <v>44742</v>
      </c>
      <c r="AS147" s="31">
        <v>44721</v>
      </c>
      <c r="AT147" s="31">
        <v>44734</v>
      </c>
      <c r="AU147" s="31">
        <v>44738</v>
      </c>
      <c r="AV147" s="31">
        <v>44739</v>
      </c>
      <c r="AW147" s="36">
        <v>43305</v>
      </c>
      <c r="AX147" s="31">
        <v>44624</v>
      </c>
      <c r="AY147" s="31">
        <v>44684</v>
      </c>
      <c r="AZ147" s="31">
        <v>44733</v>
      </c>
      <c r="BA147" s="31">
        <v>44692</v>
      </c>
      <c r="BB147" s="31">
        <v>44742</v>
      </c>
      <c r="BC147" s="32" t="s">
        <v>2203</v>
      </c>
      <c r="BD147" s="31">
        <v>44246</v>
      </c>
      <c r="BE147" s="31">
        <v>44743</v>
      </c>
      <c r="BF147" s="34">
        <v>43590</v>
      </c>
      <c r="BG147" s="31">
        <v>44743</v>
      </c>
      <c r="BH147" s="31">
        <v>44743</v>
      </c>
      <c r="BI147" s="31">
        <v>44702</v>
      </c>
      <c r="BJ147" s="31">
        <v>44740</v>
      </c>
      <c r="BK147" s="32" t="s">
        <v>2204</v>
      </c>
      <c r="BL147" s="31">
        <v>44699</v>
      </c>
      <c r="BM147" s="31">
        <v>43839</v>
      </c>
      <c r="BN147" s="31">
        <v>44716</v>
      </c>
      <c r="BO147" s="31">
        <v>44733</v>
      </c>
      <c r="BP147" s="31">
        <v>44017</v>
      </c>
      <c r="BQ147" s="34">
        <v>43062</v>
      </c>
      <c r="BR147" s="34">
        <v>43875</v>
      </c>
      <c r="BS147" s="31">
        <v>44716</v>
      </c>
      <c r="BT147" s="2" t="s">
        <v>202</v>
      </c>
      <c r="BU147" s="31">
        <v>42570</v>
      </c>
      <c r="BV147" s="31">
        <v>44404</v>
      </c>
      <c r="BW147" s="31">
        <v>44733</v>
      </c>
      <c r="BX147" s="31">
        <v>44737</v>
      </c>
      <c r="BY147" s="2" t="s">
        <v>202</v>
      </c>
      <c r="BZ147" s="2" t="s">
        <v>202</v>
      </c>
      <c r="CA147" s="2" t="s">
        <v>202</v>
      </c>
      <c r="CB147" s="2" t="s">
        <v>202</v>
      </c>
      <c r="CC147" s="31">
        <v>44742</v>
      </c>
      <c r="CD147" s="31">
        <v>44720</v>
      </c>
      <c r="CE147" s="31">
        <v>44726</v>
      </c>
      <c r="CF147" s="2" t="s">
        <v>202</v>
      </c>
      <c r="CG147" s="2" t="s">
        <v>202</v>
      </c>
      <c r="CH147" s="2" t="s">
        <v>202</v>
      </c>
      <c r="CI147" s="2" t="s">
        <v>202</v>
      </c>
      <c r="CJ147" s="2" t="s">
        <v>202</v>
      </c>
      <c r="CK147" s="2" t="s">
        <v>202</v>
      </c>
      <c r="CL147" s="31">
        <v>44741</v>
      </c>
      <c r="CM147" s="31" t="s">
        <v>2098</v>
      </c>
      <c r="CN147" s="2" t="s">
        <v>202</v>
      </c>
      <c r="CO147" s="2" t="s">
        <v>202</v>
      </c>
      <c r="CP147" s="31">
        <v>44743</v>
      </c>
      <c r="CQ147" s="31">
        <v>44743</v>
      </c>
      <c r="CR147" s="31">
        <v>44679</v>
      </c>
      <c r="CS147" s="2" t="s">
        <v>202</v>
      </c>
      <c r="CT147" s="31">
        <v>44743</v>
      </c>
      <c r="CU147" s="2" t="s">
        <v>202</v>
      </c>
      <c r="CV147" s="2" t="s">
        <v>202</v>
      </c>
      <c r="CW147" s="31">
        <v>44736</v>
      </c>
      <c r="CX147" s="2" t="s">
        <v>202</v>
      </c>
      <c r="CY147" s="31">
        <v>44735</v>
      </c>
      <c r="CZ147" s="34">
        <v>43680</v>
      </c>
      <c r="DA147" s="31">
        <v>44573</v>
      </c>
      <c r="DB147" s="31">
        <v>44305</v>
      </c>
      <c r="DC147" s="32" t="s">
        <v>2205</v>
      </c>
      <c r="DD147" s="32" t="s">
        <v>2206</v>
      </c>
      <c r="DE147" s="31">
        <v>44794</v>
      </c>
      <c r="DF147" s="31">
        <v>44700</v>
      </c>
      <c r="DG147" s="31">
        <v>44736</v>
      </c>
      <c r="DH147" s="31">
        <v>44662</v>
      </c>
      <c r="DI147" s="31">
        <v>44671</v>
      </c>
      <c r="DJ147" s="31">
        <v>44739</v>
      </c>
      <c r="DK147" s="31">
        <v>44242</v>
      </c>
      <c r="DL147" s="31">
        <v>44740</v>
      </c>
      <c r="DM147" s="31">
        <v>44469</v>
      </c>
      <c r="DN147" s="31">
        <v>44719</v>
      </c>
      <c r="DO147" s="2" t="s">
        <v>202</v>
      </c>
      <c r="DP147" s="31">
        <v>44711</v>
      </c>
      <c r="DQ147" s="2" t="s">
        <v>202</v>
      </c>
      <c r="DR147" s="2" t="s">
        <v>202</v>
      </c>
      <c r="DS147" s="2" t="s">
        <v>202</v>
      </c>
      <c r="DT147" s="2" t="s">
        <v>202</v>
      </c>
      <c r="DU147" s="31">
        <v>44704</v>
      </c>
      <c r="DV147" s="31">
        <v>44629</v>
      </c>
      <c r="DW147" s="2" t="s">
        <v>202</v>
      </c>
      <c r="DX147" s="31">
        <v>44742</v>
      </c>
      <c r="DY147" s="31">
        <v>44574</v>
      </c>
      <c r="DZ147" s="31">
        <v>44733</v>
      </c>
      <c r="EA147" s="31">
        <v>44734</v>
      </c>
      <c r="EB147" s="31">
        <v>44699</v>
      </c>
      <c r="EC147" s="31">
        <v>44738</v>
      </c>
      <c r="ED147" s="31">
        <v>43881</v>
      </c>
      <c r="EE147" s="31">
        <v>44312</v>
      </c>
      <c r="EF147" s="31">
        <v>44684</v>
      </c>
      <c r="EG147" s="31">
        <v>44365</v>
      </c>
      <c r="EH147" s="2" t="s">
        <v>202</v>
      </c>
      <c r="EI147" s="34">
        <v>43475</v>
      </c>
      <c r="EJ147" s="34" t="s">
        <v>2157</v>
      </c>
      <c r="EK147" s="31">
        <v>44089</v>
      </c>
      <c r="EL147" s="31">
        <v>44731</v>
      </c>
      <c r="EM147" s="34">
        <v>43146</v>
      </c>
      <c r="EN147" s="34">
        <v>43408</v>
      </c>
      <c r="EO147" s="31">
        <v>44727</v>
      </c>
      <c r="EP147" s="31">
        <v>44732</v>
      </c>
      <c r="EQ147" s="31">
        <v>44718</v>
      </c>
      <c r="ER147" s="31">
        <v>44608</v>
      </c>
      <c r="ES147" s="31">
        <v>44626</v>
      </c>
      <c r="ET147" s="31">
        <v>44733</v>
      </c>
      <c r="EU147" s="2" t="s">
        <v>202</v>
      </c>
      <c r="EV147" s="2" t="s">
        <v>202</v>
      </c>
      <c r="EW147" s="31">
        <v>44504</v>
      </c>
      <c r="EX147" s="2" t="s">
        <v>202</v>
      </c>
      <c r="EY147" s="31">
        <v>42163</v>
      </c>
      <c r="EZ147" s="31">
        <v>44619</v>
      </c>
      <c r="FA147" s="31">
        <v>43888</v>
      </c>
      <c r="FB147" s="2" t="s">
        <v>202</v>
      </c>
      <c r="FC147" s="31">
        <v>44619</v>
      </c>
      <c r="FD147" s="31">
        <v>44448</v>
      </c>
      <c r="FE147" s="31">
        <v>44579</v>
      </c>
      <c r="FF147" s="31">
        <v>44765</v>
      </c>
    </row>
    <row r="148" spans="9:162" x14ac:dyDescent="0.3">
      <c r="I148" t="s">
        <v>2252</v>
      </c>
      <c r="J148" s="2" t="s">
        <v>202</v>
      </c>
      <c r="K148" s="2" t="s">
        <v>202</v>
      </c>
      <c r="L148" s="2" t="s">
        <v>202</v>
      </c>
      <c r="M148" s="2" t="s">
        <v>202</v>
      </c>
      <c r="N148" s="2" t="s">
        <v>202</v>
      </c>
      <c r="O148" s="2" t="s">
        <v>202</v>
      </c>
      <c r="P148" s="2" t="s">
        <v>202</v>
      </c>
      <c r="Q148" s="2" t="s">
        <v>202</v>
      </c>
      <c r="R148" s="2" t="s">
        <v>202</v>
      </c>
      <c r="S148" s="2" t="s">
        <v>202</v>
      </c>
      <c r="T148" s="2" t="s">
        <v>202</v>
      </c>
      <c r="U148" s="2" t="s">
        <v>202</v>
      </c>
      <c r="V148" s="2" t="s">
        <v>202</v>
      </c>
      <c r="W148" s="2" t="s">
        <v>202</v>
      </c>
      <c r="X148" s="2" t="s">
        <v>202</v>
      </c>
      <c r="Y148" s="2" t="s">
        <v>202</v>
      </c>
      <c r="Z148" s="2" t="s">
        <v>202</v>
      </c>
      <c r="AA148" s="2" t="s">
        <v>202</v>
      </c>
      <c r="AB148" s="2" t="s">
        <v>202</v>
      </c>
      <c r="AC148" s="2" t="s">
        <v>202</v>
      </c>
      <c r="AD148" s="2" t="s">
        <v>202</v>
      </c>
      <c r="AE148" s="2" t="s">
        <v>202</v>
      </c>
      <c r="AF148" s="2" t="s">
        <v>202</v>
      </c>
      <c r="AG148" s="2" t="s">
        <v>202</v>
      </c>
      <c r="AH148" s="2" t="s">
        <v>202</v>
      </c>
      <c r="AI148" s="2" t="s">
        <v>202</v>
      </c>
      <c r="AJ148" s="2" t="s">
        <v>202</v>
      </c>
      <c r="AK148" s="2" t="s">
        <v>202</v>
      </c>
      <c r="AL148" s="2" t="s">
        <v>202</v>
      </c>
      <c r="AM148" s="2" t="s">
        <v>202</v>
      </c>
      <c r="AN148" s="2" t="s">
        <v>202</v>
      </c>
      <c r="AO148" s="2" t="s">
        <v>202</v>
      </c>
      <c r="AP148" s="2" t="s">
        <v>202</v>
      </c>
      <c r="AQ148" s="2" t="s">
        <v>202</v>
      </c>
      <c r="AR148" s="2" t="s">
        <v>202</v>
      </c>
      <c r="AS148" s="2" t="s">
        <v>202</v>
      </c>
      <c r="AT148" s="2" t="s">
        <v>202</v>
      </c>
      <c r="AU148" s="2" t="s">
        <v>202</v>
      </c>
      <c r="AV148" s="2" t="s">
        <v>202</v>
      </c>
      <c r="AW148" s="2" t="s">
        <v>202</v>
      </c>
      <c r="AX148" s="2" t="s">
        <v>202</v>
      </c>
      <c r="AY148" s="2" t="s">
        <v>202</v>
      </c>
      <c r="AZ148" s="2" t="s">
        <v>202</v>
      </c>
      <c r="BA148" s="2" t="s">
        <v>202</v>
      </c>
      <c r="BB148" s="2" t="s">
        <v>202</v>
      </c>
      <c r="BC148" s="2" t="s">
        <v>202</v>
      </c>
      <c r="BD148" s="2" t="s">
        <v>202</v>
      </c>
      <c r="BE148" s="2" t="s">
        <v>202</v>
      </c>
      <c r="BF148" s="2" t="s">
        <v>202</v>
      </c>
      <c r="BG148" s="2" t="s">
        <v>202</v>
      </c>
      <c r="BH148" s="2" t="s">
        <v>202</v>
      </c>
      <c r="BI148" s="2" t="s">
        <v>202</v>
      </c>
      <c r="BJ148" s="34" t="s">
        <v>41</v>
      </c>
      <c r="BK148" s="38" t="s">
        <v>41</v>
      </c>
      <c r="BL148" s="37" t="s">
        <v>202</v>
      </c>
      <c r="BM148" s="37" t="s">
        <v>202</v>
      </c>
      <c r="BN148" s="37" t="s">
        <v>202</v>
      </c>
      <c r="BO148" s="37" t="s">
        <v>202</v>
      </c>
      <c r="BP148" s="37" t="s">
        <v>202</v>
      </c>
      <c r="BQ148" s="37" t="s">
        <v>202</v>
      </c>
      <c r="BR148" s="37" t="s">
        <v>202</v>
      </c>
      <c r="BS148" s="36" t="s">
        <v>41</v>
      </c>
      <c r="BT148" s="37" t="s">
        <v>202</v>
      </c>
      <c r="BU148" s="37" t="s">
        <v>202</v>
      </c>
      <c r="BV148" s="37" t="s">
        <v>202</v>
      </c>
      <c r="BW148" s="37" t="s">
        <v>202</v>
      </c>
      <c r="BX148" s="37" t="s">
        <v>202</v>
      </c>
      <c r="BY148" s="37" t="s">
        <v>202</v>
      </c>
      <c r="BZ148" s="37" t="s">
        <v>202</v>
      </c>
      <c r="CA148" s="37" t="s">
        <v>202</v>
      </c>
      <c r="CB148" s="37" t="s">
        <v>202</v>
      </c>
      <c r="CC148" s="37" t="s">
        <v>202</v>
      </c>
      <c r="CD148" s="37" t="s">
        <v>202</v>
      </c>
      <c r="CE148" s="37" t="s">
        <v>202</v>
      </c>
      <c r="CF148" s="37" t="s">
        <v>202</v>
      </c>
      <c r="CG148" s="37" t="s">
        <v>202</v>
      </c>
      <c r="CH148" s="37" t="s">
        <v>202</v>
      </c>
      <c r="CI148" s="37" t="s">
        <v>202</v>
      </c>
      <c r="CJ148" s="37" t="s">
        <v>202</v>
      </c>
      <c r="CK148" s="37" t="s">
        <v>202</v>
      </c>
      <c r="CL148" s="37" t="s">
        <v>202</v>
      </c>
      <c r="CM148" s="37" t="s">
        <v>202</v>
      </c>
      <c r="CN148" s="37" t="s">
        <v>202</v>
      </c>
      <c r="CO148" s="37" t="s">
        <v>202</v>
      </c>
      <c r="CP148" s="37" t="s">
        <v>202</v>
      </c>
      <c r="CQ148" s="37" t="s">
        <v>202</v>
      </c>
      <c r="CR148" s="37" t="s">
        <v>202</v>
      </c>
      <c r="CS148" s="37" t="s">
        <v>202</v>
      </c>
      <c r="CT148" s="37" t="s">
        <v>202</v>
      </c>
      <c r="CU148" s="37" t="s">
        <v>202</v>
      </c>
      <c r="CV148" s="37" t="s">
        <v>202</v>
      </c>
      <c r="CW148" s="37" t="s">
        <v>202</v>
      </c>
      <c r="CX148" s="37" t="s">
        <v>202</v>
      </c>
      <c r="CY148" s="37" t="s">
        <v>202</v>
      </c>
      <c r="CZ148" s="37" t="s">
        <v>202</v>
      </c>
      <c r="DA148" s="37" t="s">
        <v>202</v>
      </c>
      <c r="DB148" s="37" t="s">
        <v>202</v>
      </c>
      <c r="DC148" s="37" t="s">
        <v>202</v>
      </c>
      <c r="DD148" s="37" t="s">
        <v>202</v>
      </c>
      <c r="DE148" s="37" t="s">
        <v>202</v>
      </c>
      <c r="DF148" s="37" t="s">
        <v>202</v>
      </c>
      <c r="DG148" s="37" t="s">
        <v>202</v>
      </c>
      <c r="DH148" s="37" t="s">
        <v>202</v>
      </c>
      <c r="DI148" s="37" t="s">
        <v>202</v>
      </c>
      <c r="DJ148" s="37" t="s">
        <v>202</v>
      </c>
      <c r="DK148" s="37" t="s">
        <v>202</v>
      </c>
      <c r="DL148" s="37" t="s">
        <v>202</v>
      </c>
      <c r="DM148" s="37" t="s">
        <v>202</v>
      </c>
      <c r="DN148" s="37" t="s">
        <v>202</v>
      </c>
      <c r="DO148" s="37" t="s">
        <v>202</v>
      </c>
      <c r="DP148" s="37" t="s">
        <v>202</v>
      </c>
      <c r="DQ148" s="37" t="s">
        <v>202</v>
      </c>
      <c r="DR148" s="37" t="s">
        <v>202</v>
      </c>
      <c r="DS148" s="37" t="s">
        <v>202</v>
      </c>
      <c r="DT148" s="37" t="s">
        <v>202</v>
      </c>
      <c r="DU148" s="37" t="s">
        <v>202</v>
      </c>
      <c r="DV148" s="37" t="s">
        <v>202</v>
      </c>
      <c r="DW148" s="37" t="s">
        <v>202</v>
      </c>
      <c r="DX148" s="34" t="s">
        <v>41</v>
      </c>
      <c r="DY148" s="36" t="s">
        <v>41</v>
      </c>
      <c r="DZ148" s="37" t="s">
        <v>202</v>
      </c>
      <c r="EA148" s="37" t="s">
        <v>202</v>
      </c>
      <c r="EB148" s="37" t="s">
        <v>202</v>
      </c>
      <c r="EC148" s="37" t="s">
        <v>202</v>
      </c>
      <c r="ED148" s="37" t="s">
        <v>202</v>
      </c>
      <c r="EE148" s="37" t="s">
        <v>202</v>
      </c>
      <c r="EF148" s="37" t="s">
        <v>202</v>
      </c>
      <c r="EG148" s="37" t="s">
        <v>202</v>
      </c>
      <c r="EH148" s="37" t="s">
        <v>202</v>
      </c>
      <c r="EI148" s="37" t="s">
        <v>202</v>
      </c>
      <c r="EJ148" s="37" t="s">
        <v>202</v>
      </c>
      <c r="EK148" s="37" t="s">
        <v>202</v>
      </c>
      <c r="EL148" s="37" t="s">
        <v>202</v>
      </c>
      <c r="EM148" s="37" t="s">
        <v>202</v>
      </c>
      <c r="EN148" s="37" t="s">
        <v>202</v>
      </c>
      <c r="EO148" s="37" t="s">
        <v>202</v>
      </c>
      <c r="EP148" s="37" t="s">
        <v>202</v>
      </c>
      <c r="EQ148" s="37" t="s">
        <v>202</v>
      </c>
      <c r="ER148" s="37" t="s">
        <v>202</v>
      </c>
      <c r="ES148" s="37" t="s">
        <v>202</v>
      </c>
      <c r="ET148" s="37" t="s">
        <v>202</v>
      </c>
      <c r="EU148" s="37" t="s">
        <v>202</v>
      </c>
      <c r="EV148" s="37" t="s">
        <v>202</v>
      </c>
      <c r="EW148" s="37" t="s">
        <v>202</v>
      </c>
      <c r="EX148" s="2" t="s">
        <v>202</v>
      </c>
      <c r="EY148" s="2" t="s">
        <v>202</v>
      </c>
      <c r="EZ148" s="2" t="s">
        <v>202</v>
      </c>
      <c r="FA148" s="2" t="s">
        <v>202</v>
      </c>
      <c r="FB148" s="2" t="s">
        <v>202</v>
      </c>
      <c r="FC148" s="2" t="s">
        <v>202</v>
      </c>
      <c r="FD148" s="2" t="s">
        <v>202</v>
      </c>
      <c r="FE148" s="2" t="s">
        <v>202</v>
      </c>
      <c r="FF148" s="2" t="s">
        <v>202</v>
      </c>
    </row>
    <row r="149" spans="9:162" x14ac:dyDescent="0.3">
      <c r="I149" t="s">
        <v>2253</v>
      </c>
      <c r="J149" s="2" t="s">
        <v>2200</v>
      </c>
      <c r="K149" s="2" t="s">
        <v>2200</v>
      </c>
      <c r="L149" s="2" t="s">
        <v>2200</v>
      </c>
      <c r="M149" s="2" t="s">
        <v>202</v>
      </c>
      <c r="N149" s="2" t="s">
        <v>2200</v>
      </c>
      <c r="O149" s="2" t="s">
        <v>2200</v>
      </c>
      <c r="P149" s="2" t="s">
        <v>2200</v>
      </c>
      <c r="Q149" s="2" t="s">
        <v>2200</v>
      </c>
      <c r="R149" s="2" t="s">
        <v>2200</v>
      </c>
      <c r="S149" s="2" t="s">
        <v>202</v>
      </c>
      <c r="T149" s="2" t="s">
        <v>2200</v>
      </c>
      <c r="U149" s="2" t="s">
        <v>2200</v>
      </c>
      <c r="V149" s="2" t="s">
        <v>2200</v>
      </c>
      <c r="W149" s="2" t="s">
        <v>2200</v>
      </c>
      <c r="X149" s="2" t="s">
        <v>202</v>
      </c>
      <c r="Y149" s="2" t="s">
        <v>2200</v>
      </c>
      <c r="Z149" s="2" t="s">
        <v>2200</v>
      </c>
      <c r="AA149" s="2" t="s">
        <v>202</v>
      </c>
      <c r="AB149" s="2" t="s">
        <v>2200</v>
      </c>
      <c r="AC149" s="2" t="s">
        <v>2200</v>
      </c>
      <c r="AD149" s="2" t="s">
        <v>2200</v>
      </c>
      <c r="AE149" s="2" t="s">
        <v>202</v>
      </c>
      <c r="AF149" s="2" t="s">
        <v>202</v>
      </c>
      <c r="AG149" s="2" t="s">
        <v>2200</v>
      </c>
      <c r="AH149" s="2" t="s">
        <v>202</v>
      </c>
      <c r="AI149" s="2" t="s">
        <v>202</v>
      </c>
      <c r="AJ149" s="2" t="s">
        <v>202</v>
      </c>
      <c r="AK149" s="2" t="s">
        <v>2200</v>
      </c>
      <c r="AL149" s="2" t="s">
        <v>202</v>
      </c>
      <c r="AM149" s="2" t="s">
        <v>2200</v>
      </c>
      <c r="AN149" s="2" t="s">
        <v>202</v>
      </c>
      <c r="AO149" s="2" t="s">
        <v>202</v>
      </c>
      <c r="AP149" s="2" t="s">
        <v>2200</v>
      </c>
      <c r="AQ149" s="2" t="s">
        <v>202</v>
      </c>
      <c r="AR149" s="2" t="s">
        <v>2200</v>
      </c>
      <c r="AS149" s="2" t="s">
        <v>202</v>
      </c>
      <c r="AT149" s="2" t="s">
        <v>2200</v>
      </c>
      <c r="AU149" s="2" t="s">
        <v>2200</v>
      </c>
      <c r="AV149" s="2" t="s">
        <v>202</v>
      </c>
      <c r="AW149" s="2" t="s">
        <v>202</v>
      </c>
      <c r="AX149" s="2" t="s">
        <v>2200</v>
      </c>
      <c r="AY149" s="2" t="s">
        <v>202</v>
      </c>
      <c r="AZ149" s="2" t="s">
        <v>202</v>
      </c>
      <c r="BA149" s="2" t="s">
        <v>2200</v>
      </c>
      <c r="BB149" s="2" t="s">
        <v>202</v>
      </c>
      <c r="BC149" s="2" t="s">
        <v>202</v>
      </c>
      <c r="BD149" s="2" t="s">
        <v>202</v>
      </c>
      <c r="BE149" s="2" t="s">
        <v>202</v>
      </c>
      <c r="BF149" s="2" t="s">
        <v>202</v>
      </c>
      <c r="BG149" s="2" t="s">
        <v>202</v>
      </c>
      <c r="BH149" s="2" t="s">
        <v>202</v>
      </c>
      <c r="BI149" s="2" t="s">
        <v>202</v>
      </c>
      <c r="BJ149" s="2" t="s">
        <v>202</v>
      </c>
      <c r="BK149" s="2" t="s">
        <v>202</v>
      </c>
      <c r="BL149" s="2" t="s">
        <v>202</v>
      </c>
      <c r="BM149" s="2" t="s">
        <v>202</v>
      </c>
      <c r="BN149" s="2" t="s">
        <v>202</v>
      </c>
      <c r="BO149" s="2" t="s">
        <v>202</v>
      </c>
      <c r="BP149" s="2" t="s">
        <v>202</v>
      </c>
      <c r="BQ149" s="2" t="s">
        <v>202</v>
      </c>
      <c r="BR149" s="2" t="s">
        <v>202</v>
      </c>
      <c r="BS149" s="2" t="s">
        <v>202</v>
      </c>
      <c r="BT149" s="2" t="s">
        <v>202</v>
      </c>
      <c r="BU149" s="2" t="s">
        <v>202</v>
      </c>
      <c r="BV149" s="2" t="s">
        <v>202</v>
      </c>
      <c r="BW149" s="2" t="s">
        <v>202</v>
      </c>
      <c r="BX149" s="2" t="s">
        <v>202</v>
      </c>
      <c r="BY149" s="2" t="s">
        <v>202</v>
      </c>
      <c r="BZ149" s="2" t="s">
        <v>202</v>
      </c>
      <c r="CA149" s="37" t="s">
        <v>2200</v>
      </c>
      <c r="CB149" s="37" t="s">
        <v>202</v>
      </c>
      <c r="CC149" s="37" t="s">
        <v>2200</v>
      </c>
      <c r="CD149" s="37" t="s">
        <v>2200</v>
      </c>
      <c r="CE149" s="37" t="s">
        <v>2200</v>
      </c>
      <c r="CF149" s="37" t="s">
        <v>202</v>
      </c>
      <c r="CG149" s="37" t="s">
        <v>202</v>
      </c>
      <c r="CH149" s="37" t="s">
        <v>202</v>
      </c>
      <c r="CI149" s="37" t="s">
        <v>202</v>
      </c>
      <c r="CJ149" s="37" t="s">
        <v>202</v>
      </c>
      <c r="CK149" s="37" t="s">
        <v>2200</v>
      </c>
      <c r="CL149" s="37" t="s">
        <v>2200</v>
      </c>
      <c r="CM149" s="37" t="s">
        <v>202</v>
      </c>
      <c r="CN149" s="37" t="s">
        <v>202</v>
      </c>
      <c r="CO149" s="37" t="s">
        <v>202</v>
      </c>
      <c r="CP149" s="37" t="s">
        <v>2200</v>
      </c>
      <c r="CQ149" s="37" t="s">
        <v>2200</v>
      </c>
      <c r="CR149" s="37" t="s">
        <v>202</v>
      </c>
      <c r="CS149" s="37" t="s">
        <v>202</v>
      </c>
      <c r="CT149" s="37" t="s">
        <v>2200</v>
      </c>
      <c r="CU149" s="37" t="s">
        <v>202</v>
      </c>
      <c r="CV149" s="37" t="s">
        <v>202</v>
      </c>
      <c r="CW149" s="37" t="s">
        <v>202</v>
      </c>
      <c r="CX149" s="37" t="s">
        <v>202</v>
      </c>
      <c r="CY149" s="37" t="s">
        <v>2200</v>
      </c>
      <c r="CZ149" s="37" t="s">
        <v>202</v>
      </c>
      <c r="DA149" s="37" t="s">
        <v>202</v>
      </c>
      <c r="DB149" s="37" t="s">
        <v>2200</v>
      </c>
      <c r="DC149" s="37" t="s">
        <v>202</v>
      </c>
      <c r="DD149" s="37" t="s">
        <v>2200</v>
      </c>
      <c r="DE149" s="37" t="s">
        <v>202</v>
      </c>
      <c r="DF149" s="37" t="s">
        <v>202</v>
      </c>
      <c r="DG149" s="37" t="s">
        <v>202</v>
      </c>
      <c r="DH149" s="37" t="s">
        <v>202</v>
      </c>
      <c r="DI149" s="37" t="s">
        <v>202</v>
      </c>
      <c r="DJ149" s="37" t="s">
        <v>202</v>
      </c>
      <c r="DK149" s="37" t="s">
        <v>202</v>
      </c>
      <c r="DL149" s="37" t="s">
        <v>2200</v>
      </c>
      <c r="DM149" s="37" t="s">
        <v>202</v>
      </c>
      <c r="DN149" s="37" t="s">
        <v>2200</v>
      </c>
      <c r="DO149" s="37" t="s">
        <v>202</v>
      </c>
      <c r="DP149" s="37" t="s">
        <v>2200</v>
      </c>
      <c r="DQ149" s="37" t="s">
        <v>202</v>
      </c>
      <c r="DR149" s="37" t="s">
        <v>202</v>
      </c>
      <c r="DS149" s="37" t="s">
        <v>202</v>
      </c>
      <c r="DT149" s="37" t="s">
        <v>202</v>
      </c>
      <c r="DU149" s="37" t="s">
        <v>202</v>
      </c>
      <c r="DV149" s="37" t="s">
        <v>202</v>
      </c>
      <c r="DW149" s="37" t="s">
        <v>202</v>
      </c>
      <c r="DX149" s="2" t="s">
        <v>202</v>
      </c>
      <c r="DY149" s="37" t="s">
        <v>202</v>
      </c>
      <c r="DZ149" s="37" t="s">
        <v>202</v>
      </c>
      <c r="EA149" s="37" t="s">
        <v>202</v>
      </c>
      <c r="EB149" s="37" t="s">
        <v>202</v>
      </c>
      <c r="EC149" s="37" t="s">
        <v>2200</v>
      </c>
      <c r="ED149" s="37" t="s">
        <v>2200</v>
      </c>
      <c r="EE149" s="37" t="s">
        <v>2200</v>
      </c>
      <c r="EF149" s="37" t="s">
        <v>202</v>
      </c>
      <c r="EG149" s="37" t="s">
        <v>202</v>
      </c>
      <c r="EH149" s="37" t="s">
        <v>2200</v>
      </c>
      <c r="EI149" s="37" t="s">
        <v>202</v>
      </c>
      <c r="EJ149" s="37" t="s">
        <v>2200</v>
      </c>
      <c r="EK149" s="37" t="s">
        <v>2200</v>
      </c>
      <c r="EL149" s="37" t="s">
        <v>2200</v>
      </c>
      <c r="EM149" s="37" t="s">
        <v>202</v>
      </c>
      <c r="EN149" s="37" t="s">
        <v>202</v>
      </c>
      <c r="EO149" s="37" t="s">
        <v>2200</v>
      </c>
      <c r="EP149" s="37" t="s">
        <v>202</v>
      </c>
      <c r="EQ149" s="37" t="s">
        <v>2200</v>
      </c>
      <c r="ER149" s="37" t="s">
        <v>2200</v>
      </c>
      <c r="ES149" s="37" t="s">
        <v>202</v>
      </c>
      <c r="ET149" s="37" t="s">
        <v>202</v>
      </c>
      <c r="EU149" s="37" t="s">
        <v>202</v>
      </c>
      <c r="EV149" s="37" t="s">
        <v>202</v>
      </c>
      <c r="EW149" s="37" t="s">
        <v>202</v>
      </c>
      <c r="EX149" s="2" t="s">
        <v>202</v>
      </c>
      <c r="EY149" s="2" t="s">
        <v>202</v>
      </c>
      <c r="EZ149" s="2" t="s">
        <v>202</v>
      </c>
      <c r="FA149" s="2" t="s">
        <v>202</v>
      </c>
      <c r="FB149" s="2" t="s">
        <v>202</v>
      </c>
      <c r="FC149" s="2" t="s">
        <v>202</v>
      </c>
      <c r="FD149" s="2" t="s">
        <v>202</v>
      </c>
      <c r="FE149" s="39" t="s">
        <v>2201</v>
      </c>
      <c r="FF149" s="39" t="s">
        <v>2201</v>
      </c>
    </row>
    <row r="150" spans="9:162" x14ac:dyDescent="0.3">
      <c r="I150" t="s">
        <v>2254</v>
      </c>
      <c r="J150" s="39" t="s">
        <v>2201</v>
      </c>
      <c r="K150" s="2" t="s">
        <v>202</v>
      </c>
      <c r="L150" s="39" t="s">
        <v>2201</v>
      </c>
      <c r="M150" s="2" t="s">
        <v>202</v>
      </c>
      <c r="N150" s="2" t="s">
        <v>202</v>
      </c>
      <c r="O150" s="2" t="s">
        <v>202</v>
      </c>
      <c r="P150" s="2" t="s">
        <v>202</v>
      </c>
      <c r="Q150" s="2" t="s">
        <v>202</v>
      </c>
      <c r="R150" s="2" t="s">
        <v>202</v>
      </c>
      <c r="S150" s="2" t="s">
        <v>202</v>
      </c>
      <c r="T150" s="2" t="s">
        <v>202</v>
      </c>
      <c r="U150" s="2" t="s">
        <v>202</v>
      </c>
      <c r="V150" s="2" t="s">
        <v>202</v>
      </c>
      <c r="W150" s="2" t="s">
        <v>202</v>
      </c>
      <c r="X150" s="2" t="s">
        <v>202</v>
      </c>
      <c r="Y150" s="2" t="s">
        <v>202</v>
      </c>
      <c r="Z150" s="2" t="s">
        <v>202</v>
      </c>
      <c r="AA150" s="2" t="s">
        <v>202</v>
      </c>
      <c r="AB150" s="2" t="s">
        <v>202</v>
      </c>
      <c r="AC150" s="2" t="s">
        <v>202</v>
      </c>
      <c r="AD150" s="2" t="s">
        <v>202</v>
      </c>
      <c r="AE150" s="2" t="s">
        <v>202</v>
      </c>
      <c r="AF150" s="2" t="s">
        <v>202</v>
      </c>
      <c r="AG150" s="2" t="s">
        <v>202</v>
      </c>
      <c r="AH150" s="2" t="s">
        <v>202</v>
      </c>
      <c r="AI150" s="2" t="s">
        <v>202</v>
      </c>
      <c r="AJ150" s="2" t="s">
        <v>202</v>
      </c>
      <c r="AK150" s="2" t="s">
        <v>202</v>
      </c>
      <c r="AL150" s="2" t="s">
        <v>202</v>
      </c>
      <c r="AM150" s="39" t="s">
        <v>2201</v>
      </c>
      <c r="AN150" s="2" t="s">
        <v>202</v>
      </c>
      <c r="AO150" s="2" t="s">
        <v>202</v>
      </c>
      <c r="AP150" s="2" t="s">
        <v>202</v>
      </c>
      <c r="AQ150" s="2" t="s">
        <v>202</v>
      </c>
      <c r="AR150" s="2" t="s">
        <v>202</v>
      </c>
      <c r="AS150" s="2" t="s">
        <v>202</v>
      </c>
      <c r="AT150" s="2" t="s">
        <v>202</v>
      </c>
      <c r="AU150" s="2" t="s">
        <v>202</v>
      </c>
      <c r="AV150" s="2" t="s">
        <v>202</v>
      </c>
      <c r="AW150" s="2" t="s">
        <v>202</v>
      </c>
      <c r="AX150" s="2" t="s">
        <v>202</v>
      </c>
      <c r="AY150" s="2" t="s">
        <v>202</v>
      </c>
      <c r="AZ150" s="2" t="s">
        <v>202</v>
      </c>
      <c r="BA150" s="2" t="s">
        <v>202</v>
      </c>
      <c r="BB150" s="2" t="s">
        <v>202</v>
      </c>
      <c r="BC150" s="2" t="s">
        <v>202</v>
      </c>
      <c r="BD150" s="2" t="s">
        <v>202</v>
      </c>
      <c r="BE150" s="2" t="s">
        <v>202</v>
      </c>
      <c r="BF150" s="2" t="s">
        <v>202</v>
      </c>
      <c r="BG150" s="2" t="s">
        <v>202</v>
      </c>
      <c r="BH150" s="2" t="s">
        <v>202</v>
      </c>
      <c r="BI150" s="2" t="s">
        <v>202</v>
      </c>
      <c r="BJ150" s="2" t="s">
        <v>202</v>
      </c>
      <c r="BK150" s="2" t="s">
        <v>202</v>
      </c>
      <c r="BL150" s="2" t="s">
        <v>202</v>
      </c>
      <c r="BM150" s="2" t="s">
        <v>202</v>
      </c>
      <c r="BN150" s="2" t="s">
        <v>202</v>
      </c>
      <c r="BO150" s="2" t="s">
        <v>202</v>
      </c>
      <c r="BP150" s="2" t="s">
        <v>202</v>
      </c>
      <c r="BQ150" s="2" t="s">
        <v>202</v>
      </c>
      <c r="BR150" s="2" t="s">
        <v>202</v>
      </c>
      <c r="BS150" s="2" t="s">
        <v>202</v>
      </c>
      <c r="BT150" s="2" t="s">
        <v>202</v>
      </c>
      <c r="BU150" s="2" t="s">
        <v>202</v>
      </c>
      <c r="BV150" s="2" t="s">
        <v>202</v>
      </c>
      <c r="BW150" s="2" t="s">
        <v>202</v>
      </c>
      <c r="BX150" s="2" t="s">
        <v>202</v>
      </c>
      <c r="BY150" s="2" t="s">
        <v>202</v>
      </c>
      <c r="BZ150" s="2" t="s">
        <v>202</v>
      </c>
      <c r="CA150" s="41" t="s">
        <v>2201</v>
      </c>
      <c r="CB150" s="37" t="s">
        <v>202</v>
      </c>
      <c r="CC150" s="37" t="s">
        <v>202</v>
      </c>
      <c r="CD150" s="37" t="s">
        <v>202</v>
      </c>
      <c r="CE150" s="37" t="s">
        <v>202</v>
      </c>
      <c r="CF150" s="37" t="s">
        <v>202</v>
      </c>
      <c r="CG150" s="37" t="s">
        <v>202</v>
      </c>
      <c r="CH150" s="37" t="s">
        <v>202</v>
      </c>
      <c r="CI150" s="37" t="s">
        <v>202</v>
      </c>
      <c r="CJ150" s="37" t="s">
        <v>202</v>
      </c>
      <c r="CK150" s="41" t="s">
        <v>2201</v>
      </c>
      <c r="CL150" s="37" t="s">
        <v>202</v>
      </c>
      <c r="CM150" s="37" t="s">
        <v>202</v>
      </c>
      <c r="CN150" s="37" t="s">
        <v>202</v>
      </c>
      <c r="CO150" s="37" t="s">
        <v>202</v>
      </c>
      <c r="CP150" s="37" t="s">
        <v>202</v>
      </c>
      <c r="CQ150" s="37" t="s">
        <v>202</v>
      </c>
      <c r="CR150" s="37" t="s">
        <v>202</v>
      </c>
      <c r="CS150" s="37" t="s">
        <v>202</v>
      </c>
      <c r="CT150" s="37" t="s">
        <v>202</v>
      </c>
      <c r="CU150" s="37" t="s">
        <v>202</v>
      </c>
      <c r="CV150" s="37" t="s">
        <v>202</v>
      </c>
      <c r="CW150" s="37" t="s">
        <v>202</v>
      </c>
      <c r="CX150" s="37" t="s">
        <v>202</v>
      </c>
      <c r="CY150" s="37" t="s">
        <v>202</v>
      </c>
      <c r="CZ150" s="37" t="s">
        <v>202</v>
      </c>
      <c r="DA150" s="37" t="s">
        <v>202</v>
      </c>
      <c r="DB150" s="37" t="s">
        <v>202</v>
      </c>
      <c r="DC150" s="37" t="s">
        <v>202</v>
      </c>
      <c r="DD150" s="37" t="s">
        <v>202</v>
      </c>
      <c r="DE150" s="37" t="s">
        <v>202</v>
      </c>
      <c r="DF150" s="37" t="s">
        <v>202</v>
      </c>
      <c r="DG150" s="37" t="s">
        <v>202</v>
      </c>
      <c r="DH150" s="37" t="s">
        <v>202</v>
      </c>
      <c r="DI150" s="37" t="s">
        <v>202</v>
      </c>
      <c r="DJ150" s="37" t="s">
        <v>202</v>
      </c>
      <c r="DK150" s="37" t="s">
        <v>202</v>
      </c>
      <c r="DL150" s="37" t="s">
        <v>202</v>
      </c>
      <c r="DM150" s="37" t="s">
        <v>202</v>
      </c>
      <c r="DN150" s="37" t="s">
        <v>202</v>
      </c>
      <c r="DO150" s="37" t="s">
        <v>202</v>
      </c>
      <c r="DP150" s="37" t="s">
        <v>202</v>
      </c>
      <c r="DQ150" s="37" t="s">
        <v>202</v>
      </c>
      <c r="DR150" s="37" t="s">
        <v>202</v>
      </c>
      <c r="DS150" s="37" t="s">
        <v>202</v>
      </c>
      <c r="DT150" s="37" t="s">
        <v>202</v>
      </c>
      <c r="DU150" s="37" t="s">
        <v>202</v>
      </c>
      <c r="DV150" s="37" t="s">
        <v>202</v>
      </c>
      <c r="DW150" s="37" t="s">
        <v>202</v>
      </c>
      <c r="DX150" s="2" t="s">
        <v>202</v>
      </c>
      <c r="DY150" s="37" t="s">
        <v>202</v>
      </c>
      <c r="DZ150" s="37" t="s">
        <v>202</v>
      </c>
      <c r="EA150" s="37" t="s">
        <v>202</v>
      </c>
      <c r="EB150" s="37" t="s">
        <v>202</v>
      </c>
      <c r="EC150" s="37" t="s">
        <v>202</v>
      </c>
      <c r="ED150" s="37" t="s">
        <v>202</v>
      </c>
      <c r="EE150" s="37" t="s">
        <v>202</v>
      </c>
      <c r="EF150" s="37" t="s">
        <v>202</v>
      </c>
      <c r="EG150" s="37" t="s">
        <v>202</v>
      </c>
      <c r="EH150" s="37" t="s">
        <v>202</v>
      </c>
      <c r="EI150" s="37" t="s">
        <v>202</v>
      </c>
      <c r="EJ150" s="37" t="s">
        <v>202</v>
      </c>
      <c r="EK150" s="37" t="s">
        <v>202</v>
      </c>
      <c r="EL150" s="37" t="s">
        <v>202</v>
      </c>
      <c r="EM150" s="37" t="s">
        <v>202</v>
      </c>
      <c r="EN150" s="37" t="s">
        <v>202</v>
      </c>
      <c r="EO150" s="37" t="s">
        <v>202</v>
      </c>
      <c r="EP150" s="37" t="s">
        <v>202</v>
      </c>
      <c r="EQ150" s="37" t="s">
        <v>202</v>
      </c>
      <c r="ER150" s="37" t="s">
        <v>202</v>
      </c>
      <c r="ES150" s="37" t="s">
        <v>202</v>
      </c>
      <c r="ET150" s="37" t="s">
        <v>202</v>
      </c>
      <c r="EU150" s="37" t="s">
        <v>202</v>
      </c>
      <c r="EV150" s="37" t="s">
        <v>202</v>
      </c>
      <c r="EW150" s="37" t="s">
        <v>202</v>
      </c>
      <c r="EX150" s="2" t="s">
        <v>202</v>
      </c>
      <c r="EY150" s="2" t="s">
        <v>202</v>
      </c>
      <c r="EZ150" s="2" t="s">
        <v>202</v>
      </c>
      <c r="FA150" s="2" t="s">
        <v>202</v>
      </c>
      <c r="FB150" s="2" t="s">
        <v>202</v>
      </c>
      <c r="FC150" s="2" t="s">
        <v>202</v>
      </c>
      <c r="FD150" s="2" t="s">
        <v>202</v>
      </c>
      <c r="FE150" s="2" t="s">
        <v>202</v>
      </c>
      <c r="FF150" s="2" t="s">
        <v>202</v>
      </c>
    </row>
    <row r="151" spans="9:162" x14ac:dyDescent="0.3">
      <c r="I151" t="s">
        <v>2262</v>
      </c>
      <c r="J151" s="2" t="s">
        <v>202</v>
      </c>
      <c r="K151" s="2" t="s">
        <v>202</v>
      </c>
      <c r="L151" s="2" t="s">
        <v>202</v>
      </c>
      <c r="M151" s="2" t="s">
        <v>202</v>
      </c>
      <c r="N151" s="2" t="s">
        <v>202</v>
      </c>
      <c r="O151" s="2" t="s">
        <v>202</v>
      </c>
      <c r="P151" s="2" t="s">
        <v>202</v>
      </c>
      <c r="Q151" s="2" t="s">
        <v>202</v>
      </c>
      <c r="R151" s="2" t="s">
        <v>202</v>
      </c>
      <c r="S151" s="2" t="s">
        <v>202</v>
      </c>
      <c r="T151" s="2" t="s">
        <v>202</v>
      </c>
      <c r="U151" s="2" t="s">
        <v>202</v>
      </c>
      <c r="V151" s="2" t="s">
        <v>202</v>
      </c>
      <c r="W151" s="2" t="s">
        <v>202</v>
      </c>
      <c r="X151" s="2" t="s">
        <v>202</v>
      </c>
      <c r="Y151" s="39" t="s">
        <v>2200</v>
      </c>
      <c r="Z151" s="2" t="s">
        <v>202</v>
      </c>
      <c r="AA151" s="2" t="s">
        <v>202</v>
      </c>
      <c r="AB151" s="2" t="s">
        <v>202</v>
      </c>
      <c r="AC151" s="2" t="s">
        <v>202</v>
      </c>
      <c r="AD151" s="2" t="s">
        <v>202</v>
      </c>
      <c r="AE151" s="2" t="s">
        <v>202</v>
      </c>
      <c r="AF151" s="2" t="s">
        <v>202</v>
      </c>
      <c r="AG151" s="2" t="s">
        <v>202</v>
      </c>
      <c r="AH151" s="2" t="s">
        <v>202</v>
      </c>
      <c r="AI151" s="2" t="s">
        <v>202</v>
      </c>
      <c r="AJ151" s="2" t="s">
        <v>202</v>
      </c>
      <c r="AK151" s="2" t="s">
        <v>202</v>
      </c>
      <c r="AL151" s="2" t="s">
        <v>202</v>
      </c>
      <c r="AM151" s="2" t="s">
        <v>202</v>
      </c>
      <c r="AN151" s="2" t="s">
        <v>202</v>
      </c>
      <c r="AO151" s="2" t="s">
        <v>202</v>
      </c>
      <c r="AP151" s="2" t="s">
        <v>202</v>
      </c>
      <c r="AQ151" s="2" t="s">
        <v>202</v>
      </c>
      <c r="AR151" s="2" t="s">
        <v>202</v>
      </c>
      <c r="AS151" s="2" t="s">
        <v>202</v>
      </c>
      <c r="AT151" s="39" t="s">
        <v>2200</v>
      </c>
      <c r="AU151" s="39" t="s">
        <v>2200</v>
      </c>
      <c r="AV151" s="2" t="s">
        <v>202</v>
      </c>
      <c r="AW151" s="2" t="s">
        <v>202</v>
      </c>
      <c r="AX151" s="2" t="s">
        <v>202</v>
      </c>
      <c r="AY151" s="2" t="s">
        <v>202</v>
      </c>
      <c r="AZ151" s="2" t="s">
        <v>202</v>
      </c>
      <c r="BA151" s="2" t="s">
        <v>202</v>
      </c>
      <c r="BB151" s="2" t="s">
        <v>202</v>
      </c>
      <c r="BC151" s="2" t="s">
        <v>202</v>
      </c>
      <c r="BD151" s="2" t="s">
        <v>202</v>
      </c>
      <c r="BE151" s="2" t="s">
        <v>202</v>
      </c>
      <c r="BF151" s="2" t="s">
        <v>202</v>
      </c>
      <c r="BG151" s="2" t="s">
        <v>202</v>
      </c>
      <c r="BH151" s="2" t="s">
        <v>202</v>
      </c>
      <c r="BI151" s="2" t="s">
        <v>202</v>
      </c>
      <c r="BJ151" s="2" t="s">
        <v>202</v>
      </c>
      <c r="BK151" s="2" t="s">
        <v>202</v>
      </c>
      <c r="BL151" s="2" t="s">
        <v>202</v>
      </c>
      <c r="BM151" s="2" t="s">
        <v>202</v>
      </c>
      <c r="BN151" s="2" t="s">
        <v>202</v>
      </c>
      <c r="BO151" s="2" t="s">
        <v>202</v>
      </c>
      <c r="BP151" s="2" t="s">
        <v>202</v>
      </c>
      <c r="BQ151" s="2" t="s">
        <v>202</v>
      </c>
      <c r="BR151" s="2" t="s">
        <v>202</v>
      </c>
      <c r="BS151" s="2" t="s">
        <v>202</v>
      </c>
      <c r="BT151" s="2" t="s">
        <v>202</v>
      </c>
      <c r="BU151" s="2" t="s">
        <v>202</v>
      </c>
      <c r="BV151" s="2" t="s">
        <v>202</v>
      </c>
      <c r="BW151" s="2" t="s">
        <v>202</v>
      </c>
      <c r="BX151" s="2" t="s">
        <v>202</v>
      </c>
      <c r="BY151" s="2" t="s">
        <v>202</v>
      </c>
      <c r="BZ151" s="2" t="s">
        <v>202</v>
      </c>
      <c r="CA151" s="37" t="s">
        <v>202</v>
      </c>
      <c r="CB151" s="37" t="s">
        <v>202</v>
      </c>
      <c r="CC151" s="41" t="s">
        <v>2200</v>
      </c>
      <c r="CD151" s="41" t="s">
        <v>2200</v>
      </c>
      <c r="CE151" s="37" t="s">
        <v>202</v>
      </c>
      <c r="CF151" s="37" t="s">
        <v>202</v>
      </c>
      <c r="CG151" s="37" t="s">
        <v>202</v>
      </c>
      <c r="CH151" s="37" t="s">
        <v>202</v>
      </c>
      <c r="CI151" s="37" t="s">
        <v>202</v>
      </c>
      <c r="CJ151" s="37" t="s">
        <v>202</v>
      </c>
      <c r="CK151" s="37" t="s">
        <v>202</v>
      </c>
      <c r="CL151" s="37" t="s">
        <v>202</v>
      </c>
      <c r="CM151" s="37" t="s">
        <v>202</v>
      </c>
      <c r="CN151" s="37" t="s">
        <v>202</v>
      </c>
      <c r="CO151" s="37" t="s">
        <v>202</v>
      </c>
      <c r="CP151" s="37" t="s">
        <v>202</v>
      </c>
      <c r="CQ151" s="37" t="s">
        <v>202</v>
      </c>
      <c r="CR151" s="37" t="s">
        <v>202</v>
      </c>
      <c r="CS151" s="37" t="s">
        <v>202</v>
      </c>
      <c r="CT151" s="37" t="s">
        <v>202</v>
      </c>
      <c r="CU151" s="37" t="s">
        <v>202</v>
      </c>
      <c r="CV151" s="37" t="s">
        <v>202</v>
      </c>
      <c r="CW151" s="37" t="s">
        <v>202</v>
      </c>
      <c r="CX151" s="37" t="s">
        <v>202</v>
      </c>
      <c r="CY151" s="37" t="s">
        <v>202</v>
      </c>
      <c r="CZ151" s="37" t="s">
        <v>202</v>
      </c>
      <c r="DA151" s="37" t="s">
        <v>202</v>
      </c>
      <c r="DB151" s="37" t="s">
        <v>202</v>
      </c>
      <c r="DC151" s="37" t="s">
        <v>202</v>
      </c>
      <c r="DD151" s="37" t="s">
        <v>202</v>
      </c>
      <c r="DE151" s="37" t="s">
        <v>202</v>
      </c>
      <c r="DF151" s="37" t="s">
        <v>202</v>
      </c>
      <c r="DG151" s="37" t="s">
        <v>202</v>
      </c>
      <c r="DH151" s="37" t="s">
        <v>202</v>
      </c>
      <c r="DI151" s="37" t="s">
        <v>202</v>
      </c>
      <c r="DJ151" s="37" t="s">
        <v>202</v>
      </c>
      <c r="DK151" s="37" t="s">
        <v>202</v>
      </c>
      <c r="DL151" s="37" t="s">
        <v>202</v>
      </c>
      <c r="DM151" s="37" t="s">
        <v>202</v>
      </c>
      <c r="DN151" s="37" t="s">
        <v>202</v>
      </c>
      <c r="DO151" s="37" t="s">
        <v>202</v>
      </c>
      <c r="DP151" s="37" t="s">
        <v>202</v>
      </c>
      <c r="DQ151" s="37" t="s">
        <v>202</v>
      </c>
      <c r="DR151" s="37" t="s">
        <v>202</v>
      </c>
      <c r="DS151" s="37" t="s">
        <v>202</v>
      </c>
      <c r="DT151" s="37" t="s">
        <v>202</v>
      </c>
      <c r="DU151" s="37" t="s">
        <v>202</v>
      </c>
      <c r="DV151" s="37" t="s">
        <v>202</v>
      </c>
      <c r="DW151" s="37" t="s">
        <v>202</v>
      </c>
      <c r="DX151" s="2" t="s">
        <v>202</v>
      </c>
      <c r="DY151" s="37" t="s">
        <v>202</v>
      </c>
      <c r="DZ151" s="37" t="s">
        <v>202</v>
      </c>
      <c r="EA151" s="37" t="s">
        <v>202</v>
      </c>
      <c r="EB151" s="37" t="s">
        <v>202</v>
      </c>
      <c r="EC151" s="37" t="s">
        <v>202</v>
      </c>
      <c r="ED151" s="37" t="s">
        <v>202</v>
      </c>
      <c r="EE151" s="37" t="s">
        <v>202</v>
      </c>
      <c r="EF151" s="37" t="s">
        <v>202</v>
      </c>
      <c r="EG151" s="37" t="s">
        <v>202</v>
      </c>
      <c r="EH151" s="37" t="s">
        <v>202</v>
      </c>
      <c r="EI151" s="37" t="s">
        <v>202</v>
      </c>
      <c r="EJ151" s="37" t="s">
        <v>202</v>
      </c>
      <c r="EK151" s="37" t="s">
        <v>202</v>
      </c>
      <c r="EL151" s="37" t="s">
        <v>202</v>
      </c>
      <c r="EM151" s="37" t="s">
        <v>202</v>
      </c>
      <c r="EN151" s="37" t="s">
        <v>202</v>
      </c>
      <c r="EO151" s="37" t="s">
        <v>202</v>
      </c>
      <c r="EP151" s="37" t="s">
        <v>202</v>
      </c>
      <c r="EQ151" s="37" t="s">
        <v>202</v>
      </c>
      <c r="ER151" s="37" t="s">
        <v>202</v>
      </c>
      <c r="ES151" s="37" t="s">
        <v>202</v>
      </c>
      <c r="ET151" s="37" t="s">
        <v>202</v>
      </c>
      <c r="EU151" s="37" t="s">
        <v>202</v>
      </c>
      <c r="EV151" s="37" t="s">
        <v>202</v>
      </c>
      <c r="EW151" s="37" t="s">
        <v>202</v>
      </c>
      <c r="EX151" s="2" t="s">
        <v>202</v>
      </c>
      <c r="EY151" s="2" t="s">
        <v>202</v>
      </c>
      <c r="EZ151" s="2" t="s">
        <v>202</v>
      </c>
      <c r="FA151" s="2" t="s">
        <v>202</v>
      </c>
      <c r="FB151" s="2" t="s">
        <v>202</v>
      </c>
      <c r="FC151" s="2" t="s">
        <v>202</v>
      </c>
      <c r="FD151" s="2" t="s">
        <v>202</v>
      </c>
      <c r="FE151" s="2" t="s">
        <v>202</v>
      </c>
      <c r="FF151" s="2" t="s">
        <v>202</v>
      </c>
    </row>
    <row r="152" spans="9:162" x14ac:dyDescent="0.3">
      <c r="I152" t="s">
        <v>2263</v>
      </c>
      <c r="J152" s="2" t="s">
        <v>202</v>
      </c>
      <c r="K152" s="2" t="s">
        <v>2200</v>
      </c>
      <c r="L152" s="2" t="s">
        <v>202</v>
      </c>
      <c r="M152" s="2" t="s">
        <v>202</v>
      </c>
      <c r="N152" s="2" t="s">
        <v>2200</v>
      </c>
      <c r="O152" s="2" t="s">
        <v>2200</v>
      </c>
      <c r="P152" s="2" t="s">
        <v>2200</v>
      </c>
      <c r="Q152" s="2" t="s">
        <v>2200</v>
      </c>
      <c r="R152" s="2" t="s">
        <v>2200</v>
      </c>
      <c r="S152" s="2" t="s">
        <v>202</v>
      </c>
      <c r="T152" s="2" t="s">
        <v>2200</v>
      </c>
      <c r="U152" s="2" t="s">
        <v>2200</v>
      </c>
      <c r="V152" s="2" t="s">
        <v>2200</v>
      </c>
      <c r="W152" s="2" t="s">
        <v>2200</v>
      </c>
      <c r="X152" s="2" t="s">
        <v>202</v>
      </c>
      <c r="Y152" s="2" t="s">
        <v>2200</v>
      </c>
      <c r="Z152" s="2" t="s">
        <v>2200</v>
      </c>
      <c r="AA152" s="2" t="s">
        <v>202</v>
      </c>
      <c r="AB152" s="2" t="s">
        <v>2200</v>
      </c>
      <c r="AC152" s="2" t="s">
        <v>2200</v>
      </c>
      <c r="AD152" s="2" t="s">
        <v>2200</v>
      </c>
      <c r="AE152" s="2" t="s">
        <v>202</v>
      </c>
      <c r="AF152" s="2" t="s">
        <v>202</v>
      </c>
      <c r="AG152" s="2" t="s">
        <v>2200</v>
      </c>
      <c r="AH152" s="2" t="s">
        <v>202</v>
      </c>
      <c r="AI152" s="2" t="s">
        <v>202</v>
      </c>
      <c r="AJ152" s="2" t="s">
        <v>202</v>
      </c>
      <c r="AK152" s="2" t="s">
        <v>2200</v>
      </c>
      <c r="AL152" s="2" t="s">
        <v>202</v>
      </c>
      <c r="AM152" s="2" t="s">
        <v>202</v>
      </c>
      <c r="AN152" s="2" t="s">
        <v>202</v>
      </c>
      <c r="AO152" s="2" t="s">
        <v>202</v>
      </c>
      <c r="AP152" s="2" t="s">
        <v>2200</v>
      </c>
      <c r="AQ152" s="2" t="s">
        <v>202</v>
      </c>
      <c r="AR152" s="2" t="s">
        <v>2200</v>
      </c>
      <c r="AS152" s="2" t="s">
        <v>202</v>
      </c>
      <c r="AT152" s="2" t="s">
        <v>202</v>
      </c>
      <c r="AU152" s="2" t="s">
        <v>202</v>
      </c>
      <c r="AV152" s="2" t="s">
        <v>202</v>
      </c>
      <c r="AW152" s="2" t="s">
        <v>202</v>
      </c>
      <c r="AX152" s="2" t="s">
        <v>2200</v>
      </c>
      <c r="AY152" s="2" t="s">
        <v>202</v>
      </c>
      <c r="AZ152" s="2" t="s">
        <v>202</v>
      </c>
      <c r="BA152" s="2" t="s">
        <v>2200</v>
      </c>
      <c r="BB152" s="2" t="s">
        <v>202</v>
      </c>
      <c r="BC152" s="2" t="s">
        <v>202</v>
      </c>
      <c r="BD152" s="2" t="s">
        <v>202</v>
      </c>
      <c r="BE152" s="2" t="s">
        <v>202</v>
      </c>
      <c r="BF152" s="2" t="s">
        <v>202</v>
      </c>
      <c r="BG152" s="2" t="s">
        <v>202</v>
      </c>
      <c r="BH152" s="2" t="s">
        <v>202</v>
      </c>
      <c r="BI152" s="2" t="s">
        <v>202</v>
      </c>
      <c r="BJ152" s="2" t="s">
        <v>202</v>
      </c>
      <c r="BK152" s="2" t="s">
        <v>202</v>
      </c>
      <c r="BL152" s="2" t="s">
        <v>202</v>
      </c>
      <c r="BM152" s="2" t="s">
        <v>202</v>
      </c>
      <c r="BN152" s="2" t="s">
        <v>202</v>
      </c>
      <c r="BO152" s="2" t="s">
        <v>202</v>
      </c>
      <c r="BP152" s="2" t="s">
        <v>202</v>
      </c>
      <c r="BQ152" s="2" t="s">
        <v>202</v>
      </c>
      <c r="BR152" s="2" t="s">
        <v>202</v>
      </c>
      <c r="BS152" s="2" t="s">
        <v>202</v>
      </c>
      <c r="BT152" s="2" t="s">
        <v>202</v>
      </c>
      <c r="BU152" s="2" t="s">
        <v>202</v>
      </c>
      <c r="BV152" s="2" t="s">
        <v>202</v>
      </c>
      <c r="BW152" s="2" t="s">
        <v>202</v>
      </c>
      <c r="BX152" s="2" t="s">
        <v>202</v>
      </c>
      <c r="BY152" s="2" t="s">
        <v>202</v>
      </c>
      <c r="BZ152" s="2" t="s">
        <v>202</v>
      </c>
      <c r="CA152" s="37" t="s">
        <v>202</v>
      </c>
      <c r="CB152" s="37" t="s">
        <v>202</v>
      </c>
      <c r="CC152" s="37" t="s">
        <v>202</v>
      </c>
      <c r="CD152" s="37" t="s">
        <v>202</v>
      </c>
      <c r="CE152" s="37" t="s">
        <v>202</v>
      </c>
      <c r="CF152" s="37" t="s">
        <v>202</v>
      </c>
      <c r="CG152" s="37" t="s">
        <v>202</v>
      </c>
      <c r="CH152" s="37" t="s">
        <v>202</v>
      </c>
      <c r="CI152" s="37" t="s">
        <v>202</v>
      </c>
      <c r="CJ152" s="37" t="s">
        <v>202</v>
      </c>
      <c r="CK152" s="37" t="s">
        <v>202</v>
      </c>
      <c r="CL152" s="37" t="s">
        <v>202</v>
      </c>
      <c r="CM152" s="37" t="s">
        <v>202</v>
      </c>
      <c r="CN152" s="37" t="s">
        <v>202</v>
      </c>
      <c r="CO152" s="37" t="s">
        <v>202</v>
      </c>
      <c r="CP152" s="37" t="s">
        <v>202</v>
      </c>
      <c r="CQ152" s="37" t="s">
        <v>202</v>
      </c>
      <c r="CR152" s="37" t="s">
        <v>202</v>
      </c>
      <c r="CS152" s="37" t="s">
        <v>202</v>
      </c>
      <c r="CT152" s="37" t="s">
        <v>202</v>
      </c>
      <c r="CU152" s="37" t="s">
        <v>202</v>
      </c>
      <c r="CV152" s="37" t="s">
        <v>202</v>
      </c>
      <c r="CW152" s="37" t="s">
        <v>202</v>
      </c>
      <c r="CX152" s="37" t="s">
        <v>202</v>
      </c>
      <c r="CY152" s="37" t="s">
        <v>202</v>
      </c>
      <c r="CZ152" s="37" t="s">
        <v>202</v>
      </c>
      <c r="DA152" s="37" t="s">
        <v>202</v>
      </c>
      <c r="DB152" s="37" t="s">
        <v>202</v>
      </c>
      <c r="DC152" s="37" t="s">
        <v>202</v>
      </c>
      <c r="DD152" s="37" t="s">
        <v>202</v>
      </c>
      <c r="DE152" s="37" t="s">
        <v>202</v>
      </c>
      <c r="DF152" s="37" t="s">
        <v>202</v>
      </c>
      <c r="DG152" s="37" t="s">
        <v>202</v>
      </c>
      <c r="DH152" s="37" t="s">
        <v>202</v>
      </c>
      <c r="DI152" s="37" t="s">
        <v>202</v>
      </c>
      <c r="DJ152" s="37" t="s">
        <v>202</v>
      </c>
      <c r="DK152" s="37" t="s">
        <v>202</v>
      </c>
      <c r="DL152" s="37" t="s">
        <v>202</v>
      </c>
      <c r="DM152" s="37" t="s">
        <v>202</v>
      </c>
      <c r="DN152" s="37" t="s">
        <v>202</v>
      </c>
      <c r="DO152" s="37" t="s">
        <v>202</v>
      </c>
      <c r="DP152" s="37" t="s">
        <v>202</v>
      </c>
      <c r="DQ152" s="37" t="s">
        <v>202</v>
      </c>
      <c r="DR152" s="37" t="s">
        <v>202</v>
      </c>
      <c r="DS152" s="37" t="s">
        <v>202</v>
      </c>
      <c r="DT152" s="37" t="s">
        <v>202</v>
      </c>
      <c r="DU152" s="37" t="s">
        <v>202</v>
      </c>
      <c r="DV152" s="37" t="s">
        <v>202</v>
      </c>
      <c r="DW152" s="37" t="s">
        <v>202</v>
      </c>
      <c r="DX152" s="2" t="s">
        <v>202</v>
      </c>
      <c r="DY152" s="37" t="s">
        <v>202</v>
      </c>
      <c r="DZ152" s="37" t="s">
        <v>202</v>
      </c>
      <c r="EA152" s="37" t="s">
        <v>202</v>
      </c>
      <c r="EB152" s="37" t="s">
        <v>202</v>
      </c>
      <c r="EC152" s="37" t="s">
        <v>202</v>
      </c>
      <c r="ED152" s="37" t="s">
        <v>202</v>
      </c>
      <c r="EE152" s="37" t="s">
        <v>202</v>
      </c>
      <c r="EF152" s="37" t="s">
        <v>202</v>
      </c>
      <c r="EG152" s="37" t="s">
        <v>202</v>
      </c>
      <c r="EH152" s="37" t="s">
        <v>202</v>
      </c>
      <c r="EI152" s="37" t="s">
        <v>202</v>
      </c>
      <c r="EJ152" s="37" t="s">
        <v>202</v>
      </c>
      <c r="EK152" s="37" t="s">
        <v>202</v>
      </c>
      <c r="EL152" s="37" t="s">
        <v>202</v>
      </c>
      <c r="EM152" s="37" t="s">
        <v>202</v>
      </c>
      <c r="EN152" s="37" t="s">
        <v>202</v>
      </c>
      <c r="EO152" s="37" t="s">
        <v>202</v>
      </c>
      <c r="EP152" s="37" t="s">
        <v>202</v>
      </c>
      <c r="EQ152" s="37" t="s">
        <v>202</v>
      </c>
      <c r="ER152" s="37" t="s">
        <v>202</v>
      </c>
      <c r="ES152" s="37" t="s">
        <v>202</v>
      </c>
      <c r="ET152" s="37" t="s">
        <v>202</v>
      </c>
      <c r="EU152" s="37" t="s">
        <v>202</v>
      </c>
      <c r="EV152" s="37" t="s">
        <v>202</v>
      </c>
      <c r="EW152" s="37" t="s">
        <v>202</v>
      </c>
      <c r="EX152" s="2" t="s">
        <v>202</v>
      </c>
      <c r="EY152" s="2" t="s">
        <v>202</v>
      </c>
      <c r="EZ152" s="2" t="s">
        <v>202</v>
      </c>
      <c r="FA152" s="2" t="s">
        <v>202</v>
      </c>
      <c r="FB152" s="2" t="s">
        <v>202</v>
      </c>
      <c r="FC152" s="2" t="s">
        <v>202</v>
      </c>
      <c r="FD152" s="2" t="s">
        <v>202</v>
      </c>
      <c r="FE152" s="2" t="s">
        <v>202</v>
      </c>
      <c r="FF152" s="2" t="s">
        <v>202</v>
      </c>
    </row>
    <row r="153" spans="9:162" x14ac:dyDescent="0.3">
      <c r="I153" t="s">
        <v>2436</v>
      </c>
      <c r="J153" s="2" t="s">
        <v>202</v>
      </c>
      <c r="K153" s="2" t="s">
        <v>202</v>
      </c>
      <c r="L153" s="2" t="s">
        <v>202</v>
      </c>
      <c r="M153" s="2" t="s">
        <v>202</v>
      </c>
      <c r="N153" s="2" t="s">
        <v>202</v>
      </c>
      <c r="O153" s="2" t="s">
        <v>202</v>
      </c>
      <c r="P153" s="2" t="s">
        <v>202</v>
      </c>
      <c r="Q153" s="2" t="s">
        <v>202</v>
      </c>
      <c r="R153" s="2" t="s">
        <v>202</v>
      </c>
      <c r="S153" s="2" t="s">
        <v>202</v>
      </c>
      <c r="T153" s="2" t="s">
        <v>202</v>
      </c>
      <c r="U153" s="39" t="s">
        <v>2201</v>
      </c>
      <c r="V153" s="2" t="s">
        <v>202</v>
      </c>
      <c r="W153" s="2" t="s">
        <v>202</v>
      </c>
      <c r="X153" s="2" t="s">
        <v>202</v>
      </c>
      <c r="Y153" s="2" t="s">
        <v>202</v>
      </c>
      <c r="Z153" s="2" t="s">
        <v>202</v>
      </c>
      <c r="AA153" s="2" t="s">
        <v>202</v>
      </c>
      <c r="AB153" s="2" t="s">
        <v>202</v>
      </c>
      <c r="AC153" s="2" t="s">
        <v>202</v>
      </c>
      <c r="AD153" s="2" t="s">
        <v>202</v>
      </c>
      <c r="AE153" s="2" t="s">
        <v>202</v>
      </c>
      <c r="AF153" s="2" t="s">
        <v>202</v>
      </c>
      <c r="AG153" s="2" t="s">
        <v>202</v>
      </c>
      <c r="AH153" s="2" t="s">
        <v>202</v>
      </c>
      <c r="AI153" s="2" t="s">
        <v>202</v>
      </c>
      <c r="AJ153" s="2" t="s">
        <v>202</v>
      </c>
      <c r="AK153" s="2" t="s">
        <v>202</v>
      </c>
      <c r="AL153" s="2" t="s">
        <v>202</v>
      </c>
      <c r="AM153" s="2" t="s">
        <v>202</v>
      </c>
      <c r="AN153" s="2" t="s">
        <v>202</v>
      </c>
      <c r="AO153" s="2" t="s">
        <v>202</v>
      </c>
      <c r="AP153" s="2" t="s">
        <v>202</v>
      </c>
      <c r="AQ153" s="2" t="s">
        <v>202</v>
      </c>
      <c r="AR153" s="2" t="s">
        <v>202</v>
      </c>
      <c r="AS153" s="2" t="s">
        <v>202</v>
      </c>
      <c r="AT153" s="2" t="s">
        <v>202</v>
      </c>
      <c r="AU153" s="2" t="s">
        <v>202</v>
      </c>
      <c r="AV153" s="2" t="s">
        <v>202</v>
      </c>
      <c r="AW153" s="2" t="s">
        <v>202</v>
      </c>
      <c r="AX153" s="2" t="s">
        <v>202</v>
      </c>
      <c r="AY153" s="2" t="s">
        <v>202</v>
      </c>
      <c r="AZ153" s="2" t="s">
        <v>202</v>
      </c>
      <c r="BA153" s="2" t="s">
        <v>202</v>
      </c>
      <c r="BB153" s="2" t="s">
        <v>202</v>
      </c>
      <c r="BC153" s="2" t="s">
        <v>202</v>
      </c>
      <c r="BD153" s="2" t="s">
        <v>202</v>
      </c>
      <c r="BE153" s="2" t="s">
        <v>202</v>
      </c>
      <c r="BF153" s="2" t="s">
        <v>202</v>
      </c>
      <c r="BG153" s="2" t="s">
        <v>202</v>
      </c>
      <c r="BH153" s="2" t="s">
        <v>202</v>
      </c>
      <c r="BI153" s="2" t="s">
        <v>202</v>
      </c>
      <c r="BJ153" s="2" t="s">
        <v>202</v>
      </c>
      <c r="BK153" s="2" t="s">
        <v>202</v>
      </c>
      <c r="BL153" s="2" t="s">
        <v>202</v>
      </c>
      <c r="BM153" s="2" t="s">
        <v>202</v>
      </c>
      <c r="BN153" s="2" t="s">
        <v>202</v>
      </c>
      <c r="BO153" s="2" t="s">
        <v>202</v>
      </c>
      <c r="BP153" s="2" t="s">
        <v>202</v>
      </c>
      <c r="BQ153" s="2" t="s">
        <v>202</v>
      </c>
      <c r="BR153" s="2" t="s">
        <v>202</v>
      </c>
      <c r="BS153" s="2" t="s">
        <v>202</v>
      </c>
      <c r="BT153" s="2" t="s">
        <v>202</v>
      </c>
      <c r="BU153" s="2" t="s">
        <v>202</v>
      </c>
      <c r="BV153" s="2" t="s">
        <v>202</v>
      </c>
      <c r="BW153" s="2" t="s">
        <v>202</v>
      </c>
      <c r="BX153" s="2" t="s">
        <v>202</v>
      </c>
      <c r="BY153" s="2" t="s">
        <v>202</v>
      </c>
      <c r="BZ153" s="2" t="s">
        <v>202</v>
      </c>
      <c r="CA153" s="37" t="s">
        <v>202</v>
      </c>
      <c r="CB153" s="37" t="s">
        <v>202</v>
      </c>
      <c r="CC153" s="37" t="s">
        <v>202</v>
      </c>
      <c r="CD153" s="37" t="s">
        <v>202</v>
      </c>
      <c r="CE153" s="37" t="s">
        <v>202</v>
      </c>
      <c r="CF153" s="37" t="s">
        <v>202</v>
      </c>
      <c r="CG153" s="37" t="s">
        <v>202</v>
      </c>
      <c r="CH153" s="37" t="s">
        <v>202</v>
      </c>
      <c r="CI153" s="37" t="s">
        <v>202</v>
      </c>
      <c r="CJ153" s="37" t="s">
        <v>202</v>
      </c>
      <c r="CK153" s="37" t="s">
        <v>202</v>
      </c>
      <c r="CL153" s="37" t="s">
        <v>202</v>
      </c>
      <c r="CM153" s="37" t="s">
        <v>202</v>
      </c>
      <c r="CN153" s="37" t="s">
        <v>202</v>
      </c>
      <c r="CO153" s="37" t="s">
        <v>202</v>
      </c>
      <c r="CP153" s="37" t="s">
        <v>202</v>
      </c>
      <c r="CQ153" s="37" t="s">
        <v>202</v>
      </c>
      <c r="CR153" s="37" t="s">
        <v>202</v>
      </c>
      <c r="CS153" s="37" t="s">
        <v>202</v>
      </c>
      <c r="CT153" s="37" t="s">
        <v>202</v>
      </c>
      <c r="CU153" s="37" t="s">
        <v>202</v>
      </c>
      <c r="CV153" s="37" t="s">
        <v>202</v>
      </c>
      <c r="CW153" s="37" t="s">
        <v>202</v>
      </c>
      <c r="CX153" s="37" t="s">
        <v>202</v>
      </c>
      <c r="CY153" s="37" t="s">
        <v>202</v>
      </c>
      <c r="CZ153" s="37" t="s">
        <v>202</v>
      </c>
      <c r="DA153" s="37" t="s">
        <v>202</v>
      </c>
      <c r="DB153" s="37" t="s">
        <v>202</v>
      </c>
      <c r="DC153" s="37" t="s">
        <v>202</v>
      </c>
      <c r="DD153" s="37" t="s">
        <v>202</v>
      </c>
      <c r="DE153" s="37" t="s">
        <v>202</v>
      </c>
      <c r="DF153" s="37" t="s">
        <v>202</v>
      </c>
      <c r="DG153" s="37" t="s">
        <v>202</v>
      </c>
      <c r="DH153" s="37" t="s">
        <v>202</v>
      </c>
      <c r="DI153" s="37" t="s">
        <v>202</v>
      </c>
      <c r="DJ153" s="37" t="s">
        <v>202</v>
      </c>
      <c r="DK153" s="37" t="s">
        <v>202</v>
      </c>
      <c r="DL153" s="37" t="s">
        <v>202</v>
      </c>
      <c r="DM153" s="37" t="s">
        <v>202</v>
      </c>
      <c r="DN153" s="41" t="s">
        <v>2201</v>
      </c>
      <c r="DO153" s="37" t="s">
        <v>202</v>
      </c>
      <c r="DP153" s="37" t="s">
        <v>202</v>
      </c>
      <c r="DQ153" s="37" t="s">
        <v>202</v>
      </c>
      <c r="DR153" s="37" t="s">
        <v>202</v>
      </c>
      <c r="DS153" s="37" t="s">
        <v>202</v>
      </c>
      <c r="DT153" s="37" t="s">
        <v>202</v>
      </c>
      <c r="DU153" s="37" t="s">
        <v>202</v>
      </c>
      <c r="DV153" s="37" t="s">
        <v>202</v>
      </c>
      <c r="DW153" s="37" t="s">
        <v>202</v>
      </c>
      <c r="DX153" s="2" t="s">
        <v>202</v>
      </c>
      <c r="DY153" s="37" t="s">
        <v>202</v>
      </c>
      <c r="DZ153" s="37" t="s">
        <v>202</v>
      </c>
      <c r="EA153" s="37" t="s">
        <v>202</v>
      </c>
      <c r="EB153" s="37" t="s">
        <v>202</v>
      </c>
      <c r="EC153" s="37" t="s">
        <v>202</v>
      </c>
      <c r="ED153" s="37" t="s">
        <v>202</v>
      </c>
      <c r="EE153" s="37" t="s">
        <v>202</v>
      </c>
      <c r="EF153" s="37" t="s">
        <v>202</v>
      </c>
      <c r="EG153" s="37" t="s">
        <v>202</v>
      </c>
      <c r="EH153" s="37" t="s">
        <v>202</v>
      </c>
      <c r="EI153" s="37" t="s">
        <v>202</v>
      </c>
      <c r="EJ153" s="37" t="s">
        <v>202</v>
      </c>
      <c r="EK153" s="37" t="s">
        <v>202</v>
      </c>
      <c r="EL153" s="37" t="s">
        <v>202</v>
      </c>
      <c r="EM153" s="37" t="s">
        <v>202</v>
      </c>
      <c r="EN153" s="37" t="s">
        <v>202</v>
      </c>
      <c r="EO153" s="37" t="s">
        <v>202</v>
      </c>
      <c r="EP153" s="37" t="s">
        <v>202</v>
      </c>
      <c r="EQ153" s="37" t="s">
        <v>202</v>
      </c>
      <c r="ER153" s="37" t="s">
        <v>202</v>
      </c>
      <c r="ES153" s="37" t="s">
        <v>202</v>
      </c>
      <c r="ET153" s="37" t="s">
        <v>202</v>
      </c>
      <c r="EU153" s="37" t="s">
        <v>202</v>
      </c>
      <c r="EV153" s="37" t="s">
        <v>202</v>
      </c>
      <c r="EW153" s="37" t="s">
        <v>202</v>
      </c>
      <c r="EX153" s="2" t="s">
        <v>202</v>
      </c>
      <c r="EY153" s="2" t="s">
        <v>202</v>
      </c>
      <c r="EZ153" s="2" t="s">
        <v>202</v>
      </c>
      <c r="FA153" s="2" t="s">
        <v>202</v>
      </c>
      <c r="FB153" s="2" t="s">
        <v>202</v>
      </c>
      <c r="FC153" s="2" t="s">
        <v>202</v>
      </c>
      <c r="FD153" s="2" t="s">
        <v>202</v>
      </c>
      <c r="FE153" s="2" t="s">
        <v>202</v>
      </c>
      <c r="FF153" s="2" t="s">
        <v>202</v>
      </c>
    </row>
    <row r="154" spans="9:162" x14ac:dyDescent="0.3">
      <c r="I154" t="s">
        <v>2264</v>
      </c>
      <c r="J154" s="2" t="s">
        <v>202</v>
      </c>
      <c r="K154" s="2" t="s">
        <v>2200</v>
      </c>
      <c r="L154" s="2" t="s">
        <v>202</v>
      </c>
      <c r="M154" s="2" t="s">
        <v>202</v>
      </c>
      <c r="N154" s="2" t="s">
        <v>2200</v>
      </c>
      <c r="O154" s="2" t="s">
        <v>2200</v>
      </c>
      <c r="P154" s="2" t="s">
        <v>2200</v>
      </c>
      <c r="Q154" s="39" t="s">
        <v>2201</v>
      </c>
      <c r="R154" s="2" t="s">
        <v>202</v>
      </c>
      <c r="S154" s="2" t="s">
        <v>202</v>
      </c>
      <c r="T154" s="2" t="s">
        <v>202</v>
      </c>
      <c r="U154" s="2" t="s">
        <v>202</v>
      </c>
      <c r="V154" s="2" t="s">
        <v>202</v>
      </c>
      <c r="W154" s="39" t="s">
        <v>2201</v>
      </c>
      <c r="X154" s="2" t="s">
        <v>202</v>
      </c>
      <c r="Y154" s="2" t="s">
        <v>202</v>
      </c>
      <c r="Z154" s="2" t="s">
        <v>202</v>
      </c>
      <c r="AA154" s="2" t="s">
        <v>202</v>
      </c>
      <c r="AB154" s="2" t="s">
        <v>202</v>
      </c>
      <c r="AC154" s="2" t="s">
        <v>202</v>
      </c>
      <c r="AD154" s="2" t="s">
        <v>202</v>
      </c>
      <c r="AE154" s="2" t="s">
        <v>202</v>
      </c>
      <c r="AF154" s="2" t="s">
        <v>202</v>
      </c>
      <c r="AG154" s="2" t="s">
        <v>202</v>
      </c>
      <c r="AH154" s="2" t="s">
        <v>202</v>
      </c>
      <c r="AI154" s="2" t="s">
        <v>202</v>
      </c>
      <c r="AJ154" s="2" t="s">
        <v>202</v>
      </c>
      <c r="AK154" s="2" t="s">
        <v>202</v>
      </c>
      <c r="AL154" s="2" t="s">
        <v>202</v>
      </c>
      <c r="AM154" s="2" t="s">
        <v>202</v>
      </c>
      <c r="AN154" s="2" t="s">
        <v>202</v>
      </c>
      <c r="AO154" s="2" t="s">
        <v>202</v>
      </c>
      <c r="AP154" s="2" t="s">
        <v>202</v>
      </c>
      <c r="AQ154" s="2" t="s">
        <v>202</v>
      </c>
      <c r="AR154" s="2" t="s">
        <v>202</v>
      </c>
      <c r="AS154" s="2" t="s">
        <v>202</v>
      </c>
      <c r="AT154" s="2" t="s">
        <v>202</v>
      </c>
      <c r="AU154" s="2" t="s">
        <v>202</v>
      </c>
      <c r="AV154" s="2" t="s">
        <v>202</v>
      </c>
      <c r="AW154" s="2" t="s">
        <v>202</v>
      </c>
      <c r="AX154" s="2" t="s">
        <v>202</v>
      </c>
      <c r="AY154" s="2" t="s">
        <v>202</v>
      </c>
      <c r="AZ154" s="2" t="s">
        <v>202</v>
      </c>
      <c r="BA154" s="2" t="s">
        <v>202</v>
      </c>
      <c r="BB154" s="2" t="s">
        <v>202</v>
      </c>
      <c r="BC154" s="2" t="s">
        <v>202</v>
      </c>
      <c r="BD154" s="2" t="s">
        <v>202</v>
      </c>
      <c r="BE154" s="2" t="s">
        <v>202</v>
      </c>
      <c r="BF154" s="2" t="s">
        <v>202</v>
      </c>
      <c r="BG154" s="2" t="s">
        <v>202</v>
      </c>
      <c r="BH154" s="2" t="s">
        <v>202</v>
      </c>
      <c r="BI154" s="2" t="s">
        <v>202</v>
      </c>
      <c r="BJ154" s="2" t="s">
        <v>202</v>
      </c>
      <c r="BK154" s="2" t="s">
        <v>202</v>
      </c>
      <c r="BL154" s="2" t="s">
        <v>202</v>
      </c>
      <c r="BM154" s="2" t="s">
        <v>202</v>
      </c>
      <c r="BN154" s="2" t="s">
        <v>202</v>
      </c>
      <c r="BO154" s="2" t="s">
        <v>202</v>
      </c>
      <c r="BP154" s="2" t="s">
        <v>202</v>
      </c>
      <c r="BQ154" s="2" t="s">
        <v>202</v>
      </c>
      <c r="BR154" s="2" t="s">
        <v>202</v>
      </c>
      <c r="BS154" s="2" t="s">
        <v>202</v>
      </c>
      <c r="BT154" s="2" t="s">
        <v>202</v>
      </c>
      <c r="BU154" s="2" t="s">
        <v>202</v>
      </c>
      <c r="BV154" s="2" t="s">
        <v>202</v>
      </c>
      <c r="BW154" s="2" t="s">
        <v>202</v>
      </c>
      <c r="BX154" s="2" t="s">
        <v>202</v>
      </c>
      <c r="BY154" s="2" t="s">
        <v>202</v>
      </c>
      <c r="BZ154" s="2" t="s">
        <v>202</v>
      </c>
      <c r="CA154" s="37" t="s">
        <v>202</v>
      </c>
      <c r="CB154" s="37" t="s">
        <v>202</v>
      </c>
      <c r="CC154" s="37" t="s">
        <v>202</v>
      </c>
      <c r="CD154" s="37" t="s">
        <v>202</v>
      </c>
      <c r="CE154" s="37" t="s">
        <v>2200</v>
      </c>
      <c r="CF154" s="37" t="s">
        <v>202</v>
      </c>
      <c r="CG154" s="37" t="s">
        <v>202</v>
      </c>
      <c r="CH154" s="37" t="s">
        <v>202</v>
      </c>
      <c r="CI154" s="37" t="s">
        <v>202</v>
      </c>
      <c r="CJ154" s="37" t="s">
        <v>202</v>
      </c>
      <c r="CK154" s="37" t="s">
        <v>202</v>
      </c>
      <c r="CL154" s="37" t="s">
        <v>202</v>
      </c>
      <c r="CM154" s="37" t="s">
        <v>202</v>
      </c>
      <c r="CN154" s="37" t="s">
        <v>202</v>
      </c>
      <c r="CO154" s="37" t="s">
        <v>202</v>
      </c>
      <c r="CP154" s="37" t="s">
        <v>202</v>
      </c>
      <c r="CQ154" s="37" t="s">
        <v>2265</v>
      </c>
      <c r="CR154" s="37" t="s">
        <v>202</v>
      </c>
      <c r="CS154" s="37" t="s">
        <v>202</v>
      </c>
      <c r="CT154" s="37" t="s">
        <v>202</v>
      </c>
      <c r="CU154" s="37" t="s">
        <v>202</v>
      </c>
      <c r="CV154" s="37" t="s">
        <v>202</v>
      </c>
      <c r="CW154" s="37" t="s">
        <v>202</v>
      </c>
      <c r="CX154" s="37" t="s">
        <v>202</v>
      </c>
      <c r="CY154" s="37" t="s">
        <v>202</v>
      </c>
      <c r="CZ154" s="37" t="s">
        <v>202</v>
      </c>
      <c r="DA154" s="37" t="s">
        <v>202</v>
      </c>
      <c r="DB154" s="37" t="s">
        <v>202</v>
      </c>
      <c r="DC154" s="37" t="s">
        <v>202</v>
      </c>
      <c r="DD154" s="37" t="s">
        <v>202</v>
      </c>
      <c r="DE154" s="37" t="s">
        <v>202</v>
      </c>
      <c r="DF154" s="37" t="s">
        <v>202</v>
      </c>
      <c r="DG154" s="37" t="s">
        <v>202</v>
      </c>
      <c r="DH154" s="37" t="s">
        <v>202</v>
      </c>
      <c r="DI154" s="37" t="s">
        <v>202</v>
      </c>
      <c r="DJ154" s="37" t="s">
        <v>202</v>
      </c>
      <c r="DK154" s="37" t="s">
        <v>202</v>
      </c>
      <c r="DL154" s="37" t="s">
        <v>202</v>
      </c>
      <c r="DM154" s="37" t="s">
        <v>202</v>
      </c>
      <c r="DN154" s="37" t="s">
        <v>202</v>
      </c>
      <c r="DO154" s="37" t="s">
        <v>202</v>
      </c>
      <c r="DP154" s="41" t="s">
        <v>2201</v>
      </c>
      <c r="DQ154" s="37" t="s">
        <v>202</v>
      </c>
      <c r="DR154" s="37" t="s">
        <v>202</v>
      </c>
      <c r="DS154" s="37" t="s">
        <v>202</v>
      </c>
      <c r="DT154" s="37" t="s">
        <v>202</v>
      </c>
      <c r="DU154" s="37" t="s">
        <v>202</v>
      </c>
      <c r="DV154" s="37" t="s">
        <v>202</v>
      </c>
      <c r="DW154" s="37" t="s">
        <v>202</v>
      </c>
      <c r="DX154" s="2" t="s">
        <v>202</v>
      </c>
      <c r="DY154" s="37" t="s">
        <v>202</v>
      </c>
      <c r="DZ154" s="37" t="s">
        <v>202</v>
      </c>
      <c r="EA154" s="37" t="s">
        <v>202</v>
      </c>
      <c r="EB154" s="37" t="s">
        <v>202</v>
      </c>
      <c r="EC154" s="37" t="s">
        <v>202</v>
      </c>
      <c r="ED154" s="37" t="s">
        <v>202</v>
      </c>
      <c r="EE154" s="37" t="s">
        <v>202</v>
      </c>
      <c r="EF154" s="37" t="s">
        <v>202</v>
      </c>
      <c r="EG154" s="37" t="s">
        <v>202</v>
      </c>
      <c r="EH154" s="37" t="s">
        <v>202</v>
      </c>
      <c r="EI154" s="37" t="s">
        <v>202</v>
      </c>
      <c r="EJ154" s="37" t="s">
        <v>202</v>
      </c>
      <c r="EK154" s="37" t="s">
        <v>202</v>
      </c>
      <c r="EL154" s="37" t="s">
        <v>202</v>
      </c>
      <c r="EM154" s="37" t="s">
        <v>202</v>
      </c>
      <c r="EN154" s="37" t="s">
        <v>202</v>
      </c>
      <c r="EO154" s="37" t="s">
        <v>202</v>
      </c>
      <c r="EP154" s="37" t="s">
        <v>202</v>
      </c>
      <c r="EQ154" s="37" t="s">
        <v>202</v>
      </c>
      <c r="ER154" s="37" t="s">
        <v>202</v>
      </c>
      <c r="ES154" s="37" t="s">
        <v>202</v>
      </c>
      <c r="ET154" s="37" t="s">
        <v>202</v>
      </c>
      <c r="EU154" s="37" t="s">
        <v>202</v>
      </c>
      <c r="EV154" s="37" t="s">
        <v>202</v>
      </c>
      <c r="EW154" s="37" t="s">
        <v>202</v>
      </c>
      <c r="EX154" s="2" t="s">
        <v>202</v>
      </c>
      <c r="EY154" s="2" t="s">
        <v>202</v>
      </c>
      <c r="EZ154" s="2" t="s">
        <v>202</v>
      </c>
      <c r="FA154" s="2" t="s">
        <v>202</v>
      </c>
      <c r="FB154" s="2" t="s">
        <v>202</v>
      </c>
      <c r="FC154" s="2" t="s">
        <v>202</v>
      </c>
      <c r="FD154" s="2" t="s">
        <v>202</v>
      </c>
      <c r="FE154" s="2" t="s">
        <v>202</v>
      </c>
      <c r="FF154" s="2" t="s">
        <v>202</v>
      </c>
    </row>
    <row r="155" spans="9:162" x14ac:dyDescent="0.3">
      <c r="I155" t="s">
        <v>1883</v>
      </c>
      <c r="J155" s="40" t="s">
        <v>2255</v>
      </c>
      <c r="K155" s="27" t="s">
        <v>2200</v>
      </c>
      <c r="L155" s="40" t="s">
        <v>2255</v>
      </c>
      <c r="M155" s="30" t="s">
        <v>2201</v>
      </c>
      <c r="N155" s="27" t="s">
        <v>2200</v>
      </c>
      <c r="O155" s="27" t="s">
        <v>2200</v>
      </c>
      <c r="P155" s="27" t="s">
        <v>2200</v>
      </c>
      <c r="Q155" s="40" t="s">
        <v>2255</v>
      </c>
      <c r="R155" s="30" t="s">
        <v>2201</v>
      </c>
      <c r="S155" s="30" t="s">
        <v>2201</v>
      </c>
      <c r="T155" s="27" t="s">
        <v>2200</v>
      </c>
      <c r="U155" s="40" t="s">
        <v>2255</v>
      </c>
      <c r="V155" s="27" t="s">
        <v>2200</v>
      </c>
      <c r="W155" s="40" t="s">
        <v>2255</v>
      </c>
      <c r="X155" s="30" t="s">
        <v>2201</v>
      </c>
      <c r="Y155" s="40" t="s">
        <v>2255</v>
      </c>
      <c r="Z155" s="27" t="s">
        <v>2200</v>
      </c>
      <c r="AA155" s="30" t="s">
        <v>2201</v>
      </c>
      <c r="AB155" s="27" t="s">
        <v>2200</v>
      </c>
      <c r="AC155" s="27" t="s">
        <v>2200</v>
      </c>
      <c r="AD155" s="27" t="s">
        <v>2200</v>
      </c>
      <c r="AE155" s="30" t="s">
        <v>2201</v>
      </c>
      <c r="AF155" s="30" t="s">
        <v>2201</v>
      </c>
      <c r="AG155" s="27" t="s">
        <v>2200</v>
      </c>
      <c r="AH155" s="30" t="s">
        <v>2201</v>
      </c>
      <c r="AI155" s="30" t="s">
        <v>2201</v>
      </c>
      <c r="AJ155" s="30" t="s">
        <v>2201</v>
      </c>
      <c r="AK155" s="27" t="s">
        <v>2200</v>
      </c>
      <c r="AL155" s="30" t="s">
        <v>2201</v>
      </c>
      <c r="AM155" s="40" t="s">
        <v>2255</v>
      </c>
      <c r="AN155" s="30" t="s">
        <v>2201</v>
      </c>
      <c r="AO155" s="30" t="s">
        <v>2201</v>
      </c>
      <c r="AP155" s="27" t="s">
        <v>2200</v>
      </c>
      <c r="AQ155" s="30" t="s">
        <v>2201</v>
      </c>
      <c r="AR155" s="30" t="s">
        <v>2201</v>
      </c>
      <c r="AS155" s="30" t="s">
        <v>2201</v>
      </c>
      <c r="AT155" s="40" t="s">
        <v>2255</v>
      </c>
      <c r="AU155" s="40" t="s">
        <v>2255</v>
      </c>
      <c r="AV155" s="30" t="s">
        <v>2201</v>
      </c>
      <c r="AW155" s="30" t="s">
        <v>2201</v>
      </c>
      <c r="AX155" s="27" t="s">
        <v>2200</v>
      </c>
      <c r="AY155" s="30" t="s">
        <v>2201</v>
      </c>
      <c r="AZ155" s="30" t="s">
        <v>2201</v>
      </c>
      <c r="BA155" s="27" t="s">
        <v>2200</v>
      </c>
      <c r="BB155" s="30" t="s">
        <v>2201</v>
      </c>
      <c r="BC155" s="30" t="s">
        <v>2201</v>
      </c>
      <c r="BD155" s="30" t="s">
        <v>2201</v>
      </c>
      <c r="BE155" s="30" t="s">
        <v>2201</v>
      </c>
      <c r="BF155" s="30" t="s">
        <v>2201</v>
      </c>
      <c r="BG155" s="30" t="s">
        <v>2201</v>
      </c>
      <c r="BH155" s="30" t="s">
        <v>2201</v>
      </c>
      <c r="BI155" s="30" t="s">
        <v>2201</v>
      </c>
      <c r="BJ155" s="30" t="s">
        <v>2201</v>
      </c>
      <c r="BK155" s="30" t="s">
        <v>2201</v>
      </c>
      <c r="BL155" s="30" t="s">
        <v>2201</v>
      </c>
      <c r="BM155" s="30" t="s">
        <v>2201</v>
      </c>
      <c r="BN155" s="30" t="s">
        <v>2201</v>
      </c>
      <c r="BO155" s="30" t="s">
        <v>2201</v>
      </c>
      <c r="BP155" s="30" t="s">
        <v>2201</v>
      </c>
      <c r="BQ155" s="30" t="s">
        <v>2201</v>
      </c>
      <c r="BR155" s="30" t="s">
        <v>2201</v>
      </c>
      <c r="BS155" s="30" t="s">
        <v>2201</v>
      </c>
      <c r="BT155" s="30" t="s">
        <v>2201</v>
      </c>
      <c r="BU155" s="30" t="s">
        <v>2201</v>
      </c>
      <c r="BV155" s="30" t="s">
        <v>2201</v>
      </c>
      <c r="BW155" s="30" t="s">
        <v>2201</v>
      </c>
      <c r="BX155" s="30" t="s">
        <v>2201</v>
      </c>
      <c r="BY155" s="30" t="s">
        <v>2201</v>
      </c>
      <c r="BZ155" s="30" t="s">
        <v>2201</v>
      </c>
      <c r="CA155" s="40" t="s">
        <v>2255</v>
      </c>
      <c r="CB155" s="30" t="s">
        <v>2201</v>
      </c>
      <c r="CC155" s="40" t="s">
        <v>2255</v>
      </c>
      <c r="CD155" s="40" t="s">
        <v>2255</v>
      </c>
      <c r="CE155" s="27" t="s">
        <v>2200</v>
      </c>
      <c r="CF155" s="30" t="s">
        <v>2201</v>
      </c>
      <c r="CG155" s="30" t="s">
        <v>2201</v>
      </c>
      <c r="CH155" s="30" t="s">
        <v>2201</v>
      </c>
      <c r="CI155" s="30" t="s">
        <v>2201</v>
      </c>
      <c r="CJ155" s="30" t="s">
        <v>2201</v>
      </c>
      <c r="CK155" s="40" t="s">
        <v>2255</v>
      </c>
      <c r="CL155" s="27" t="s">
        <v>2200</v>
      </c>
      <c r="CM155" s="30" t="s">
        <v>2201</v>
      </c>
      <c r="CN155" s="30" t="s">
        <v>2201</v>
      </c>
      <c r="CO155" s="30" t="s">
        <v>2201</v>
      </c>
      <c r="CP155" s="27" t="s">
        <v>2200</v>
      </c>
      <c r="CQ155" s="27" t="s">
        <v>2200</v>
      </c>
      <c r="CR155" s="30" t="s">
        <v>2201</v>
      </c>
      <c r="CS155" s="30" t="s">
        <v>2201</v>
      </c>
      <c r="CT155" s="27" t="s">
        <v>2200</v>
      </c>
      <c r="CU155" s="30" t="s">
        <v>2201</v>
      </c>
      <c r="CV155" s="30" t="s">
        <v>2201</v>
      </c>
      <c r="CW155" s="30" t="s">
        <v>2201</v>
      </c>
      <c r="CX155" s="30" t="s">
        <v>2201</v>
      </c>
      <c r="CY155" s="27" t="s">
        <v>2200</v>
      </c>
      <c r="CZ155" s="30" t="s">
        <v>2201</v>
      </c>
      <c r="DA155" s="30" t="s">
        <v>2201</v>
      </c>
      <c r="DB155" s="30" t="s">
        <v>2201</v>
      </c>
      <c r="DC155" s="30" t="s">
        <v>2201</v>
      </c>
      <c r="DD155" s="27" t="s">
        <v>2200</v>
      </c>
      <c r="DE155" s="30" t="s">
        <v>2201</v>
      </c>
      <c r="DF155" s="30" t="s">
        <v>2201</v>
      </c>
      <c r="DG155" s="30" t="s">
        <v>2201</v>
      </c>
      <c r="DH155" s="30" t="s">
        <v>2201</v>
      </c>
      <c r="DI155" s="30" t="s">
        <v>2201</v>
      </c>
      <c r="DJ155" s="30" t="s">
        <v>2201</v>
      </c>
      <c r="DK155" s="30" t="s">
        <v>2201</v>
      </c>
      <c r="DL155" s="30" t="s">
        <v>2201</v>
      </c>
      <c r="DM155" s="30" t="s">
        <v>2201</v>
      </c>
      <c r="DN155" s="40" t="s">
        <v>2255</v>
      </c>
      <c r="DO155" s="30" t="s">
        <v>2201</v>
      </c>
      <c r="DP155" s="40" t="s">
        <v>2255</v>
      </c>
      <c r="DQ155" s="30" t="s">
        <v>2201</v>
      </c>
      <c r="DR155" s="30" t="s">
        <v>2201</v>
      </c>
      <c r="DS155" s="30" t="s">
        <v>2201</v>
      </c>
      <c r="DT155" s="30" t="s">
        <v>2201</v>
      </c>
      <c r="DU155" s="30" t="s">
        <v>2201</v>
      </c>
      <c r="DV155" s="30" t="s">
        <v>2201</v>
      </c>
      <c r="DW155" s="30" t="s">
        <v>2201</v>
      </c>
      <c r="DX155" s="30" t="s">
        <v>2201</v>
      </c>
      <c r="DY155" s="30" t="s">
        <v>2201</v>
      </c>
      <c r="DZ155" s="30" t="s">
        <v>2201</v>
      </c>
      <c r="EA155" s="30" t="s">
        <v>2201</v>
      </c>
      <c r="EB155" s="30" t="s">
        <v>2201</v>
      </c>
      <c r="EC155" s="27" t="s">
        <v>2200</v>
      </c>
      <c r="ED155" s="30" t="s">
        <v>2201</v>
      </c>
      <c r="EE155" s="30" t="s">
        <v>2201</v>
      </c>
      <c r="EF155" s="30" t="s">
        <v>2201</v>
      </c>
      <c r="EG155" s="30" t="s">
        <v>2201</v>
      </c>
      <c r="EH155" s="30" t="s">
        <v>2201</v>
      </c>
      <c r="EI155" s="30" t="s">
        <v>2201</v>
      </c>
      <c r="EJ155" s="30" t="s">
        <v>2201</v>
      </c>
      <c r="EK155" s="30" t="s">
        <v>2201</v>
      </c>
      <c r="EL155" s="27" t="s">
        <v>2200</v>
      </c>
      <c r="EM155" s="30" t="s">
        <v>2201</v>
      </c>
      <c r="EN155" s="30" t="s">
        <v>2201</v>
      </c>
      <c r="EO155" s="27" t="s">
        <v>2200</v>
      </c>
      <c r="EP155" s="30" t="s">
        <v>2201</v>
      </c>
      <c r="EQ155" s="27" t="s">
        <v>2200</v>
      </c>
      <c r="ER155" s="27" t="s">
        <v>2200</v>
      </c>
      <c r="ES155" s="30" t="s">
        <v>2201</v>
      </c>
      <c r="ET155" s="30" t="s">
        <v>2201</v>
      </c>
      <c r="EU155" s="30" t="s">
        <v>2201</v>
      </c>
      <c r="EV155" s="30" t="s">
        <v>2201</v>
      </c>
      <c r="EW155" s="30" t="s">
        <v>2201</v>
      </c>
      <c r="EX155" s="30" t="s">
        <v>2201</v>
      </c>
      <c r="EY155" s="30" t="s">
        <v>2201</v>
      </c>
      <c r="EZ155" s="30" t="s">
        <v>2201</v>
      </c>
      <c r="FA155" s="30" t="s">
        <v>2201</v>
      </c>
      <c r="FB155" s="30" t="s">
        <v>2201</v>
      </c>
      <c r="FC155" s="30" t="s">
        <v>2201</v>
      </c>
      <c r="FD155" s="30" t="s">
        <v>2201</v>
      </c>
      <c r="FE155" s="39" t="s">
        <v>2255</v>
      </c>
      <c r="FF155" s="39" t="s">
        <v>2255</v>
      </c>
    </row>
    <row r="156" spans="9:162" x14ac:dyDescent="0.3">
      <c r="FE156" t="s">
        <v>2414</v>
      </c>
    </row>
    <row r="157" spans="9:162" x14ac:dyDescent="0.3">
      <c r="I157" t="s">
        <v>2431</v>
      </c>
    </row>
    <row r="161" spans="9:10" x14ac:dyDescent="0.3">
      <c r="I161" s="80" t="s">
        <v>2259</v>
      </c>
      <c r="J161" s="80"/>
    </row>
    <row r="162" spans="9:10" x14ac:dyDescent="0.3">
      <c r="I162" t="s">
        <v>2260</v>
      </c>
      <c r="J162" t="s">
        <v>2261</v>
      </c>
    </row>
    <row r="163" spans="9:10" x14ac:dyDescent="0.3">
      <c r="I163" s="27" t="s">
        <v>2200</v>
      </c>
      <c r="J163" t="s">
        <v>2256</v>
      </c>
    </row>
    <row r="164" spans="9:10" x14ac:dyDescent="0.3">
      <c r="I164" s="30" t="s">
        <v>2201</v>
      </c>
      <c r="J164" t="s">
        <v>2257</v>
      </c>
    </row>
    <row r="165" spans="9:10" x14ac:dyDescent="0.3">
      <c r="I165" s="40" t="s">
        <v>2255</v>
      </c>
      <c r="J165" t="s">
        <v>2258</v>
      </c>
    </row>
  </sheetData>
  <mergeCells count="3">
    <mergeCell ref="A1:C1"/>
    <mergeCell ref="D1:F1"/>
    <mergeCell ref="I161:J161"/>
  </mergeCells>
  <phoneticPr fontId="7" type="noConversion"/>
  <conditionalFormatting sqref="I147:FD147">
    <cfRule type="cellIs" dxfId="10" priority="2" operator="lessThan">
      <formula>44327</formula>
    </cfRule>
    <cfRule type="cellIs" dxfId="9" priority="3" operator="lessThan">
      <formula>44113</formula>
    </cfRule>
  </conditionalFormatting>
  <conditionalFormatting sqref="I147:FF147">
    <cfRule type="cellIs" dxfId="8" priority="1" operator="lessThan">
      <formula>44327</formula>
    </cfRule>
  </conditionalFormatting>
  <hyperlinks>
    <hyperlink ref="EW137" r:id="rId1" display="https://github.com/radon-h2020/radon-ansible-metrics" xr:uid="{4F0B264B-5327-48E7-B772-953CFD7AF0EB}"/>
  </hyperlinks>
  <pageMargins left="0.7" right="0.7" top="0.75" bottom="0.75" header="0.3" footer="0.3"/>
  <pageSetup paperSize="9" orientation="portrait" horizontalDpi="4294967293" r:id="rId2"/>
  <tableParts count="3"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24D0-CDB6-4F68-A63C-E36A8CEED0DF}">
  <sheetPr>
    <tabColor theme="9"/>
  </sheetPr>
  <dimension ref="A1:C20"/>
  <sheetViews>
    <sheetView workbookViewId="0"/>
  </sheetViews>
  <sheetFormatPr defaultColWidth="8.77734375" defaultRowHeight="14.4" x14ac:dyDescent="0.3"/>
  <cols>
    <col min="3" max="3" width="118.5546875" bestFit="1" customWidth="1"/>
    <col min="4" max="4" width="23.6640625" bestFit="1" customWidth="1"/>
    <col min="5" max="5" width="16.33203125" bestFit="1" customWidth="1"/>
    <col min="6" max="6" width="31.109375" bestFit="1" customWidth="1"/>
    <col min="7" max="7" width="21.109375" bestFit="1" customWidth="1"/>
    <col min="8" max="8" width="15.109375" bestFit="1" customWidth="1"/>
    <col min="9" max="9" width="12.109375" bestFit="1" customWidth="1"/>
  </cols>
  <sheetData>
    <row r="1" spans="1:3" x14ac:dyDescent="0.3">
      <c r="A1" t="s">
        <v>0</v>
      </c>
      <c r="B1" t="s">
        <v>2339</v>
      </c>
      <c r="C1" t="s">
        <v>2202</v>
      </c>
    </row>
    <row r="2" spans="1:3" x14ac:dyDescent="0.3">
      <c r="A2">
        <v>1</v>
      </c>
      <c r="B2" t="s">
        <v>2340</v>
      </c>
      <c r="C2" t="s">
        <v>2211</v>
      </c>
    </row>
    <row r="3" spans="1:3" x14ac:dyDescent="0.3">
      <c r="A3">
        <v>3</v>
      </c>
      <c r="B3" t="s">
        <v>2340</v>
      </c>
      <c r="C3" t="s">
        <v>2207</v>
      </c>
    </row>
    <row r="4" spans="1:3" x14ac:dyDescent="0.3">
      <c r="A4">
        <v>18</v>
      </c>
      <c r="B4" t="s">
        <v>2340</v>
      </c>
      <c r="C4" t="s">
        <v>2212</v>
      </c>
    </row>
    <row r="5" spans="1:3" x14ac:dyDescent="0.3">
      <c r="A5">
        <v>32</v>
      </c>
      <c r="B5" t="s">
        <v>2340</v>
      </c>
      <c r="C5" t="s">
        <v>2213</v>
      </c>
    </row>
    <row r="6" spans="1:3" x14ac:dyDescent="0.3">
      <c r="A6">
        <v>47</v>
      </c>
      <c r="B6" t="s">
        <v>2340</v>
      </c>
      <c r="C6" t="s">
        <v>2214</v>
      </c>
    </row>
    <row r="7" spans="1:3" x14ac:dyDescent="0.3">
      <c r="A7">
        <v>59</v>
      </c>
      <c r="B7" t="s">
        <v>2340</v>
      </c>
      <c r="C7" t="s">
        <v>2215</v>
      </c>
    </row>
    <row r="8" spans="1:3" x14ac:dyDescent="0.3">
      <c r="A8">
        <v>62</v>
      </c>
      <c r="B8" t="s">
        <v>2340</v>
      </c>
      <c r="C8" t="s">
        <v>2216</v>
      </c>
    </row>
    <row r="9" spans="1:3" x14ac:dyDescent="0.3">
      <c r="A9">
        <v>67</v>
      </c>
      <c r="B9" t="s">
        <v>2340</v>
      </c>
      <c r="C9" t="s">
        <v>2217</v>
      </c>
    </row>
    <row r="10" spans="1:3" x14ac:dyDescent="0.3">
      <c r="A10">
        <v>81</v>
      </c>
      <c r="B10" t="s">
        <v>2340</v>
      </c>
      <c r="C10" t="s">
        <v>2218</v>
      </c>
    </row>
    <row r="11" spans="1:3" x14ac:dyDescent="0.3">
      <c r="A11">
        <v>83</v>
      </c>
      <c r="B11" t="s">
        <v>2340</v>
      </c>
      <c r="C11" t="s">
        <v>2219</v>
      </c>
    </row>
    <row r="12" spans="1:3" x14ac:dyDescent="0.3">
      <c r="A12">
        <v>84</v>
      </c>
      <c r="B12" t="s">
        <v>2340</v>
      </c>
      <c r="C12" t="s">
        <v>2220</v>
      </c>
    </row>
    <row r="13" spans="1:3" x14ac:dyDescent="0.3">
      <c r="A13">
        <v>87</v>
      </c>
      <c r="B13" t="s">
        <v>2340</v>
      </c>
      <c r="C13" t="s">
        <v>2210</v>
      </c>
    </row>
    <row r="14" spans="1:3" x14ac:dyDescent="0.3">
      <c r="A14">
        <v>6</v>
      </c>
      <c r="B14" t="s">
        <v>2341</v>
      </c>
      <c r="C14" t="s">
        <v>2352</v>
      </c>
    </row>
    <row r="15" spans="1:3" x14ac:dyDescent="0.3">
      <c r="A15">
        <v>7</v>
      </c>
      <c r="B15" t="s">
        <v>2341</v>
      </c>
      <c r="C15" t="s">
        <v>2353</v>
      </c>
    </row>
    <row r="16" spans="1:3" x14ac:dyDescent="0.3">
      <c r="A16">
        <v>8</v>
      </c>
      <c r="B16" t="s">
        <v>2341</v>
      </c>
      <c r="C16" t="s">
        <v>2354</v>
      </c>
    </row>
    <row r="17" spans="1:3" x14ac:dyDescent="0.3">
      <c r="A17">
        <v>9</v>
      </c>
      <c r="B17" t="s">
        <v>2341</v>
      </c>
      <c r="C17" t="s">
        <v>2355</v>
      </c>
    </row>
    <row r="18" spans="1:3" x14ac:dyDescent="0.3">
      <c r="A18">
        <v>76</v>
      </c>
      <c r="B18" t="s">
        <v>2341</v>
      </c>
      <c r="C18" t="s">
        <v>2356</v>
      </c>
    </row>
    <row r="19" spans="1:3" x14ac:dyDescent="0.3">
      <c r="A19">
        <v>124</v>
      </c>
      <c r="B19" t="s">
        <v>2341</v>
      </c>
      <c r="C19" t="s">
        <v>2357</v>
      </c>
    </row>
    <row r="20" spans="1:3" x14ac:dyDescent="0.3">
      <c r="A20">
        <v>125</v>
      </c>
      <c r="B20" t="s">
        <v>2341</v>
      </c>
      <c r="C20" t="s">
        <v>2358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0F99-DBDB-4229-B5E4-FC89F62E5533}">
  <sheetPr>
    <tabColor theme="9"/>
  </sheetPr>
  <dimension ref="A1:F87"/>
  <sheetViews>
    <sheetView workbookViewId="0"/>
  </sheetViews>
  <sheetFormatPr defaultColWidth="8.77734375" defaultRowHeight="14.4" x14ac:dyDescent="0.3"/>
  <cols>
    <col min="1" max="1" width="66.109375" bestFit="1" customWidth="1"/>
    <col min="2" max="2" width="48.6640625" customWidth="1"/>
    <col min="3" max="3" width="26.6640625" bestFit="1" customWidth="1"/>
    <col min="4" max="4" width="6.5546875" customWidth="1"/>
    <col min="5" max="5" width="52.6640625" bestFit="1" customWidth="1"/>
    <col min="6" max="6" width="34.21875" bestFit="1" customWidth="1"/>
  </cols>
  <sheetData>
    <row r="1" spans="1:6" x14ac:dyDescent="0.3">
      <c r="A1" s="29" t="s">
        <v>193</v>
      </c>
      <c r="B1" s="29" t="s">
        <v>1</v>
      </c>
      <c r="C1" s="29" t="s">
        <v>195</v>
      </c>
      <c r="D1" s="29" t="s">
        <v>3</v>
      </c>
      <c r="E1" s="29" t="s">
        <v>6</v>
      </c>
      <c r="F1" s="29" t="s">
        <v>1425</v>
      </c>
    </row>
    <row r="2" spans="1:6" x14ac:dyDescent="0.3">
      <c r="A2" t="s">
        <v>1469</v>
      </c>
      <c r="B2" t="s">
        <v>1468</v>
      </c>
      <c r="C2" t="s">
        <v>1470</v>
      </c>
      <c r="D2">
        <v>2022</v>
      </c>
      <c r="E2" t="s">
        <v>1471</v>
      </c>
      <c r="F2" t="s">
        <v>1431</v>
      </c>
    </row>
    <row r="3" spans="1:6" x14ac:dyDescent="0.3">
      <c r="A3" t="s">
        <v>1467</v>
      </c>
      <c r="B3" t="s">
        <v>1495</v>
      </c>
      <c r="C3" t="s">
        <v>1496</v>
      </c>
      <c r="D3">
        <v>2021</v>
      </c>
      <c r="E3" t="s">
        <v>1466</v>
      </c>
      <c r="F3" t="s">
        <v>1431</v>
      </c>
    </row>
    <row r="4" spans="1:6" x14ac:dyDescent="0.3">
      <c r="A4" t="s">
        <v>1523</v>
      </c>
      <c r="B4" t="s">
        <v>1522</v>
      </c>
      <c r="C4" t="s">
        <v>1525</v>
      </c>
      <c r="D4">
        <v>2020</v>
      </c>
      <c r="E4" t="s">
        <v>1524</v>
      </c>
      <c r="F4" t="s">
        <v>1431</v>
      </c>
    </row>
    <row r="5" spans="1:6" x14ac:dyDescent="0.3">
      <c r="A5" t="s">
        <v>1569</v>
      </c>
      <c r="B5" t="s">
        <v>1567</v>
      </c>
      <c r="C5" t="s">
        <v>1525</v>
      </c>
      <c r="D5">
        <v>2021</v>
      </c>
      <c r="E5" t="s">
        <v>1568</v>
      </c>
      <c r="F5" t="s">
        <v>1431</v>
      </c>
    </row>
    <row r="6" spans="1:6" x14ac:dyDescent="0.3">
      <c r="A6" t="s">
        <v>1571</v>
      </c>
      <c r="B6" t="s">
        <v>1570</v>
      </c>
      <c r="C6" t="s">
        <v>1525</v>
      </c>
      <c r="D6">
        <v>2020</v>
      </c>
      <c r="E6" t="s">
        <v>111</v>
      </c>
      <c r="F6" t="s">
        <v>1431</v>
      </c>
    </row>
    <row r="7" spans="1:6" x14ac:dyDescent="0.3">
      <c r="A7" t="s">
        <v>1574</v>
      </c>
      <c r="B7" t="s">
        <v>1572</v>
      </c>
      <c r="C7" t="s">
        <v>1573</v>
      </c>
      <c r="D7" t="s">
        <v>111</v>
      </c>
      <c r="E7" t="s">
        <v>111</v>
      </c>
      <c r="F7" t="s">
        <v>1431</v>
      </c>
    </row>
    <row r="8" spans="1:6" x14ac:dyDescent="0.3">
      <c r="A8" t="s">
        <v>1583</v>
      </c>
      <c r="B8" t="s">
        <v>1581</v>
      </c>
      <c r="C8" t="s">
        <v>1582</v>
      </c>
      <c r="D8" t="s">
        <v>111</v>
      </c>
      <c r="E8" t="s">
        <v>111</v>
      </c>
      <c r="F8" t="s">
        <v>1431</v>
      </c>
    </row>
    <row r="9" spans="1:6" x14ac:dyDescent="0.3">
      <c r="A9" t="s">
        <v>1585</v>
      </c>
      <c r="B9" t="s">
        <v>1584</v>
      </c>
      <c r="C9" t="s">
        <v>1525</v>
      </c>
      <c r="D9">
        <v>2020</v>
      </c>
      <c r="E9" t="s">
        <v>1586</v>
      </c>
      <c r="F9" t="s">
        <v>1431</v>
      </c>
    </row>
    <row r="10" spans="1:6" x14ac:dyDescent="0.3">
      <c r="A10" t="s">
        <v>1588</v>
      </c>
      <c r="B10" t="s">
        <v>1587</v>
      </c>
      <c r="C10" t="s">
        <v>1525</v>
      </c>
      <c r="D10">
        <v>2021</v>
      </c>
      <c r="E10" t="s">
        <v>1589</v>
      </c>
      <c r="F10" t="s">
        <v>1431</v>
      </c>
    </row>
    <row r="11" spans="1:6" x14ac:dyDescent="0.3">
      <c r="A11" t="s">
        <v>1600</v>
      </c>
      <c r="B11" t="s">
        <v>1599</v>
      </c>
      <c r="C11" t="s">
        <v>1601</v>
      </c>
      <c r="D11">
        <v>2022</v>
      </c>
      <c r="E11" t="s">
        <v>111</v>
      </c>
      <c r="F11" t="s">
        <v>1431</v>
      </c>
    </row>
    <row r="12" spans="1:6" x14ac:dyDescent="0.3">
      <c r="A12" t="s">
        <v>78</v>
      </c>
      <c r="B12" t="s">
        <v>74</v>
      </c>
      <c r="C12" t="s">
        <v>1525</v>
      </c>
      <c r="D12">
        <v>2022</v>
      </c>
      <c r="E12" t="s">
        <v>76</v>
      </c>
      <c r="F12" t="s">
        <v>1431</v>
      </c>
    </row>
    <row r="13" spans="1:6" x14ac:dyDescent="0.3">
      <c r="A13" t="s">
        <v>1613</v>
      </c>
      <c r="B13" t="s">
        <v>1612</v>
      </c>
      <c r="C13" t="s">
        <v>1614</v>
      </c>
      <c r="D13">
        <v>2021</v>
      </c>
      <c r="E13" t="s">
        <v>1615</v>
      </c>
      <c r="F13" t="s">
        <v>1431</v>
      </c>
    </row>
    <row r="14" spans="1:6" x14ac:dyDescent="0.3">
      <c r="A14" t="s">
        <v>213</v>
      </c>
      <c r="B14" t="s">
        <v>1624</v>
      </c>
      <c r="C14" t="s">
        <v>1525</v>
      </c>
      <c r="D14" t="s">
        <v>111</v>
      </c>
      <c r="E14" t="s">
        <v>111</v>
      </c>
      <c r="F14" t="s">
        <v>1431</v>
      </c>
    </row>
    <row r="15" spans="1:6" x14ac:dyDescent="0.3">
      <c r="A15" t="s">
        <v>413</v>
      </c>
      <c r="B15" s="2" t="s">
        <v>202</v>
      </c>
      <c r="C15" t="s">
        <v>1525</v>
      </c>
      <c r="D15">
        <v>2021</v>
      </c>
      <c r="E15" t="s">
        <v>1629</v>
      </c>
      <c r="F15" t="s">
        <v>1431</v>
      </c>
    </row>
    <row r="16" spans="1:6" x14ac:dyDescent="0.3">
      <c r="A16" t="s">
        <v>350</v>
      </c>
      <c r="B16" t="s">
        <v>351</v>
      </c>
      <c r="C16" t="s">
        <v>1525</v>
      </c>
      <c r="D16">
        <v>2021</v>
      </c>
      <c r="E16" t="s">
        <v>352</v>
      </c>
      <c r="F16" t="s">
        <v>1431</v>
      </c>
    </row>
    <row r="17" spans="1:6" x14ac:dyDescent="0.3">
      <c r="A17" t="s">
        <v>1638</v>
      </c>
      <c r="B17" t="s">
        <v>1639</v>
      </c>
      <c r="C17" t="s">
        <v>1582</v>
      </c>
      <c r="D17" t="s">
        <v>111</v>
      </c>
      <c r="E17" t="s">
        <v>111</v>
      </c>
      <c r="F17" t="s">
        <v>1431</v>
      </c>
    </row>
    <row r="18" spans="1:6" x14ac:dyDescent="0.3">
      <c r="A18" t="s">
        <v>1641</v>
      </c>
      <c r="B18" t="s">
        <v>1640</v>
      </c>
      <c r="C18" t="s">
        <v>1525</v>
      </c>
      <c r="D18" t="s">
        <v>111</v>
      </c>
      <c r="E18" t="s">
        <v>111</v>
      </c>
      <c r="F18" t="s">
        <v>1431</v>
      </c>
    </row>
    <row r="19" spans="1:6" x14ac:dyDescent="0.3">
      <c r="A19" t="s">
        <v>1643</v>
      </c>
      <c r="B19" t="s">
        <v>1642</v>
      </c>
      <c r="C19" t="s">
        <v>1525</v>
      </c>
      <c r="D19">
        <v>2021</v>
      </c>
      <c r="E19" t="s">
        <v>1644</v>
      </c>
      <c r="F19" t="s">
        <v>1431</v>
      </c>
    </row>
    <row r="20" spans="1:6" x14ac:dyDescent="0.3">
      <c r="A20" t="s">
        <v>1646</v>
      </c>
      <c r="B20" t="s">
        <v>1645</v>
      </c>
      <c r="C20" t="s">
        <v>1525</v>
      </c>
      <c r="D20" t="s">
        <v>111</v>
      </c>
      <c r="E20" t="s">
        <v>111</v>
      </c>
      <c r="F20" t="s">
        <v>1431</v>
      </c>
    </row>
    <row r="21" spans="1:6" x14ac:dyDescent="0.3">
      <c r="A21" t="s">
        <v>1654</v>
      </c>
      <c r="B21" t="s">
        <v>1652</v>
      </c>
      <c r="C21" t="s">
        <v>1525</v>
      </c>
      <c r="D21">
        <v>2022</v>
      </c>
      <c r="E21" t="s">
        <v>1653</v>
      </c>
      <c r="F21" t="s">
        <v>1431</v>
      </c>
    </row>
    <row r="22" spans="1:6" x14ac:dyDescent="0.3">
      <c r="A22" t="s">
        <v>1705</v>
      </c>
      <c r="B22" t="s">
        <v>1704</v>
      </c>
      <c r="C22" t="s">
        <v>1707</v>
      </c>
      <c r="D22" t="s">
        <v>111</v>
      </c>
      <c r="E22" t="s">
        <v>1706</v>
      </c>
      <c r="F22" t="s">
        <v>1431</v>
      </c>
    </row>
    <row r="23" spans="1:6" x14ac:dyDescent="0.3">
      <c r="A23" t="s">
        <v>1712</v>
      </c>
      <c r="B23" t="s">
        <v>1711</v>
      </c>
      <c r="C23" t="s">
        <v>1525</v>
      </c>
      <c r="D23" t="s">
        <v>111</v>
      </c>
      <c r="E23" t="s">
        <v>111</v>
      </c>
      <c r="F23" t="s">
        <v>1431</v>
      </c>
    </row>
    <row r="24" spans="1:6" x14ac:dyDescent="0.3">
      <c r="A24" t="s">
        <v>1715</v>
      </c>
      <c r="B24" t="s">
        <v>1713</v>
      </c>
      <c r="C24" t="s">
        <v>1714</v>
      </c>
      <c r="D24" t="s">
        <v>111</v>
      </c>
      <c r="E24" t="s">
        <v>111</v>
      </c>
      <c r="F24" t="s">
        <v>1431</v>
      </c>
    </row>
    <row r="25" spans="1:6" x14ac:dyDescent="0.3">
      <c r="A25" t="s">
        <v>1724</v>
      </c>
      <c r="B25" t="s">
        <v>1723</v>
      </c>
      <c r="C25" t="s">
        <v>1725</v>
      </c>
      <c r="D25">
        <v>2021</v>
      </c>
      <c r="E25" t="s">
        <v>1726</v>
      </c>
      <c r="F25" t="s">
        <v>1431</v>
      </c>
    </row>
    <row r="26" spans="1:6" x14ac:dyDescent="0.3">
      <c r="A26" t="s">
        <v>1730</v>
      </c>
      <c r="B26" t="s">
        <v>1729</v>
      </c>
      <c r="C26" t="s">
        <v>1731</v>
      </c>
      <c r="D26">
        <v>2021</v>
      </c>
      <c r="E26" t="s">
        <v>1732</v>
      </c>
      <c r="F26" t="s">
        <v>1431</v>
      </c>
    </row>
    <row r="27" spans="1:6" x14ac:dyDescent="0.3">
      <c r="A27" t="s">
        <v>1736</v>
      </c>
      <c r="B27" t="s">
        <v>1735</v>
      </c>
      <c r="C27" t="s">
        <v>1582</v>
      </c>
      <c r="D27">
        <v>2020</v>
      </c>
      <c r="E27" t="s">
        <v>1737</v>
      </c>
      <c r="F27" t="s">
        <v>1431</v>
      </c>
    </row>
    <row r="28" spans="1:6" x14ac:dyDescent="0.3">
      <c r="A28" t="s">
        <v>1751</v>
      </c>
      <c r="B28" t="s">
        <v>1750</v>
      </c>
      <c r="C28" t="s">
        <v>1525</v>
      </c>
      <c r="D28">
        <v>2022</v>
      </c>
      <c r="E28" t="s">
        <v>1752</v>
      </c>
      <c r="F28" t="s">
        <v>1431</v>
      </c>
    </row>
    <row r="29" spans="1:6" x14ac:dyDescent="0.3">
      <c r="A29" t="s">
        <v>1754</v>
      </c>
      <c r="B29" t="s">
        <v>1753</v>
      </c>
      <c r="C29" t="s">
        <v>1525</v>
      </c>
      <c r="D29">
        <v>2021</v>
      </c>
      <c r="E29" t="s">
        <v>111</v>
      </c>
      <c r="F29" t="s">
        <v>1431</v>
      </c>
    </row>
    <row r="30" spans="1:6" x14ac:dyDescent="0.3">
      <c r="A30" t="s">
        <v>1760</v>
      </c>
      <c r="B30" t="s">
        <v>1759</v>
      </c>
      <c r="C30" t="s">
        <v>671</v>
      </c>
      <c r="D30" t="s">
        <v>111</v>
      </c>
      <c r="E30" t="s">
        <v>111</v>
      </c>
      <c r="F30" t="s">
        <v>1431</v>
      </c>
    </row>
    <row r="31" spans="1:6" x14ac:dyDescent="0.3">
      <c r="A31" t="s">
        <v>1762</v>
      </c>
      <c r="B31" t="s">
        <v>1763</v>
      </c>
      <c r="C31" t="s">
        <v>671</v>
      </c>
      <c r="D31">
        <v>2021</v>
      </c>
      <c r="E31" t="s">
        <v>1764</v>
      </c>
      <c r="F31" t="s">
        <v>1761</v>
      </c>
    </row>
    <row r="32" spans="1:6" x14ac:dyDescent="0.3">
      <c r="A32" t="s">
        <v>514</v>
      </c>
      <c r="B32" t="s">
        <v>513</v>
      </c>
      <c r="C32" t="s">
        <v>671</v>
      </c>
      <c r="D32" t="s">
        <v>111</v>
      </c>
      <c r="E32" t="s">
        <v>111</v>
      </c>
      <c r="F32" t="s">
        <v>1761</v>
      </c>
    </row>
    <row r="33" spans="1:6" x14ac:dyDescent="0.3">
      <c r="A33" t="s">
        <v>1478</v>
      </c>
      <c r="B33" t="s">
        <v>1765</v>
      </c>
      <c r="C33" t="s">
        <v>671</v>
      </c>
      <c r="D33" t="s">
        <v>111</v>
      </c>
      <c r="E33" t="s">
        <v>111</v>
      </c>
      <c r="F33" t="s">
        <v>1761</v>
      </c>
    </row>
    <row r="34" spans="1:6" x14ac:dyDescent="0.3">
      <c r="A34" t="s">
        <v>1502</v>
      </c>
      <c r="B34" t="s">
        <v>1501</v>
      </c>
      <c r="C34" t="s">
        <v>671</v>
      </c>
      <c r="D34">
        <v>2021</v>
      </c>
      <c r="E34" t="s">
        <v>1500</v>
      </c>
      <c r="F34" t="s">
        <v>1761</v>
      </c>
    </row>
    <row r="35" spans="1:6" x14ac:dyDescent="0.3">
      <c r="A35" t="s">
        <v>1533</v>
      </c>
      <c r="B35" t="s">
        <v>1427</v>
      </c>
      <c r="C35" t="s">
        <v>671</v>
      </c>
      <c r="D35" t="s">
        <v>111</v>
      </c>
      <c r="E35" t="s">
        <v>111</v>
      </c>
      <c r="F35" t="s">
        <v>1761</v>
      </c>
    </row>
    <row r="36" spans="1:6" x14ac:dyDescent="0.3">
      <c r="A36" t="s">
        <v>1494</v>
      </c>
      <c r="B36" t="s">
        <v>1492</v>
      </c>
      <c r="C36" t="s">
        <v>671</v>
      </c>
      <c r="D36" t="s">
        <v>111</v>
      </c>
      <c r="E36" t="s">
        <v>111</v>
      </c>
      <c r="F36" t="s">
        <v>1761</v>
      </c>
    </row>
    <row r="37" spans="1:6" x14ac:dyDescent="0.3">
      <c r="A37" t="s">
        <v>1485</v>
      </c>
      <c r="B37" t="s">
        <v>1484</v>
      </c>
      <c r="C37" t="s">
        <v>671</v>
      </c>
      <c r="D37" t="s">
        <v>111</v>
      </c>
      <c r="E37" t="s">
        <v>111</v>
      </c>
      <c r="F37" t="s">
        <v>1761</v>
      </c>
    </row>
    <row r="38" spans="1:6" x14ac:dyDescent="0.3">
      <c r="A38" t="s">
        <v>514</v>
      </c>
      <c r="B38" t="s">
        <v>513</v>
      </c>
      <c r="C38" t="s">
        <v>671</v>
      </c>
      <c r="D38" t="s">
        <v>111</v>
      </c>
      <c r="E38" t="s">
        <v>111</v>
      </c>
      <c r="F38" t="s">
        <v>1487</v>
      </c>
    </row>
    <row r="39" spans="1:6" x14ac:dyDescent="0.3">
      <c r="A39" t="s">
        <v>251</v>
      </c>
      <c r="B39" t="s">
        <v>248</v>
      </c>
      <c r="C39" t="s">
        <v>1525</v>
      </c>
      <c r="D39">
        <v>2021</v>
      </c>
      <c r="E39" t="s">
        <v>249</v>
      </c>
      <c r="F39" t="s">
        <v>1487</v>
      </c>
    </row>
    <row r="40" spans="1:6" x14ac:dyDescent="0.3">
      <c r="A40" t="s">
        <v>1775</v>
      </c>
      <c r="B40" t="s">
        <v>1773</v>
      </c>
      <c r="C40" t="s">
        <v>1525</v>
      </c>
      <c r="D40">
        <v>2020</v>
      </c>
      <c r="E40" t="s">
        <v>1774</v>
      </c>
      <c r="F40" t="s">
        <v>1487</v>
      </c>
    </row>
    <row r="41" spans="1:6" x14ac:dyDescent="0.3">
      <c r="A41" t="s">
        <v>1779</v>
      </c>
      <c r="B41" t="s">
        <v>1766</v>
      </c>
      <c r="C41" t="s">
        <v>671</v>
      </c>
      <c r="D41" t="s">
        <v>111</v>
      </c>
      <c r="E41" t="s">
        <v>111</v>
      </c>
      <c r="F41" t="s">
        <v>1487</v>
      </c>
    </row>
    <row r="42" spans="1:6" x14ac:dyDescent="0.3">
      <c r="A42" t="s">
        <v>1533</v>
      </c>
      <c r="B42" t="s">
        <v>1784</v>
      </c>
      <c r="C42" t="s">
        <v>1614</v>
      </c>
      <c r="D42" t="s">
        <v>111</v>
      </c>
      <c r="E42" t="s">
        <v>111</v>
      </c>
      <c r="F42" t="s">
        <v>1487</v>
      </c>
    </row>
    <row r="43" spans="1:6" x14ac:dyDescent="0.3">
      <c r="A43" t="s">
        <v>1786</v>
      </c>
      <c r="B43" t="s">
        <v>1785</v>
      </c>
      <c r="C43" t="s">
        <v>1614</v>
      </c>
      <c r="D43" t="s">
        <v>111</v>
      </c>
      <c r="E43" t="s">
        <v>111</v>
      </c>
      <c r="F43" t="s">
        <v>1487</v>
      </c>
    </row>
    <row r="44" spans="1:6" x14ac:dyDescent="0.3">
      <c r="A44" t="s">
        <v>1533</v>
      </c>
      <c r="B44" t="s">
        <v>1427</v>
      </c>
      <c r="C44" t="s">
        <v>671</v>
      </c>
      <c r="D44" t="s">
        <v>111</v>
      </c>
      <c r="E44" t="s">
        <v>111</v>
      </c>
      <c r="F44" t="s">
        <v>1487</v>
      </c>
    </row>
    <row r="45" spans="1:6" x14ac:dyDescent="0.3">
      <c r="A45" t="s">
        <v>1791</v>
      </c>
      <c r="B45" t="s">
        <v>1790</v>
      </c>
      <c r="C45" t="s">
        <v>1614</v>
      </c>
      <c r="D45" t="s">
        <v>111</v>
      </c>
      <c r="E45" t="s">
        <v>111</v>
      </c>
      <c r="F45" t="s">
        <v>1487</v>
      </c>
    </row>
    <row r="46" spans="1:6" x14ac:dyDescent="0.3">
      <c r="A46" t="s">
        <v>1793</v>
      </c>
      <c r="B46" t="s">
        <v>1792</v>
      </c>
      <c r="C46" t="s">
        <v>1525</v>
      </c>
      <c r="D46">
        <v>2020</v>
      </c>
      <c r="E46" t="s">
        <v>1794</v>
      </c>
      <c r="F46" t="s">
        <v>1487</v>
      </c>
    </row>
    <row r="47" spans="1:6" x14ac:dyDescent="0.3">
      <c r="A47" t="s">
        <v>323</v>
      </c>
      <c r="B47" t="s">
        <v>322</v>
      </c>
      <c r="C47" t="s">
        <v>1525</v>
      </c>
      <c r="D47">
        <v>2022</v>
      </c>
      <c r="E47" t="s">
        <v>320</v>
      </c>
      <c r="F47" t="s">
        <v>1487</v>
      </c>
    </row>
    <row r="48" spans="1:6" x14ac:dyDescent="0.3">
      <c r="A48" t="s">
        <v>1796</v>
      </c>
      <c r="B48" t="s">
        <v>1795</v>
      </c>
      <c r="C48" t="s">
        <v>1614</v>
      </c>
      <c r="D48">
        <v>2022</v>
      </c>
      <c r="E48" t="s">
        <v>1797</v>
      </c>
      <c r="F48" t="s">
        <v>1487</v>
      </c>
    </row>
    <row r="49" spans="1:6" x14ac:dyDescent="0.3">
      <c r="A49" t="s">
        <v>1798</v>
      </c>
      <c r="B49" t="s">
        <v>1799</v>
      </c>
      <c r="C49" t="s">
        <v>1525</v>
      </c>
      <c r="D49">
        <v>2020</v>
      </c>
      <c r="E49" t="s">
        <v>1800</v>
      </c>
      <c r="F49" t="s">
        <v>1487</v>
      </c>
    </row>
    <row r="50" spans="1:6" x14ac:dyDescent="0.3">
      <c r="A50" t="s">
        <v>1762</v>
      </c>
      <c r="B50" t="s">
        <v>1763</v>
      </c>
      <c r="C50" t="s">
        <v>671</v>
      </c>
      <c r="D50">
        <v>2021</v>
      </c>
      <c r="E50" t="s">
        <v>1764</v>
      </c>
      <c r="F50" t="s">
        <v>1801</v>
      </c>
    </row>
    <row r="51" spans="1:6" x14ac:dyDescent="0.3">
      <c r="A51" t="s">
        <v>1782</v>
      </c>
      <c r="B51" t="s">
        <v>1780</v>
      </c>
      <c r="C51" t="s">
        <v>671</v>
      </c>
      <c r="D51">
        <v>2022</v>
      </c>
      <c r="E51" t="s">
        <v>1781</v>
      </c>
      <c r="F51" t="s">
        <v>1801</v>
      </c>
    </row>
    <row r="52" spans="1:6" x14ac:dyDescent="0.3">
      <c r="A52" t="s">
        <v>1705</v>
      </c>
      <c r="B52" t="s">
        <v>1704</v>
      </c>
      <c r="C52" t="s">
        <v>1707</v>
      </c>
      <c r="D52" t="s">
        <v>111</v>
      </c>
      <c r="E52" t="s">
        <v>1706</v>
      </c>
      <c r="F52" t="s">
        <v>1801</v>
      </c>
    </row>
    <row r="53" spans="1:6" x14ac:dyDescent="0.3">
      <c r="A53" t="s">
        <v>1806</v>
      </c>
      <c r="B53" t="s">
        <v>1805</v>
      </c>
      <c r="C53" t="s">
        <v>1525</v>
      </c>
      <c r="D53">
        <v>2020</v>
      </c>
      <c r="E53" t="s">
        <v>1807</v>
      </c>
      <c r="F53" t="s">
        <v>1801</v>
      </c>
    </row>
    <row r="54" spans="1:6" x14ac:dyDescent="0.3">
      <c r="A54" t="s">
        <v>1487</v>
      </c>
      <c r="B54" t="s">
        <v>1486</v>
      </c>
      <c r="C54" t="s">
        <v>1614</v>
      </c>
      <c r="D54" t="s">
        <v>111</v>
      </c>
      <c r="E54" t="s">
        <v>111</v>
      </c>
      <c r="F54" t="s">
        <v>1801</v>
      </c>
    </row>
    <row r="55" spans="1:6" x14ac:dyDescent="0.3">
      <c r="A55" t="s">
        <v>1811</v>
      </c>
      <c r="B55" t="s">
        <v>1810</v>
      </c>
      <c r="C55" t="s">
        <v>671</v>
      </c>
      <c r="D55" t="s">
        <v>111</v>
      </c>
      <c r="E55" t="s">
        <v>111</v>
      </c>
      <c r="F55" t="s">
        <v>1801</v>
      </c>
    </row>
    <row r="56" spans="1:6" x14ac:dyDescent="0.3">
      <c r="A56" t="s">
        <v>2296</v>
      </c>
      <c r="B56" s="2" t="s">
        <v>202</v>
      </c>
      <c r="C56" t="s">
        <v>1525</v>
      </c>
      <c r="D56">
        <v>2021</v>
      </c>
      <c r="E56" t="s">
        <v>2297</v>
      </c>
      <c r="F56" t="s">
        <v>2273</v>
      </c>
    </row>
    <row r="57" spans="1:6" x14ac:dyDescent="0.3">
      <c r="A57" t="s">
        <v>1728</v>
      </c>
      <c r="B57" s="2" t="s">
        <v>202</v>
      </c>
      <c r="C57" t="s">
        <v>671</v>
      </c>
      <c r="D57">
        <v>2021</v>
      </c>
      <c r="E57" t="s">
        <v>1727</v>
      </c>
      <c r="F57" t="s">
        <v>2273</v>
      </c>
    </row>
    <row r="58" spans="1:6" x14ac:dyDescent="0.3">
      <c r="A58" t="s">
        <v>2296</v>
      </c>
      <c r="B58" s="2" t="s">
        <v>202</v>
      </c>
      <c r="C58" t="s">
        <v>671</v>
      </c>
      <c r="D58">
        <v>2021</v>
      </c>
      <c r="E58" t="s">
        <v>2297</v>
      </c>
      <c r="F58" t="s">
        <v>2273</v>
      </c>
    </row>
    <row r="59" spans="1:6" x14ac:dyDescent="0.3">
      <c r="A59" t="s">
        <v>2298</v>
      </c>
      <c r="B59" s="2" t="s">
        <v>202</v>
      </c>
      <c r="C59" t="s">
        <v>671</v>
      </c>
      <c r="D59">
        <v>2020</v>
      </c>
      <c r="E59" t="s">
        <v>111</v>
      </c>
      <c r="F59" t="s">
        <v>2273</v>
      </c>
    </row>
    <row r="60" spans="1:6" x14ac:dyDescent="0.3">
      <c r="A60" t="s">
        <v>2300</v>
      </c>
      <c r="B60" s="2" t="s">
        <v>202</v>
      </c>
      <c r="C60" t="s">
        <v>671</v>
      </c>
      <c r="D60">
        <v>2021</v>
      </c>
      <c r="E60" t="s">
        <v>2301</v>
      </c>
      <c r="F60" t="s">
        <v>2273</v>
      </c>
    </row>
    <row r="61" spans="1:6" x14ac:dyDescent="0.3">
      <c r="A61" t="s">
        <v>2300</v>
      </c>
      <c r="B61" s="2" t="s">
        <v>202</v>
      </c>
      <c r="C61" t="s">
        <v>671</v>
      </c>
      <c r="D61">
        <v>2021</v>
      </c>
      <c r="E61" t="s">
        <v>2301</v>
      </c>
      <c r="F61" t="s">
        <v>2273</v>
      </c>
    </row>
    <row r="62" spans="1:6" x14ac:dyDescent="0.3">
      <c r="A62" t="s">
        <v>2309</v>
      </c>
      <c r="B62" s="2" t="s">
        <v>202</v>
      </c>
      <c r="C62" t="s">
        <v>1525</v>
      </c>
      <c r="D62">
        <v>2022</v>
      </c>
      <c r="E62" t="s">
        <v>2310</v>
      </c>
      <c r="F62" t="s">
        <v>2302</v>
      </c>
    </row>
    <row r="63" spans="1:6" x14ac:dyDescent="0.3">
      <c r="A63" t="s">
        <v>2296</v>
      </c>
      <c r="B63" s="2" t="s">
        <v>202</v>
      </c>
      <c r="C63" t="s">
        <v>671</v>
      </c>
      <c r="D63">
        <v>2021</v>
      </c>
      <c r="E63" t="s">
        <v>2297</v>
      </c>
      <c r="F63" t="s">
        <v>2302</v>
      </c>
    </row>
    <row r="64" spans="1:6" x14ac:dyDescent="0.3">
      <c r="A64" t="s">
        <v>2311</v>
      </c>
      <c r="B64" s="2" t="s">
        <v>202</v>
      </c>
      <c r="C64" t="s">
        <v>1525</v>
      </c>
      <c r="D64">
        <v>2021</v>
      </c>
      <c r="E64" t="s">
        <v>111</v>
      </c>
      <c r="F64" t="s">
        <v>2302</v>
      </c>
    </row>
    <row r="65" spans="1:6" x14ac:dyDescent="0.3">
      <c r="A65" t="s">
        <v>2314</v>
      </c>
      <c r="B65" s="2" t="s">
        <v>202</v>
      </c>
      <c r="C65" t="s">
        <v>1525</v>
      </c>
      <c r="D65">
        <v>2020</v>
      </c>
      <c r="E65" t="s">
        <v>2315</v>
      </c>
      <c r="F65" t="s">
        <v>2302</v>
      </c>
    </row>
    <row r="66" spans="1:6" x14ac:dyDescent="0.3">
      <c r="A66" t="s">
        <v>2314</v>
      </c>
      <c r="B66" s="2" t="s">
        <v>202</v>
      </c>
      <c r="C66" t="s">
        <v>671</v>
      </c>
      <c r="D66">
        <v>2020</v>
      </c>
      <c r="E66" t="s">
        <v>2315</v>
      </c>
      <c r="F66" t="s">
        <v>2302</v>
      </c>
    </row>
    <row r="67" spans="1:6" x14ac:dyDescent="0.3">
      <c r="A67" t="s">
        <v>2298</v>
      </c>
      <c r="B67" s="2" t="s">
        <v>202</v>
      </c>
      <c r="C67" t="s">
        <v>671</v>
      </c>
      <c r="D67">
        <v>2020</v>
      </c>
      <c r="E67" t="s">
        <v>111</v>
      </c>
      <c r="F67" t="s">
        <v>2302</v>
      </c>
    </row>
    <row r="68" spans="1:6" x14ac:dyDescent="0.3">
      <c r="A68" t="s">
        <v>2316</v>
      </c>
      <c r="B68" s="2" t="s">
        <v>202</v>
      </c>
      <c r="C68" t="s">
        <v>2317</v>
      </c>
      <c r="D68">
        <v>2020</v>
      </c>
      <c r="E68" t="s">
        <v>2318</v>
      </c>
      <c r="F68" t="s">
        <v>2302</v>
      </c>
    </row>
    <row r="69" spans="1:6" x14ac:dyDescent="0.3">
      <c r="A69" t="s">
        <v>2300</v>
      </c>
      <c r="B69" s="2" t="s">
        <v>202</v>
      </c>
      <c r="C69" t="s">
        <v>671</v>
      </c>
      <c r="D69">
        <v>2021</v>
      </c>
      <c r="E69" t="s">
        <v>2301</v>
      </c>
      <c r="F69" t="s">
        <v>2302</v>
      </c>
    </row>
    <row r="70" spans="1:6" x14ac:dyDescent="0.3">
      <c r="A70" t="s">
        <v>108</v>
      </c>
      <c r="B70" s="2" t="s">
        <v>202</v>
      </c>
      <c r="C70" t="s">
        <v>2319</v>
      </c>
      <c r="D70">
        <v>2021</v>
      </c>
      <c r="E70" t="s">
        <v>2320</v>
      </c>
      <c r="F70" t="s">
        <v>2302</v>
      </c>
    </row>
    <row r="71" spans="1:6" x14ac:dyDescent="0.3">
      <c r="A71" t="s">
        <v>2323</v>
      </c>
      <c r="B71" s="2" t="s">
        <v>202</v>
      </c>
      <c r="C71" t="s">
        <v>1525</v>
      </c>
      <c r="D71">
        <v>2020</v>
      </c>
      <c r="E71" t="s">
        <v>2324</v>
      </c>
      <c r="F71" t="s">
        <v>2302</v>
      </c>
    </row>
    <row r="72" spans="1:6" x14ac:dyDescent="0.3">
      <c r="A72" t="s">
        <v>2325</v>
      </c>
      <c r="B72" s="2" t="s">
        <v>202</v>
      </c>
      <c r="C72" t="s">
        <v>1525</v>
      </c>
      <c r="D72">
        <v>2018</v>
      </c>
      <c r="E72" t="s">
        <v>2326</v>
      </c>
      <c r="F72" t="s">
        <v>2302</v>
      </c>
    </row>
    <row r="73" spans="1:6" x14ac:dyDescent="0.3">
      <c r="A73" t="s">
        <v>2327</v>
      </c>
      <c r="B73" s="2" t="s">
        <v>202</v>
      </c>
      <c r="C73" t="s">
        <v>1525</v>
      </c>
      <c r="D73">
        <v>2021</v>
      </c>
      <c r="E73" t="s">
        <v>2328</v>
      </c>
      <c r="F73" t="s">
        <v>2302</v>
      </c>
    </row>
    <row r="74" spans="1:6" x14ac:dyDescent="0.3">
      <c r="A74" t="s">
        <v>2296</v>
      </c>
      <c r="B74" s="2" t="s">
        <v>202</v>
      </c>
      <c r="C74" t="s">
        <v>671</v>
      </c>
      <c r="D74">
        <v>2021</v>
      </c>
      <c r="E74" t="s">
        <v>2297</v>
      </c>
      <c r="F74" t="s">
        <v>2302</v>
      </c>
    </row>
    <row r="75" spans="1:6" x14ac:dyDescent="0.3">
      <c r="A75" t="s">
        <v>2298</v>
      </c>
      <c r="B75" s="2" t="s">
        <v>202</v>
      </c>
      <c r="C75" t="s">
        <v>671</v>
      </c>
      <c r="D75">
        <v>2020</v>
      </c>
      <c r="E75" t="s">
        <v>111</v>
      </c>
      <c r="F75" t="s">
        <v>2302</v>
      </c>
    </row>
    <row r="76" spans="1:6" x14ac:dyDescent="0.3">
      <c r="A76" t="s">
        <v>2329</v>
      </c>
      <c r="B76" s="2" t="s">
        <v>202</v>
      </c>
      <c r="C76" t="s">
        <v>1525</v>
      </c>
      <c r="D76">
        <v>2020</v>
      </c>
      <c r="E76" t="s">
        <v>2330</v>
      </c>
      <c r="F76" t="s">
        <v>2302</v>
      </c>
    </row>
    <row r="77" spans="1:6" x14ac:dyDescent="0.3">
      <c r="A77" t="s">
        <v>2331</v>
      </c>
      <c r="B77" s="2" t="s">
        <v>202</v>
      </c>
      <c r="C77" t="s">
        <v>1525</v>
      </c>
      <c r="D77">
        <v>2020</v>
      </c>
      <c r="E77" t="s">
        <v>2332</v>
      </c>
      <c r="F77" t="s">
        <v>2302</v>
      </c>
    </row>
    <row r="78" spans="1:6" x14ac:dyDescent="0.3">
      <c r="A78" t="s">
        <v>2333</v>
      </c>
      <c r="B78" s="2" t="s">
        <v>202</v>
      </c>
      <c r="C78" t="s">
        <v>1525</v>
      </c>
      <c r="D78">
        <v>2020</v>
      </c>
      <c r="E78" t="s">
        <v>2334</v>
      </c>
      <c r="F78" t="s">
        <v>2302</v>
      </c>
    </row>
    <row r="79" spans="1:6" x14ac:dyDescent="0.3">
      <c r="A79" t="s">
        <v>2314</v>
      </c>
      <c r="B79" s="2" t="s">
        <v>202</v>
      </c>
      <c r="C79" t="s">
        <v>671</v>
      </c>
      <c r="D79">
        <v>2020</v>
      </c>
      <c r="E79" t="s">
        <v>2315</v>
      </c>
      <c r="F79" t="s">
        <v>2302</v>
      </c>
    </row>
    <row r="80" spans="1:6" x14ac:dyDescent="0.3">
      <c r="A80" t="s">
        <v>2300</v>
      </c>
      <c r="B80" s="2" t="s">
        <v>202</v>
      </c>
      <c r="C80" t="s">
        <v>671</v>
      </c>
      <c r="D80">
        <v>2021</v>
      </c>
      <c r="E80" t="s">
        <v>2301</v>
      </c>
      <c r="F80" t="s">
        <v>2302</v>
      </c>
    </row>
    <row r="81" spans="1:6" x14ac:dyDescent="0.3">
      <c r="A81" t="s">
        <v>2300</v>
      </c>
      <c r="B81" s="2" t="s">
        <v>202</v>
      </c>
      <c r="C81" t="s">
        <v>671</v>
      </c>
      <c r="D81">
        <v>2021</v>
      </c>
      <c r="E81" t="s">
        <v>2301</v>
      </c>
      <c r="F81" t="s">
        <v>2302</v>
      </c>
    </row>
    <row r="82" spans="1:6" x14ac:dyDescent="0.3">
      <c r="A82" t="s">
        <v>2314</v>
      </c>
      <c r="B82" s="2" t="s">
        <v>202</v>
      </c>
      <c r="C82" t="s">
        <v>671</v>
      </c>
      <c r="D82">
        <v>2020</v>
      </c>
      <c r="E82" t="s">
        <v>2315</v>
      </c>
      <c r="F82" t="s">
        <v>2302</v>
      </c>
    </row>
    <row r="83" spans="1:6" x14ac:dyDescent="0.3">
      <c r="A83" t="s">
        <v>2314</v>
      </c>
      <c r="B83" s="2" t="s">
        <v>202</v>
      </c>
      <c r="C83" t="s">
        <v>671</v>
      </c>
      <c r="D83">
        <v>2020</v>
      </c>
      <c r="E83" t="s">
        <v>2315</v>
      </c>
      <c r="F83" t="s">
        <v>2302</v>
      </c>
    </row>
    <row r="84" spans="1:6" x14ac:dyDescent="0.3">
      <c r="A84" t="s">
        <v>2314</v>
      </c>
      <c r="B84" s="2" t="s">
        <v>202</v>
      </c>
      <c r="C84" t="s">
        <v>671</v>
      </c>
      <c r="D84">
        <v>2020</v>
      </c>
      <c r="E84" t="s">
        <v>2315</v>
      </c>
      <c r="F84" t="s">
        <v>2302</v>
      </c>
    </row>
    <row r="85" spans="1:6" x14ac:dyDescent="0.3">
      <c r="A85" t="s">
        <v>2314</v>
      </c>
      <c r="B85" s="2" t="s">
        <v>202</v>
      </c>
      <c r="C85" t="s">
        <v>671</v>
      </c>
      <c r="D85">
        <v>2020</v>
      </c>
      <c r="E85" t="s">
        <v>2315</v>
      </c>
      <c r="F85" t="s">
        <v>2302</v>
      </c>
    </row>
    <row r="86" spans="1:6" x14ac:dyDescent="0.3">
      <c r="A86" t="s">
        <v>2314</v>
      </c>
      <c r="B86" s="2" t="s">
        <v>202</v>
      </c>
      <c r="C86" t="s">
        <v>671</v>
      </c>
      <c r="D86">
        <v>2020</v>
      </c>
      <c r="E86" t="s">
        <v>2315</v>
      </c>
      <c r="F86" t="s">
        <v>2302</v>
      </c>
    </row>
    <row r="87" spans="1:6" x14ac:dyDescent="0.3">
      <c r="A87" t="s">
        <v>2314</v>
      </c>
      <c r="B87" s="2" t="s">
        <v>202</v>
      </c>
      <c r="C87" t="s">
        <v>671</v>
      </c>
      <c r="D87">
        <v>2020</v>
      </c>
      <c r="E87" t="s">
        <v>2315</v>
      </c>
      <c r="F87" t="s">
        <v>2302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807C-F489-4B3F-BE63-7C44A3DA0EF2}">
  <sheetPr>
    <tabColor theme="9"/>
  </sheetPr>
  <dimension ref="A1:AM77"/>
  <sheetViews>
    <sheetView zoomScale="85" zoomScaleNormal="85" workbookViewId="0"/>
  </sheetViews>
  <sheetFormatPr defaultColWidth="8.77734375" defaultRowHeight="14.4" x14ac:dyDescent="0.3"/>
  <cols>
    <col min="2" max="2" width="11" bestFit="1" customWidth="1"/>
    <col min="5" max="5" width="11.44140625" bestFit="1" customWidth="1"/>
    <col min="12" max="12" width="10.6640625" bestFit="1" customWidth="1"/>
    <col min="22" max="22" width="34.21875" bestFit="1" customWidth="1"/>
  </cols>
  <sheetData>
    <row r="1" spans="1:39" x14ac:dyDescent="0.3">
      <c r="A1" s="44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6"/>
    </row>
    <row r="2" spans="1:39" x14ac:dyDescent="0.3">
      <c r="A2" s="47"/>
      <c r="AM2" s="48"/>
    </row>
    <row r="3" spans="1:39" x14ac:dyDescent="0.3">
      <c r="A3" s="47"/>
      <c r="AM3" s="48"/>
    </row>
    <row r="4" spans="1:39" x14ac:dyDescent="0.3">
      <c r="A4" s="47"/>
      <c r="AM4" s="48"/>
    </row>
    <row r="5" spans="1:39" x14ac:dyDescent="0.3">
      <c r="A5" s="47"/>
      <c r="AM5" s="48"/>
    </row>
    <row r="6" spans="1:39" x14ac:dyDescent="0.3">
      <c r="A6" s="47"/>
      <c r="AM6" s="48"/>
    </row>
    <row r="7" spans="1:39" x14ac:dyDescent="0.3">
      <c r="A7" s="47"/>
      <c r="AM7" s="48"/>
    </row>
    <row r="8" spans="1:39" x14ac:dyDescent="0.3">
      <c r="A8" s="47"/>
      <c r="AM8" s="48"/>
    </row>
    <row r="9" spans="1:39" x14ac:dyDescent="0.3">
      <c r="A9" s="47"/>
      <c r="AM9" s="48"/>
    </row>
    <row r="10" spans="1:39" x14ac:dyDescent="0.3">
      <c r="A10" s="47"/>
      <c r="AM10" s="48"/>
    </row>
    <row r="11" spans="1:39" x14ac:dyDescent="0.3">
      <c r="A11" s="47"/>
      <c r="AM11" s="48"/>
    </row>
    <row r="12" spans="1:39" x14ac:dyDescent="0.3">
      <c r="A12" s="47"/>
      <c r="AM12" s="48"/>
    </row>
    <row r="13" spans="1:39" x14ac:dyDescent="0.3">
      <c r="A13" s="47"/>
      <c r="AM13" s="48"/>
    </row>
    <row r="14" spans="1:39" x14ac:dyDescent="0.3">
      <c r="A14" s="47"/>
      <c r="AM14" s="48"/>
    </row>
    <row r="15" spans="1:39" x14ac:dyDescent="0.3">
      <c r="A15" s="47"/>
      <c r="AM15" s="48"/>
    </row>
    <row r="16" spans="1:39" x14ac:dyDescent="0.3">
      <c r="A16" s="47"/>
      <c r="AM16" s="48"/>
    </row>
    <row r="17" spans="1:39" x14ac:dyDescent="0.3">
      <c r="A17" s="47"/>
      <c r="AM17" s="48"/>
    </row>
    <row r="18" spans="1:39" x14ac:dyDescent="0.3">
      <c r="A18" s="47"/>
      <c r="AM18" s="48"/>
    </row>
    <row r="19" spans="1:39" x14ac:dyDescent="0.3">
      <c r="A19" s="47"/>
      <c r="AM19" s="48"/>
    </row>
    <row r="20" spans="1:39" x14ac:dyDescent="0.3">
      <c r="A20" s="47"/>
      <c r="AM20" s="48"/>
    </row>
    <row r="21" spans="1:39" x14ac:dyDescent="0.3">
      <c r="A21" s="47"/>
      <c r="AM21" s="48"/>
    </row>
    <row r="22" spans="1:39" x14ac:dyDescent="0.3">
      <c r="A22" s="47"/>
      <c r="AM22" s="48"/>
    </row>
    <row r="23" spans="1:39" x14ac:dyDescent="0.3">
      <c r="A23" s="47"/>
      <c r="AM23" s="48"/>
    </row>
    <row r="24" spans="1:39" x14ac:dyDescent="0.3">
      <c r="A24" s="47"/>
      <c r="AM24" s="48"/>
    </row>
    <row r="25" spans="1:39" ht="15" thickBot="1" x14ac:dyDescent="0.35">
      <c r="A25" s="49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1"/>
    </row>
    <row r="26" spans="1:39" x14ac:dyDescent="0.3">
      <c r="A26" s="47"/>
      <c r="B26" t="s">
        <v>1185</v>
      </c>
      <c r="C26">
        <f>COUNTIF(SICA!E:E,"?")</f>
        <v>28</v>
      </c>
      <c r="J26" s="48"/>
      <c r="K26" s="47"/>
      <c r="L26" t="s">
        <v>17</v>
      </c>
      <c r="M26">
        <f>COUNTIF(SICA!D:D,"IAWP")</f>
        <v>100</v>
      </c>
      <c r="O26" t="s">
        <v>1067</v>
      </c>
      <c r="P26">
        <f>COUNTIF(SICA!D:D,"N")</f>
        <v>0</v>
      </c>
      <c r="T26" s="48"/>
      <c r="U26" s="47"/>
      <c r="V26" t="s">
        <v>2335</v>
      </c>
      <c r="W26">
        <f>COUNTIF(SICA!H:H,"Infrastructure as Code ˄ Static Analysis")+COUNTIF(SICA!H:H,"Infrastructure as Code Static Analysis")</f>
        <v>73</v>
      </c>
      <c r="AB26" s="48"/>
    </row>
    <row r="27" spans="1:39" x14ac:dyDescent="0.3">
      <c r="A27" s="47"/>
      <c r="B27">
        <v>2014</v>
      </c>
      <c r="C27">
        <f>COUNTIF(SICA!E:E,"2014")</f>
        <v>0</v>
      </c>
      <c r="J27" s="48"/>
      <c r="K27" s="47"/>
      <c r="L27" t="s">
        <v>428</v>
      </c>
      <c r="M27">
        <f>COUNTIF(SICA!D:D,"J")</f>
        <v>4</v>
      </c>
      <c r="O27" t="s">
        <v>1045</v>
      </c>
      <c r="P27">
        <f>COUNTIF(SICA!D:D,"JA")</f>
        <v>0</v>
      </c>
      <c r="T27" s="48"/>
      <c r="U27" s="47"/>
      <c r="V27" t="s">
        <v>1676</v>
      </c>
      <c r="W27">
        <f>COUNTIF(SICA!H:H,"Snowballing")</f>
        <v>15</v>
      </c>
      <c r="AB27" s="48"/>
    </row>
    <row r="28" spans="1:39" x14ac:dyDescent="0.3">
      <c r="A28" s="47"/>
      <c r="B28">
        <v>2015</v>
      </c>
      <c r="C28">
        <f>COUNTIF(SICA!E:E,"2015")</f>
        <v>1</v>
      </c>
      <c r="J28" s="48"/>
      <c r="K28" s="47"/>
      <c r="L28" t="s">
        <v>334</v>
      </c>
      <c r="M28">
        <f>COUNTIF(SICA!D:D,"C")</f>
        <v>14</v>
      </c>
      <c r="O28" t="s">
        <v>1423</v>
      </c>
      <c r="P28">
        <f>COUNTIF(SICA!D:D,"V")</f>
        <v>0</v>
      </c>
      <c r="T28" s="48"/>
      <c r="U28" s="47"/>
      <c r="V28" t="s">
        <v>1761</v>
      </c>
      <c r="W28">
        <f>COUNTIFS(SICA!H:H,"Infrastructure as Code Security Scanning")</f>
        <v>2</v>
      </c>
      <c r="AB28" s="48"/>
    </row>
    <row r="29" spans="1:39" x14ac:dyDescent="0.3">
      <c r="A29" s="47"/>
      <c r="B29">
        <v>2016</v>
      </c>
      <c r="C29">
        <f>COUNTIF(SICA!E:E,"2016")</f>
        <v>2</v>
      </c>
      <c r="J29" s="48"/>
      <c r="K29" s="47"/>
      <c r="L29" t="s">
        <v>308</v>
      </c>
      <c r="M29">
        <f>COUNTIF(SICA!D:D,"B")</f>
        <v>6</v>
      </c>
      <c r="T29" s="48"/>
      <c r="U29" s="47"/>
      <c r="V29" t="s">
        <v>1487</v>
      </c>
      <c r="W29">
        <f>COUNTIF(SICA!H:H,"Infrastructure as Code Security")+COUNTIF(SICA!H:H,"Infrastructure as Code ˄ Security")</f>
        <v>10</v>
      </c>
      <c r="AB29" s="48"/>
    </row>
    <row r="30" spans="1:39" x14ac:dyDescent="0.3">
      <c r="A30" s="47"/>
      <c r="B30">
        <v>2017</v>
      </c>
      <c r="C30">
        <f>COUNTIF(SICA!E:E,"2017")</f>
        <v>3</v>
      </c>
      <c r="J30" s="48"/>
      <c r="K30" s="47"/>
      <c r="L30" t="s">
        <v>1617</v>
      </c>
      <c r="M30">
        <f>COUNTIF(SICA!D:D,"P")</f>
        <v>1</v>
      </c>
      <c r="T30" s="48"/>
      <c r="U30" s="47"/>
      <c r="V30" t="s">
        <v>1801</v>
      </c>
      <c r="W30">
        <f>COUNTIF(SICA!H:H,"Infrastructure as Code Linting")</f>
        <v>3</v>
      </c>
      <c r="AB30" s="48"/>
    </row>
    <row r="31" spans="1:39" x14ac:dyDescent="0.3">
      <c r="A31" s="47"/>
      <c r="B31">
        <v>2018</v>
      </c>
      <c r="C31">
        <f>COUNTIF(SICA!E:E,"2018")</f>
        <v>4</v>
      </c>
      <c r="J31" s="48"/>
      <c r="K31" s="47"/>
      <c r="L31" t="s">
        <v>1648</v>
      </c>
      <c r="M31">
        <f>COUNTIF(SICA!D:D,"G")</f>
        <v>6</v>
      </c>
      <c r="T31" s="48"/>
      <c r="U31" s="47"/>
      <c r="V31" t="s">
        <v>1305</v>
      </c>
      <c r="W31">
        <f>COUNTIF(SICA!H:H,"Found During Literature Review")</f>
        <v>21</v>
      </c>
      <c r="AB31" s="48"/>
    </row>
    <row r="32" spans="1:39" x14ac:dyDescent="0.3">
      <c r="A32" s="47"/>
      <c r="B32">
        <v>2019</v>
      </c>
      <c r="C32">
        <f>COUNTIF(SICA!E:E,"2019")</f>
        <v>3</v>
      </c>
      <c r="J32" s="48"/>
      <c r="K32" s="47"/>
      <c r="L32" t="s">
        <v>1635</v>
      </c>
      <c r="M32">
        <f>COUNTIF(SICA!D:D,"Q")</f>
        <v>1</v>
      </c>
      <c r="T32" s="48"/>
      <c r="U32" s="47"/>
      <c r="V32" t="s">
        <v>2251</v>
      </c>
      <c r="W32">
        <f>COUNTIF(SICA!H:H,"Found During MLR on IaC Tools")</f>
        <v>8</v>
      </c>
      <c r="AB32" s="48"/>
    </row>
    <row r="33" spans="1:28" x14ac:dyDescent="0.3">
      <c r="A33" s="47"/>
      <c r="B33">
        <v>2020</v>
      </c>
      <c r="C33">
        <f>COUNTIF(SICA!E:E,"2020")</f>
        <v>25</v>
      </c>
      <c r="J33" s="48"/>
      <c r="K33" s="47"/>
      <c r="T33" s="48"/>
      <c r="U33" s="47"/>
      <c r="V33" t="s">
        <v>1063</v>
      </c>
      <c r="W33">
        <f>SUM(W26:W32)</f>
        <v>132</v>
      </c>
      <c r="AB33" s="48"/>
    </row>
    <row r="34" spans="1:28" x14ac:dyDescent="0.3">
      <c r="A34" s="47"/>
      <c r="B34">
        <v>2021</v>
      </c>
      <c r="C34">
        <f>COUNTIF(SICA!E:E,"2021")</f>
        <v>42</v>
      </c>
      <c r="J34" s="48"/>
      <c r="K34" s="47"/>
      <c r="T34" s="48"/>
      <c r="U34" s="47"/>
      <c r="AB34" s="48"/>
    </row>
    <row r="35" spans="1:28" x14ac:dyDescent="0.3">
      <c r="A35" s="47"/>
      <c r="B35">
        <v>2022</v>
      </c>
      <c r="C35">
        <f>COUNTIF(SICA!E:E,"2022")</f>
        <v>24</v>
      </c>
      <c r="J35" s="48"/>
      <c r="K35" s="47"/>
      <c r="T35" s="48"/>
      <c r="U35" s="47"/>
      <c r="AB35" s="48"/>
    </row>
    <row r="36" spans="1:28" x14ac:dyDescent="0.3">
      <c r="A36" s="47"/>
      <c r="J36" s="48"/>
      <c r="K36" s="47"/>
      <c r="T36" s="48"/>
      <c r="U36" s="47"/>
      <c r="AB36" s="48"/>
    </row>
    <row r="37" spans="1:28" x14ac:dyDescent="0.3">
      <c r="A37" s="47"/>
      <c r="J37" s="48"/>
      <c r="K37" s="47"/>
      <c r="T37" s="48"/>
      <c r="U37" s="47"/>
      <c r="AB37" s="48"/>
    </row>
    <row r="38" spans="1:28" x14ac:dyDescent="0.3">
      <c r="A38" s="47"/>
      <c r="J38" s="48"/>
      <c r="K38" s="47"/>
      <c r="T38" s="48"/>
      <c r="U38" s="47"/>
      <c r="AB38" s="48"/>
    </row>
    <row r="39" spans="1:28" x14ac:dyDescent="0.3">
      <c r="A39" s="47"/>
      <c r="J39" s="48"/>
      <c r="K39" s="47"/>
      <c r="T39" s="48"/>
      <c r="U39" s="47"/>
      <c r="AB39" s="48"/>
    </row>
    <row r="40" spans="1:28" x14ac:dyDescent="0.3">
      <c r="A40" s="47"/>
      <c r="J40" s="48"/>
      <c r="K40" s="47"/>
      <c r="T40" s="48"/>
      <c r="U40" s="47"/>
      <c r="AB40" s="48"/>
    </row>
    <row r="41" spans="1:28" x14ac:dyDescent="0.3">
      <c r="A41" s="47"/>
      <c r="J41" s="48"/>
      <c r="K41" s="47"/>
      <c r="T41" s="48"/>
      <c r="U41" s="47"/>
      <c r="AB41" s="48"/>
    </row>
    <row r="42" spans="1:28" x14ac:dyDescent="0.3">
      <c r="A42" s="47"/>
      <c r="J42" s="48"/>
      <c r="K42" s="47"/>
      <c r="T42" s="48"/>
      <c r="U42" s="47"/>
      <c r="AB42" s="48"/>
    </row>
    <row r="43" spans="1:28" x14ac:dyDescent="0.3">
      <c r="A43" s="47"/>
      <c r="J43" s="48"/>
      <c r="K43" s="47"/>
      <c r="T43" s="48"/>
      <c r="U43" s="47"/>
      <c r="AB43" s="48"/>
    </row>
    <row r="44" spans="1:28" x14ac:dyDescent="0.3">
      <c r="A44" s="47"/>
      <c r="J44" s="48"/>
      <c r="K44" s="47"/>
      <c r="T44" s="48"/>
      <c r="U44" s="47"/>
      <c r="AB44" s="48"/>
    </row>
    <row r="45" spans="1:28" x14ac:dyDescent="0.3">
      <c r="A45" s="47"/>
      <c r="J45" s="48"/>
      <c r="K45" s="47"/>
      <c r="T45" s="48"/>
      <c r="U45" s="47"/>
      <c r="AB45" s="48"/>
    </row>
    <row r="46" spans="1:28" x14ac:dyDescent="0.3">
      <c r="A46" s="47"/>
      <c r="J46" s="48"/>
      <c r="K46" s="47"/>
      <c r="T46" s="48"/>
      <c r="U46" s="47"/>
      <c r="AB46" s="48"/>
    </row>
    <row r="47" spans="1:28" x14ac:dyDescent="0.3">
      <c r="A47" s="47"/>
      <c r="J47" s="48"/>
      <c r="K47" s="47"/>
      <c r="T47" s="48"/>
      <c r="U47" s="47"/>
      <c r="AB47" s="48"/>
    </row>
    <row r="48" spans="1:28" x14ac:dyDescent="0.3">
      <c r="A48" s="47"/>
      <c r="J48" s="48"/>
      <c r="K48" s="47"/>
      <c r="T48" s="48"/>
      <c r="U48" s="47"/>
      <c r="AB48" s="48"/>
    </row>
    <row r="49" spans="1:28" x14ac:dyDescent="0.3">
      <c r="A49" s="47"/>
      <c r="J49" s="48"/>
      <c r="K49" s="47"/>
      <c r="T49" s="48"/>
      <c r="U49" s="47"/>
      <c r="AB49" s="48"/>
    </row>
    <row r="50" spans="1:28" x14ac:dyDescent="0.3">
      <c r="A50" s="47"/>
      <c r="J50" s="48"/>
      <c r="K50" s="47"/>
      <c r="T50" s="48"/>
      <c r="U50" s="47"/>
      <c r="AB50" s="48"/>
    </row>
    <row r="51" spans="1:28" x14ac:dyDescent="0.3">
      <c r="A51" s="47"/>
      <c r="J51" s="48"/>
      <c r="K51" s="47"/>
      <c r="T51" s="48"/>
      <c r="U51" s="47"/>
      <c r="AB51" s="48"/>
    </row>
    <row r="52" spans="1:28" x14ac:dyDescent="0.3">
      <c r="A52" s="47"/>
      <c r="J52" s="48"/>
      <c r="K52" s="47"/>
      <c r="T52" s="48"/>
      <c r="U52" s="47"/>
      <c r="AB52" s="48"/>
    </row>
    <row r="53" spans="1:28" ht="15" thickBot="1" x14ac:dyDescent="0.35">
      <c r="A53" s="49"/>
      <c r="B53" s="50"/>
      <c r="C53" s="50"/>
      <c r="D53" s="50"/>
      <c r="E53" s="50"/>
      <c r="F53" s="50"/>
      <c r="G53" s="50"/>
      <c r="H53" s="50"/>
      <c r="I53" s="50"/>
      <c r="J53" s="51"/>
      <c r="K53" s="49"/>
      <c r="L53" s="50"/>
      <c r="M53" s="50"/>
      <c r="N53" s="50"/>
      <c r="O53" s="50"/>
      <c r="P53" s="50"/>
      <c r="Q53" s="50"/>
      <c r="R53" s="50"/>
      <c r="S53" s="50"/>
      <c r="T53" s="51"/>
      <c r="U53" s="49"/>
      <c r="V53" s="50"/>
      <c r="W53" s="50"/>
      <c r="X53" s="50"/>
      <c r="Y53" s="50"/>
      <c r="Z53" s="50"/>
      <c r="AA53" s="50"/>
      <c r="AB53" s="51"/>
    </row>
    <row r="54" spans="1:28" x14ac:dyDescent="0.3">
      <c r="A54" s="44"/>
      <c r="B54" s="45"/>
      <c r="C54" s="45"/>
      <c r="D54" s="45"/>
      <c r="E54" s="45"/>
      <c r="F54" s="45"/>
      <c r="G54" s="45"/>
      <c r="H54" s="45"/>
      <c r="I54" s="45"/>
      <c r="J54" s="46"/>
      <c r="K54" s="44"/>
      <c r="L54" s="45"/>
      <c r="M54" s="45"/>
      <c r="N54" s="45"/>
      <c r="O54" s="45"/>
      <c r="P54" s="45"/>
      <c r="Q54" s="45"/>
      <c r="R54" s="45"/>
      <c r="S54" s="45"/>
      <c r="T54" s="46"/>
      <c r="U54" s="44"/>
      <c r="V54" s="45"/>
      <c r="W54" s="45"/>
      <c r="X54" s="45"/>
      <c r="Y54" s="45"/>
      <c r="Z54" s="45"/>
      <c r="AA54" s="45"/>
      <c r="AB54" s="46"/>
    </row>
    <row r="55" spans="1:28" x14ac:dyDescent="0.3">
      <c r="A55" s="47"/>
      <c r="J55" s="48"/>
      <c r="K55" s="47"/>
      <c r="T55" s="48"/>
      <c r="U55" s="47"/>
      <c r="V55" t="s">
        <v>2208</v>
      </c>
      <c r="W55" cm="1">
        <f t="array" ref="W55">MAX(IF(SICA!J155:FF155="y",SICA!J142:FF142))</f>
        <v>12545</v>
      </c>
      <c r="AB55" s="48"/>
    </row>
    <row r="56" spans="1:28" x14ac:dyDescent="0.3">
      <c r="A56" s="47"/>
      <c r="J56" s="48"/>
      <c r="K56" s="47"/>
      <c r="T56" s="48"/>
      <c r="U56" s="47"/>
      <c r="AB56" s="48"/>
    </row>
    <row r="57" spans="1:28" x14ac:dyDescent="0.3">
      <c r="A57" s="47"/>
      <c r="J57" s="48"/>
      <c r="K57" s="47"/>
      <c r="T57" s="48"/>
      <c r="U57" s="47"/>
      <c r="AB57" s="48"/>
    </row>
    <row r="58" spans="1:28" x14ac:dyDescent="0.3">
      <c r="A58" s="47"/>
      <c r="B58" t="s">
        <v>2199</v>
      </c>
      <c r="C58">
        <f>COUNTIF(SICA!J155:FF155,"y")+COUNTIF(SICA!J155:FF155,"yn")</f>
        <v>44</v>
      </c>
      <c r="E58" t="s">
        <v>2360</v>
      </c>
      <c r="F58">
        <f>COUNTIF(SICA!J155:FF155,"y")</f>
        <v>27</v>
      </c>
      <c r="J58" s="48"/>
      <c r="K58" s="47"/>
      <c r="L58" t="s">
        <v>1309</v>
      </c>
      <c r="M58">
        <f>SUMIF(SICA!J155:FF155,"y",SICA!J135:FF135)+SUMIF(SICA!J155:FF155,"yn",SICA!J135:FF135)</f>
        <v>261</v>
      </c>
      <c r="T58" s="48"/>
      <c r="U58" s="47"/>
      <c r="AB58" s="48"/>
    </row>
    <row r="59" spans="1:28" x14ac:dyDescent="0.3">
      <c r="A59" s="47"/>
      <c r="B59" t="s">
        <v>2198</v>
      </c>
      <c r="C59">
        <f>COUNTIF(SICA!J155:FF155,"n")</f>
        <v>109</v>
      </c>
      <c r="E59" t="s">
        <v>2359</v>
      </c>
      <c r="F59">
        <f>COUNTIF(SICA!J155:FF155,"yn")</f>
        <v>17</v>
      </c>
      <c r="J59" s="48"/>
      <c r="K59" s="47"/>
      <c r="L59" t="s">
        <v>1310</v>
      </c>
      <c r="M59">
        <f>SUMIF(SICA!J155:FF155,"n",SICA!J135:FF135)</f>
        <v>224</v>
      </c>
      <c r="T59" s="48"/>
      <c r="U59" s="47"/>
      <c r="AB59" s="48"/>
    </row>
    <row r="60" spans="1:28" x14ac:dyDescent="0.3">
      <c r="A60" s="47"/>
      <c r="B60" t="s">
        <v>1063</v>
      </c>
      <c r="C60">
        <f>C58+C59</f>
        <v>153</v>
      </c>
      <c r="J60" s="48"/>
      <c r="K60" s="47"/>
      <c r="L60" t="s">
        <v>1063</v>
      </c>
      <c r="M60">
        <f>M58+M59</f>
        <v>485</v>
      </c>
      <c r="T60" s="48"/>
      <c r="U60" s="47"/>
      <c r="AB60" s="48"/>
    </row>
    <row r="61" spans="1:28" x14ac:dyDescent="0.3">
      <c r="A61" s="47"/>
      <c r="J61" s="48"/>
      <c r="K61" s="47"/>
      <c r="T61" s="48"/>
      <c r="U61" s="47"/>
      <c r="AB61" s="48"/>
    </row>
    <row r="62" spans="1:28" x14ac:dyDescent="0.3">
      <c r="A62" s="47"/>
      <c r="J62" s="48"/>
      <c r="K62" s="47"/>
      <c r="T62" s="48"/>
      <c r="U62" s="47"/>
      <c r="AB62" s="48"/>
    </row>
    <row r="63" spans="1:28" x14ac:dyDescent="0.3">
      <c r="A63" s="47"/>
      <c r="J63" s="48"/>
      <c r="K63" s="47"/>
      <c r="T63" s="48"/>
      <c r="U63" s="47"/>
      <c r="AB63" s="48"/>
    </row>
    <row r="64" spans="1:28" x14ac:dyDescent="0.3">
      <c r="A64" s="47"/>
      <c r="J64" s="48"/>
      <c r="K64" s="47"/>
      <c r="T64" s="48"/>
      <c r="U64" s="47"/>
      <c r="AB64" s="48"/>
    </row>
    <row r="65" spans="1:28" x14ac:dyDescent="0.3">
      <c r="A65" s="47"/>
      <c r="J65" s="48"/>
      <c r="K65" s="47"/>
      <c r="T65" s="48"/>
      <c r="U65" s="47"/>
      <c r="AB65" s="48"/>
    </row>
    <row r="66" spans="1:28" x14ac:dyDescent="0.3">
      <c r="A66" s="47"/>
      <c r="J66" s="48"/>
      <c r="K66" s="47"/>
      <c r="T66" s="48"/>
      <c r="U66" s="47"/>
      <c r="AB66" s="48"/>
    </row>
    <row r="67" spans="1:28" x14ac:dyDescent="0.3">
      <c r="A67" s="47"/>
      <c r="J67" s="48"/>
      <c r="K67" s="47"/>
      <c r="T67" s="48"/>
      <c r="U67" s="47"/>
      <c r="AB67" s="48"/>
    </row>
    <row r="68" spans="1:28" x14ac:dyDescent="0.3">
      <c r="A68" s="47"/>
      <c r="J68" s="48"/>
      <c r="K68" s="47"/>
      <c r="T68" s="48"/>
      <c r="U68" s="47"/>
      <c r="AB68" s="48"/>
    </row>
    <row r="69" spans="1:28" x14ac:dyDescent="0.3">
      <c r="A69" s="47"/>
      <c r="J69" s="48"/>
      <c r="K69" s="47"/>
      <c r="T69" s="48"/>
      <c r="U69" s="47"/>
      <c r="AB69" s="48"/>
    </row>
    <row r="70" spans="1:28" x14ac:dyDescent="0.3">
      <c r="A70" s="47"/>
      <c r="J70" s="48"/>
      <c r="K70" s="47"/>
      <c r="T70" s="48"/>
      <c r="U70" s="47"/>
      <c r="AB70" s="48"/>
    </row>
    <row r="71" spans="1:28" x14ac:dyDescent="0.3">
      <c r="A71" s="47"/>
      <c r="J71" s="48"/>
      <c r="K71" s="47"/>
      <c r="T71" s="48"/>
      <c r="U71" s="47"/>
      <c r="AB71" s="48"/>
    </row>
    <row r="72" spans="1:28" x14ac:dyDescent="0.3">
      <c r="A72" s="47"/>
      <c r="J72" s="48"/>
      <c r="K72" s="47"/>
      <c r="T72" s="48"/>
      <c r="U72" s="47"/>
      <c r="AB72" s="48"/>
    </row>
    <row r="73" spans="1:28" x14ac:dyDescent="0.3">
      <c r="A73" s="47"/>
      <c r="J73" s="48"/>
      <c r="K73" s="47"/>
      <c r="T73" s="48"/>
      <c r="U73" s="47"/>
      <c r="AB73" s="48"/>
    </row>
    <row r="74" spans="1:28" x14ac:dyDescent="0.3">
      <c r="A74" s="47"/>
      <c r="J74" s="48"/>
      <c r="K74" s="47"/>
      <c r="T74" s="48"/>
      <c r="U74" s="47"/>
      <c r="AB74" s="48"/>
    </row>
    <row r="75" spans="1:28" x14ac:dyDescent="0.3">
      <c r="A75" s="47"/>
      <c r="J75" s="48"/>
      <c r="K75" s="47"/>
      <c r="T75" s="48"/>
      <c r="U75" s="47"/>
      <c r="AB75" s="48"/>
    </row>
    <row r="76" spans="1:28" x14ac:dyDescent="0.3">
      <c r="A76" s="47"/>
      <c r="J76" s="48"/>
      <c r="K76" s="47"/>
      <c r="T76" s="48"/>
      <c r="U76" s="47"/>
      <c r="AB76" s="48"/>
    </row>
    <row r="77" spans="1:28" ht="15" thickBot="1" x14ac:dyDescent="0.35">
      <c r="A77" s="49"/>
      <c r="B77" s="50"/>
      <c r="C77" s="50"/>
      <c r="D77" s="50"/>
      <c r="E77" s="50"/>
      <c r="F77" s="50"/>
      <c r="G77" s="50"/>
      <c r="H77" s="50"/>
      <c r="I77" s="50"/>
      <c r="J77" s="51"/>
      <c r="K77" s="49"/>
      <c r="L77" s="50"/>
      <c r="M77" s="50"/>
      <c r="N77" s="50"/>
      <c r="O77" s="50"/>
      <c r="P77" s="50"/>
      <c r="Q77" s="50"/>
      <c r="R77" s="50"/>
      <c r="S77" s="50"/>
      <c r="T77" s="51"/>
      <c r="U77" s="49"/>
      <c r="V77" s="50"/>
      <c r="W77" s="50"/>
      <c r="X77" s="50"/>
      <c r="Y77" s="50"/>
      <c r="Z77" s="50"/>
      <c r="AA77" s="50"/>
      <c r="AB77" s="5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72B5-D90B-4F0E-9446-A191B9D1050A}">
  <sheetPr>
    <tabColor theme="9"/>
  </sheetPr>
  <dimension ref="A2:AF64"/>
  <sheetViews>
    <sheetView workbookViewId="0"/>
  </sheetViews>
  <sheetFormatPr defaultColWidth="8.77734375" defaultRowHeight="14.4" x14ac:dyDescent="0.3"/>
  <cols>
    <col min="2" max="2" width="19.88671875" customWidth="1"/>
    <col min="5" max="5" width="13.33203125" customWidth="1"/>
    <col min="8" max="8" width="22.5546875" customWidth="1"/>
    <col min="11" max="11" width="12.44140625" customWidth="1"/>
    <col min="14" max="14" width="19.33203125" bestFit="1" customWidth="1"/>
    <col min="17" max="17" width="11.5546875" customWidth="1"/>
    <col min="20" max="20" width="14.6640625" customWidth="1"/>
    <col min="23" max="23" width="26.21875" customWidth="1"/>
    <col min="26" max="26" width="9.6640625" customWidth="1"/>
  </cols>
  <sheetData>
    <row r="2" spans="2:32" x14ac:dyDescent="0.3">
      <c r="B2" t="s">
        <v>2547</v>
      </c>
      <c r="C2" t="s">
        <v>0</v>
      </c>
      <c r="E2" t="s">
        <v>2548</v>
      </c>
      <c r="F2" t="s">
        <v>0</v>
      </c>
      <c r="H2" t="s">
        <v>2549</v>
      </c>
      <c r="I2" t="s">
        <v>0</v>
      </c>
      <c r="K2" t="s">
        <v>2550</v>
      </c>
      <c r="L2" t="s">
        <v>0</v>
      </c>
      <c r="N2" t="s">
        <v>2551</v>
      </c>
      <c r="O2" t="s">
        <v>0</v>
      </c>
      <c r="Q2" t="s">
        <v>2552</v>
      </c>
      <c r="R2" t="s">
        <v>0</v>
      </c>
      <c r="T2" t="s">
        <v>2553</v>
      </c>
      <c r="U2" t="s">
        <v>0</v>
      </c>
      <c r="W2" t="s">
        <v>2554</v>
      </c>
      <c r="X2" t="s">
        <v>0</v>
      </c>
      <c r="Z2" t="s">
        <v>2555</v>
      </c>
      <c r="AA2" t="s">
        <v>0</v>
      </c>
      <c r="AF2" s="56"/>
    </row>
    <row r="3" spans="2:32" x14ac:dyDescent="0.3">
      <c r="B3" s="55" t="s">
        <v>2437</v>
      </c>
      <c r="C3">
        <v>2</v>
      </c>
      <c r="E3" t="s">
        <v>23</v>
      </c>
      <c r="F3">
        <v>5</v>
      </c>
      <c r="H3" t="s">
        <v>334</v>
      </c>
      <c r="I3">
        <v>1</v>
      </c>
      <c r="K3" t="s">
        <v>2460</v>
      </c>
      <c r="L3">
        <v>1</v>
      </c>
      <c r="N3" t="s">
        <v>2472</v>
      </c>
      <c r="O3">
        <v>2</v>
      </c>
      <c r="Q3" t="s">
        <v>2512</v>
      </c>
      <c r="R3">
        <v>4</v>
      </c>
      <c r="T3" t="s">
        <v>451</v>
      </c>
      <c r="U3">
        <v>3</v>
      </c>
      <c r="W3" t="s">
        <v>2531</v>
      </c>
      <c r="X3">
        <v>1</v>
      </c>
      <c r="Z3" t="s">
        <v>2535</v>
      </c>
      <c r="AA3">
        <v>2</v>
      </c>
      <c r="AF3" s="56"/>
    </row>
    <row r="4" spans="2:32" x14ac:dyDescent="0.3">
      <c r="B4" s="55" t="s">
        <v>2455</v>
      </c>
      <c r="C4">
        <v>1</v>
      </c>
      <c r="E4" t="s">
        <v>2445</v>
      </c>
      <c r="F4">
        <v>5</v>
      </c>
      <c r="H4" t="s">
        <v>2438</v>
      </c>
      <c r="I4">
        <v>17</v>
      </c>
      <c r="K4" t="s">
        <v>2461</v>
      </c>
      <c r="L4">
        <v>1</v>
      </c>
      <c r="N4" t="s">
        <v>2559</v>
      </c>
      <c r="O4">
        <v>1</v>
      </c>
      <c r="Q4" t="s">
        <v>2513</v>
      </c>
      <c r="R4">
        <v>1</v>
      </c>
      <c r="T4" t="s">
        <v>2521</v>
      </c>
      <c r="U4">
        <v>2</v>
      </c>
      <c r="W4" t="s">
        <v>2532</v>
      </c>
      <c r="X4">
        <v>1</v>
      </c>
      <c r="Z4" t="s">
        <v>2536</v>
      </c>
      <c r="AA4">
        <v>19</v>
      </c>
      <c r="AF4" s="56"/>
    </row>
    <row r="5" spans="2:32" x14ac:dyDescent="0.3">
      <c r="B5" s="55" t="s">
        <v>2438</v>
      </c>
      <c r="C5">
        <v>3</v>
      </c>
      <c r="E5" t="s">
        <v>118</v>
      </c>
      <c r="F5">
        <v>1</v>
      </c>
      <c r="H5" t="s">
        <v>2439</v>
      </c>
      <c r="I5">
        <v>1</v>
      </c>
      <c r="K5" t="s">
        <v>2462</v>
      </c>
      <c r="L5">
        <v>1</v>
      </c>
      <c r="N5" t="s">
        <v>2473</v>
      </c>
      <c r="O5">
        <v>1</v>
      </c>
      <c r="Q5" t="s">
        <v>2514</v>
      </c>
      <c r="R5">
        <v>1</v>
      </c>
      <c r="T5" t="s">
        <v>253</v>
      </c>
      <c r="U5">
        <v>2</v>
      </c>
      <c r="W5" t="s">
        <v>2533</v>
      </c>
      <c r="X5">
        <v>1</v>
      </c>
      <c r="Z5" t="s">
        <v>2537</v>
      </c>
      <c r="AA5">
        <v>1</v>
      </c>
      <c r="AF5" s="56"/>
    </row>
    <row r="6" spans="2:32" x14ac:dyDescent="0.3">
      <c r="B6" s="55" t="s">
        <v>2439</v>
      </c>
      <c r="C6">
        <v>1</v>
      </c>
      <c r="E6" t="s">
        <v>83</v>
      </c>
      <c r="F6">
        <v>1</v>
      </c>
      <c r="H6" t="s">
        <v>2558</v>
      </c>
      <c r="I6">
        <v>3</v>
      </c>
      <c r="K6" t="s">
        <v>2463</v>
      </c>
      <c r="L6">
        <v>1</v>
      </c>
      <c r="N6" t="s">
        <v>2474</v>
      </c>
      <c r="O6">
        <v>1</v>
      </c>
      <c r="Q6" t="s">
        <v>2207</v>
      </c>
      <c r="R6">
        <v>12</v>
      </c>
      <c r="T6" t="s">
        <v>452</v>
      </c>
      <c r="U6">
        <v>1</v>
      </c>
      <c r="W6" t="s">
        <v>2534</v>
      </c>
      <c r="X6">
        <v>2</v>
      </c>
      <c r="Z6" t="s">
        <v>2538</v>
      </c>
      <c r="AA6">
        <v>1</v>
      </c>
      <c r="AF6" s="56"/>
    </row>
    <row r="7" spans="2:32" x14ac:dyDescent="0.3">
      <c r="B7" s="55" t="s">
        <v>2440</v>
      </c>
      <c r="C7">
        <v>4</v>
      </c>
      <c r="E7" t="s">
        <v>21</v>
      </c>
      <c r="F7">
        <v>1</v>
      </c>
      <c r="H7" t="s">
        <v>2456</v>
      </c>
      <c r="I7">
        <v>1</v>
      </c>
      <c r="K7" t="s">
        <v>2464</v>
      </c>
      <c r="L7">
        <v>1</v>
      </c>
      <c r="N7" t="s">
        <v>502</v>
      </c>
      <c r="O7">
        <v>3</v>
      </c>
      <c r="Q7" t="s">
        <v>2515</v>
      </c>
      <c r="R7">
        <v>2</v>
      </c>
      <c r="T7" t="s">
        <v>2522</v>
      </c>
      <c r="U7">
        <v>1</v>
      </c>
      <c r="Z7" t="s">
        <v>2539</v>
      </c>
      <c r="AA7">
        <v>2</v>
      </c>
      <c r="AF7" s="56"/>
    </row>
    <row r="8" spans="2:32" x14ac:dyDescent="0.3">
      <c r="B8" s="55" t="s">
        <v>2441</v>
      </c>
      <c r="C8">
        <v>7</v>
      </c>
      <c r="E8" t="s">
        <v>38</v>
      </c>
      <c r="F8">
        <v>11</v>
      </c>
      <c r="H8" t="s">
        <v>2457</v>
      </c>
      <c r="I8">
        <v>1</v>
      </c>
      <c r="K8" t="s">
        <v>2465</v>
      </c>
      <c r="L8">
        <v>1</v>
      </c>
      <c r="N8" t="s">
        <v>2546</v>
      </c>
      <c r="O8">
        <v>1</v>
      </c>
      <c r="Q8" t="s">
        <v>2516</v>
      </c>
      <c r="R8">
        <v>4</v>
      </c>
      <c r="T8" t="s">
        <v>2523</v>
      </c>
      <c r="U8">
        <v>1</v>
      </c>
      <c r="Z8" t="s">
        <v>2540</v>
      </c>
      <c r="AA8">
        <v>12</v>
      </c>
      <c r="AF8" s="56"/>
    </row>
    <row r="9" spans="2:32" x14ac:dyDescent="0.3">
      <c r="B9" s="55" t="s">
        <v>2442</v>
      </c>
      <c r="C9">
        <v>9</v>
      </c>
      <c r="E9" t="s">
        <v>2446</v>
      </c>
      <c r="F9">
        <v>2</v>
      </c>
      <c r="H9" t="s">
        <v>386</v>
      </c>
      <c r="I9">
        <v>3</v>
      </c>
      <c r="K9" t="s">
        <v>2466</v>
      </c>
      <c r="L9">
        <v>1</v>
      </c>
      <c r="N9" t="s">
        <v>2560</v>
      </c>
      <c r="O9">
        <v>1</v>
      </c>
      <c r="Q9" t="s">
        <v>2517</v>
      </c>
      <c r="R9">
        <v>2</v>
      </c>
      <c r="T9" t="s">
        <v>498</v>
      </c>
      <c r="U9">
        <v>2</v>
      </c>
      <c r="Z9" t="s">
        <v>2541</v>
      </c>
      <c r="AA9">
        <v>2</v>
      </c>
      <c r="AF9" s="56"/>
    </row>
    <row r="10" spans="2:32" x14ac:dyDescent="0.3">
      <c r="B10" s="55" t="s">
        <v>2443</v>
      </c>
      <c r="C10">
        <v>3</v>
      </c>
      <c r="E10" t="s">
        <v>2447</v>
      </c>
      <c r="F10">
        <v>8</v>
      </c>
      <c r="H10" t="s">
        <v>2458</v>
      </c>
      <c r="I10">
        <v>1</v>
      </c>
      <c r="K10" t="s">
        <v>2440</v>
      </c>
      <c r="L10">
        <v>3</v>
      </c>
      <c r="N10" t="s">
        <v>2545</v>
      </c>
      <c r="O10">
        <v>2</v>
      </c>
      <c r="Q10" t="s">
        <v>2518</v>
      </c>
      <c r="R10">
        <v>2</v>
      </c>
      <c r="T10" t="s">
        <v>301</v>
      </c>
      <c r="U10">
        <v>1</v>
      </c>
      <c r="AF10" s="56"/>
    </row>
    <row r="11" spans="2:32" x14ac:dyDescent="0.3">
      <c r="B11" s="55" t="s">
        <v>2444</v>
      </c>
      <c r="C11">
        <v>7</v>
      </c>
      <c r="E11" t="s">
        <v>2448</v>
      </c>
      <c r="F11">
        <v>2</v>
      </c>
      <c r="H11" t="s">
        <v>2441</v>
      </c>
      <c r="I11">
        <v>10</v>
      </c>
      <c r="K11" t="s">
        <v>2467</v>
      </c>
      <c r="L11">
        <v>1</v>
      </c>
      <c r="N11" t="s">
        <v>2475</v>
      </c>
      <c r="O11">
        <v>1</v>
      </c>
      <c r="Q11" t="s">
        <v>2519</v>
      </c>
      <c r="R11">
        <v>16</v>
      </c>
      <c r="T11" t="s">
        <v>1592</v>
      </c>
      <c r="U11">
        <v>1</v>
      </c>
      <c r="AF11" s="56"/>
    </row>
    <row r="12" spans="2:32" x14ac:dyDescent="0.3">
      <c r="E12" t="s">
        <v>2449</v>
      </c>
      <c r="F12">
        <v>1</v>
      </c>
      <c r="H12" t="s">
        <v>2443</v>
      </c>
      <c r="I12">
        <v>3</v>
      </c>
      <c r="K12" t="s">
        <v>2468</v>
      </c>
      <c r="L12">
        <v>1</v>
      </c>
      <c r="N12" t="s">
        <v>2476</v>
      </c>
      <c r="O12">
        <v>3</v>
      </c>
      <c r="Q12" t="s">
        <v>2520</v>
      </c>
      <c r="R12">
        <v>1</v>
      </c>
      <c r="T12" t="s">
        <v>2524</v>
      </c>
      <c r="U12">
        <v>1</v>
      </c>
      <c r="AF12" s="56"/>
    </row>
    <row r="13" spans="2:32" x14ac:dyDescent="0.3">
      <c r="E13" t="s">
        <v>2450</v>
      </c>
      <c r="F13">
        <v>1</v>
      </c>
      <c r="H13" t="s">
        <v>2459</v>
      </c>
      <c r="I13">
        <v>2</v>
      </c>
      <c r="K13" t="s">
        <v>2469</v>
      </c>
      <c r="L13">
        <v>1</v>
      </c>
      <c r="N13" t="s">
        <v>2477</v>
      </c>
      <c r="O13">
        <v>1</v>
      </c>
      <c r="T13" t="s">
        <v>1476</v>
      </c>
      <c r="U13">
        <v>1</v>
      </c>
      <c r="AF13" s="56"/>
    </row>
    <row r="14" spans="2:32" x14ac:dyDescent="0.3">
      <c r="E14" t="s">
        <v>235</v>
      </c>
      <c r="F14">
        <v>9</v>
      </c>
      <c r="H14" t="s">
        <v>421</v>
      </c>
      <c r="I14">
        <v>3</v>
      </c>
      <c r="K14" t="s">
        <v>2470</v>
      </c>
      <c r="L14">
        <v>1</v>
      </c>
      <c r="N14" t="s">
        <v>2544</v>
      </c>
      <c r="O14">
        <v>2</v>
      </c>
      <c r="T14" t="s">
        <v>2159</v>
      </c>
      <c r="U14">
        <v>1</v>
      </c>
      <c r="AF14" s="56"/>
    </row>
    <row r="15" spans="2:32" x14ac:dyDescent="0.3">
      <c r="E15" t="s">
        <v>31</v>
      </c>
      <c r="F15">
        <v>13</v>
      </c>
      <c r="K15" t="s">
        <v>2471</v>
      </c>
      <c r="L15">
        <v>1</v>
      </c>
      <c r="N15" t="s">
        <v>2461</v>
      </c>
      <c r="O15">
        <v>2</v>
      </c>
      <c r="T15" t="s">
        <v>2175</v>
      </c>
      <c r="U15">
        <v>1</v>
      </c>
      <c r="AF15" s="56"/>
    </row>
    <row r="16" spans="2:32" x14ac:dyDescent="0.3">
      <c r="E16" t="s">
        <v>2451</v>
      </c>
      <c r="F16">
        <v>4</v>
      </c>
      <c r="K16" t="s">
        <v>1336</v>
      </c>
      <c r="L16">
        <v>1</v>
      </c>
      <c r="N16" t="s">
        <v>2478</v>
      </c>
      <c r="O16">
        <v>1</v>
      </c>
      <c r="T16" t="s">
        <v>2179</v>
      </c>
      <c r="U16">
        <v>1</v>
      </c>
      <c r="AF16" s="56"/>
    </row>
    <row r="17" spans="1:32" x14ac:dyDescent="0.3">
      <c r="E17" t="s">
        <v>2452</v>
      </c>
      <c r="F17">
        <v>2</v>
      </c>
      <c r="K17" t="s">
        <v>2444</v>
      </c>
      <c r="L17">
        <v>2</v>
      </c>
      <c r="N17" t="s">
        <v>2561</v>
      </c>
      <c r="O17">
        <v>1</v>
      </c>
      <c r="T17" t="s">
        <v>1690</v>
      </c>
      <c r="U17">
        <v>3</v>
      </c>
      <c r="AF17" s="56"/>
    </row>
    <row r="18" spans="1:32" x14ac:dyDescent="0.3">
      <c r="E18" t="s">
        <v>22</v>
      </c>
      <c r="F18">
        <v>1</v>
      </c>
      <c r="N18" t="s">
        <v>2479</v>
      </c>
      <c r="O18">
        <v>2</v>
      </c>
      <c r="T18" t="s">
        <v>2170</v>
      </c>
      <c r="U18">
        <v>1</v>
      </c>
      <c r="AF18" s="56"/>
    </row>
    <row r="19" spans="1:32" x14ac:dyDescent="0.3">
      <c r="E19" t="s">
        <v>2453</v>
      </c>
      <c r="F19">
        <v>1</v>
      </c>
      <c r="N19" t="s">
        <v>2562</v>
      </c>
      <c r="O19">
        <v>1</v>
      </c>
      <c r="T19" t="s">
        <v>2525</v>
      </c>
      <c r="U19">
        <v>1</v>
      </c>
      <c r="AF19" s="56"/>
    </row>
    <row r="20" spans="1:32" x14ac:dyDescent="0.3">
      <c r="E20" t="s">
        <v>2454</v>
      </c>
      <c r="F20">
        <v>1</v>
      </c>
      <c r="N20" t="s">
        <v>2563</v>
      </c>
      <c r="O20">
        <v>1</v>
      </c>
      <c r="T20" t="s">
        <v>475</v>
      </c>
      <c r="U20">
        <v>1</v>
      </c>
      <c r="AF20" s="56"/>
    </row>
    <row r="21" spans="1:32" x14ac:dyDescent="0.3">
      <c r="E21" t="s">
        <v>37</v>
      </c>
      <c r="F21">
        <v>16</v>
      </c>
      <c r="N21" t="s">
        <v>2564</v>
      </c>
      <c r="O21">
        <v>1</v>
      </c>
      <c r="T21" t="s">
        <v>2526</v>
      </c>
      <c r="U21">
        <v>1</v>
      </c>
      <c r="AF21" s="56"/>
    </row>
    <row r="22" spans="1:32" x14ac:dyDescent="0.3">
      <c r="N22" t="s">
        <v>2480</v>
      </c>
      <c r="O22">
        <v>1</v>
      </c>
      <c r="T22" t="s">
        <v>2527</v>
      </c>
      <c r="U22">
        <v>2</v>
      </c>
      <c r="AF22" s="56"/>
    </row>
    <row r="23" spans="1:32" x14ac:dyDescent="0.3">
      <c r="N23" t="s">
        <v>2565</v>
      </c>
      <c r="O23">
        <v>1</v>
      </c>
      <c r="T23" t="s">
        <v>453</v>
      </c>
      <c r="U23">
        <v>2</v>
      </c>
      <c r="AF23" s="56"/>
    </row>
    <row r="24" spans="1:32" x14ac:dyDescent="0.3">
      <c r="A24" t="s">
        <v>2431</v>
      </c>
      <c r="N24" t="s">
        <v>2566</v>
      </c>
      <c r="O24">
        <v>1</v>
      </c>
      <c r="T24" t="s">
        <v>2528</v>
      </c>
      <c r="U24">
        <v>3</v>
      </c>
      <c r="AF24" s="56"/>
    </row>
    <row r="25" spans="1:32" x14ac:dyDescent="0.3">
      <c r="N25" t="s">
        <v>2481</v>
      </c>
      <c r="O25">
        <v>1</v>
      </c>
      <c r="T25" t="s">
        <v>1605</v>
      </c>
      <c r="U25">
        <v>1</v>
      </c>
      <c r="AF25" s="56"/>
    </row>
    <row r="26" spans="1:32" x14ac:dyDescent="0.3">
      <c r="N26" t="s">
        <v>2482</v>
      </c>
      <c r="O26">
        <v>1</v>
      </c>
      <c r="T26" t="s">
        <v>2529</v>
      </c>
      <c r="U26">
        <v>1</v>
      </c>
      <c r="AF26" s="56"/>
    </row>
    <row r="27" spans="1:32" x14ac:dyDescent="0.3">
      <c r="N27" t="s">
        <v>2483</v>
      </c>
      <c r="O27">
        <v>1</v>
      </c>
      <c r="T27" t="s">
        <v>2530</v>
      </c>
      <c r="U27">
        <v>1</v>
      </c>
      <c r="AF27" s="56"/>
    </row>
    <row r="28" spans="1:32" x14ac:dyDescent="0.3">
      <c r="N28" t="s">
        <v>2484</v>
      </c>
      <c r="O28">
        <v>2</v>
      </c>
      <c r="T28" t="s">
        <v>2410</v>
      </c>
      <c r="U28">
        <v>2</v>
      </c>
      <c r="AF28" s="56"/>
    </row>
    <row r="29" spans="1:32" x14ac:dyDescent="0.3">
      <c r="N29" t="s">
        <v>2485</v>
      </c>
      <c r="O29">
        <v>1</v>
      </c>
      <c r="AF29" s="56"/>
    </row>
    <row r="30" spans="1:32" x14ac:dyDescent="0.3">
      <c r="N30" t="s">
        <v>2486</v>
      </c>
      <c r="O30">
        <v>1</v>
      </c>
      <c r="AF30" s="56"/>
    </row>
    <row r="31" spans="1:32" x14ac:dyDescent="0.3">
      <c r="N31" t="s">
        <v>2487</v>
      </c>
      <c r="O31">
        <v>1</v>
      </c>
      <c r="AF31" s="56"/>
    </row>
    <row r="32" spans="1:32" x14ac:dyDescent="0.3">
      <c r="N32" t="s">
        <v>2488</v>
      </c>
      <c r="O32">
        <v>1</v>
      </c>
      <c r="AF32" s="56"/>
    </row>
    <row r="33" spans="14:32" x14ac:dyDescent="0.3">
      <c r="N33" t="s">
        <v>2456</v>
      </c>
      <c r="O33">
        <v>4</v>
      </c>
      <c r="AF33" s="56"/>
    </row>
    <row r="34" spans="14:32" x14ac:dyDescent="0.3">
      <c r="N34" t="s">
        <v>2489</v>
      </c>
      <c r="O34">
        <v>2</v>
      </c>
      <c r="AF34" s="56"/>
    </row>
    <row r="35" spans="14:32" x14ac:dyDescent="0.3">
      <c r="N35" t="s">
        <v>2440</v>
      </c>
      <c r="O35">
        <v>27</v>
      </c>
      <c r="AF35" s="56"/>
    </row>
    <row r="36" spans="14:32" x14ac:dyDescent="0.3">
      <c r="N36" t="s">
        <v>2490</v>
      </c>
      <c r="O36">
        <v>9</v>
      </c>
      <c r="AF36" s="56"/>
    </row>
    <row r="37" spans="14:32" x14ac:dyDescent="0.3">
      <c r="N37" t="s">
        <v>2491</v>
      </c>
      <c r="O37">
        <v>3</v>
      </c>
      <c r="AF37" s="56"/>
    </row>
    <row r="38" spans="14:32" x14ac:dyDescent="0.3">
      <c r="N38" t="s">
        <v>2543</v>
      </c>
      <c r="O38">
        <v>2</v>
      </c>
      <c r="AF38" s="56"/>
    </row>
    <row r="39" spans="14:32" x14ac:dyDescent="0.3">
      <c r="N39" t="s">
        <v>2567</v>
      </c>
      <c r="O39">
        <v>1</v>
      </c>
      <c r="AF39" s="56"/>
    </row>
    <row r="40" spans="14:32" x14ac:dyDescent="0.3">
      <c r="N40" t="s">
        <v>2568</v>
      </c>
      <c r="O40">
        <v>1</v>
      </c>
      <c r="AF40" s="56"/>
    </row>
    <row r="41" spans="14:32" x14ac:dyDescent="0.3">
      <c r="N41" t="s">
        <v>2492</v>
      </c>
      <c r="O41">
        <v>1</v>
      </c>
      <c r="AF41" s="56"/>
    </row>
    <row r="42" spans="14:32" x14ac:dyDescent="0.3">
      <c r="N42" t="s">
        <v>2542</v>
      </c>
      <c r="O42">
        <v>2</v>
      </c>
      <c r="AF42" s="56"/>
    </row>
    <row r="43" spans="14:32" x14ac:dyDescent="0.3">
      <c r="N43" t="s">
        <v>2493</v>
      </c>
      <c r="O43">
        <v>1</v>
      </c>
      <c r="AF43" s="56"/>
    </row>
    <row r="44" spans="14:32" x14ac:dyDescent="0.3">
      <c r="N44" t="s">
        <v>2494</v>
      </c>
      <c r="O44">
        <v>5</v>
      </c>
      <c r="AF44" s="56"/>
    </row>
    <row r="45" spans="14:32" x14ac:dyDescent="0.3">
      <c r="N45" t="s">
        <v>2495</v>
      </c>
      <c r="O45">
        <v>2</v>
      </c>
      <c r="AF45" s="56"/>
    </row>
    <row r="46" spans="14:32" x14ac:dyDescent="0.3">
      <c r="N46" t="s">
        <v>2496</v>
      </c>
      <c r="O46">
        <v>3</v>
      </c>
      <c r="AF46" s="56"/>
    </row>
    <row r="47" spans="14:32" x14ac:dyDescent="0.3">
      <c r="N47" t="s">
        <v>2497</v>
      </c>
      <c r="O47">
        <v>1</v>
      </c>
      <c r="AF47" s="56"/>
    </row>
    <row r="48" spans="14:32" x14ac:dyDescent="0.3">
      <c r="N48" t="s">
        <v>2498</v>
      </c>
      <c r="O48">
        <v>1</v>
      </c>
      <c r="AF48" s="56"/>
    </row>
    <row r="49" spans="14:32" x14ac:dyDescent="0.3">
      <c r="N49" t="s">
        <v>2499</v>
      </c>
      <c r="O49">
        <v>1</v>
      </c>
      <c r="AF49" s="56"/>
    </row>
    <row r="50" spans="14:32" x14ac:dyDescent="0.3">
      <c r="N50" t="s">
        <v>2500</v>
      </c>
      <c r="O50">
        <v>3</v>
      </c>
      <c r="AF50" s="56"/>
    </row>
    <row r="51" spans="14:32" x14ac:dyDescent="0.3">
      <c r="N51" t="s">
        <v>2501</v>
      </c>
      <c r="O51">
        <v>1</v>
      </c>
      <c r="AF51" s="56"/>
    </row>
    <row r="52" spans="14:32" x14ac:dyDescent="0.3">
      <c r="N52" t="s">
        <v>2502</v>
      </c>
      <c r="O52">
        <v>12</v>
      </c>
      <c r="AF52" s="56"/>
    </row>
    <row r="53" spans="14:32" x14ac:dyDescent="0.3">
      <c r="N53" t="s">
        <v>2503</v>
      </c>
      <c r="O53">
        <v>2</v>
      </c>
      <c r="AF53" s="56"/>
    </row>
    <row r="54" spans="14:32" x14ac:dyDescent="0.3">
      <c r="N54" t="s">
        <v>2504</v>
      </c>
      <c r="O54">
        <v>1</v>
      </c>
      <c r="AF54" s="56"/>
    </row>
    <row r="55" spans="14:32" x14ac:dyDescent="0.3">
      <c r="N55" t="s">
        <v>2505</v>
      </c>
      <c r="O55">
        <v>2</v>
      </c>
      <c r="AF55" s="56"/>
    </row>
    <row r="56" spans="14:32" x14ac:dyDescent="0.3">
      <c r="N56" t="s">
        <v>2506</v>
      </c>
      <c r="O56">
        <v>3</v>
      </c>
      <c r="AF56" s="56"/>
    </row>
    <row r="57" spans="14:32" x14ac:dyDescent="0.3">
      <c r="N57" t="s">
        <v>2507</v>
      </c>
      <c r="O57">
        <v>3</v>
      </c>
      <c r="AF57" s="56"/>
    </row>
    <row r="58" spans="14:32" x14ac:dyDescent="0.3">
      <c r="N58" t="s">
        <v>2508</v>
      </c>
      <c r="O58">
        <v>4</v>
      </c>
      <c r="AF58" s="56"/>
    </row>
    <row r="59" spans="14:32" x14ac:dyDescent="0.3">
      <c r="N59" t="s">
        <v>2509</v>
      </c>
      <c r="O59">
        <v>1</v>
      </c>
      <c r="AF59" s="56"/>
    </row>
    <row r="60" spans="14:32" x14ac:dyDescent="0.3">
      <c r="N60" t="s">
        <v>2510</v>
      </c>
      <c r="O60">
        <v>1</v>
      </c>
      <c r="AF60" s="56"/>
    </row>
    <row r="61" spans="14:32" x14ac:dyDescent="0.3">
      <c r="N61" t="s">
        <v>2511</v>
      </c>
      <c r="O61">
        <v>1</v>
      </c>
      <c r="AF61" s="56"/>
    </row>
    <row r="62" spans="14:32" x14ac:dyDescent="0.3">
      <c r="N62" t="s">
        <v>2569</v>
      </c>
      <c r="O62">
        <v>1</v>
      </c>
      <c r="AF62" s="56"/>
    </row>
    <row r="63" spans="14:32" x14ac:dyDescent="0.3">
      <c r="N63" t="s">
        <v>1336</v>
      </c>
      <c r="O63">
        <v>3</v>
      </c>
      <c r="AF63" s="56"/>
    </row>
    <row r="64" spans="14:32" x14ac:dyDescent="0.3">
      <c r="N64" t="s">
        <v>2444</v>
      </c>
      <c r="O64">
        <v>2</v>
      </c>
    </row>
  </sheetData>
  <pageMargins left="0.7" right="0.7" top="0.75" bottom="0.75" header="0.3" footer="0.3"/>
  <pageSetup paperSize="9" orientation="portrait" horizontalDpi="4294967293" verticalDpi="0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IaC Tools</vt:lpstr>
      <vt:lpstr>IaC Categories</vt:lpstr>
      <vt:lpstr>IaC Tools (Skipped)</vt:lpstr>
      <vt:lpstr>Iac Tools Charts</vt:lpstr>
      <vt:lpstr>SICA</vt:lpstr>
      <vt:lpstr>SICA Categories</vt:lpstr>
      <vt:lpstr>SICA (Skipped)</vt:lpstr>
      <vt:lpstr>SICA Charts</vt:lpstr>
      <vt:lpstr>SICA Characteristics</vt:lpstr>
      <vt:lpstr>SICA!citation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Leger</dc:creator>
  <cp:lastModifiedBy>Nils</cp:lastModifiedBy>
  <dcterms:created xsi:type="dcterms:W3CDTF">2022-05-10T13:31:33Z</dcterms:created>
  <dcterms:modified xsi:type="dcterms:W3CDTF">2022-10-02T04:53:07Z</dcterms:modified>
</cp:coreProperties>
</file>