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17.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2fa8706665a41975/Desktop/SettleTop - Sample Reports/SetVIEW-CodenameOne-2021-03-04/"/>
    </mc:Choice>
  </mc:AlternateContent>
  <xr:revisionPtr revIDLastSave="165" documentId="8_{AC044A49-D0DD-4B75-8FDE-1FAB856BD6E3}" xr6:coauthVersionLast="46" xr6:coauthVersionMax="46" xr10:uidLastSave="{5278E6B2-D622-470A-A03B-FA698C7F1A39}"/>
  <bookViews>
    <workbookView xWindow="-120" yWindow="-120" windowWidth="29040" windowHeight="15840" tabRatio="746" xr2:uid="{00000000-000D-0000-FFFF-FFFF00000000}"/>
  </bookViews>
  <sheets>
    <sheet name="SetView" sheetId="1" r:id="rId1"/>
    <sheet name="User Guide" sheetId="2" r:id="rId2"/>
    <sheet name="Vendor Tool Description" sheetId="3" r:id="rId3"/>
    <sheet name="Glossary" sheetId="4" r:id="rId4"/>
    <sheet name="Scorecard" sheetId="5" r:id="rId5"/>
    <sheet name="SettleTop" sheetId="6" r:id="rId6"/>
    <sheet name="SonarQube-Data" sheetId="7" r:id="rId7"/>
    <sheet name="CodeMRI-Data" sheetId="8" r:id="rId8"/>
    <sheet name="FossID-Data" sheetId="9" r:id="rId9"/>
    <sheet name="Fortify-OWASP" sheetId="10" r:id="rId10"/>
    <sheet name="Fortify-DISA STIG" sheetId="11" r:id="rId11"/>
    <sheet name="Disclaimer" sheetId="14" r:id="rId12"/>
  </sheets>
  <externalReferences>
    <externalReference r:id="rId13"/>
  </externalReferences>
  <definedNames>
    <definedName name="_xlnm._FilterDatabase" localSheetId="3" hidden="1">Glossary!$A$1:$B$25</definedName>
    <definedName name="_xlnm._FilterDatabase" localSheetId="2" hidden="1">'Vendor Tool Description'!$A$1:$D$5</definedName>
    <definedName name="AnalysisDate" localSheetId="11">#REF!</definedName>
    <definedName name="AnalysisDate" localSheetId="3">#REF!</definedName>
    <definedName name="AnalysisDate" localSheetId="1">#REF!</definedName>
    <definedName name="AnalysisDate" localSheetId="2">#REF!</definedName>
    <definedName name="AnalysisDate">SettleTop!$B$8</definedName>
    <definedName name="ApplicationAge" localSheetId="11">#REF!</definedName>
    <definedName name="ApplicationAge" localSheetId="3">#REF!</definedName>
    <definedName name="ApplicationAge" localSheetId="1">#REF!</definedName>
    <definedName name="ApplicationAge" localSheetId="2">#REF!</definedName>
    <definedName name="ApplicationAge">SettleTop!$B$15</definedName>
    <definedName name="ApplicationType" localSheetId="11">#REF!</definedName>
    <definedName name="ApplicationType" localSheetId="3">#REF!</definedName>
    <definedName name="ApplicationType" localSheetId="1">#REF!</definedName>
    <definedName name="ApplicationType" localSheetId="2">#REF!</definedName>
    <definedName name="ApplicationType">SettleTop!$B$16</definedName>
    <definedName name="ArchitecturalHealthRawScore" localSheetId="11">#REF!</definedName>
    <definedName name="ArchitecturalHealthRawScore" localSheetId="3">#REF!</definedName>
    <definedName name="ArchitecturalHealthRawScore" localSheetId="1">#REF!</definedName>
    <definedName name="ArchitecturalHealthRawScore" localSheetId="2">#REF!</definedName>
    <definedName name="ArchitecturalHealthRawScore">Scorecard!$F$11</definedName>
    <definedName name="ArchitecturalHealthWeight" localSheetId="11">#REF!</definedName>
    <definedName name="ArchitecturalHealthWeight" localSheetId="3">#REF!</definedName>
    <definedName name="ArchitecturalHealthWeight" localSheetId="1">#REF!</definedName>
    <definedName name="ArchitecturalHealthWeight" localSheetId="2">#REF!</definedName>
    <definedName name="ArchitecturalHealthWeight">Scorecard!$E$18</definedName>
    <definedName name="ArchitecturalHealthWeightedScore" localSheetId="11">#REF!</definedName>
    <definedName name="ArchitecturalHealthWeightedScore" localSheetId="3">#REF!</definedName>
    <definedName name="ArchitecturalHealthWeightedScore" localSheetId="1">#REF!</definedName>
    <definedName name="ArchitecturalHealthWeightedScore" localSheetId="2">#REF!</definedName>
    <definedName name="ArchitecturalHealthWeightedScore">Scorecard!$F$8</definedName>
    <definedName name="ArchitecturalScoreRaw" localSheetId="11">#REF!</definedName>
    <definedName name="ArchitecturalScoreRaw" localSheetId="3">#REF!</definedName>
    <definedName name="ArchitecturalScoreRaw" localSheetId="1">#REF!</definedName>
    <definedName name="ArchitecturalScoreRaw" localSheetId="2">#REF!</definedName>
    <definedName name="ArchitecturalScoreRaw">Scorecard!$N$58</definedName>
    <definedName name="BlankLines" localSheetId="11">#REF!</definedName>
    <definedName name="BlankLines" localSheetId="3">#REF!</definedName>
    <definedName name="BlankLines" localSheetId="1">#REF!</definedName>
    <definedName name="BlankLines" localSheetId="2">#REF!</definedName>
    <definedName name="BlankLines">'SonarQube-Data'!$B$9</definedName>
    <definedName name="BlockerIssues" localSheetId="11">#REF!</definedName>
    <definedName name="BlockerIssues" localSheetId="3">#REF!</definedName>
    <definedName name="BlockerIssues" localSheetId="1">#REF!</definedName>
    <definedName name="BlockerIssues" localSheetId="2">#REF!</definedName>
    <definedName name="BlockerIssues">'SonarQube-Data'!$B$16</definedName>
    <definedName name="Bug" localSheetId="11">#REF!</definedName>
    <definedName name="Bug" localSheetId="3">#REF!</definedName>
    <definedName name="Bug" localSheetId="1">#REF!</definedName>
    <definedName name="Bug" localSheetId="2">#REF!</definedName>
    <definedName name="Bug">'SonarQube-Data'!$G$13</definedName>
    <definedName name="BugBlocker" localSheetId="11">#REF!</definedName>
    <definedName name="BugBlocker" localSheetId="3">#REF!</definedName>
    <definedName name="BugBlocker" localSheetId="1">#REF!</definedName>
    <definedName name="BugBlocker" localSheetId="2">#REF!</definedName>
    <definedName name="BugBlocker">'SonarQube-Data'!$B$13</definedName>
    <definedName name="BugCritical" localSheetId="11">#REF!</definedName>
    <definedName name="BugCritical" localSheetId="3">#REF!</definedName>
    <definedName name="BugCritical" localSheetId="1">#REF!</definedName>
    <definedName name="BugCritical" localSheetId="2">#REF!</definedName>
    <definedName name="BugCritical">'SonarQube-Data'!$C$13</definedName>
    <definedName name="BugInfo" localSheetId="11">#REF!</definedName>
    <definedName name="BugInfo" localSheetId="3">#REF!</definedName>
    <definedName name="BugInfo" localSheetId="1">#REF!</definedName>
    <definedName name="BugInfo" localSheetId="2">#REF!</definedName>
    <definedName name="BugInfo">'SonarQube-Data'!$F$13</definedName>
    <definedName name="BugMajor" localSheetId="11">#REF!</definedName>
    <definedName name="BugMajor" localSheetId="3">#REF!</definedName>
    <definedName name="BugMajor" localSheetId="1">#REF!</definedName>
    <definedName name="BugMajor" localSheetId="2">#REF!</definedName>
    <definedName name="BugMajor">'SonarQube-Data'!$D$13</definedName>
    <definedName name="BugMinor" localSheetId="11">#REF!</definedName>
    <definedName name="BugMinor" localSheetId="3">#REF!</definedName>
    <definedName name="BugMinor" localSheetId="1">#REF!</definedName>
    <definedName name="BugMinor" localSheetId="2">#REF!</definedName>
    <definedName name="BugMinor">'SonarQube-Data'!$E$13</definedName>
    <definedName name="BugsAddedExposed" localSheetId="11">#REF!</definedName>
    <definedName name="BugsAddedExposed" localSheetId="3">#REF!</definedName>
    <definedName name="BugsAddedExposed" localSheetId="1">#REF!</definedName>
    <definedName name="BugsAddedExposed" localSheetId="2">#REF!</definedName>
    <definedName name="BugsAddedExposed">'CodeMRI-Data'!$B$24</definedName>
    <definedName name="BugsAddedExposedBenchmark" localSheetId="11">#REF!</definedName>
    <definedName name="BugsAddedExposedBenchmark" localSheetId="3">#REF!</definedName>
    <definedName name="BugsAddedExposedBenchmark" localSheetId="1">#REF!</definedName>
    <definedName name="BugsAddedExposedBenchmark" localSheetId="2">#REF!</definedName>
    <definedName name="BugsAddedExposedBenchmark">'CodeMRI-Data'!$C$24</definedName>
    <definedName name="ButToFeatureRatio" localSheetId="11">#REF!</definedName>
    <definedName name="ButToFeatureRatio" localSheetId="3">#REF!</definedName>
    <definedName name="ButToFeatureRatio" localSheetId="1">#REF!</definedName>
    <definedName name="ButToFeatureRatio" localSheetId="2">#REF!</definedName>
    <definedName name="ButToFeatureRatio">'CodeMRI-Data'!$B$23</definedName>
    <definedName name="ButToFeatureRatioBenchmark" localSheetId="11">#REF!</definedName>
    <definedName name="ButToFeatureRatioBenchmark" localSheetId="3">#REF!</definedName>
    <definedName name="ButToFeatureRatioBenchmark" localSheetId="1">#REF!</definedName>
    <definedName name="ButToFeatureRatioBenchmark" localSheetId="2">#REF!</definedName>
    <definedName name="ButToFeatureRatioBenchmark">'CodeMRI-Data'!$C$23</definedName>
    <definedName name="CalculatedRawScoreArchitecture" localSheetId="11">#REF!</definedName>
    <definedName name="CalculatedRawScoreArchitecture" localSheetId="3">#REF!</definedName>
    <definedName name="CalculatedRawScoreArchitecture" localSheetId="1">#REF!</definedName>
    <definedName name="CalculatedRawScoreArchitecture" localSheetId="2">#REF!</definedName>
    <definedName name="CalculatedRawScoreArchitecture">Scorecard!$H$53</definedName>
    <definedName name="CalculatedRawScoreCodeQuality" localSheetId="11">#REF!</definedName>
    <definedName name="CalculatedRawScoreCodeQuality" localSheetId="3">#REF!</definedName>
    <definedName name="CalculatedRawScoreCodeQuality" localSheetId="1">#REF!</definedName>
    <definedName name="CalculatedRawScoreCodeQuality" localSheetId="2">#REF!</definedName>
    <definedName name="CalculatedRawScoreCodeQuality">Scorecard!$H$136</definedName>
    <definedName name="CalculatedRawScoreEconomic">Scorecard!$H$88</definedName>
    <definedName name="CalculatedRawScoreOpenSource" localSheetId="11">#REF!</definedName>
    <definedName name="CalculatedRawScoreOpenSource" localSheetId="3">#REF!</definedName>
    <definedName name="CalculatedRawScoreOpenSource" localSheetId="1">#REF!</definedName>
    <definedName name="CalculatedRawScoreOpenSource" localSheetId="2">#REF!</definedName>
    <definedName name="CalculatedRawScoreOpenSource">Scorecard!$H$108</definedName>
    <definedName name="CalculatedRawScoreSecurity" localSheetId="11">#REF!</definedName>
    <definedName name="CalculatedRawScoreSecurity" localSheetId="3">#REF!</definedName>
    <definedName name="CalculatedRawScoreSecurity" localSheetId="1">#REF!</definedName>
    <definedName name="CalculatedRawScoreSecurity" localSheetId="2">#REF!</definedName>
    <definedName name="CalculatedRawScoreSecurity">Scorecard!$G$27</definedName>
    <definedName name="Classes" localSheetId="11">#REF!</definedName>
    <definedName name="Classes" localSheetId="3">#REF!</definedName>
    <definedName name="Classes" localSheetId="1">#REF!</definedName>
    <definedName name="Classes" localSheetId="2">#REF!</definedName>
    <definedName name="Classes">'SonarQube-Data'!$B$5</definedName>
    <definedName name="CodeQualityRawScore" localSheetId="11">#REF!</definedName>
    <definedName name="CodeQualityRawScore" localSheetId="3">#REF!</definedName>
    <definedName name="CodeQualityRawScore" localSheetId="1">#REF!</definedName>
    <definedName name="CodeQualityRawScore" localSheetId="2">#REF!</definedName>
    <definedName name="CodeQualityRawScore">Scorecard!$N$11</definedName>
    <definedName name="CodeQualityWeight" localSheetId="11">#REF!</definedName>
    <definedName name="CodeQualityWeight" localSheetId="3">#REF!</definedName>
    <definedName name="CodeQualityWeight" localSheetId="1">#REF!</definedName>
    <definedName name="CodeQualityWeight" localSheetId="2">#REF!</definedName>
    <definedName name="CodeQualityWeight">Scorecard!$E$21</definedName>
    <definedName name="CodeQualityWeightedScore" localSheetId="11">#REF!</definedName>
    <definedName name="CodeQualityWeightedScore" localSheetId="3">#REF!</definedName>
    <definedName name="CodeQualityWeightedScore" localSheetId="1">#REF!</definedName>
    <definedName name="CodeQualityWeightedScore" localSheetId="2">#REF!</definedName>
    <definedName name="CodeQualityWeightedScore">Scorecard!$N$8</definedName>
    <definedName name="CodeSmell" localSheetId="11">#REF!</definedName>
    <definedName name="CodeSmell" localSheetId="3">#REF!</definedName>
    <definedName name="CodeSmell" localSheetId="1">#REF!</definedName>
    <definedName name="CodeSmell" localSheetId="2">#REF!</definedName>
    <definedName name="CodeSmell">'SonarQube-Data'!$G$15</definedName>
    <definedName name="CodeSmellBlocker" localSheetId="11">#REF!</definedName>
    <definedName name="CodeSmellBlocker" localSheetId="3">#REF!</definedName>
    <definedName name="CodeSmellBlocker" localSheetId="1">#REF!</definedName>
    <definedName name="CodeSmellBlocker" localSheetId="2">#REF!</definedName>
    <definedName name="CodeSmellBlocker">'SonarQube-Data'!$B$15</definedName>
    <definedName name="CodeSmellCitical" localSheetId="11">#REF!</definedName>
    <definedName name="CodeSmellCitical" localSheetId="3">#REF!</definedName>
    <definedName name="CodeSmellCitical" localSheetId="1">#REF!</definedName>
    <definedName name="CodeSmellCitical" localSheetId="2">#REF!</definedName>
    <definedName name="CodeSmellCitical">'SonarQube-Data'!$C$15</definedName>
    <definedName name="CodeSmellInfo" localSheetId="11">#REF!</definedName>
    <definedName name="CodeSmellInfo" localSheetId="3">#REF!</definedName>
    <definedName name="CodeSmellInfo" localSheetId="1">#REF!</definedName>
    <definedName name="CodeSmellInfo" localSheetId="2">#REF!</definedName>
    <definedName name="CodeSmellInfo">'SonarQube-Data'!$F$15</definedName>
    <definedName name="CodeSmellMajor" localSheetId="11">#REF!</definedName>
    <definedName name="CodeSmellMajor" localSheetId="3">#REF!</definedName>
    <definedName name="CodeSmellMajor" localSheetId="1">#REF!</definedName>
    <definedName name="CodeSmellMajor" localSheetId="2">#REF!</definedName>
    <definedName name="CodeSmellMajor">'SonarQube-Data'!$D$15</definedName>
    <definedName name="CodeSmellMinor" localSheetId="11">#REF!</definedName>
    <definedName name="CodeSmellMinor" localSheetId="3">#REF!</definedName>
    <definedName name="CodeSmellMinor" localSheetId="1">#REF!</definedName>
    <definedName name="CodeSmellMinor" localSheetId="2">#REF!</definedName>
    <definedName name="CodeSmellMinor">'SonarQube-Data'!$E$15</definedName>
    <definedName name="Cognitive" localSheetId="11">#REF!</definedName>
    <definedName name="Cognitive" localSheetId="3">#REF!</definedName>
    <definedName name="Cognitive" localSheetId="1">#REF!</definedName>
    <definedName name="Cognitive" localSheetId="2">#REF!</definedName>
    <definedName name="Cognitive">'SonarQube-Data'!$B$21</definedName>
    <definedName name="CognitiveAverage" localSheetId="11">#REF!</definedName>
    <definedName name="CognitiveAverage" localSheetId="3">#REF!</definedName>
    <definedName name="CognitiveAverage" localSheetId="1">#REF!</definedName>
    <definedName name="CognitiveAverage" localSheetId="2">#REF!</definedName>
    <definedName name="CognitiveAverage">'SonarQube-Data'!$D$21</definedName>
    <definedName name="CognitiveHigh" localSheetId="11">#REF!</definedName>
    <definedName name="CognitiveHigh" localSheetId="3">#REF!</definedName>
    <definedName name="CognitiveHigh" localSheetId="1">#REF!</definedName>
    <definedName name="CognitiveHigh" localSheetId="2">#REF!</definedName>
    <definedName name="CognitiveHigh">'SonarQube-Data'!$C$21</definedName>
    <definedName name="CommentLines" localSheetId="11">#REF!</definedName>
    <definedName name="CommentLines" localSheetId="3">#REF!</definedName>
    <definedName name="CommentLines" localSheetId="1">#REF!</definedName>
    <definedName name="CommentLines" localSheetId="2">#REF!</definedName>
    <definedName name="CommentLines">'SonarQube-Data'!$B$8</definedName>
    <definedName name="CommercialComponents" localSheetId="11">#REF!</definedName>
    <definedName name="CommercialComponents" localSheetId="3">#REF!</definedName>
    <definedName name="CommercialComponents" localSheetId="1">#REF!</definedName>
    <definedName name="CommercialComponents" localSheetId="2">#REF!</definedName>
    <definedName name="CommercialComponents">'FossID-Data'!#REF!</definedName>
    <definedName name="CommercialCount" localSheetId="11">#REF!</definedName>
    <definedName name="CommercialCount" localSheetId="3">#REF!</definedName>
    <definedName name="CommercialCount" localSheetId="1">#REF!</definedName>
    <definedName name="CommercialCount" localSheetId="2">#REF!</definedName>
    <definedName name="CommercialCount">#REF!</definedName>
    <definedName name="CommercialFiles" localSheetId="11">#REF!</definedName>
    <definedName name="CommercialFiles" localSheetId="3">#REF!</definedName>
    <definedName name="CommercialFiles" localSheetId="1">#REF!</definedName>
    <definedName name="CommercialFiles" localSheetId="2">#REF!</definedName>
    <definedName name="CommercialFiles">'FossID-Data'!#REF!</definedName>
    <definedName name="CommercialPercentage" localSheetId="11">#REF!</definedName>
    <definedName name="CommercialPercentage" localSheetId="3">#REF!</definedName>
    <definedName name="CommercialPercentage" localSheetId="1">#REF!</definedName>
    <definedName name="CommercialPercentage" localSheetId="2">#REF!</definedName>
    <definedName name="CommercialPercentage">'FossID-Data'!#REF!</definedName>
    <definedName name="ComplexityScoreRaw" localSheetId="11">#REF!</definedName>
    <definedName name="ComplexityScoreRaw" localSheetId="3">#REF!</definedName>
    <definedName name="ComplexityScoreRaw" localSheetId="1">#REF!</definedName>
    <definedName name="ComplexityScoreRaw" localSheetId="2">#REF!</definedName>
    <definedName name="ComplexityScoreRaw">Scorecard!$N$156</definedName>
    <definedName name="CompositeScore" localSheetId="11">#REF!</definedName>
    <definedName name="CompositeScore" localSheetId="3">#REF!</definedName>
    <definedName name="CompositeScore" localSheetId="1">#REF!</definedName>
    <definedName name="CompositeScore" localSheetId="2">#REF!</definedName>
    <definedName name="CompositeScore">Scorecard!$M$2</definedName>
    <definedName name="CopyleftComponents" localSheetId="11">#REF!</definedName>
    <definedName name="CopyleftComponents" localSheetId="3">#REF!</definedName>
    <definedName name="CopyleftComponents" localSheetId="1">#REF!</definedName>
    <definedName name="CopyleftComponents" localSheetId="2">#REF!</definedName>
    <definedName name="CopyleftComponents">'FossID-Data'!#REF!</definedName>
    <definedName name="CopyleftCount" localSheetId="11">#REF!</definedName>
    <definedName name="CopyleftCount" localSheetId="3">#REF!</definedName>
    <definedName name="CopyleftCount" localSheetId="1">#REF!</definedName>
    <definedName name="CopyleftCount" localSheetId="2">#REF!</definedName>
    <definedName name="CopyleftCount">#REF!</definedName>
    <definedName name="CopyleftFiles" localSheetId="11">#REF!</definedName>
    <definedName name="CopyleftFiles" localSheetId="3">#REF!</definedName>
    <definedName name="CopyleftFiles" localSheetId="1">#REF!</definedName>
    <definedName name="CopyleftFiles" localSheetId="2">#REF!</definedName>
    <definedName name="CopyleftFiles">'FossID-Data'!#REF!</definedName>
    <definedName name="CopyleftPercentage" localSheetId="11">#REF!</definedName>
    <definedName name="CopyleftPercentage" localSheetId="3">#REF!</definedName>
    <definedName name="CopyleftPercentage" localSheetId="1">#REF!</definedName>
    <definedName name="CopyleftPercentage" localSheetId="2">#REF!</definedName>
    <definedName name="CopyleftPercentage">'FossID-Data'!#REF!</definedName>
    <definedName name="CoreScoreFilesRaw" localSheetId="11">#REF!</definedName>
    <definedName name="CoreScoreFilesRaw" localSheetId="3">#REF!</definedName>
    <definedName name="CoreScoreFilesRaw" localSheetId="1">#REF!</definedName>
    <definedName name="CoreScoreFilesRaw" localSheetId="2">#REF!</definedName>
    <definedName name="CoreScoreFilesRaw">Scorecard!$N$76</definedName>
    <definedName name="CoreScoreLOCRaw" localSheetId="11">#REF!</definedName>
    <definedName name="CoreScoreLOCRaw" localSheetId="3">#REF!</definedName>
    <definedName name="CoreScoreLOCRaw" localSheetId="1">#REF!</definedName>
    <definedName name="CoreScoreLOCRaw" localSheetId="2">#REF!</definedName>
    <definedName name="CoreScoreLOCRaw">Scorecard!$N$83</definedName>
    <definedName name="CoreScoreRaw" localSheetId="11">#REF!</definedName>
    <definedName name="CoreScoreRaw" localSheetId="3">#REF!</definedName>
    <definedName name="CoreScoreRaw" localSheetId="1">#REF!</definedName>
    <definedName name="CoreScoreRaw" localSheetId="2">#REF!</definedName>
    <definedName name="CoreScoreRaw">Scorecard!$N$69</definedName>
    <definedName name="CriticalComponents" localSheetId="11">#REF!</definedName>
    <definedName name="CriticalComponents" localSheetId="3">#REF!</definedName>
    <definedName name="CriticalComponents" localSheetId="1">#REF!</definedName>
    <definedName name="CriticalComponents" localSheetId="2">#REF!</definedName>
    <definedName name="CriticalComponents">'FossID-Data'!$C$8</definedName>
    <definedName name="CriticalCores" localSheetId="11">#REF!</definedName>
    <definedName name="CriticalCores" localSheetId="3">#REF!</definedName>
    <definedName name="CriticalCores" localSheetId="1">#REF!</definedName>
    <definedName name="CriticalCores" localSheetId="2">#REF!</definedName>
    <definedName name="CriticalCores">'CodeMRI-Data'!$B$8</definedName>
    <definedName name="CriticalCoresFiles" localSheetId="11">#REF!</definedName>
    <definedName name="CriticalCoresFiles" localSheetId="3">#REF!</definedName>
    <definedName name="CriticalCoresFiles" localSheetId="1">#REF!</definedName>
    <definedName name="CriticalCoresFiles" localSheetId="2">#REF!</definedName>
    <definedName name="CriticalCoresFiles">'CodeMRI-Data'!$E$8</definedName>
    <definedName name="CriticalCoresLOC" localSheetId="11">#REF!</definedName>
    <definedName name="CriticalCoresLOC" localSheetId="3">#REF!</definedName>
    <definedName name="CriticalCoresLOC" localSheetId="1">#REF!</definedName>
    <definedName name="CriticalCoresLOC" localSheetId="2">#REF!</definedName>
    <definedName name="CriticalCoresLOC">'CodeMRI-Data'!$C$8</definedName>
    <definedName name="CriticalFiles" localSheetId="11">#REF!</definedName>
    <definedName name="CriticalFiles" localSheetId="3">#REF!</definedName>
    <definedName name="CriticalFiles" localSheetId="1">#REF!</definedName>
    <definedName name="CriticalFiles" localSheetId="2">#REF!</definedName>
    <definedName name="CriticalFiles">'FossID-Data'!$D$8</definedName>
    <definedName name="CriticalIssues" localSheetId="11">#REF!</definedName>
    <definedName name="CriticalIssues" localSheetId="3">#REF!</definedName>
    <definedName name="CriticalIssues" localSheetId="1">#REF!</definedName>
    <definedName name="CriticalIssues" localSheetId="2">#REF!</definedName>
    <definedName name="CriticalIssues">'SonarQube-Data'!$C$16</definedName>
    <definedName name="CriticalVulnerabilities" localSheetId="11">#REF!</definedName>
    <definedName name="CriticalVulnerabilities" localSheetId="3">#REF!</definedName>
    <definedName name="CriticalVulnerabilities" localSheetId="1">#REF!</definedName>
    <definedName name="CriticalVulnerabilities" localSheetId="2">#REF!</definedName>
    <definedName name="CriticalVulnerabilities">'FossID-Data'!$B$8</definedName>
    <definedName name="Customer" localSheetId="11">#REF!</definedName>
    <definedName name="Customer" localSheetId="3">#REF!</definedName>
    <definedName name="Customer" localSheetId="1">#REF!</definedName>
    <definedName name="Customer" localSheetId="2">#REF!</definedName>
    <definedName name="Customer">SettleTop!$B$6</definedName>
    <definedName name="Cyclomatic" localSheetId="11">#REF!</definedName>
    <definedName name="Cyclomatic" localSheetId="3">#REF!</definedName>
    <definedName name="Cyclomatic" localSheetId="1">#REF!</definedName>
    <definedName name="Cyclomatic" localSheetId="2">#REF!</definedName>
    <definedName name="Cyclomatic">'SonarQube-Data'!$B$20</definedName>
    <definedName name="CyclomaticAverage" localSheetId="11">#REF!</definedName>
    <definedName name="CyclomaticAverage" localSheetId="3">#REF!</definedName>
    <definedName name="CyclomaticAverage" localSheetId="1">#REF!</definedName>
    <definedName name="CyclomaticAverage" localSheetId="2">#REF!</definedName>
    <definedName name="CyclomaticAverage">'SonarQube-Data'!$D$20</definedName>
    <definedName name="CyclomaticHigh" localSheetId="11">#REF!</definedName>
    <definedName name="CyclomaticHigh" localSheetId="3">#REF!</definedName>
    <definedName name="CyclomaticHigh" localSheetId="1">#REF!</definedName>
    <definedName name="CyclomaticHigh" localSheetId="2">#REF!</definedName>
    <definedName name="CyclomaticHigh">'SonarQube-Data'!$C$20</definedName>
    <definedName name="DefaultPoolSize" localSheetId="11">#REF!</definedName>
    <definedName name="DefaultPoolSize" localSheetId="3">#REF!</definedName>
    <definedName name="DefaultPoolSize" localSheetId="1">#REF!</definedName>
    <definedName name="DefaultPoolSize" localSheetId="2">#REF!</definedName>
    <definedName name="DefaultPoolSize">SettleTop!$B$17</definedName>
    <definedName name="Directories" localSheetId="11">#REF!</definedName>
    <definedName name="Directories" localSheetId="3">#REF!</definedName>
    <definedName name="Directories" localSheetId="1">#REF!</definedName>
    <definedName name="Directories" localSheetId="2">#REF!</definedName>
    <definedName name="Directories">'SonarQube-Data'!$B$7</definedName>
    <definedName name="DISA_STIG_CRITICAL" localSheetId="11">'[1]Fortify-DISA STIG'!$C$5</definedName>
    <definedName name="DISA_STIG_CRITICAL">'Fortify-DISA STIG'!$C$5</definedName>
    <definedName name="DISA_STIG_HIGH" localSheetId="11">'[1]Fortify-DISA STIG'!$D$5</definedName>
    <definedName name="DISA_STIG_HIGH">'Fortify-DISA STIG'!$D$5</definedName>
    <definedName name="DISA_STIG_LOW">'Fortify-DISA STIG'!$F$5</definedName>
    <definedName name="DISA_STIG_MEDIUM">'Fortify-DISA STIG'!$E$5</definedName>
    <definedName name="Distribution" localSheetId="11">#REF!</definedName>
    <definedName name="Distribution" localSheetId="3">#REF!</definedName>
    <definedName name="Distribution" localSheetId="1">#REF!</definedName>
    <definedName name="Distribution" localSheetId="2">#REF!</definedName>
    <definedName name="Distribution">SettleTop!$B$12</definedName>
    <definedName name="DuplicatedBlocks" localSheetId="11">#REF!</definedName>
    <definedName name="DuplicatedBlocks" localSheetId="3">#REF!</definedName>
    <definedName name="DuplicatedBlocks" localSheetId="1">#REF!</definedName>
    <definedName name="DuplicatedBlocks" localSheetId="2">#REF!</definedName>
    <definedName name="DuplicatedBlocks">'SonarQube-Data'!$B$25</definedName>
    <definedName name="DuplicatedFiles" localSheetId="11">#REF!</definedName>
    <definedName name="DuplicatedFiles" localSheetId="3">#REF!</definedName>
    <definedName name="DuplicatedFiles" localSheetId="1">#REF!</definedName>
    <definedName name="DuplicatedFiles" localSheetId="2">#REF!</definedName>
    <definedName name="DuplicatedFiles">'SonarQube-Data'!$C$25</definedName>
    <definedName name="DuplicatedLines" localSheetId="11">#REF!</definedName>
    <definedName name="DuplicatedLines" localSheetId="3">#REF!</definedName>
    <definedName name="DuplicatedLines" localSheetId="1">#REF!</definedName>
    <definedName name="DuplicatedLines" localSheetId="2">#REF!</definedName>
    <definedName name="DuplicatedLines">'SonarQube-Data'!$A$25</definedName>
    <definedName name="DuplicationScoreRaw" localSheetId="11">#REF!</definedName>
    <definedName name="DuplicationScoreRaw" localSheetId="3">#REF!</definedName>
    <definedName name="DuplicationScoreRaw" localSheetId="1">#REF!</definedName>
    <definedName name="DuplicationScoreRaw" localSheetId="2">#REF!</definedName>
    <definedName name="DuplicationScoreRaw">Scorecard!$N$162</definedName>
    <definedName name="EconomicHealthRawScore" localSheetId="11">#REF!</definedName>
    <definedName name="EconomicHealthRawScore" localSheetId="3">#REF!</definedName>
    <definedName name="EconomicHealthRawScore" localSheetId="1">#REF!</definedName>
    <definedName name="EconomicHealthRawScore" localSheetId="2">#REF!</definedName>
    <definedName name="EconomicHealthRawScore">Scorecard!$O$102</definedName>
    <definedName name="EconomicHealthWeight" localSheetId="11">[1]Scorecard!$E$19</definedName>
    <definedName name="EconomicHealthWeight">Scorecard!$E$19</definedName>
    <definedName name="EconomicHealthWeightedScore" localSheetId="11">[1]Scorecard!$R$8</definedName>
    <definedName name="EconomicHealthWeightedScore">Scorecard!$R$8</definedName>
    <definedName name="EmergingCores" localSheetId="11">#REF!</definedName>
    <definedName name="EmergingCores" localSheetId="3">#REF!</definedName>
    <definedName name="EmergingCores" localSheetId="1">#REF!</definedName>
    <definedName name="EmergingCores" localSheetId="2">#REF!</definedName>
    <definedName name="EmergingCores">'CodeMRI-Data'!$B$9</definedName>
    <definedName name="EmergingCoresFiles" localSheetId="11">#REF!</definedName>
    <definedName name="EmergingCoresFiles" localSheetId="3">#REF!</definedName>
    <definedName name="EmergingCoresFiles" localSheetId="1">#REF!</definedName>
    <definedName name="EmergingCoresFiles" localSheetId="2">#REF!</definedName>
    <definedName name="EmergingCoresFiles">'CodeMRI-Data'!$E$9</definedName>
    <definedName name="EmergingCoresLOC" localSheetId="11">#REF!</definedName>
    <definedName name="EmergingCoresLOC" localSheetId="3">#REF!</definedName>
    <definedName name="EmergingCoresLOC" localSheetId="1">#REF!</definedName>
    <definedName name="EmergingCoresLOC" localSheetId="2">#REF!</definedName>
    <definedName name="EmergingCoresLOC">'CodeMRI-Data'!$C$9</definedName>
    <definedName name="FeatureCost" localSheetId="11">#REF!</definedName>
    <definedName name="FeatureCost" localSheetId="3">#REF!</definedName>
    <definedName name="FeatureCost" localSheetId="1">#REF!</definedName>
    <definedName name="FeatureCost" localSheetId="2">#REF!</definedName>
    <definedName name="FeatureCost">'CodeMRI-Data'!$B$20</definedName>
    <definedName name="FeatureCostBenchmark" localSheetId="11">#REF!</definedName>
    <definedName name="FeatureCostBenchmark" localSheetId="3">#REF!</definedName>
    <definedName name="FeatureCostBenchmark" localSheetId="1">#REF!</definedName>
    <definedName name="FeatureCostBenchmark" localSheetId="2">#REF!</definedName>
    <definedName name="FeatureCostBenchmark">'CodeMRI-Data'!$C$20</definedName>
    <definedName name="FeatureDays" localSheetId="11">#REF!</definedName>
    <definedName name="FeatureDays" localSheetId="3">#REF!</definedName>
    <definedName name="FeatureDays" localSheetId="1">#REF!</definedName>
    <definedName name="FeatureDays" localSheetId="2">#REF!</definedName>
    <definedName name="FeatureDays">'CodeMRI-Data'!$B$22</definedName>
    <definedName name="FeatureDaysBenchmark" localSheetId="11">#REF!</definedName>
    <definedName name="FeatureDaysBenchmark" localSheetId="3">#REF!</definedName>
    <definedName name="FeatureDaysBenchmark" localSheetId="1">#REF!</definedName>
    <definedName name="FeatureDaysBenchmark" localSheetId="2">#REF!</definedName>
    <definedName name="FeatureDaysBenchmark">'CodeMRI-Data'!$C$22</definedName>
    <definedName name="Files" localSheetId="11">#REF!</definedName>
    <definedName name="Files" localSheetId="3">#REF!</definedName>
    <definedName name="Files" localSheetId="1">#REF!</definedName>
    <definedName name="Files" localSheetId="2">#REF!</definedName>
    <definedName name="Files">'SonarQube-Data'!$B$6</definedName>
    <definedName name="FilesOutsideCores" localSheetId="11">#REF!</definedName>
    <definedName name="FilesOutsideCores" localSheetId="3">#REF!</definedName>
    <definedName name="FilesOutsideCores" localSheetId="1">#REF!</definedName>
    <definedName name="FilesOutsideCores" localSheetId="2">#REF!</definedName>
    <definedName name="FilesOutsideCores">'CodeMRI-Data'!$B$10</definedName>
    <definedName name="FilesOutsideCoresLOC" localSheetId="11">#REF!</definedName>
    <definedName name="FilesOutsideCoresLOC" localSheetId="3">#REF!</definedName>
    <definedName name="FilesOutsideCoresLOC" localSheetId="1">#REF!</definedName>
    <definedName name="FilesOutsideCoresLOC" localSheetId="2">#REF!</definedName>
    <definedName name="FilesOutsideCoresLOC">'CodeMRI-Data'!$C$10</definedName>
    <definedName name="Functions" localSheetId="11">#REF!</definedName>
    <definedName name="Functions" localSheetId="3">#REF!</definedName>
    <definedName name="Functions" localSheetId="1">#REF!</definedName>
    <definedName name="Functions" localSheetId="2">#REF!</definedName>
    <definedName name="Functions">'SonarQube-Data'!$B$4</definedName>
    <definedName name="HighComponents" localSheetId="11">#REF!</definedName>
    <definedName name="HighComponents" localSheetId="3">#REF!</definedName>
    <definedName name="HighComponents" localSheetId="1">#REF!</definedName>
    <definedName name="HighComponents" localSheetId="2">#REF!</definedName>
    <definedName name="HighComponents">'FossID-Data'!$C$9</definedName>
    <definedName name="HighFiles" localSheetId="11">#REF!</definedName>
    <definedName name="HighFiles" localSheetId="3">#REF!</definedName>
    <definedName name="HighFiles" localSheetId="1">#REF!</definedName>
    <definedName name="HighFiles" localSheetId="2">#REF!</definedName>
    <definedName name="HighFiles">'FossID-Data'!$D$9</definedName>
    <definedName name="HighVulnerabilities" localSheetId="11">#REF!</definedName>
    <definedName name="HighVulnerabilities" localSheetId="3">#REF!</definedName>
    <definedName name="HighVulnerabilities" localSheetId="1">#REF!</definedName>
    <definedName name="HighVulnerabilities" localSheetId="2">#REF!</definedName>
    <definedName name="HighVulnerabilities">'FossID-Data'!$B$9</definedName>
    <definedName name="HignComplexityFiles" localSheetId="11">#REF!</definedName>
    <definedName name="HignComplexityFiles" localSheetId="3">#REF!</definedName>
    <definedName name="HignComplexityFiles" localSheetId="1">#REF!</definedName>
    <definedName name="HignComplexityFiles" localSheetId="2">#REF!</definedName>
    <definedName name="HignComplexityFiles">'CodeMRI-Data'!$B$30</definedName>
    <definedName name="HignComplexityFilesPercentage" localSheetId="11">#REF!</definedName>
    <definedName name="HignComplexityFilesPercentage" localSheetId="3">#REF!</definedName>
    <definedName name="HignComplexityFilesPercentage" localSheetId="1">#REF!</definedName>
    <definedName name="HignComplexityFilesPercentage" localSheetId="2">#REF!</definedName>
    <definedName name="HignComplexityFilesPercentage">'CodeMRI-Data'!$C$30</definedName>
    <definedName name="HignComplexityLOC" localSheetId="11">#REF!</definedName>
    <definedName name="HignComplexityLOC" localSheetId="3">#REF!</definedName>
    <definedName name="HignComplexityLOC" localSheetId="1">#REF!</definedName>
    <definedName name="HignComplexityLOC" localSheetId="2">#REF!</definedName>
    <definedName name="HignComplexityLOC">'CodeMRI-Data'!$D$30</definedName>
    <definedName name="HignComplexityLOCPercentage" localSheetId="11">#REF!</definedName>
    <definedName name="HignComplexityLOCPercentage" localSheetId="3">#REF!</definedName>
    <definedName name="HignComplexityLOCPercentage" localSheetId="1">#REF!</definedName>
    <definedName name="HignComplexityLOCPercentage" localSheetId="2">#REF!</definedName>
    <definedName name="HignComplexityLOCPercentage">'CodeMRI-Data'!$E$30</definedName>
    <definedName name="InfoIssues" localSheetId="11">#REF!</definedName>
    <definedName name="InfoIssues" localSheetId="3">#REF!</definedName>
    <definedName name="InfoIssues" localSheetId="1">#REF!</definedName>
    <definedName name="InfoIssues" localSheetId="2">#REF!</definedName>
    <definedName name="InfoIssues">'SonarQube-Data'!$F$16</definedName>
    <definedName name="Issues" localSheetId="11">#REF!</definedName>
    <definedName name="Issues" localSheetId="3">#REF!</definedName>
    <definedName name="Issues" localSheetId="1">#REF!</definedName>
    <definedName name="Issues" localSheetId="2">#REF!</definedName>
    <definedName name="Issues">'SonarQube-Data'!$G$16</definedName>
    <definedName name="IssuesScoreRaw" localSheetId="11">#REF!</definedName>
    <definedName name="IssuesScoreRaw" localSheetId="3">#REF!</definedName>
    <definedName name="IssuesScoreRaw" localSheetId="1">#REF!</definedName>
    <definedName name="IssuesScoreRaw" localSheetId="2">#REF!</definedName>
    <definedName name="IssuesScoreRaw">Scorecard!$N$150</definedName>
    <definedName name="IssuesTestCalulatedScore" localSheetId="11">#REF!</definedName>
    <definedName name="IssuesTestCalulatedScore" localSheetId="3">#REF!</definedName>
    <definedName name="IssuesTestCalulatedScore" localSheetId="1">#REF!</definedName>
    <definedName name="IssuesTestCalulatedScore" localSheetId="2">#REF!</definedName>
    <definedName name="IssuesTestCalulatedScore">Scorecard!#REF!</definedName>
    <definedName name="IssuesTestRawScore" localSheetId="11">#REF!</definedName>
    <definedName name="IssuesTestRawScore" localSheetId="3">#REF!</definedName>
    <definedName name="IssuesTestRawScore" localSheetId="1">#REF!</definedName>
    <definedName name="IssuesTestRawScore" localSheetId="2">#REF!</definedName>
    <definedName name="IssuesTestRawScore">Scorecard!#REF!</definedName>
    <definedName name="IssueTestWeight" localSheetId="11">[1]Scorecard!#REF!</definedName>
    <definedName name="IssueTestWeight">Scorecard!#REF!</definedName>
    <definedName name="Languages" localSheetId="11">#REF!</definedName>
    <definedName name="Languages" localSheetId="3">#REF!</definedName>
    <definedName name="Languages" localSheetId="1">#REF!</definedName>
    <definedName name="Languages" localSheetId="2">#REF!</definedName>
    <definedName name="Languages">SettleTop!$B$10</definedName>
    <definedName name="LargestCoreFiles" localSheetId="11">#REF!</definedName>
    <definedName name="LargestCoreFiles" localSheetId="3">#REF!</definedName>
    <definedName name="LargestCoreFiles" localSheetId="1">#REF!</definedName>
    <definedName name="LargestCoreFiles" localSheetId="2">#REF!</definedName>
    <definedName name="LargestCoreFiles">'CodeMRI-Data'!$B$14</definedName>
    <definedName name="LargestCoreLOC" localSheetId="11">#REF!</definedName>
    <definedName name="LargestCoreLOC" localSheetId="3">#REF!</definedName>
    <definedName name="LargestCoreLOC" localSheetId="1">#REF!</definedName>
    <definedName name="LargestCoreLOC" localSheetId="2">#REF!</definedName>
    <definedName name="LargestCoreLOC">'CodeMRI-Data'!$C$14</definedName>
    <definedName name="LargestCorePercentageOfCodebase" localSheetId="11">#REF!</definedName>
    <definedName name="LargestCorePercentageOfCodebase" localSheetId="3">#REF!</definedName>
    <definedName name="LargestCorePercentageOfCodebase" localSheetId="1">#REF!</definedName>
    <definedName name="LargestCorePercentageOfCodebase" localSheetId="2">#REF!</definedName>
    <definedName name="LargestCorePercentageOfCodebase">'CodeMRI-Data'!#REF!</definedName>
    <definedName name="LargestCorePercentLOC" localSheetId="11">#REF!</definedName>
    <definedName name="LargestCorePercentLOC" localSheetId="3">#REF!</definedName>
    <definedName name="LargestCorePercentLOC" localSheetId="1">#REF!</definedName>
    <definedName name="LargestCorePercentLOC" localSheetId="2">#REF!</definedName>
    <definedName name="LargestCorePercentLOC">'CodeMRI-Data'!$D$14</definedName>
    <definedName name="LargestCoreSize" localSheetId="11">#REF!</definedName>
    <definedName name="LargestCoreSize" localSheetId="3">#REF!</definedName>
    <definedName name="LargestCoreSize" localSheetId="1">#REF!</definedName>
    <definedName name="LargestCoreSize" localSheetId="2">#REF!</definedName>
    <definedName name="LargestCoreSize">'CodeMRI-Data'!#REF!</definedName>
    <definedName name="License_1" localSheetId="11">'[1]FossID-Data'!$B$17</definedName>
    <definedName name="License_1">'FossID-Data'!$B$17</definedName>
    <definedName name="License_1_Components" localSheetId="11">'[1]FossID-Data'!$C$17</definedName>
    <definedName name="License_1_Components">'FossID-Data'!$C$17</definedName>
    <definedName name="License_1_Files" localSheetId="11">'[1]FossID-Data'!$D$17</definedName>
    <definedName name="License_1_Files">'FossID-Data'!$D$17</definedName>
    <definedName name="License_2" localSheetId="11">'[1]FossID-Data'!$B$18</definedName>
    <definedName name="License_2">'FossID-Data'!$B$18</definedName>
    <definedName name="License_2_Components" localSheetId="11">'[1]FossID-Data'!$C$18</definedName>
    <definedName name="License_2_Components">'FossID-Data'!$C$18</definedName>
    <definedName name="License_2_Files" localSheetId="11">'[1]FossID-Data'!$D$18</definedName>
    <definedName name="License_2_Files">'FossID-Data'!$D$18</definedName>
    <definedName name="License_3" localSheetId="11">'[1]FossID-Data'!$B$19</definedName>
    <definedName name="License_3">'FossID-Data'!$B$19</definedName>
    <definedName name="License_3_Components" localSheetId="11">'[1]FossID-Data'!$C$19</definedName>
    <definedName name="License_3_Components">'FossID-Data'!$C$19</definedName>
    <definedName name="License_3_Files" localSheetId="11">'[1]FossID-Data'!$D$19</definedName>
    <definedName name="License_3_Files">'FossID-Data'!$D$19</definedName>
    <definedName name="License_4" localSheetId="11">'[1]FossID-Data'!$B$20</definedName>
    <definedName name="License_4">'FossID-Data'!$B$20</definedName>
    <definedName name="License_4_Components" localSheetId="11">'[1]FossID-Data'!$C$20</definedName>
    <definedName name="License_4_Components">'FossID-Data'!$C$20</definedName>
    <definedName name="License_4_Files" localSheetId="11">'[1]FossID-Data'!$D$20</definedName>
    <definedName name="License_4_Files">'FossID-Data'!$D$20</definedName>
    <definedName name="License_5" localSheetId="11">'[1]FossID-Data'!$B$21</definedName>
    <definedName name="License_5">'FossID-Data'!$B$21</definedName>
    <definedName name="License_5_Components" localSheetId="11">'[1]FossID-Data'!$C$21</definedName>
    <definedName name="License_5_Components">'FossID-Data'!$C$21</definedName>
    <definedName name="License_5_Files" localSheetId="11">'[1]FossID-Data'!$D$21</definedName>
    <definedName name="License_5_Files">'FossID-Data'!$D$21</definedName>
    <definedName name="LicenseComplianceScore" localSheetId="11">#REF!</definedName>
    <definedName name="LicenseComplianceScore" localSheetId="3">#REF!</definedName>
    <definedName name="LicenseComplianceScore" localSheetId="1">#REF!</definedName>
    <definedName name="LicenseComplianceScore" localSheetId="2">#REF!</definedName>
    <definedName name="LicenseComplianceScore">Scorecard!#REF!</definedName>
    <definedName name="LicenseCount" localSheetId="11">#REF!</definedName>
    <definedName name="LicenseCount" localSheetId="3">#REF!</definedName>
    <definedName name="LicenseCount" localSheetId="1">#REF!</definedName>
    <definedName name="LicenseCount" localSheetId="2">#REF!</definedName>
    <definedName name="LicenseCount">'FossID-Data'!#REF!</definedName>
    <definedName name="Lines" localSheetId="11">#REF!</definedName>
    <definedName name="Lines" localSheetId="3">#REF!</definedName>
    <definedName name="Lines" localSheetId="1">#REF!</definedName>
    <definedName name="Lines" localSheetId="2">#REF!</definedName>
    <definedName name="Lines">'SonarQube-Data'!$B$2</definedName>
    <definedName name="LinesOfCode" localSheetId="11">#REF!</definedName>
    <definedName name="LinesOfCode" localSheetId="3">#REF!</definedName>
    <definedName name="LinesOfCode" localSheetId="1">#REF!</definedName>
    <definedName name="LinesOfCode" localSheetId="2">#REF!</definedName>
    <definedName name="LinesOfCode">'SonarQube-Data'!$B$1</definedName>
    <definedName name="LocHighComplexity" localSheetId="11">#REF!</definedName>
    <definedName name="LocHighComplexity" localSheetId="3">#REF!</definedName>
    <definedName name="LocHighComplexity" localSheetId="1">#REF!</definedName>
    <definedName name="LocHighComplexity" localSheetId="2">#REF!</definedName>
    <definedName name="LocHighComplexity">'CodeMRI-Data'!$B$12</definedName>
    <definedName name="LocHighComplexityPercentage" localSheetId="11">#REF!</definedName>
    <definedName name="LocHighComplexityPercentage" localSheetId="3">#REF!</definedName>
    <definedName name="LocHighComplexityPercentage" localSheetId="1">#REF!</definedName>
    <definedName name="LocHighComplexityPercentage" localSheetId="2">#REF!</definedName>
    <definedName name="LocHighComplexityPercentage">'CodeMRI-Data'!$C$12</definedName>
    <definedName name="LOCInsideACorePercentage">'CodeMRI-Data'!$C$16</definedName>
    <definedName name="LocProblematicComplexity" localSheetId="11">#REF!</definedName>
    <definedName name="LocProblematicComplexity" localSheetId="3">#REF!</definedName>
    <definedName name="LocProblematicComplexity" localSheetId="1">#REF!</definedName>
    <definedName name="LocProblematicComplexity" localSheetId="2">#REF!</definedName>
    <definedName name="LocProblematicComplexity">'CodeMRI-Data'!$B$13</definedName>
    <definedName name="LocProblematicComplexityPercentage" localSheetId="11">#REF!</definedName>
    <definedName name="LocProblematicComplexityPercentage" localSheetId="3">#REF!</definedName>
    <definedName name="LocProblematicComplexityPercentage" localSheetId="1">#REF!</definedName>
    <definedName name="LocProblematicComplexityPercentage" localSheetId="2">#REF!</definedName>
    <definedName name="LocProblematicComplexityPercentage">'CodeMRI-Data'!$C$13</definedName>
    <definedName name="LowComplexityFiles" localSheetId="11">#REF!</definedName>
    <definedName name="LowComplexityFiles" localSheetId="3">#REF!</definedName>
    <definedName name="LowComplexityFiles" localSheetId="1">#REF!</definedName>
    <definedName name="LowComplexityFiles" localSheetId="2">#REF!</definedName>
    <definedName name="LowComplexityFiles">'CodeMRI-Data'!$B$32</definedName>
    <definedName name="LowComplexityFilesPercentage" localSheetId="11">#REF!</definedName>
    <definedName name="LowComplexityFilesPercentage" localSheetId="3">#REF!</definedName>
    <definedName name="LowComplexityFilesPercentage" localSheetId="1">#REF!</definedName>
    <definedName name="LowComplexityFilesPercentage" localSheetId="2">#REF!</definedName>
    <definedName name="LowComplexityFilesPercentage">'CodeMRI-Data'!$C$32</definedName>
    <definedName name="LowComplexityLOC" localSheetId="11">#REF!</definedName>
    <definedName name="LowComplexityLOC" localSheetId="3">#REF!</definedName>
    <definedName name="LowComplexityLOC" localSheetId="1">#REF!</definedName>
    <definedName name="LowComplexityLOC" localSheetId="2">#REF!</definedName>
    <definedName name="LowComplexityLOC">'CodeMRI-Data'!$D$32</definedName>
    <definedName name="LowComplexityLOCPercentage" localSheetId="11">#REF!</definedName>
    <definedName name="LowComplexityLOCPercentage" localSheetId="3">#REF!</definedName>
    <definedName name="LowComplexityLOCPercentage" localSheetId="1">#REF!</definedName>
    <definedName name="LowComplexityLOCPercentage" localSheetId="2">#REF!</definedName>
    <definedName name="LowComplexityLOCPercentage">'CodeMRI-Data'!$E$32</definedName>
    <definedName name="LowComponents" localSheetId="11">#REF!</definedName>
    <definedName name="LowComponents" localSheetId="3">#REF!</definedName>
    <definedName name="LowComponents" localSheetId="1">#REF!</definedName>
    <definedName name="LowComponents" localSheetId="2">#REF!</definedName>
    <definedName name="LowComponents">'FossID-Data'!$C$11</definedName>
    <definedName name="LowFiles" localSheetId="11">#REF!</definedName>
    <definedName name="LowFiles" localSheetId="3">#REF!</definedName>
    <definedName name="LowFiles" localSheetId="1">#REF!</definedName>
    <definedName name="LowFiles" localSheetId="2">#REF!</definedName>
    <definedName name="LowFiles">'FossID-Data'!$D$11</definedName>
    <definedName name="LowVulnerabilities" localSheetId="11">#REF!</definedName>
    <definedName name="LowVulnerabilities" localSheetId="3">#REF!</definedName>
    <definedName name="LowVulnerabilities" localSheetId="1">#REF!</definedName>
    <definedName name="LowVulnerabilities" localSheetId="2">#REF!</definedName>
    <definedName name="LowVulnerabilities">'FossID-Data'!$B$11</definedName>
    <definedName name="MajorIssues" localSheetId="11">#REF!</definedName>
    <definedName name="MajorIssues" localSheetId="3">#REF!</definedName>
    <definedName name="MajorIssues" localSheetId="1">#REF!</definedName>
    <definedName name="MajorIssues" localSheetId="2">#REF!</definedName>
    <definedName name="MajorIssues">'SonarQube-Data'!$D$16</definedName>
    <definedName name="MediumComplexityFiles" localSheetId="11">#REF!</definedName>
    <definedName name="MediumComplexityFiles" localSheetId="3">#REF!</definedName>
    <definedName name="MediumComplexityFiles" localSheetId="1">#REF!</definedName>
    <definedName name="MediumComplexityFiles" localSheetId="2">#REF!</definedName>
    <definedName name="MediumComplexityFiles">'CodeMRI-Data'!$B$31</definedName>
    <definedName name="MediumComplexityFilesPercentage" localSheetId="11">#REF!</definedName>
    <definedName name="MediumComplexityFilesPercentage" localSheetId="3">#REF!</definedName>
    <definedName name="MediumComplexityFilesPercentage" localSheetId="1">#REF!</definedName>
    <definedName name="MediumComplexityFilesPercentage" localSheetId="2">#REF!</definedName>
    <definedName name="MediumComplexityFilesPercentage">'CodeMRI-Data'!$C$31</definedName>
    <definedName name="MediumComplexityLOC" localSheetId="11">#REF!</definedName>
    <definedName name="MediumComplexityLOC" localSheetId="3">#REF!</definedName>
    <definedName name="MediumComplexityLOC" localSheetId="1">#REF!</definedName>
    <definedName name="MediumComplexityLOC" localSheetId="2">#REF!</definedName>
    <definedName name="MediumComplexityLOC">'CodeMRI-Data'!$D$31</definedName>
    <definedName name="MediumComplexityLOCPercentage" localSheetId="11">#REF!</definedName>
    <definedName name="MediumComplexityLOCPercentage" localSheetId="3">#REF!</definedName>
    <definedName name="MediumComplexityLOCPercentage" localSheetId="1">#REF!</definedName>
    <definedName name="MediumComplexityLOCPercentage" localSheetId="2">#REF!</definedName>
    <definedName name="MediumComplexityLOCPercentage">'CodeMRI-Data'!$E$31</definedName>
    <definedName name="MediumComponents" localSheetId="11">#REF!</definedName>
    <definedName name="MediumComponents" localSheetId="3">#REF!</definedName>
    <definedName name="MediumComponents" localSheetId="1">#REF!</definedName>
    <definedName name="MediumComponents" localSheetId="2">#REF!</definedName>
    <definedName name="MediumComponents">'FossID-Data'!$C$10</definedName>
    <definedName name="MediumFiles" localSheetId="11">#REF!</definedName>
    <definedName name="MediumFiles" localSheetId="3">#REF!</definedName>
    <definedName name="MediumFiles" localSheetId="1">#REF!</definedName>
    <definedName name="MediumFiles" localSheetId="2">#REF!</definedName>
    <definedName name="MediumFiles">'FossID-Data'!$D$10</definedName>
    <definedName name="MediumVulnerabilities" localSheetId="11">#REF!</definedName>
    <definedName name="MediumVulnerabilities" localSheetId="3">#REF!</definedName>
    <definedName name="MediumVulnerabilities" localSheetId="1">#REF!</definedName>
    <definedName name="MediumVulnerabilities" localSheetId="2">#REF!</definedName>
    <definedName name="MediumVulnerabilities">'FossID-Data'!$B$10</definedName>
    <definedName name="MinorIssues" localSheetId="11">#REF!</definedName>
    <definedName name="MinorIssues" localSheetId="3">#REF!</definedName>
    <definedName name="MinorIssues" localSheetId="1">#REF!</definedName>
    <definedName name="MinorIssues" localSheetId="2">#REF!</definedName>
    <definedName name="MinorIssues">'SonarQube-Data'!$E$16</definedName>
    <definedName name="NoIssueComponents" localSheetId="11">#REF!</definedName>
    <definedName name="NoIssueComponents" localSheetId="3">#REF!</definedName>
    <definedName name="NoIssueComponents" localSheetId="1">#REF!</definedName>
    <definedName name="NoIssueComponents" localSheetId="2">#REF!</definedName>
    <definedName name="NoIssueComponents">'FossID-Data'!#REF!</definedName>
    <definedName name="NoIssueCount" localSheetId="11">#REF!</definedName>
    <definedName name="NoIssueCount" localSheetId="3">#REF!</definedName>
    <definedName name="NoIssueCount" localSheetId="1">#REF!</definedName>
    <definedName name="NoIssueCount" localSheetId="2">#REF!</definedName>
    <definedName name="NoIssueCount">#REF!</definedName>
    <definedName name="NoIssueFiles" localSheetId="11">#REF!</definedName>
    <definedName name="NoIssueFiles" localSheetId="3">#REF!</definedName>
    <definedName name="NoIssueFiles" localSheetId="1">#REF!</definedName>
    <definedName name="NoIssueFiles" localSheetId="2">#REF!</definedName>
    <definedName name="NoIssueFiles">'FossID-Data'!#REF!</definedName>
    <definedName name="NoIssuePercentage" localSheetId="11">#REF!</definedName>
    <definedName name="NoIssuePercentage" localSheetId="3">#REF!</definedName>
    <definedName name="NoIssuePercentage" localSheetId="1">#REF!</definedName>
    <definedName name="NoIssuePercentage" localSheetId="2">#REF!</definedName>
    <definedName name="NoIssuePercentage">'FossID-Data'!#REF!</definedName>
    <definedName name="NoVulnerabilities" localSheetId="11">#REF!</definedName>
    <definedName name="NoVulnerabilities" localSheetId="3">#REF!</definedName>
    <definedName name="NoVulnerabilities" localSheetId="1">#REF!</definedName>
    <definedName name="NoVulnerabilities" localSheetId="2">#REF!</definedName>
    <definedName name="NoVulnerabilities">'FossID-Data'!$D$12</definedName>
    <definedName name="NoVulnerabilityComponents" localSheetId="11">#REF!</definedName>
    <definedName name="NoVulnerabilityComponents" localSheetId="3">#REF!</definedName>
    <definedName name="NoVulnerabilityComponents" localSheetId="1">#REF!</definedName>
    <definedName name="NoVulnerabilityComponents" localSheetId="2">#REF!</definedName>
    <definedName name="NoVulnerabilityComponents">'FossID-Data'!$C$12</definedName>
    <definedName name="NumberOfDevelopers" localSheetId="11">#REF!</definedName>
    <definedName name="NumberOfDevelopers" localSheetId="3">#REF!</definedName>
    <definedName name="NumberOfDevelopers" localSheetId="1">#REF!</definedName>
    <definedName name="NumberOfDevelopers" localSheetId="2">#REF!</definedName>
    <definedName name="NumberOfDevelopers">SettleTop!$B$14</definedName>
    <definedName name="OpenSourceRawScore" localSheetId="11">#REF!</definedName>
    <definedName name="OpenSourceRawScore" localSheetId="3">#REF!</definedName>
    <definedName name="OpenSourceRawScore" localSheetId="1">#REF!</definedName>
    <definedName name="OpenSourceRawScore" localSheetId="2">#REF!</definedName>
    <definedName name="OpenSourceRawScore">Scorecard!$J$11</definedName>
    <definedName name="OpenSourceViolationScore" localSheetId="11">#REF!</definedName>
    <definedName name="OpenSourceViolationScore" localSheetId="3">#REF!</definedName>
    <definedName name="OpenSourceViolationScore" localSheetId="1">#REF!</definedName>
    <definedName name="OpenSourceViolationScore" localSheetId="2">#REF!</definedName>
    <definedName name="OpenSourceViolationScore">Scorecard!$N$122</definedName>
    <definedName name="OpenSourceWeight" localSheetId="11">#REF!</definedName>
    <definedName name="OpenSourceWeight" localSheetId="3">#REF!</definedName>
    <definedName name="OpenSourceWeight" localSheetId="1">#REF!</definedName>
    <definedName name="OpenSourceWeight" localSheetId="2">#REF!</definedName>
    <definedName name="OpenSourceWeight">Scorecard!$E$20</definedName>
    <definedName name="OpenSourceWeightedScore" localSheetId="11">#REF!</definedName>
    <definedName name="OpenSourceWeightedScore" localSheetId="3">#REF!</definedName>
    <definedName name="OpenSourceWeightedScore" localSheetId="1">#REF!</definedName>
    <definedName name="OpenSourceWeightedScore" localSheetId="2">#REF!</definedName>
    <definedName name="OpenSourceWeightedScore">Scorecard!$J$8</definedName>
    <definedName name="OS_Files" localSheetId="11">'[1]FossID-Data'!$B$3</definedName>
    <definedName name="OS_Files">'FossID-Data'!$B$3</definedName>
    <definedName name="OWASP_TOP_10_Critical" localSheetId="11">#REF!</definedName>
    <definedName name="OWASP_TOP_10_Critical" localSheetId="10">'Fortify-DISA STIG'!$D:$D</definedName>
    <definedName name="OWASP_TOP_10_Critical" localSheetId="3">#REF!</definedName>
    <definedName name="OWASP_TOP_10_Critical" localSheetId="1">#REF!</definedName>
    <definedName name="OWASP_TOP_10_Critical" localSheetId="2">#REF!</definedName>
    <definedName name="OWASP_TOP_10_Critical">'Fortify-OWASP'!$D:$D</definedName>
    <definedName name="OWASP_TOP_10_High" localSheetId="11">#REF!</definedName>
    <definedName name="OWASP_TOP_10_High" localSheetId="10">'Fortify-DISA STIG'!$E:$E</definedName>
    <definedName name="OWASP_TOP_10_High" localSheetId="3">#REF!</definedName>
    <definedName name="OWASP_TOP_10_High" localSheetId="1">#REF!</definedName>
    <definedName name="OWASP_TOP_10_High" localSheetId="2">#REF!</definedName>
    <definedName name="OWASP_TOP_10_High">'Fortify-OWASP'!$E:$E</definedName>
    <definedName name="OWASP_TOP_10_Low" localSheetId="11">#REF!</definedName>
    <definedName name="OWASP_TOP_10_Low" localSheetId="10">'Fortify-DISA STIG'!$G:$G</definedName>
    <definedName name="OWASP_TOP_10_Low" localSheetId="3">#REF!</definedName>
    <definedName name="OWASP_TOP_10_Low" localSheetId="1">#REF!</definedName>
    <definedName name="OWASP_TOP_10_Low" localSheetId="2">#REF!</definedName>
    <definedName name="OWASP_TOP_10_Low">'Fortify-OWASP'!$G:$G</definedName>
    <definedName name="OWASP_TOP_10_Medium" localSheetId="11">#REF!</definedName>
    <definedName name="OWASP_TOP_10_Medium" localSheetId="10">'Fortify-DISA STIG'!$F:$F</definedName>
    <definedName name="OWASP_TOP_10_Medium" localSheetId="3">#REF!</definedName>
    <definedName name="OWASP_TOP_10_Medium" localSheetId="1">#REF!</definedName>
    <definedName name="OWASP_TOP_10_Medium" localSheetId="2">#REF!</definedName>
    <definedName name="OWASP_TOP_10_Medium">'Fortify-OWASP'!$F:$F</definedName>
    <definedName name="OWASPIssueCount" localSheetId="11">#REF!</definedName>
    <definedName name="OWASPIssueCount" localSheetId="3">#REF!</definedName>
    <definedName name="OWASPIssueCount" localSheetId="1">#REF!</definedName>
    <definedName name="OWASPIssueCount" localSheetId="2">#REF!</definedName>
    <definedName name="OWASPIssueCount">Scorecard!$E$48</definedName>
    <definedName name="OWASPTopTenCalculatedScore" localSheetId="11">#REF!</definedName>
    <definedName name="OWASPTopTenCalculatedScore" localSheetId="3">#REF!</definedName>
    <definedName name="OWASPTopTenCalculatedScore" localSheetId="1">#REF!</definedName>
    <definedName name="OWASPTopTenCalculatedScore" localSheetId="2">#REF!</definedName>
    <definedName name="OWASPTopTenCalculatedScore">Scorecard!$M$31</definedName>
    <definedName name="OWASPTopTenRawScore" localSheetId="11">#REF!</definedName>
    <definedName name="OWASPTopTenRawScore" localSheetId="3">#REF!</definedName>
    <definedName name="OWASPTopTenRawScore" localSheetId="1">#REF!</definedName>
    <definedName name="OWASPTopTenRawScore" localSheetId="2">#REF!</definedName>
    <definedName name="OWASPTopTenRawScore">Scorecard!$K$48</definedName>
    <definedName name="OWASPTopTenWeight" localSheetId="11">#REF!</definedName>
    <definedName name="OWASPTopTenWeight" localSheetId="3">#REF!</definedName>
    <definedName name="OWASPTopTenWeight" localSheetId="1">#REF!</definedName>
    <definedName name="OWASPTopTenWeight" localSheetId="2">#REF!</definedName>
    <definedName name="OWASPTopTenWeight">Scorecard!$J$31</definedName>
    <definedName name="PassFail" localSheetId="11">#REF!</definedName>
    <definedName name="PassFail" localSheetId="3">#REF!</definedName>
    <definedName name="PassFail" localSheetId="1">#REF!</definedName>
    <definedName name="PassFail" localSheetId="2">#REF!</definedName>
    <definedName name="PassFail">#REF!</definedName>
    <definedName name="PCI_Critical" localSheetId="11">#REF!</definedName>
    <definedName name="PCI_Critical" localSheetId="3">#REF!</definedName>
    <definedName name="PCI_Critical" localSheetId="1">#REF!</definedName>
    <definedName name="PCI_Critical" localSheetId="2">#REF!</definedName>
    <definedName name="PCI_Critical">#REF!</definedName>
    <definedName name="PCI_High" localSheetId="11">#REF!</definedName>
    <definedName name="PCI_High" localSheetId="3">#REF!</definedName>
    <definedName name="PCI_High" localSheetId="1">#REF!</definedName>
    <definedName name="PCI_High" localSheetId="2">#REF!</definedName>
    <definedName name="PCI_High">#REF!</definedName>
    <definedName name="PCI_Low" localSheetId="11">#REF!</definedName>
    <definedName name="PCI_Low" localSheetId="3">#REF!</definedName>
    <definedName name="PCI_Low" localSheetId="1">#REF!</definedName>
    <definedName name="PCI_Low" localSheetId="2">#REF!</definedName>
    <definedName name="PCI_Low">#REF!</definedName>
    <definedName name="PCI_Medium" localSheetId="11">#REF!</definedName>
    <definedName name="PCI_Medium" localSheetId="3">#REF!</definedName>
    <definedName name="PCI_Medium" localSheetId="1">#REF!</definedName>
    <definedName name="PCI_Medium" localSheetId="2">#REF!</definedName>
    <definedName name="PCI_Medium">#REF!</definedName>
    <definedName name="PCICalculatedScore" localSheetId="11">#REF!</definedName>
    <definedName name="PCICalculatedScore" localSheetId="3">#REF!</definedName>
    <definedName name="PCICalculatedScore" localSheetId="1">#REF!</definedName>
    <definedName name="PCICalculatedScore" localSheetId="2">#REF!</definedName>
    <definedName name="PCICalculatedScore">Scorecard!$M$30</definedName>
    <definedName name="PCIComplianceWeight" localSheetId="11">#REF!</definedName>
    <definedName name="PCIComplianceWeight" localSheetId="3">#REF!</definedName>
    <definedName name="PCIComplianceWeight" localSheetId="1">#REF!</definedName>
    <definedName name="PCIComplianceWeight" localSheetId="2">#REF!</definedName>
    <definedName name="PCIComplianceWeight">Scorecard!$J$30</definedName>
    <definedName name="PCIIssueCount" localSheetId="11">#REF!</definedName>
    <definedName name="PCIIssueCount" localSheetId="3">#REF!</definedName>
    <definedName name="PCIIssueCount" localSheetId="1">#REF!</definedName>
    <definedName name="PCIIssueCount" localSheetId="2">#REF!</definedName>
    <definedName name="PCIIssueCount">Scorecard!$D$39</definedName>
    <definedName name="PCIRawScore" localSheetId="11">#REF!</definedName>
    <definedName name="PCIRawScore" localSheetId="3">#REF!</definedName>
    <definedName name="PCIRawScore" localSheetId="1">#REF!</definedName>
    <definedName name="PCIRawScore" localSheetId="2">#REF!</definedName>
    <definedName name="PCIRawScore">Scorecard!$K$39</definedName>
    <definedName name="_xlnm.Print_Area" localSheetId="0">SetView!$A$1:$V$118</definedName>
    <definedName name="Program" localSheetId="11">#REF!</definedName>
    <definedName name="Program" localSheetId="3">#REF!</definedName>
    <definedName name="Program" localSheetId="1">#REF!</definedName>
    <definedName name="Program" localSheetId="2">#REF!</definedName>
    <definedName name="Program">SettleTop!$B$7</definedName>
    <definedName name="ProprietorCodeCount" localSheetId="11">#REF!</definedName>
    <definedName name="ProprietorCodeCount" localSheetId="3">#REF!</definedName>
    <definedName name="ProprietorCodeCount" localSheetId="1">#REF!</definedName>
    <definedName name="ProprietorCodeCount" localSheetId="2">#REF!</definedName>
    <definedName name="ProprietorCodeCount">#REF!</definedName>
    <definedName name="ProprietorComponents" localSheetId="11">#REF!</definedName>
    <definedName name="ProprietorComponents" localSheetId="3">#REF!</definedName>
    <definedName name="ProprietorComponents" localSheetId="1">#REF!</definedName>
    <definedName name="ProprietorComponents" localSheetId="2">#REF!</definedName>
    <definedName name="ProprietorComponents">'FossID-Data'!#REF!</definedName>
    <definedName name="ProprietorFiles" localSheetId="11">#REF!</definedName>
    <definedName name="ProprietorFiles" localSheetId="3">#REF!</definedName>
    <definedName name="ProprietorFiles" localSheetId="1">#REF!</definedName>
    <definedName name="ProprietorFiles" localSheetId="2">#REF!</definedName>
    <definedName name="ProprietorFiles">'FossID-Data'!#REF!</definedName>
    <definedName name="ProprietorLicense" localSheetId="11">#REF!</definedName>
    <definedName name="ProprietorLicense" localSheetId="3">#REF!</definedName>
    <definedName name="ProprietorLicense" localSheetId="1">#REF!</definedName>
    <definedName name="ProprietorLicense" localSheetId="2">#REF!</definedName>
    <definedName name="ProprietorLicense">SettleTop!$B$11</definedName>
    <definedName name="ProprietorPercentage" localSheetId="11">#REF!</definedName>
    <definedName name="ProprietorPercentage" localSheetId="3">#REF!</definedName>
    <definedName name="ProprietorPercentage" localSheetId="1">#REF!</definedName>
    <definedName name="ProprietorPercentage" localSheetId="2">#REF!</definedName>
    <definedName name="ProprietorPercentage">'FossID-Data'!#REF!</definedName>
    <definedName name="Score" localSheetId="11">#REF!</definedName>
    <definedName name="Score" localSheetId="3">#REF!</definedName>
    <definedName name="Score" localSheetId="1">#REF!</definedName>
    <definedName name="Score" localSheetId="2">#REF!</definedName>
    <definedName name="Score">SettleTop!$B$9</definedName>
    <definedName name="sd" localSheetId="11">#REF!</definedName>
    <definedName name="sd" localSheetId="3">#REF!</definedName>
    <definedName name="sd" localSheetId="1">#REF!</definedName>
    <definedName name="sd" localSheetId="2">#REF!</definedName>
    <definedName name="sd">'SonarQube-Data'!$B$8</definedName>
    <definedName name="SecurityIssueCount" localSheetId="11">#REF!</definedName>
    <definedName name="SecurityIssueCount" localSheetId="3">#REF!</definedName>
    <definedName name="SecurityIssueCount" localSheetId="1">#REF!</definedName>
    <definedName name="SecurityIssueCount" localSheetId="2">#REF!</definedName>
    <definedName name="SecurityIssueCount">#REF!</definedName>
    <definedName name="SecurityRawScore" localSheetId="11">#REF!</definedName>
    <definedName name="SecurityRawScore" localSheetId="3">#REF!</definedName>
    <definedName name="SecurityRawScore" localSheetId="1">#REF!</definedName>
    <definedName name="SecurityRawScore" localSheetId="2">#REF!</definedName>
    <definedName name="SecurityRawScore">Scorecard!$B$11</definedName>
    <definedName name="SecurityWeight" localSheetId="11">#REF!</definedName>
    <definedName name="SecurityWeight" localSheetId="3">#REF!</definedName>
    <definedName name="SecurityWeight" localSheetId="1">#REF!</definedName>
    <definedName name="SecurityWeight" localSheetId="2">#REF!</definedName>
    <definedName name="SecurityWeight">Scorecard!$E$17</definedName>
    <definedName name="SecurityWeightedScore" localSheetId="11">#REF!</definedName>
    <definedName name="SecurityWeightedScore" localSheetId="3">#REF!</definedName>
    <definedName name="SecurityWeightedScore" localSheetId="1">#REF!</definedName>
    <definedName name="SecurityWeightedScore" localSheetId="2">#REF!</definedName>
    <definedName name="SecurityWeightedScore">Scorecard!$B$8</definedName>
    <definedName name="SingleChangeImpact" localSheetId="11">#REF!</definedName>
    <definedName name="SingleChangeImpact" localSheetId="3">#REF!</definedName>
    <definedName name="SingleChangeImpact" localSheetId="1">#REF!</definedName>
    <definedName name="SingleChangeImpact" localSheetId="2">#REF!</definedName>
    <definedName name="SingleChangeImpact">'CodeMRI-Data'!$B$11</definedName>
    <definedName name="Statements" localSheetId="11">#REF!</definedName>
    <definedName name="Statements" localSheetId="3">#REF!</definedName>
    <definedName name="Statements" localSheetId="1">#REF!</definedName>
    <definedName name="Statements" localSheetId="2">#REF!</definedName>
    <definedName name="Statements">'SonarQube-Data'!$B$3</definedName>
    <definedName name="TotalComponents" localSheetId="11">#REF!</definedName>
    <definedName name="TotalComponents" localSheetId="3">#REF!</definedName>
    <definedName name="TotalComponents" localSheetId="1">#REF!</definedName>
    <definedName name="TotalComponents" localSheetId="2">#REF!</definedName>
    <definedName name="TotalComponents">'FossID-Data'!$B$2</definedName>
    <definedName name="TotalCores" localSheetId="11">#REF!</definedName>
    <definedName name="TotalCores" localSheetId="3">#REF!</definedName>
    <definedName name="TotalCores" localSheetId="1">#REF!</definedName>
    <definedName name="TotalCores" localSheetId="2">#REF!</definedName>
    <definedName name="TotalCores">Scorecard!$F$69</definedName>
    <definedName name="TotalSecurityTestsRun" localSheetId="11">#REF!</definedName>
    <definedName name="TotalSecurityTestsRun" localSheetId="3">#REF!</definedName>
    <definedName name="TotalSecurityTestsRun" localSheetId="1">#REF!</definedName>
    <definedName name="TotalSecurityTestsRun" localSheetId="2">#REF!</definedName>
    <definedName name="TotalSecurityTestsRun">Scorecard!#REF!</definedName>
    <definedName name="TotalVulnerabilities" localSheetId="11">#REF!</definedName>
    <definedName name="TotalVulnerabilities" localSheetId="3">#REF!</definedName>
    <definedName name="TotalVulnerabilities" localSheetId="1">#REF!</definedName>
    <definedName name="TotalVulnerabilities" localSheetId="2">#REF!</definedName>
    <definedName name="TotalVulnerabilities">'FossID-Data'!$B$13</definedName>
    <definedName name="TotalVulnerabilityComponents" localSheetId="11">#REF!</definedName>
    <definedName name="TotalVulnerabilityComponents" localSheetId="3">#REF!</definedName>
    <definedName name="TotalVulnerabilityComponents" localSheetId="1">#REF!</definedName>
    <definedName name="TotalVulnerabilityComponents" localSheetId="2">#REF!</definedName>
    <definedName name="TotalVulnerabilityComponents">'FossID-Data'!$C$13</definedName>
    <definedName name="TotalVulnerabilityFiles" localSheetId="11">#REF!</definedName>
    <definedName name="TotalVulnerabilityFiles" localSheetId="3">#REF!</definedName>
    <definedName name="TotalVulnerabilityFiles" localSheetId="1">#REF!</definedName>
    <definedName name="TotalVulnerabilityFiles" localSheetId="2">#REF!</definedName>
    <definedName name="TotalVulnerabilityFiles">'FossID-Data'!$D$13</definedName>
    <definedName name="UnknownComponents" localSheetId="11">#REF!</definedName>
    <definedName name="UnknownComponents" localSheetId="3">#REF!</definedName>
    <definedName name="UnknownComponents" localSheetId="1">#REF!</definedName>
    <definedName name="UnknownComponents" localSheetId="2">#REF!</definedName>
    <definedName name="UnknownComponents">'FossID-Data'!#REF!</definedName>
    <definedName name="UnknownCount" localSheetId="11">#REF!</definedName>
    <definedName name="UnknownCount" localSheetId="3">#REF!</definedName>
    <definedName name="UnknownCount" localSheetId="1">#REF!</definedName>
    <definedName name="UnknownCount" localSheetId="2">#REF!</definedName>
    <definedName name="UnknownCount">#REF!</definedName>
    <definedName name="UnknownFiles" localSheetId="11">#REF!</definedName>
    <definedName name="UnknownFiles" localSheetId="3">#REF!</definedName>
    <definedName name="UnknownFiles" localSheetId="1">#REF!</definedName>
    <definedName name="UnknownFiles" localSheetId="2">#REF!</definedName>
    <definedName name="UnknownFiles">'FossID-Data'!#REF!</definedName>
    <definedName name="UnknownPercentage" localSheetId="11">#REF!</definedName>
    <definedName name="UnknownPercentage" localSheetId="3">#REF!</definedName>
    <definedName name="UnknownPercentage" localSheetId="1">#REF!</definedName>
    <definedName name="UnknownPercentage" localSheetId="2">#REF!</definedName>
    <definedName name="UnknownPercentage">'FossID-Data'!#REF!</definedName>
    <definedName name="Vendor" localSheetId="11">#REF!</definedName>
    <definedName name="Vendor" localSheetId="3">#REF!</definedName>
    <definedName name="Vendor" localSheetId="1">#REF!</definedName>
    <definedName name="Vendor" localSheetId="2">#REF!</definedName>
    <definedName name="Vendor">SettleTop!$B$13</definedName>
    <definedName name="Vulnerability" localSheetId="11">#REF!</definedName>
    <definedName name="Vulnerability" localSheetId="3">#REF!</definedName>
    <definedName name="Vulnerability" localSheetId="1">#REF!</definedName>
    <definedName name="Vulnerability" localSheetId="2">#REF!</definedName>
    <definedName name="Vulnerability">'SonarQube-Data'!$G$14</definedName>
    <definedName name="VulnerabilityBlocker" localSheetId="11">#REF!</definedName>
    <definedName name="VulnerabilityBlocker" localSheetId="3">#REF!</definedName>
    <definedName name="VulnerabilityBlocker" localSheetId="1">#REF!</definedName>
    <definedName name="VulnerabilityBlocker" localSheetId="2">#REF!</definedName>
    <definedName name="VulnerabilityBlocker">'SonarQube-Data'!$B$14</definedName>
    <definedName name="VulnerabilityCritical" localSheetId="11">#REF!</definedName>
    <definedName name="VulnerabilityCritical" localSheetId="3">#REF!</definedName>
    <definedName name="VulnerabilityCritical" localSheetId="1">#REF!</definedName>
    <definedName name="VulnerabilityCritical" localSheetId="2">#REF!</definedName>
    <definedName name="VulnerabilityCritical">'SonarQube-Data'!$C$14</definedName>
    <definedName name="VulnerabilityInfo" localSheetId="11">#REF!</definedName>
    <definedName name="VulnerabilityInfo" localSheetId="3">#REF!</definedName>
    <definedName name="VulnerabilityInfo" localSheetId="1">#REF!</definedName>
    <definedName name="VulnerabilityInfo" localSheetId="2">#REF!</definedName>
    <definedName name="VulnerabilityInfo">'SonarQube-Data'!$F$14</definedName>
    <definedName name="VulnerabilityMajor" localSheetId="11">#REF!</definedName>
    <definedName name="VulnerabilityMajor" localSheetId="3">#REF!</definedName>
    <definedName name="VulnerabilityMajor" localSheetId="1">#REF!</definedName>
    <definedName name="VulnerabilityMajor" localSheetId="2">#REF!</definedName>
    <definedName name="VulnerabilityMajor">'SonarQube-Data'!$D$14</definedName>
    <definedName name="VulnerabilityMinor" localSheetId="11">#REF!</definedName>
    <definedName name="VulnerabilityMinor" localSheetId="3">#REF!</definedName>
    <definedName name="VulnerabilityMinor" localSheetId="1">#REF!</definedName>
    <definedName name="VulnerabilityMinor" localSheetId="2">#REF!</definedName>
    <definedName name="VulnerabilityMinor">'SonarQube-Data'!$E$14</definedName>
    <definedName name="Waste" localSheetId="11">#REF!</definedName>
    <definedName name="Waste" localSheetId="3">#REF!</definedName>
    <definedName name="Waste" localSheetId="1">#REF!</definedName>
    <definedName name="Waste" localSheetId="2">#REF!</definedName>
    <definedName name="Waste">'CodeMRI-Data'!$B$21</definedName>
    <definedName name="WastePercentage" localSheetId="11">#REF!</definedName>
    <definedName name="WastePercentage" localSheetId="3">#REF!</definedName>
    <definedName name="WastePercentage" localSheetId="1">#REF!</definedName>
    <definedName name="WastePercentage" localSheetId="2">#REF!</definedName>
    <definedName name="WastePercentage">'CodeMRI-Data'!$E$21</definedName>
    <definedName name="WastePredicted" localSheetId="11">#REF!</definedName>
    <definedName name="WastePredicted" localSheetId="3">#REF!</definedName>
    <definedName name="WastePredicted" localSheetId="1">#REF!</definedName>
    <definedName name="WastePredicted" localSheetId="2">#REF!</definedName>
    <definedName name="WastePredicted">'CodeMRI-Data'!$C$21</definedName>
    <definedName name="WeakCopykeftPercentage" localSheetId="11">#REF!</definedName>
    <definedName name="WeakCopykeftPercentage" localSheetId="3">#REF!</definedName>
    <definedName name="WeakCopykeftPercentage" localSheetId="1">#REF!</definedName>
    <definedName name="WeakCopykeftPercentage" localSheetId="2">#REF!</definedName>
    <definedName name="WeakCopykeftPercentage">'FossID-Data'!#REF!</definedName>
    <definedName name="WeakCopyleftComponents" localSheetId="11">#REF!</definedName>
    <definedName name="WeakCopyleftComponents" localSheetId="3">#REF!</definedName>
    <definedName name="WeakCopyleftComponents" localSheetId="1">#REF!</definedName>
    <definedName name="WeakCopyleftComponents" localSheetId="2">#REF!</definedName>
    <definedName name="WeakCopyleftComponents">'FossID-Data'!#REF!</definedName>
    <definedName name="WeakCopyleftCount" localSheetId="11">#REF!</definedName>
    <definedName name="WeakCopyleftCount" localSheetId="3">#REF!</definedName>
    <definedName name="WeakCopyleftCount" localSheetId="1">#REF!</definedName>
    <definedName name="WeakCopyleftCount" localSheetId="2">#REF!</definedName>
    <definedName name="WeakCopyleftCount">#REF!</definedName>
    <definedName name="WeakCopyleftFiles" localSheetId="11">#REF!</definedName>
    <definedName name="WeakCopyleftFiles" localSheetId="3">#REF!</definedName>
    <definedName name="WeakCopyleftFiles" localSheetId="1">#REF!</definedName>
    <definedName name="WeakCopyleftFiles" localSheetId="2">#REF!</definedName>
    <definedName name="WeakCopyleftFiles">'FossID-Data'!#REF!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74" i="1" l="1"/>
  <c r="F74" i="1"/>
  <c r="H122" i="5" l="1"/>
  <c r="D32" i="8"/>
  <c r="B32" i="8"/>
  <c r="E15" i="8"/>
  <c r="E16" i="8" s="1"/>
  <c r="C15" i="8"/>
  <c r="C16" i="8" s="1"/>
  <c r="O51" i="1" s="1" a="1"/>
  <c r="O51" i="1" s="1"/>
  <c r="B15" i="8"/>
  <c r="F101" i="5" l="1"/>
  <c r="K150" i="5" l="1"/>
  <c r="F150" i="5"/>
  <c r="L149" i="5"/>
  <c r="J149" i="5" s="1"/>
  <c r="L148" i="5"/>
  <c r="J148" i="5"/>
  <c r="L147" i="5"/>
  <c r="J147" i="5" s="1"/>
  <c r="L146" i="5"/>
  <c r="J146" i="5"/>
  <c r="L145" i="5"/>
  <c r="L150" i="5" s="1"/>
  <c r="E47" i="5"/>
  <c r="E46" i="5"/>
  <c r="E45" i="5"/>
  <c r="E44" i="5"/>
  <c r="J39" i="5"/>
  <c r="J48" i="5"/>
  <c r="H39" i="5"/>
  <c r="I48" i="5"/>
  <c r="J47" i="5"/>
  <c r="H47" i="5"/>
  <c r="J46" i="5"/>
  <c r="H46" i="5" s="1"/>
  <c r="J45" i="5"/>
  <c r="H45" i="5"/>
  <c r="J44" i="5"/>
  <c r="H44" i="5"/>
  <c r="I39" i="5"/>
  <c r="J38" i="5"/>
  <c r="H38" i="5"/>
  <c r="J37" i="5"/>
  <c r="H37" i="5"/>
  <c r="J36" i="5"/>
  <c r="H36" i="5" s="1"/>
  <c r="J35" i="5"/>
  <c r="J83" i="5"/>
  <c r="L82" i="5"/>
  <c r="L81" i="5"/>
  <c r="J81" i="5" s="1"/>
  <c r="F81" i="5"/>
  <c r="H81" i="5" s="1"/>
  <c r="I81" i="5" s="1"/>
  <c r="N81" i="5" s="1"/>
  <c r="L80" i="5"/>
  <c r="L83" i="5" s="1"/>
  <c r="F80" i="5"/>
  <c r="K76" i="5"/>
  <c r="L75" i="5"/>
  <c r="L74" i="5"/>
  <c r="J74" i="5" s="1"/>
  <c r="F74" i="5"/>
  <c r="H74" i="5" s="1"/>
  <c r="I74" i="5" s="1"/>
  <c r="N74" i="5" s="1"/>
  <c r="L73" i="5"/>
  <c r="J73" i="5"/>
  <c r="F73" i="5"/>
  <c r="J69" i="5"/>
  <c r="L68" i="5"/>
  <c r="F68" i="5"/>
  <c r="L67" i="5"/>
  <c r="I67" i="5"/>
  <c r="F67" i="5"/>
  <c r="N67" i="5" s="1"/>
  <c r="L122" i="5"/>
  <c r="J122" i="5"/>
  <c r="L121" i="5"/>
  <c r="L120" i="5"/>
  <c r="J120" i="5"/>
  <c r="H120" i="5"/>
  <c r="L119" i="5"/>
  <c r="J119" i="5"/>
  <c r="F119" i="5"/>
  <c r="H119" i="5" s="1"/>
  <c r="L118" i="5"/>
  <c r="J118" i="5"/>
  <c r="H118" i="5"/>
  <c r="L117" i="5"/>
  <c r="J117" i="5"/>
  <c r="H117" i="5"/>
  <c r="J162" i="5"/>
  <c r="L161" i="5"/>
  <c r="I161" i="5"/>
  <c r="G161" i="5"/>
  <c r="H161" i="5" s="1"/>
  <c r="N161" i="5" s="1"/>
  <c r="L160" i="5"/>
  <c r="L162" i="5" s="1"/>
  <c r="G160" i="5"/>
  <c r="H160" i="5" s="1"/>
  <c r="L155" i="5"/>
  <c r="L154" i="5"/>
  <c r="H80" i="5" l="1"/>
  <c r="I80" i="5" s="1"/>
  <c r="H83" i="5" s="1"/>
  <c r="H73" i="5"/>
  <c r="I73" i="5" s="1"/>
  <c r="F75" i="5"/>
  <c r="F76" i="5" s="1"/>
  <c r="N68" i="5"/>
  <c r="N69" i="5" s="1"/>
  <c r="F69" i="5"/>
  <c r="I119" i="5"/>
  <c r="N119" i="5" s="1"/>
  <c r="I118" i="5"/>
  <c r="N118" i="5" s="1"/>
  <c r="I117" i="5"/>
  <c r="N117" i="5" s="1"/>
  <c r="F121" i="5"/>
  <c r="H121" i="5" s="1"/>
  <c r="N121" i="5" s="1"/>
  <c r="E48" i="5"/>
  <c r="F44" i="5" s="1"/>
  <c r="H35" i="5"/>
  <c r="F82" i="5"/>
  <c r="H82" i="5" s="1"/>
  <c r="N82" i="5" s="1"/>
  <c r="L69" i="5"/>
  <c r="L76" i="5"/>
  <c r="J80" i="5"/>
  <c r="I120" i="5"/>
  <c r="N120" i="5" s="1"/>
  <c r="I160" i="5"/>
  <c r="N160" i="5" s="1"/>
  <c r="N162" i="5" s="1"/>
  <c r="H76" i="5" l="1"/>
  <c r="N73" i="5"/>
  <c r="H75" i="5"/>
  <c r="N75" i="5" s="1"/>
  <c r="N80" i="5"/>
  <c r="N83" i="5" s="1"/>
  <c r="F47" i="5"/>
  <c r="F46" i="5"/>
  <c r="F45" i="5"/>
  <c r="F48" i="5" s="1"/>
  <c r="F122" i="5"/>
  <c r="N122" i="5"/>
  <c r="F83" i="5"/>
  <c r="N76" i="5" l="1"/>
  <c r="G14" i="7"/>
  <c r="G15" i="7"/>
  <c r="B16" i="7"/>
  <c r="C16" i="7"/>
  <c r="D16" i="7"/>
  <c r="E16" i="7"/>
  <c r="F16" i="7"/>
  <c r="H147" i="5" l="1"/>
  <c r="I147" i="5" s="1"/>
  <c r="N147" i="5" s="1"/>
  <c r="F147" i="5"/>
  <c r="H145" i="5"/>
  <c r="F145" i="5"/>
  <c r="G16" i="7"/>
  <c r="H149" i="5"/>
  <c r="I149" i="5" s="1"/>
  <c r="N149" i="5" s="1"/>
  <c r="F149" i="5"/>
  <c r="H148" i="5"/>
  <c r="I148" i="5" s="1"/>
  <c r="N148" i="5" s="1"/>
  <c r="F148" i="5"/>
  <c r="F146" i="5"/>
  <c r="H146" i="5"/>
  <c r="I146" i="5" s="1"/>
  <c r="N146" i="5" s="1"/>
  <c r="S51" i="1"/>
  <c r="H150" i="5" l="1"/>
  <c r="I145" i="5"/>
  <c r="N145" i="5" s="1"/>
  <c r="N150" i="5" s="1"/>
  <c r="G98" i="5"/>
  <c r="F98" i="5"/>
  <c r="J110" i="1" l="1"/>
  <c r="J111" i="1"/>
  <c r="J112" i="1"/>
  <c r="J113" i="1"/>
  <c r="J114" i="1"/>
  <c r="E10" i="8" l="1"/>
  <c r="J98" i="5" l="1"/>
  <c r="M101" i="5" l="1"/>
  <c r="M100" i="5"/>
  <c r="M99" i="5"/>
  <c r="O98" i="5"/>
  <c r="M98" i="5"/>
  <c r="C13" i="8" l="1"/>
  <c r="C10" i="8"/>
  <c r="N56" i="5" l="1"/>
  <c r="D61" i="5"/>
  <c r="D56" i="5"/>
  <c r="H56" i="5"/>
  <c r="S54" i="1" l="1"/>
  <c r="K51" i="1"/>
  <c r="K54" i="1" s="1"/>
  <c r="Q75" i="1"/>
  <c r="Q74" i="1"/>
  <c r="Q73" i="1"/>
  <c r="D21" i="7"/>
  <c r="F155" i="5" s="1"/>
  <c r="H155" i="5" s="1"/>
  <c r="N155" i="5" s="1"/>
  <c r="D20" i="7"/>
  <c r="F154" i="5" s="1"/>
  <c r="H154" i="5" s="1"/>
  <c r="N154" i="5" s="1"/>
  <c r="E32" i="8"/>
  <c r="E31" i="8"/>
  <c r="E30" i="8"/>
  <c r="C32" i="8"/>
  <c r="C31" i="8"/>
  <c r="C30" i="8"/>
  <c r="D14" i="8"/>
  <c r="D13" i="8"/>
  <c r="D12" i="8"/>
  <c r="F5" i="11" l="1"/>
  <c r="E38" i="5" s="1"/>
  <c r="E5" i="11"/>
  <c r="E37" i="5" s="1"/>
  <c r="D5" i="11"/>
  <c r="E36" i="5" s="1"/>
  <c r="C5" i="11"/>
  <c r="B5" i="11"/>
  <c r="G4" i="11"/>
  <c r="G3" i="11"/>
  <c r="G2" i="11"/>
  <c r="B13" i="9"/>
  <c r="H101" i="1" s="1"/>
  <c r="D12" i="9"/>
  <c r="C12" i="9"/>
  <c r="C13" i="9" s="1"/>
  <c r="E21" i="8"/>
  <c r="O54" i="1"/>
  <c r="C12" i="8"/>
  <c r="B10" i="8"/>
  <c r="G13" i="7"/>
  <c r="B9" i="7"/>
  <c r="B8" i="6"/>
  <c r="L140" i="5"/>
  <c r="J156" i="5"/>
  <c r="L139" i="5"/>
  <c r="H139" i="5"/>
  <c r="D139" i="5"/>
  <c r="G130" i="5"/>
  <c r="H130" i="5" s="1"/>
  <c r="D130" i="5"/>
  <c r="G129" i="5"/>
  <c r="H129" i="5" s="1"/>
  <c r="D129" i="5"/>
  <c r="G128" i="5"/>
  <c r="H128" i="5" s="1"/>
  <c r="D128" i="5"/>
  <c r="J127" i="5"/>
  <c r="J128" i="5" s="1"/>
  <c r="G127" i="5"/>
  <c r="H127" i="5" s="1"/>
  <c r="D127" i="5"/>
  <c r="L126" i="5"/>
  <c r="N126" i="5" s="1"/>
  <c r="N131" i="5" s="1"/>
  <c r="G126" i="5"/>
  <c r="H126" i="5" s="1"/>
  <c r="D126" i="5"/>
  <c r="N111" i="5"/>
  <c r="L102" i="5"/>
  <c r="G101" i="5"/>
  <c r="G100" i="5"/>
  <c r="F100" i="5"/>
  <c r="G99" i="5"/>
  <c r="F99" i="5"/>
  <c r="D47" i="5"/>
  <c r="D46" i="5"/>
  <c r="D45" i="5"/>
  <c r="D44" i="5"/>
  <c r="E35" i="5"/>
  <c r="F22" i="5"/>
  <c r="E22" i="5"/>
  <c r="G17" i="5"/>
  <c r="H114" i="1"/>
  <c r="C114" i="1"/>
  <c r="H113" i="1"/>
  <c r="C113" i="1"/>
  <c r="H112" i="1"/>
  <c r="C112" i="1"/>
  <c r="H111" i="1"/>
  <c r="C111" i="1"/>
  <c r="H110" i="1"/>
  <c r="C110" i="1"/>
  <c r="H103" i="1"/>
  <c r="G103" i="1"/>
  <c r="F103" i="1"/>
  <c r="E103" i="1"/>
  <c r="H102" i="1"/>
  <c r="G102" i="1"/>
  <c r="F102" i="1"/>
  <c r="E102" i="1"/>
  <c r="H100" i="1"/>
  <c r="G100" i="1"/>
  <c r="F100" i="1"/>
  <c r="E100" i="1"/>
  <c r="T82" i="1"/>
  <c r="S82" i="1"/>
  <c r="O82" i="1"/>
  <c r="N82" i="1"/>
  <c r="J82" i="1"/>
  <c r="I82" i="1"/>
  <c r="E82" i="1"/>
  <c r="D82" i="1"/>
  <c r="G51" i="1"/>
  <c r="G54" i="1" s="1"/>
  <c r="C51" i="1"/>
  <c r="C54" i="1" s="1"/>
  <c r="P75" i="1"/>
  <c r="P74" i="1"/>
  <c r="P73" i="1"/>
  <c r="I73" i="1"/>
  <c r="F73" i="1"/>
  <c r="J65" i="1"/>
  <c r="I65" i="1"/>
  <c r="H65" i="1"/>
  <c r="G65" i="1"/>
  <c r="F65" i="1"/>
  <c r="J64" i="1"/>
  <c r="I64" i="1"/>
  <c r="H64" i="1"/>
  <c r="G64" i="1"/>
  <c r="F64" i="1"/>
  <c r="J63" i="1"/>
  <c r="I63" i="1"/>
  <c r="H63" i="1"/>
  <c r="G63" i="1"/>
  <c r="F63" i="1"/>
  <c r="F44" i="1"/>
  <c r="E44" i="1"/>
  <c r="R43" i="1"/>
  <c r="Q43" i="1"/>
  <c r="P43" i="1"/>
  <c r="O43" i="1"/>
  <c r="N43" i="1"/>
  <c r="F43" i="1"/>
  <c r="E43" i="1"/>
  <c r="R42" i="1"/>
  <c r="Q42" i="1"/>
  <c r="P42" i="1"/>
  <c r="O42" i="1"/>
  <c r="N42" i="1"/>
  <c r="F42" i="1"/>
  <c r="E42" i="1"/>
  <c r="R41" i="1"/>
  <c r="Q41" i="1"/>
  <c r="P41" i="1"/>
  <c r="O41" i="1"/>
  <c r="N41" i="1"/>
  <c r="F41" i="1"/>
  <c r="E41" i="1"/>
  <c r="T25" i="1"/>
  <c r="P25" i="1"/>
  <c r="J25" i="1"/>
  <c r="P24" i="1"/>
  <c r="J24" i="1"/>
  <c r="T23" i="1"/>
  <c r="P23" i="1"/>
  <c r="J23" i="1"/>
  <c r="P22" i="1"/>
  <c r="J22" i="1"/>
  <c r="T21" i="1"/>
  <c r="P21" i="1"/>
  <c r="J21" i="1"/>
  <c r="T20" i="1"/>
  <c r="P20" i="1"/>
  <c r="J20" i="1"/>
  <c r="T19" i="1"/>
  <c r="P19" i="1"/>
  <c r="J19" i="1"/>
  <c r="S81" i="1" s="1"/>
  <c r="T4" i="1"/>
  <c r="T3" i="1"/>
  <c r="S91" i="1" l="1"/>
  <c r="D48" i="5"/>
  <c r="J101" i="5"/>
  <c r="O101" i="5" s="1"/>
  <c r="J100" i="5"/>
  <c r="O100" i="5" s="1"/>
  <c r="N91" i="1"/>
  <c r="J99" i="5"/>
  <c r="O99" i="5" s="1"/>
  <c r="D91" i="1"/>
  <c r="G5" i="11"/>
  <c r="F35" i="5" s="1"/>
  <c r="G35" i="5" s="1"/>
  <c r="K35" i="5" s="1"/>
  <c r="H131" i="5"/>
  <c r="T5" i="1"/>
  <c r="T22" i="1"/>
  <c r="O139" i="5"/>
  <c r="L141" i="5"/>
  <c r="L156" i="5"/>
  <c r="H101" i="5"/>
  <c r="H99" i="5"/>
  <c r="I99" i="5" s="1"/>
  <c r="F102" i="5"/>
  <c r="G102" i="5"/>
  <c r="G46" i="5"/>
  <c r="K46" i="5" s="1"/>
  <c r="M102" i="5"/>
  <c r="H100" i="5"/>
  <c r="K63" i="1"/>
  <c r="J66" i="1"/>
  <c r="G66" i="1"/>
  <c r="H66" i="1"/>
  <c r="I66" i="1"/>
  <c r="R44" i="1"/>
  <c r="N44" i="1"/>
  <c r="F66" i="1"/>
  <c r="P44" i="1"/>
  <c r="K64" i="1"/>
  <c r="D81" i="1"/>
  <c r="O44" i="1"/>
  <c r="Q44" i="1"/>
  <c r="K65" i="1"/>
  <c r="I81" i="1"/>
  <c r="T24" i="1"/>
  <c r="I91" i="1"/>
  <c r="D13" i="9"/>
  <c r="I100" i="1"/>
  <c r="E101" i="1"/>
  <c r="F101" i="1"/>
  <c r="G101" i="1"/>
  <c r="H115" i="1"/>
  <c r="I102" i="1"/>
  <c r="I103" i="1"/>
  <c r="J129" i="5"/>
  <c r="L128" i="5"/>
  <c r="N128" i="5" s="1"/>
  <c r="E39" i="5"/>
  <c r="N81" i="1"/>
  <c r="H98" i="5"/>
  <c r="L127" i="5"/>
  <c r="G131" i="5"/>
  <c r="F38" i="5" l="1"/>
  <c r="G38" i="5" s="1"/>
  <c r="K38" i="5" s="1"/>
  <c r="F36" i="5"/>
  <c r="G36" i="5" s="1"/>
  <c r="K36" i="5" s="1"/>
  <c r="G44" i="5"/>
  <c r="K44" i="5" s="1"/>
  <c r="F37" i="5"/>
  <c r="G45" i="5"/>
  <c r="K45" i="5" s="1"/>
  <c r="G47" i="5"/>
  <c r="K47" i="5" s="1"/>
  <c r="N156" i="5"/>
  <c r="H140" i="5" s="1"/>
  <c r="H141" i="5" s="1"/>
  <c r="K66" i="1"/>
  <c r="I101" i="1"/>
  <c r="N127" i="5"/>
  <c r="J130" i="5"/>
  <c r="L129" i="5"/>
  <c r="N129" i="5" s="1"/>
  <c r="O102" i="5"/>
  <c r="O29" i="1" s="1"/>
  <c r="J115" i="1"/>
  <c r="K114" i="1" s="1"/>
  <c r="G37" i="5" l="1"/>
  <c r="K37" i="5" s="1"/>
  <c r="K39" i="5" s="1"/>
  <c r="K48" i="5"/>
  <c r="G31" i="5" s="1"/>
  <c r="F39" i="5"/>
  <c r="K112" i="1"/>
  <c r="K113" i="1"/>
  <c r="K110" i="1"/>
  <c r="K111" i="1"/>
  <c r="D92" i="5"/>
  <c r="D93" i="5" s="1"/>
  <c r="N93" i="5" s="1"/>
  <c r="R8" i="5"/>
  <c r="O32" i="1"/>
  <c r="R11" i="5"/>
  <c r="D57" i="5"/>
  <c r="D58" i="5" s="1"/>
  <c r="D62" i="5"/>
  <c r="D63" i="5" s="1"/>
  <c r="H57" i="5"/>
  <c r="H58" i="5" s="1"/>
  <c r="I112" i="5"/>
  <c r="I113" i="5" s="1"/>
  <c r="N113" i="5" s="1"/>
  <c r="H108" i="5" s="1"/>
  <c r="J11" i="5" s="1"/>
  <c r="S29" i="1" s="1"/>
  <c r="J131" i="5"/>
  <c r="L130" i="5"/>
  <c r="N130" i="5" s="1"/>
  <c r="L34" i="5" l="1"/>
  <c r="G30" i="5"/>
  <c r="M30" i="5"/>
  <c r="L43" i="5"/>
  <c r="M31" i="5"/>
  <c r="G27" i="5" s="1"/>
  <c r="B11" i="5" s="1"/>
  <c r="C29" i="1" s="1"/>
  <c r="C32" i="1" s="1"/>
  <c r="J8" i="5"/>
  <c r="S32" i="1"/>
  <c r="K115" i="1"/>
  <c r="N58" i="5"/>
  <c r="F11" i="5" s="1"/>
  <c r="G29" i="1" s="1"/>
  <c r="D140" i="5"/>
  <c r="D141" i="5" s="1"/>
  <c r="O141" i="5" s="1"/>
  <c r="H136" i="5" s="1"/>
  <c r="N11" i="5" s="1"/>
  <c r="K29" i="1" s="1"/>
  <c r="N92" i="5"/>
  <c r="L131" i="5"/>
  <c r="B8" i="5" l="1"/>
  <c r="N8" i="5"/>
  <c r="F8" i="5"/>
  <c r="G32" i="1"/>
  <c r="M2" i="5" l="1"/>
  <c r="B9" i="6" s="1"/>
  <c r="C12" i="1" s="1"/>
  <c r="K32" i="1"/>
  <c r="C1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2" authorId="0" shapeId="0" xr:uid="{00000000-0006-0000-0400-000001000000}">
      <text>
        <r>
          <rPr>
            <b/>
            <sz val="9"/>
            <color rgb="FF000000"/>
            <rFont val="Tahoma"/>
            <family val="2"/>
            <charset val="1"/>
          </rPr>
          <t xml:space="preserve">Niles Madison:
</t>
        </r>
        <r>
          <rPr>
            <sz val="9"/>
            <color rgb="FF000000"/>
            <rFont val="Tahoma"/>
            <family val="2"/>
            <charset val="1"/>
          </rPr>
          <t>Should always be 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0" authorId="0" shapeId="0" xr:uid="{00000000-0006-0000-0600-000001000000}">
      <text>
        <r>
          <rPr>
            <b/>
            <sz val="9"/>
            <color rgb="FF000000"/>
            <rFont val="Tahoma"/>
            <family val="2"/>
            <charset val="1"/>
          </rPr>
          <t xml:space="preserve">Niles Madison:
</t>
        </r>
        <r>
          <rPr>
            <sz val="9"/>
            <color rgb="FF000000"/>
            <rFont val="Tahoma"/>
            <family val="2"/>
            <charset val="1"/>
          </rPr>
          <t>Cyclomatic Complexity measures the minimum number of test cases required for full test coverage.</t>
        </r>
      </text>
    </comment>
    <comment ref="A21" authorId="0" shapeId="0" xr:uid="{00000000-0006-0000-0600-000002000000}">
      <text>
        <r>
          <rPr>
            <b/>
            <sz val="9"/>
            <color rgb="FF000000"/>
            <rFont val="Tahoma"/>
            <family val="2"/>
            <charset val="1"/>
          </rPr>
          <t xml:space="preserve">Niles Madison:
</t>
        </r>
        <r>
          <rPr>
            <sz val="9"/>
            <color rgb="FF000000"/>
            <rFont val="Tahoma"/>
            <family val="2"/>
            <charset val="1"/>
          </rPr>
          <t>Cognitive Complexity is a measure of how difficult the application is to understand.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<sst xmlns="http://schemas.openxmlformats.org/spreadsheetml/2006/main" count="596" uniqueCount="303">
  <si>
    <t>SETTLETOP 
SOFTWARE QUALITY RATINGS REPORT</t>
  </si>
  <si>
    <t>Customer</t>
  </si>
  <si>
    <t>Program</t>
  </si>
  <si>
    <t>Date</t>
  </si>
  <si>
    <t>Overall Score</t>
  </si>
  <si>
    <t>Key Insights</t>
  </si>
  <si>
    <t>COURSE OF ACTION</t>
  </si>
  <si>
    <t>TECHNICAL HEALTH</t>
  </si>
  <si>
    <t>ECONOMIC HEALTH</t>
  </si>
  <si>
    <t>Application Description</t>
  </si>
  <si>
    <t>Application Structure</t>
  </si>
  <si>
    <t>Line Description</t>
  </si>
  <si>
    <t>Name of Project</t>
  </si>
  <si>
    <t>Directories</t>
  </si>
  <si>
    <t>Language</t>
  </si>
  <si>
    <t>License</t>
  </si>
  <si>
    <t>Files</t>
  </si>
  <si>
    <t>Line</t>
  </si>
  <si>
    <t>Distribution Model</t>
  </si>
  <si>
    <t>Duplicate Files</t>
  </si>
  <si>
    <t>Comments</t>
  </si>
  <si>
    <t>Vendor</t>
  </si>
  <si>
    <t>Classes</t>
  </si>
  <si>
    <t>Blank Lines</t>
  </si>
  <si>
    <t># of Developers</t>
  </si>
  <si>
    <t>Statements</t>
  </si>
  <si>
    <t>Duplicate Lines</t>
  </si>
  <si>
    <t>Functions</t>
  </si>
  <si>
    <t>Unique Lines</t>
  </si>
  <si>
    <t>Type of app</t>
  </si>
  <si>
    <t>Duplicate Blocks</t>
  </si>
  <si>
    <t>Total</t>
  </si>
  <si>
    <t>Security</t>
  </si>
  <si>
    <t>OWASP Top 10</t>
  </si>
  <si>
    <t>DISA STIG</t>
  </si>
  <si>
    <t>Count</t>
  </si>
  <si>
    <t>Issues</t>
  </si>
  <si>
    <t>STIGs</t>
  </si>
  <si>
    <t>Critical</t>
  </si>
  <si>
    <t>High</t>
  </si>
  <si>
    <t>Medium</t>
  </si>
  <si>
    <t>Low</t>
  </si>
  <si>
    <t>CAT I</t>
  </si>
  <si>
    <t>CAT II</t>
  </si>
  <si>
    <t>CAT III</t>
  </si>
  <si>
    <t>Coding Violations</t>
  </si>
  <si>
    <t>Blocker</t>
  </si>
  <si>
    <t>Major</t>
  </si>
  <si>
    <t>Minor</t>
  </si>
  <si>
    <t>Info</t>
  </si>
  <si>
    <t>Bugs</t>
  </si>
  <si>
    <t>Vulnerabilities</t>
  </si>
  <si>
    <t>Code Smells</t>
  </si>
  <si>
    <t>Code Complexity</t>
  </si>
  <si>
    <t>File Complexity</t>
  </si>
  <si>
    <t>Average</t>
  </si>
  <si>
    <t>% of Total</t>
  </si>
  <si>
    <t>Cyclomatic complexity</t>
  </si>
  <si>
    <t>High complexity</t>
  </si>
  <si>
    <t>Problematic complexity</t>
  </si>
  <si>
    <t>Low complexity</t>
  </si>
  <si>
    <t>LOCs in Files with varying degrees of complexity</t>
  </si>
  <si>
    <t>Critical Cores</t>
  </si>
  <si>
    <t>Emerging Cores</t>
  </si>
  <si>
    <t>Size of Largest Core</t>
  </si>
  <si>
    <t>% LOC inside a Core</t>
  </si>
  <si>
    <t>Files impacted by a change</t>
  </si>
  <si>
    <t>Excellent</t>
  </si>
  <si>
    <t>Good</t>
  </si>
  <si>
    <t>Fair</t>
  </si>
  <si>
    <t>Very Poor</t>
  </si>
  <si>
    <r>
      <rPr>
        <sz val="12"/>
        <color rgb="FFFFFFFF"/>
        <rFont val="Yu Gothic UI Semibold"/>
        <family val="2"/>
        <charset val="1"/>
      </rPr>
      <t xml:space="preserve">Cost
</t>
    </r>
    <r>
      <rPr>
        <sz val="8"/>
        <color rgb="FFFFFFFF"/>
        <rFont val="Yu Gothic UI Light"/>
        <family val="2"/>
        <charset val="1"/>
      </rPr>
      <t>Cost to produce features</t>
    </r>
  </si>
  <si>
    <r>
      <rPr>
        <sz val="12"/>
        <color rgb="FFFFFFFF"/>
        <rFont val="Yu Gothic UI Semibold"/>
        <family val="2"/>
        <charset val="1"/>
      </rPr>
      <t xml:space="preserve">Waste
</t>
    </r>
    <r>
      <rPr>
        <sz val="8"/>
        <color rgb="FFFFFFFF"/>
        <rFont val="Yu Gothic UI Light"/>
        <family val="2"/>
        <charset val="1"/>
      </rPr>
      <t>Money wasted per $1m invested</t>
    </r>
  </si>
  <si>
    <r>
      <rPr>
        <sz val="12"/>
        <color rgb="FFFFFFFF"/>
        <rFont val="Yu Gothic UI Semibold"/>
        <family val="2"/>
        <charset val="1"/>
      </rPr>
      <t xml:space="preserve">Features
</t>
    </r>
    <r>
      <rPr>
        <sz val="8"/>
        <color rgb="FFFFFFFF"/>
        <rFont val="Yu Gothic UI Light"/>
        <family val="2"/>
        <charset val="1"/>
      </rPr>
      <t>Days to develop feature</t>
    </r>
  </si>
  <si>
    <t>Benchmark</t>
  </si>
  <si>
    <t>X delta</t>
  </si>
  <si>
    <t>+ delta</t>
  </si>
  <si>
    <t>Open Source Security</t>
  </si>
  <si>
    <t>Distribution</t>
  </si>
  <si>
    <t>Components</t>
  </si>
  <si>
    <t>Top 5 Licenses</t>
  </si>
  <si>
    <t>% Files</t>
  </si>
  <si>
    <t>Other</t>
  </si>
  <si>
    <t>SettleTop, Inc - ©2020</t>
  </si>
  <si>
    <t>SettleTop SetVIEW Report</t>
  </si>
  <si>
    <t>User Guide</t>
  </si>
  <si>
    <t>Preface</t>
  </si>
  <si>
    <t>support@settletop.com</t>
  </si>
  <si>
    <t>For More Information</t>
  </si>
  <si>
    <t>For more information about SettleTop products:</t>
  </si>
  <si>
    <t>https://www.settletop.com</t>
  </si>
  <si>
    <t>Introduction</t>
  </si>
  <si>
    <t xml:space="preserve">SetVIEW is a software quality scorecard solution that provides a 'high-level' assessment of a software asset by leveraging best of breed 3rd party tools. In doing so, SetVIEW provides a unified report with a holistic view of the quality of an organizations software assets across varying disciplines including, but not limited to, Application Security, Architecture Quality, Code Quality, Open Source Composition and Software Economics.
Key Quality Metrics (KQM) from each vendor tool and discipline are assessed and scored, using a proprietary algorithm, to benchmark and trend the results over time. The report provides an objective measure of risks within a given codebase.
This guide is intended for any individual responsible for monitoring software assets for changes in quality and health issues.  </t>
  </si>
  <si>
    <t>Overview</t>
  </si>
  <si>
    <t xml:space="preserve">This section provides high level information including the cumulative score, scoring at the discipline level (e.g. Security or Code Quality), Key Insights, and informative application level details, such as number of files, lines of code, application age, etc. </t>
  </si>
  <si>
    <t>Scoring</t>
  </si>
  <si>
    <t>Scoring Values</t>
  </si>
  <si>
    <t>Rating</t>
  </si>
  <si>
    <t>Score</t>
  </si>
  <si>
    <t>0-200</t>
  </si>
  <si>
    <t>Poor</t>
  </si>
  <si>
    <t>201-400</t>
  </si>
  <si>
    <t>401-600</t>
  </si>
  <si>
    <t>601-800</t>
  </si>
  <si>
    <t>801-1,000</t>
  </si>
  <si>
    <t>There are many factors to take into consideration when evaluating the quality of a software asset. For the purposes of the SetVIEW report, focus has been put on vendor tools which provide coverage for following areas or disciplines:
           •   Application Security 
           •   Architecture Quality 
           •   Code Quality 
           •   Open Source Composition 
           •   Software Economics</t>
  </si>
  <si>
    <t>Click here</t>
  </si>
  <si>
    <t>for further information regarding which 3rd party vendor tools were leveraged to generate this report.</t>
  </si>
  <si>
    <t xml:space="preserve">Application Security </t>
  </si>
  <si>
    <t xml:space="preserve">Architecture Quality </t>
  </si>
  <si>
    <t xml:space="preserve">Code Quality </t>
  </si>
  <si>
    <t xml:space="preserve">Open Source Composition </t>
  </si>
  <si>
    <t>Open source composition takes inventory of: the open source packages (OSP) found within the software asset; any known security vulnerabilities associated with the OSP; the license(s) the OSP is distributed under; and all out of date or expired OSPs.</t>
  </si>
  <si>
    <t>Tool</t>
  </si>
  <si>
    <t>Discipline</t>
  </si>
  <si>
    <t>Description</t>
  </si>
  <si>
    <t>FossID</t>
  </si>
  <si>
    <t>Open Source Composition</t>
  </si>
  <si>
    <t>Micro Focus</t>
  </si>
  <si>
    <t>Application Security</t>
  </si>
  <si>
    <t>Micro Focus Fortify is a static analysis tool used to pinpoint root causes of security vulnerabilities in source code.</t>
  </si>
  <si>
    <t>Silverthread</t>
  </si>
  <si>
    <t>Silverthread provides deep insight into the technical health of a specific system and explore both current and projected economic outcomes.</t>
  </si>
  <si>
    <t>SonarQube</t>
  </si>
  <si>
    <t>Code Quality</t>
  </si>
  <si>
    <t>SonarQube is a platform for inspection of code quality to perform automatic reviews with static analysis of code to detect bugs, code smells, and security vulnerabilities on 20+ programming languages.</t>
  </si>
  <si>
    <t>Term</t>
  </si>
  <si>
    <t>Definition</t>
  </si>
  <si>
    <t>Bug with a high probability to impact the behavior of the application in production: memory leak, unclosed JDBC connection, .... The code MUST be immediately fixed.</t>
  </si>
  <si>
    <t>An issue that represents something wrong in the code. If this has not broken yet, it will, and probably at the worst possible moment. This needs to be fixed. Yesterday.</t>
  </si>
  <si>
    <t>STIG severity code assigned to findings that allow primary security protections to be bypassed, allowing immediate access by unauthorized personnel or unauthorized assumption of super-user privileges. CAT I weaknesses must be corrected before an Authorization to Operate (ATO) is granted.</t>
  </si>
  <si>
    <t>STIG severity code assigned to findings that have a potential to lead to unauthorized system access or activity. CAT II findings can usually be mitigated and will not prevent an Authorization to Operate from being granted.</t>
  </si>
  <si>
    <t>STIG severity code assigned to recommendations that will improve IA posture but are not required for an authorization to operate.</t>
  </si>
  <si>
    <t>A maintainability-related issue in the code. Leaving it as-is means that at best maintainers will have a harder time than they should making changes to the code. At worst, they'll be so confused by the state of the code that they'll introduce additional errors as they make changes.</t>
  </si>
  <si>
    <t>Cognitive Complexity</t>
  </si>
  <si>
    <t>A measure of how difficult a unit of code is to intuitively understand.</t>
  </si>
  <si>
    <t>Copyleft</t>
  </si>
  <si>
    <t>Copyleft is a general method for making a program (or other work) free (in the sense of freedom, not “zero price”), and requiring all modified and extended versions of the program to be free as well.</t>
  </si>
  <si>
    <t>Core</t>
  </si>
  <si>
    <t>A Core is a cyclical group of files. Theoretically, a Core is any number of files n ≥ 2 in which the relationship of the system could be mapped as a self-contained loop.</t>
  </si>
  <si>
    <t>Either a bug with a low probability to impact the behavior of the application in production or an issue which represents a security flaw: empty catch block, SQL injection, ... The code MUST be immediately reviewed.</t>
  </si>
  <si>
    <t>Critical Cores are defined as Cores with 150+ files and have been proven to impose significant negative impacts on the codebase.</t>
  </si>
  <si>
    <t>Cyclomatic Complexity</t>
  </si>
  <si>
    <t>A calculation based on the number of paths through the code. Whenever the control flow of a function splits, the complexity counter gets incremented by one. Each function has a minimum complexity of 1. This calculation varies slightly by language because keywords and functionalities do.</t>
  </si>
  <si>
    <t>DISA</t>
  </si>
  <si>
    <t>Defense Information Systems Agency (DISA)</t>
  </si>
  <si>
    <t>Emerging Cores are defined as Cores containing 30-150 files and have been proven to cause some financial and developmental impact.</t>
  </si>
  <si>
    <t>Files with a Cyclomatic Complexity of 21 or greater.</t>
  </si>
  <si>
    <t>Neither a bug nor a quality flaw, just a finding.</t>
  </si>
  <si>
    <t>KQM</t>
  </si>
  <si>
    <t>Key Quality Metrics (KQM) are metrics deemed crucial in objectively measuring the quality of a software asset.</t>
  </si>
  <si>
    <t>Files with a Cyclomatic Complexity between 1-10.</t>
  </si>
  <si>
    <t>Quality flaw which can highly impact the developer productivity: uncovered piece of code, duplicated blocks, unused parameters, …</t>
  </si>
  <si>
    <t>Quality flaw which can slightly impact the developer productivity: lines should not be too long, "switch" statements should have at least 3 cases, …</t>
  </si>
  <si>
    <t>Open Web Application Security Project (OWASP) Top 10 is a standard awareness document for developers and web application security. It represents a broad consensus about the most critical security risks to web applications.</t>
  </si>
  <si>
    <t>Files with a Cyclomatic Complexity between 11-20.</t>
  </si>
  <si>
    <t>STIG</t>
  </si>
  <si>
    <t>Security Technical Implementation Guides (STIGs) are the configuration standards for DOD [information assurance, or IA] and IA-enabled devices/systems.</t>
  </si>
  <si>
    <t>A security-related issue which represents a backdoor for attackers.</t>
  </si>
  <si>
    <t>Weak Copyleft</t>
  </si>
  <si>
    <t>"Weak copyleft" licenses are generally used for the creation of software libraries, to allow other software to link to the library, and then be redistributed without the legal requirement for the work to be distributed under the library's copyleft license.</t>
  </si>
  <si>
    <t>Composite score</t>
  </si>
  <si>
    <t>Architectural Health</t>
  </si>
  <si>
    <t>Open Source</t>
  </si>
  <si>
    <t>Weighted Score</t>
  </si>
  <si>
    <t>Raw Score</t>
  </si>
  <si>
    <t>Scoring Weight</t>
  </si>
  <si>
    <t>Sanity Check</t>
  </si>
  <si>
    <t>Visual Dispersion</t>
  </si>
  <si>
    <t>Weight</t>
  </si>
  <si>
    <t>Default</t>
  </si>
  <si>
    <t>Unaccounted</t>
  </si>
  <si>
    <t>Security Score</t>
  </si>
  <si>
    <t>Raw</t>
  </si>
  <si>
    <t>OWASP</t>
  </si>
  <si>
    <t>%</t>
  </si>
  <si>
    <t>Pool</t>
  </si>
  <si>
    <t>Architectural Score</t>
  </si>
  <si>
    <t>Cores</t>
  </si>
  <si>
    <t>Economic Health</t>
  </si>
  <si>
    <t>Cores (Files)</t>
  </si>
  <si>
    <t>Cores (LOC)</t>
  </si>
  <si>
    <t>Emerging</t>
  </si>
  <si>
    <t xml:space="preserve"> % Files</t>
  </si>
  <si>
    <t>Files Outside of Cores</t>
  </si>
  <si>
    <t>LOC</t>
  </si>
  <si>
    <t xml:space="preserve"> % LOC</t>
  </si>
  <si>
    <t>Value</t>
  </si>
  <si>
    <t>Bench</t>
  </si>
  <si>
    <t>Diff</t>
  </si>
  <si>
    <t>Cost to produce feature</t>
  </si>
  <si>
    <t>Money wasted per additional $1M invested</t>
  </si>
  <si>
    <t>Days to develop feature</t>
  </si>
  <si>
    <t>Open Source Score</t>
  </si>
  <si>
    <t>No vulnerabilities</t>
  </si>
  <si>
    <t>Rank</t>
  </si>
  <si>
    <t>Code Quality Score</t>
  </si>
  <si>
    <t>Issue Score</t>
  </si>
  <si>
    <t>Complexity</t>
  </si>
  <si>
    <t>Duplication</t>
  </si>
  <si>
    <t>Cyclomatic</t>
  </si>
  <si>
    <t>Cognitive</t>
  </si>
  <si>
    <t>Duplicated Lines</t>
  </si>
  <si>
    <t>Duplicated Files</t>
  </si>
  <si>
    <t>Concept</t>
  </si>
  <si>
    <t>Languages</t>
  </si>
  <si>
    <t>N/A</t>
  </si>
  <si>
    <t># Devs</t>
  </si>
  <si>
    <t>Application Age</t>
  </si>
  <si>
    <t>Application Type</t>
  </si>
  <si>
    <t>Pool Size</t>
  </si>
  <si>
    <t>Lines of Code</t>
  </si>
  <si>
    <t>Lines</t>
  </si>
  <si>
    <t>Comment Lines</t>
  </si>
  <si>
    <t>Bug</t>
  </si>
  <si>
    <t>Vulnerability</t>
  </si>
  <si>
    <t>Code Smell</t>
  </si>
  <si>
    <t>Total:</t>
  </si>
  <si>
    <t>Duplicated Blocks</t>
  </si>
  <si>
    <t>Size</t>
  </si>
  <si>
    <t>Number of files:</t>
  </si>
  <si>
    <t>Lines of code (LOC):</t>
  </si>
  <si>
    <t>Average file size (LOC):</t>
  </si>
  <si>
    <t>Design Quality</t>
  </si>
  <si>
    <t>Files outside Cores</t>
  </si>
  <si>
    <t>Files potentially impacted by a single change</t>
  </si>
  <si>
    <t xml:space="preserve">LOC in files with high complexity: </t>
  </si>
  <si>
    <t>LOC in files with problematic complexity:</t>
  </si>
  <si>
    <t>Largest Core</t>
  </si>
  <si>
    <t>Economic Outcomes</t>
  </si>
  <si>
    <t>Predicted</t>
  </si>
  <si>
    <t>Optimal</t>
  </si>
  <si>
    <t>Bug to feature ratio (labor hours)</t>
  </si>
  <si>
    <t>Number of bugs released to customers (per year)</t>
  </si>
  <si>
    <t>High complexity:</t>
  </si>
  <si>
    <t>Medium complexity:</t>
  </si>
  <si>
    <t>Low complexity:</t>
  </si>
  <si>
    <t>Total Count</t>
  </si>
  <si>
    <t>Component</t>
  </si>
  <si>
    <t>OS Files</t>
  </si>
  <si>
    <t>Unique Licenses</t>
  </si>
  <si>
    <t># CVE</t>
  </si>
  <si>
    <t># Components</t>
  </si>
  <si>
    <t># Files</t>
  </si>
  <si>
    <t>Top 5 Licenses (by component count)</t>
  </si>
  <si>
    <t>#</t>
  </si>
  <si>
    <t>OWASP_Top10</t>
  </si>
  <si>
    <t>A1 Injection</t>
  </si>
  <si>
    <t>A2 Broken Authentication</t>
  </si>
  <si>
    <t>A3 Sensitive Data Exposure</t>
  </si>
  <si>
    <t>A4 XML External Entities (XXE)</t>
  </si>
  <si>
    <t>A5 Broken Access Control</t>
  </si>
  <si>
    <t>A6 Security Misconfiguration</t>
  </si>
  <si>
    <t>A7 Cross-Site Scripting (XSS)</t>
  </si>
  <si>
    <t>A8 Insecure Deserialization</t>
  </si>
  <si>
    <t>A9 Using Components with Known Vulnerabilities</t>
  </si>
  <si>
    <t>A10 Insufficient Logging and Monitoring</t>
  </si>
  <si>
    <t>DISA STIG Raw Score</t>
  </si>
  <si>
    <t>OWASP Top 10 Raw Score</t>
  </si>
  <si>
    <t>Architecture Quality</t>
  </si>
  <si>
    <t>Architectural Quality</t>
  </si>
  <si>
    <t xml:space="preserve">The SetVIEW score is calculated using the SettleTop Software Quality Scorecard. Scores will fall between 0 and 1,000, where 1,000 represents an optimal software asset, with no evidence of risk found across any of the analysis tools. </t>
  </si>
  <si>
    <t>Disciplines and Vendor Tools</t>
  </si>
  <si>
    <t>Bugs added</t>
  </si>
  <si>
    <t>If you have questions or comments about using this product, contact SettleTop support by email using the following email address:</t>
  </si>
  <si>
    <t>Understanding the Report</t>
  </si>
  <si>
    <t xml:space="preserve">The ‘Overall Score' is a composite of the scores from each of the disciplines, where each metric is assessed both individually, as well as its implications on the software asset as a whole. </t>
  </si>
  <si>
    <t xml:space="preserve">Economic Health is the measurement of the cost to maintain or build upon a software asset. </t>
  </si>
  <si>
    <t>Application Security encompasses measures taken to improve the security of an application often by finding, fixing, and preventing security vulnerabilities.</t>
  </si>
  <si>
    <t>Architecture Quality considers the modularity, cyclicality, and complexity of a software asset to determine potential growing pains and maintainability issues.</t>
  </si>
  <si>
    <t>Code Quality refers to how well written the code is. Major contributing factors to code quality include the number of bugs, security vulnerabilities and code smells, file/application complexity and code duplication.</t>
  </si>
  <si>
    <t>FossID is a Software Composition Analysis tool that scans your code for open source licenses and vulnerabilities and gives you full transparency and control of your software products and services.</t>
  </si>
  <si>
    <t>Architecture Quality
Economic Health</t>
  </si>
  <si>
    <t>Version</t>
  </si>
  <si>
    <t>20.1.2</t>
  </si>
  <si>
    <t>OWASP Top Ten 2017</t>
  </si>
  <si>
    <t>Matches</t>
  </si>
  <si>
    <t>Application Security and Development STIG, version 4.9</t>
  </si>
  <si>
    <t>v1.21</t>
  </si>
  <si>
    <t>Disclaimer</t>
  </si>
  <si>
    <t>This report is provided "as is" without any guarantee, representation, condition or warranty of any kind, either express, implied or statutory.  SettleTop assumes no liability with respect to any reliance you place in this report. If you rely on this report, you assume the entire risk as to its accuracy, currency or completeness.   SettleTop does not provide legal advice or perform legal analysis, and all license annotations or similar features in this report are provided only for convenience.</t>
  </si>
  <si>
    <t>Factor</t>
  </si>
  <si>
    <t>Detractor</t>
  </si>
  <si>
    <t>Divisor</t>
  </si>
  <si>
    <t>MIT License</t>
  </si>
  <si>
    <t>Apache License 2.0</t>
  </si>
  <si>
    <t>% of bug LOC discovered or added per feature LOC</t>
  </si>
  <si>
    <r>
      <t xml:space="preserve">Risk
</t>
    </r>
    <r>
      <rPr>
        <sz val="8"/>
        <color rgb="FFFFFFFF"/>
        <rFont val="Yu Gothic UI Light"/>
        <family val="2"/>
        <charset val="1"/>
      </rPr>
      <t>% of bug LOC discovered or added per feature LOC</t>
    </r>
  </si>
  <si>
    <t>Core %</t>
  </si>
  <si>
    <t>Cores Totals</t>
  </si>
  <si>
    <t>Codename One</t>
  </si>
  <si>
    <t>Java</t>
  </si>
  <si>
    <t>GPL v2.0</t>
  </si>
  <si>
    <t>Development Tool</t>
  </si>
  <si>
    <t>Codename One LTD</t>
  </si>
  <si>
    <t>8 Years</t>
  </si>
  <si>
    <t>GNU General Public License v2.0 only</t>
  </si>
  <si>
    <t>BSD 2-clause 'Simplified' License</t>
  </si>
  <si>
    <t>BSD 3-clause Clear License</t>
  </si>
  <si>
    <t xml:space="preserve">• Address 2,104 critical and high DISA STIG and OWASP Top 10 issues
• Address 4,824 blocker, critical and major coding violations </t>
  </si>
  <si>
    <t>• 1 critical and 2 emerging cores found 
• Cores contain over 14% of the total files
• Cores contain nearly 32% of the total lines of code</t>
  </si>
  <si>
    <t>• 78% of every dollar invested is wasted
• Cost to develop a feature is ~2.5 times as much as that of benchmark projects</t>
  </si>
  <si>
    <t>Cognitive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</si>
</sst>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d\-mmm\-yy"/>
    <numFmt numFmtId="165" formatCode="[$-409]mmmm\ d&quot;, &quot;yyyy;@"/>
    <numFmt numFmtId="166" formatCode="0.0"/>
    <numFmt numFmtId="167" formatCode="\$#,##0"/>
    <numFmt numFmtId="168" formatCode="_(* #,##0.00_);_(* \(#,##0.00\);_(* \-??_);_(@_)"/>
    <numFmt numFmtId="169" formatCode="0.0%"/>
    <numFmt numFmtId="170" formatCode="[$-F800]dddd&quot;, &quot;mmmm\ dd&quot;, &quot;yyyy"/>
    <numFmt numFmtId="171" formatCode="_(* #,##0_);_(* \(#,##0\);_(* \-??_);_(@_)"/>
  </numFmts>
  <fonts count="67">
    <font>
      <sz val="11"/>
      <color rgb="FF000000"/>
      <name val="Calibri"/>
      <family val="2"/>
      <charset val="1"/>
    </font>
    <font>
      <sz val="11"/>
      <color rgb="FF000000"/>
      <name val="Avenir Light"/>
      <family val="2"/>
      <charset val="1"/>
    </font>
    <font>
      <sz val="28"/>
      <color rgb="FFD69E00"/>
      <name val="Yu Gothic UI Regular"/>
      <charset val="1"/>
    </font>
    <font>
      <sz val="26"/>
      <color rgb="FFD69E00"/>
      <name val="Yu Gothic UI Regular"/>
      <charset val="1"/>
    </font>
    <font>
      <sz val="11"/>
      <color rgb="FF000000"/>
      <name val="Yu Gothic UI Light"/>
      <family val="2"/>
      <charset val="1"/>
    </font>
    <font>
      <sz val="11"/>
      <color rgb="FF000000"/>
      <name val="Yu Gothic UI Semibold"/>
      <family val="2"/>
      <charset val="1"/>
    </font>
    <font>
      <sz val="18"/>
      <color rgb="FFFFFFFF"/>
      <name val="Yu Gothic UI Bold"/>
      <charset val="1"/>
    </font>
    <font>
      <b/>
      <sz val="12"/>
      <color rgb="FFFFFFFF"/>
      <name val="Yu Gothic UI Semilight"/>
      <family val="2"/>
      <charset val="1"/>
    </font>
    <font>
      <b/>
      <sz val="12"/>
      <color rgb="FFFFFFFF"/>
      <name val="Yu Gothic UI Semibold"/>
      <family val="2"/>
      <charset val="1"/>
    </font>
    <font>
      <sz val="10"/>
      <color rgb="FF000000"/>
      <name val="Yu Gothic UI Light"/>
      <family val="2"/>
      <charset val="1"/>
    </font>
    <font>
      <sz val="9"/>
      <color rgb="FF000000"/>
      <name val="Yu Gothic UI Light"/>
      <family val="2"/>
      <charset val="1"/>
    </font>
    <font>
      <sz val="9"/>
      <color rgb="FF000000"/>
      <name val="Yu Gothic UI Semibold"/>
      <family val="2"/>
      <charset val="1"/>
    </font>
    <font>
      <b/>
      <sz val="9"/>
      <color rgb="FF000000"/>
      <name val="Yu Gothic UI Light"/>
      <family val="2"/>
      <charset val="1"/>
    </font>
    <font>
      <sz val="9"/>
      <color rgb="FF000000"/>
      <name val="Avenir Light"/>
      <family val="2"/>
      <charset val="1"/>
    </font>
    <font>
      <sz val="8"/>
      <color rgb="FF000000"/>
      <name val="Yu Gothic UI Light"/>
      <family val="2"/>
      <charset val="1"/>
    </font>
    <font>
      <sz val="12"/>
      <color rgb="FFFFFFFF"/>
      <name val="Yu Gothic UI Semibold"/>
      <family val="2"/>
      <charset val="1"/>
    </font>
    <font>
      <sz val="8"/>
      <color rgb="FFFFFFFF"/>
      <name val="Yu Gothic UI Light"/>
      <family val="2"/>
      <charset val="1"/>
    </font>
    <font>
      <sz val="11"/>
      <color rgb="FFFFFFFF"/>
      <name val="Yu Gothic UI Light"/>
      <family val="2"/>
      <charset val="1"/>
    </font>
    <font>
      <sz val="5"/>
      <color rgb="FFFFFFFF"/>
      <name val="Yu Gothic UI Semibold"/>
      <family val="2"/>
      <charset val="1"/>
    </font>
    <font>
      <sz val="5"/>
      <color rgb="FFFFFFFF"/>
      <name val="Yu Gothic UI Light"/>
      <family val="2"/>
      <charset val="1"/>
    </font>
    <font>
      <sz val="9"/>
      <color rgb="FFFFFFFF"/>
      <name val="Yu Gothic UI Light"/>
      <family val="2"/>
      <charset val="1"/>
    </font>
    <font>
      <sz val="5"/>
      <color rgb="FFFFFFFF"/>
      <name val="Yu Gothic UI Semilight"/>
      <family val="2"/>
      <charset val="1"/>
    </font>
    <font>
      <sz val="36"/>
      <color rgb="FFD69E00"/>
      <name val="Calibri"/>
      <family val="2"/>
      <charset val="1"/>
    </font>
    <font>
      <sz val="24"/>
      <color rgb="FFD69E00"/>
      <name val="Calibri"/>
      <family val="2"/>
      <charset val="1"/>
    </font>
    <font>
      <sz val="20"/>
      <color rgb="FFD69E00"/>
      <name val="Calibri"/>
      <family val="2"/>
      <charset val="1"/>
    </font>
    <font>
      <u/>
      <sz val="11"/>
      <color rgb="FF0563C1"/>
      <name val="Calibri"/>
      <family val="2"/>
      <charset val="1"/>
    </font>
    <font>
      <sz val="14"/>
      <color rgb="FFD69E00"/>
      <name val="Calibri"/>
      <family val="2"/>
      <charset val="1"/>
    </font>
    <font>
      <b/>
      <sz val="11"/>
      <color rgb="FFFFFFFF"/>
      <name val="Calibri"/>
      <family val="2"/>
      <charset val="1"/>
    </font>
    <font>
      <b/>
      <u/>
      <sz val="11"/>
      <color rgb="FF0563C1"/>
      <name val="Calibri"/>
      <family val="2"/>
      <charset val="1"/>
    </font>
    <font>
      <sz val="11"/>
      <color rgb="FFD69E00"/>
      <name val="Calibri"/>
      <family val="2"/>
      <charset val="1"/>
    </font>
    <font>
      <sz val="14"/>
      <color rgb="FF000000"/>
      <name val="Calibri"/>
      <family val="2"/>
      <charset val="1"/>
    </font>
    <font>
      <b/>
      <sz val="24"/>
      <color rgb="FF000000"/>
      <name val="Calibri"/>
      <family val="2"/>
      <charset val="1"/>
    </font>
    <font>
      <sz val="36"/>
      <color rgb="FF000000"/>
      <name val="Calibri"/>
      <family val="2"/>
      <charset val="1"/>
    </font>
    <font>
      <b/>
      <sz val="18"/>
      <color rgb="FF000000"/>
      <name val="Calibri"/>
      <family val="2"/>
      <charset val="1"/>
    </font>
    <font>
      <b/>
      <sz val="16"/>
      <color rgb="FF000000"/>
      <name val="Calibri"/>
      <family val="2"/>
      <charset val="1"/>
    </font>
    <font>
      <b/>
      <sz val="14"/>
      <color rgb="FF000000"/>
      <name val="Calibri"/>
      <family val="2"/>
      <charset val="1"/>
    </font>
    <font>
      <b/>
      <sz val="11"/>
      <color rgb="FF000000"/>
      <name val="Calibri"/>
      <family val="2"/>
      <charset val="1"/>
    </font>
    <font>
      <sz val="26"/>
      <color rgb="FF000000"/>
      <name val="Calibri"/>
      <family val="2"/>
      <charset val="1"/>
    </font>
    <font>
      <sz val="28"/>
      <color rgb="FF000000"/>
      <name val="Calibri"/>
      <family val="2"/>
      <charset val="1"/>
    </font>
    <font>
      <b/>
      <sz val="11"/>
      <color rgb="FF000000"/>
      <name val="Arial"/>
      <family val="2"/>
      <charset val="1"/>
    </font>
    <font>
      <sz val="18"/>
      <color rgb="FF000000"/>
      <name val="Calibri"/>
      <family val="2"/>
      <charset val="1"/>
    </font>
    <font>
      <b/>
      <sz val="9"/>
      <color rgb="FF000000"/>
      <name val="Tahoma"/>
      <family val="2"/>
      <charset val="1"/>
    </font>
    <font>
      <sz val="9"/>
      <color rgb="FF000000"/>
      <name val="Tahoma"/>
      <family val="2"/>
      <charset val="1"/>
    </font>
    <font>
      <b/>
      <i/>
      <sz val="48"/>
      <color rgb="FF000000"/>
      <name val="Yu Gothic UI Semilight"/>
      <family val="2"/>
      <charset val="1"/>
    </font>
    <font>
      <i/>
      <sz val="36"/>
      <color rgb="FF000000"/>
      <name val="Calibri"/>
      <family val="2"/>
      <charset val="1"/>
    </font>
    <font>
      <sz val="9"/>
      <color rgb="FF000000"/>
      <name val="Arial"/>
      <family val="2"/>
      <charset val="1"/>
    </font>
    <font>
      <sz val="11"/>
      <color rgb="FF000000"/>
      <name val="Calibri"/>
      <family val="2"/>
      <charset val="1"/>
    </font>
    <font>
      <sz val="11"/>
      <color theme="1"/>
      <name val="Yu Gothic UI Semibold"/>
      <family val="2"/>
    </font>
    <font>
      <b/>
      <sz val="11"/>
      <color theme="0"/>
      <name val="Yu Gothic UI Semibold"/>
      <family val="2"/>
    </font>
    <font>
      <b/>
      <sz val="9"/>
      <color rgb="FF000000"/>
      <name val="Yu Gothic UI Semibold"/>
      <family val="2"/>
    </font>
    <font>
      <sz val="9"/>
      <color rgb="FF000000"/>
      <name val="Yu Gothic UI Semibold"/>
      <family val="2"/>
    </font>
    <font>
      <sz val="10"/>
      <color rgb="FF000000"/>
      <name val="Yu Gothic UI Semibold"/>
      <family val="2"/>
    </font>
    <font>
      <b/>
      <sz val="9"/>
      <name val="Yu Gothic UI Semibold"/>
      <family val="2"/>
    </font>
    <font>
      <sz val="11"/>
      <color rgb="FF000000"/>
      <name val="Yu Gothic UI Semibold"/>
      <family val="2"/>
    </font>
    <font>
      <sz val="9.5"/>
      <color rgb="FF000000"/>
      <name val="Yu Gothic UI Semibold"/>
      <family val="2"/>
    </font>
    <font>
      <sz val="6"/>
      <color rgb="FF000000"/>
      <name val="Yu Gothic UI Semibold"/>
      <family val="2"/>
    </font>
    <font>
      <sz val="12"/>
      <color rgb="FFFFFFFF"/>
      <name val="Yu Gothic UI Semibold"/>
      <family val="2"/>
    </font>
    <font>
      <sz val="11"/>
      <color rgb="FFFFFFFF"/>
      <name val="Yu Gothic UI Semibold"/>
      <family val="2"/>
    </font>
    <font>
      <sz val="16"/>
      <color rgb="FF000000"/>
      <name val="Yu Gothic UI Semibold"/>
      <family val="2"/>
    </font>
    <font>
      <b/>
      <sz val="12"/>
      <color rgb="FFFFFFFF"/>
      <name val="Yu Gothic UI Semibold"/>
      <family val="2"/>
    </font>
    <font>
      <sz val="48"/>
      <color rgb="FF000000"/>
      <name val="Yu Gothic UI Semibold"/>
      <family val="2"/>
    </font>
    <font>
      <sz val="22"/>
      <color rgb="FF000000"/>
      <name val="Yu Gothic UI Semibold"/>
      <family val="2"/>
    </font>
    <font>
      <sz val="20"/>
      <color theme="1"/>
      <name val="Yu Gothic UI Semibold"/>
      <family val="2"/>
    </font>
    <font>
      <sz val="12"/>
      <color theme="1"/>
      <name val="Yu Gothic UI Semibold"/>
      <family val="2"/>
    </font>
    <font>
      <b/>
      <sz val="11"/>
      <color rgb="FF000000"/>
      <name val="Calibri"/>
      <family val="2"/>
    </font>
    <font>
      <sz val="11"/>
      <color rgb="FF000000"/>
      <name val="Calibri"/>
      <family val="2"/>
    </font>
    <font>
      <sz val="10"/>
      <color rgb="FF444444"/>
      <name val="Segoe UI"/>
      <family val="2"/>
    </font>
  </fonts>
  <fills count="45">
    <fill>
      <patternFill patternType="none"/>
    </fill>
    <fill>
      <patternFill patternType="gray125"/>
    </fill>
    <fill>
      <patternFill patternType="solid">
        <fgColor rgb="FFFFFFFF"/>
        <bgColor rgb="FFF2F2F2"/>
      </patternFill>
    </fill>
    <fill>
      <patternFill patternType="solid">
        <fgColor rgb="FF43546A"/>
        <bgColor rgb="FF44546A"/>
      </patternFill>
    </fill>
    <fill>
      <patternFill patternType="solid">
        <fgColor rgb="FF808080"/>
        <bgColor rgb="FF8B8B8B"/>
      </patternFill>
    </fill>
    <fill>
      <patternFill patternType="solid">
        <fgColor rgb="FFF26B16"/>
        <bgColor rgb="FFF4682A"/>
      </patternFill>
    </fill>
    <fill>
      <patternFill patternType="solid">
        <fgColor rgb="FFF2F2F2"/>
        <bgColor rgb="FFE2F0D9"/>
      </patternFill>
    </fill>
    <fill>
      <patternFill patternType="solid">
        <fgColor rgb="FFD9D9D9"/>
        <bgColor rgb="FFD0CECE"/>
      </patternFill>
    </fill>
    <fill>
      <patternFill patternType="solid">
        <fgColor rgb="FFFED86F"/>
        <bgColor rgb="FFFEDA6F"/>
      </patternFill>
    </fill>
    <fill>
      <patternFill patternType="solid">
        <fgColor rgb="FFB4C7E7"/>
        <bgColor rgb="FFBDD7EE"/>
      </patternFill>
    </fill>
    <fill>
      <patternFill patternType="solid">
        <fgColor rgb="FFF8CBAD"/>
        <bgColor rgb="FFFFE699"/>
      </patternFill>
    </fill>
    <fill>
      <patternFill patternType="solid">
        <fgColor rgb="FFE0B3FF"/>
        <bgColor rgb="FFEBCDFF"/>
      </patternFill>
    </fill>
    <fill>
      <patternFill patternType="solid">
        <fgColor rgb="FFC5E0B4"/>
        <bgColor rgb="FFD9D9D9"/>
      </patternFill>
    </fill>
    <fill>
      <patternFill patternType="solid">
        <fgColor rgb="FFDAE3F3"/>
        <bgColor rgb="FFD9D9D9"/>
      </patternFill>
    </fill>
    <fill>
      <patternFill patternType="solid">
        <fgColor rgb="FFFBE5D6"/>
        <bgColor rgb="FFF2F2F2"/>
      </patternFill>
    </fill>
    <fill>
      <patternFill patternType="solid">
        <fgColor rgb="FFEBCDFF"/>
        <bgColor rgb="FFD9D9D9"/>
      </patternFill>
    </fill>
    <fill>
      <patternFill patternType="solid">
        <fgColor rgb="FFE2F0D9"/>
        <bgColor rgb="FFF2F2F2"/>
      </patternFill>
    </fill>
    <fill>
      <patternFill patternType="solid">
        <fgColor rgb="FFFFFFCC"/>
        <bgColor rgb="FFFFFFFF"/>
      </patternFill>
    </fill>
    <fill>
      <patternFill patternType="solid">
        <fgColor rgb="FFA6A6A6"/>
        <bgColor rgb="FFA5A5A5"/>
      </patternFill>
    </fill>
    <fill>
      <patternFill patternType="solid">
        <fgColor rgb="FFED1C24"/>
        <bgColor rgb="FFFF0000"/>
      </patternFill>
    </fill>
    <fill>
      <patternFill patternType="solid">
        <fgColor rgb="FFFF7800"/>
        <bgColor rgb="FFF26B16"/>
      </patternFill>
    </fill>
    <fill>
      <patternFill patternType="solid">
        <fgColor rgb="FFF6AA58"/>
        <bgColor rgb="FFFFA244"/>
      </patternFill>
    </fill>
    <fill>
      <patternFill patternType="solid">
        <fgColor rgb="FFEEC845"/>
        <bgColor rgb="FFFFD966"/>
      </patternFill>
    </fill>
    <fill>
      <patternFill patternType="solid">
        <fgColor rgb="FFBFBFBF"/>
        <bgColor rgb="FFD0CECE"/>
      </patternFill>
    </fill>
    <fill>
      <patternFill patternType="solid">
        <fgColor rgb="FFFF0000"/>
        <bgColor rgb="FFED1C24"/>
      </patternFill>
    </fill>
    <fill>
      <patternFill patternType="solid">
        <fgColor rgb="FFD0CECE"/>
        <bgColor rgb="FFD9D9D9"/>
      </patternFill>
    </fill>
    <fill>
      <patternFill patternType="solid">
        <fgColor rgb="FFFFE699"/>
        <bgColor rgb="FFFEDA6F"/>
      </patternFill>
    </fill>
    <fill>
      <patternFill patternType="solid">
        <fgColor rgb="FFBDD7EE"/>
        <bgColor rgb="FFB4C7E7"/>
      </patternFill>
    </fill>
    <fill>
      <patternFill patternType="solid">
        <fgColor rgb="FF0D0D0D"/>
        <bgColor rgb="FF000000"/>
      </patternFill>
    </fill>
    <fill>
      <patternFill patternType="solid">
        <fgColor rgb="FFFFD966"/>
        <bgColor rgb="FFFED86F"/>
      </patternFill>
    </fill>
    <fill>
      <patternFill patternType="solid">
        <fgColor rgb="FFFFC000"/>
        <bgColor rgb="FFEEC845"/>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72AC4D"/>
        <bgColor indexed="64"/>
      </patternFill>
    </fill>
    <fill>
      <patternFill patternType="solid">
        <fgColor theme="0" tint="-0.499984740745262"/>
        <bgColor indexed="64"/>
      </patternFill>
    </fill>
    <fill>
      <patternFill patternType="solid">
        <fgColor rgb="FFF26B16"/>
        <bgColor indexed="64"/>
      </patternFill>
    </fill>
    <fill>
      <patternFill patternType="solid">
        <fgColor theme="0"/>
        <bgColor rgb="FFF2F2F2"/>
      </patternFill>
    </fill>
    <fill>
      <patternFill patternType="solid">
        <fgColor theme="1"/>
        <bgColor rgb="FFF2F2F2"/>
      </patternFill>
    </fill>
    <fill>
      <patternFill patternType="solid">
        <fgColor theme="3" tint="0.39997558519241921"/>
        <bgColor rgb="FFFFE699"/>
      </patternFill>
    </fill>
    <fill>
      <patternFill patternType="solid">
        <fgColor theme="3" tint="0.59999389629810485"/>
        <bgColor rgb="FFF2F2F2"/>
      </patternFill>
    </fill>
    <fill>
      <patternFill patternType="solid">
        <fgColor theme="3" tint="0.39997558519241921"/>
        <bgColor rgb="FFD9D9D9"/>
      </patternFill>
    </fill>
    <fill>
      <patternFill patternType="solid">
        <fgColor theme="0" tint="-0.14999847407452621"/>
        <bgColor rgb="FFD9D9D9"/>
      </patternFill>
    </fill>
    <fill>
      <patternFill patternType="solid">
        <fgColor theme="0" tint="-4.9989318521683403E-2"/>
        <bgColor indexed="64"/>
      </patternFill>
    </fill>
    <fill>
      <patternFill patternType="solid">
        <fgColor rgb="FFFFFFCC"/>
        <bgColor rgb="FFF2F2F2"/>
      </patternFill>
    </fill>
  </fills>
  <borders count="49">
    <border>
      <left/>
      <right/>
      <top/>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right/>
      <top/>
      <bottom style="thin">
        <color rgb="FFA6A6A6"/>
      </bottom>
      <diagonal/>
    </border>
    <border>
      <left/>
      <right/>
      <top style="thin">
        <color rgb="FFA6A6A6"/>
      </top>
      <bottom style="thin">
        <color rgb="FFA6A6A6"/>
      </bottom>
      <diagonal/>
    </border>
    <border>
      <left/>
      <right/>
      <top/>
      <bottom style="thin">
        <color rgb="FFAFABAB"/>
      </bottom>
      <diagonal/>
    </border>
    <border>
      <left style="thin">
        <color rgb="FFA6A6A6"/>
      </left>
      <right style="thin">
        <color rgb="FFA6A6A6"/>
      </right>
      <top style="thin">
        <color rgb="FFA6A6A6"/>
      </top>
      <bottom style="thin">
        <color rgb="FFA6A6A6"/>
      </bottom>
      <diagonal/>
    </border>
    <border>
      <left style="thin">
        <color rgb="FFA6A6A6"/>
      </left>
      <right/>
      <top/>
      <bottom style="thin">
        <color rgb="FFA6A6A6"/>
      </bottom>
      <diagonal/>
    </border>
    <border>
      <left/>
      <right style="thin">
        <color rgb="FFA6A6A6"/>
      </right>
      <top/>
      <bottom style="thin">
        <color rgb="FFA6A6A6"/>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style="thin">
        <color rgb="FF808080"/>
      </right>
      <top style="thin">
        <color rgb="FF808080"/>
      </top>
      <bottom style="thin">
        <color rgb="FF808080"/>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medium">
        <color auto="1"/>
      </top>
      <bottom style="medium">
        <color auto="1"/>
      </bottom>
      <diagonal/>
    </border>
    <border>
      <left style="thin">
        <color theme="0" tint="-0.34998626667073579"/>
      </left>
      <right style="thin">
        <color rgb="FFA6A6A6"/>
      </right>
      <top style="thin">
        <color theme="0" tint="-0.34998626667073579"/>
      </top>
      <bottom/>
      <diagonal/>
    </border>
    <border>
      <left style="thin">
        <color rgb="FFA6A6A6"/>
      </left>
      <right style="thin">
        <color rgb="FFA6A6A6"/>
      </right>
      <top style="thin">
        <color theme="0" tint="-0.34998626667073579"/>
      </top>
      <bottom/>
      <diagonal/>
    </border>
    <border>
      <left style="thin">
        <color rgb="FFA6A6A6"/>
      </left>
      <right style="thin">
        <color theme="0" tint="-0.34998626667073579"/>
      </right>
      <top style="thin">
        <color theme="0" tint="-0.34998626667073579"/>
      </top>
      <bottom/>
      <diagonal/>
    </border>
    <border>
      <left style="thin">
        <color theme="0" tint="-0.34998626667073579"/>
      </left>
      <right style="thin">
        <color rgb="FFA6A6A6"/>
      </right>
      <top/>
      <bottom style="thin">
        <color rgb="FFA6A6A6"/>
      </bottom>
      <diagonal/>
    </border>
    <border>
      <left style="thin">
        <color rgb="FFA6A6A6"/>
      </left>
      <right style="thin">
        <color theme="0" tint="-0.34998626667073579"/>
      </right>
      <top/>
      <bottom style="thin">
        <color rgb="FFA6A6A6"/>
      </bottom>
      <diagonal/>
    </border>
    <border>
      <left style="thin">
        <color theme="0" tint="-0.34998626667073579"/>
      </left>
      <right style="thin">
        <color rgb="FFA6A6A6"/>
      </right>
      <top/>
      <bottom style="thin">
        <color theme="0" tint="-0.34998626667073579"/>
      </bottom>
      <diagonal/>
    </border>
    <border>
      <left style="thin">
        <color rgb="FFA6A6A6"/>
      </left>
      <right style="thin">
        <color rgb="FFA6A6A6"/>
      </right>
      <top/>
      <bottom style="thin">
        <color theme="0" tint="-0.34998626667073579"/>
      </bottom>
      <diagonal/>
    </border>
    <border>
      <left style="thin">
        <color rgb="FFA6A6A6"/>
      </left>
      <right style="thin">
        <color theme="0" tint="-0.34998626667073579"/>
      </right>
      <top/>
      <bottom style="thin">
        <color theme="0" tint="-0.34998626667073579"/>
      </bottom>
      <diagonal/>
    </border>
  </borders>
  <cellStyleXfs count="4">
    <xf numFmtId="0" fontId="0" fillId="0" borderId="0"/>
    <xf numFmtId="168" fontId="46" fillId="0" borderId="0" applyBorder="0" applyProtection="0"/>
    <xf numFmtId="9" fontId="46" fillId="0" borderId="0" applyBorder="0" applyProtection="0"/>
    <xf numFmtId="0" fontId="25" fillId="0" borderId="0" applyBorder="0" applyProtection="0"/>
  </cellStyleXfs>
  <cellXfs count="508">
    <xf numFmtId="0" fontId="0" fillId="0" borderId="0" xfId="0"/>
    <xf numFmtId="0" fontId="1" fillId="2" borderId="0" xfId="0" applyFont="1" applyFill="1"/>
    <xf numFmtId="0" fontId="1" fillId="0" borderId="0" xfId="0" applyFont="1"/>
    <xf numFmtId="0" fontId="1" fillId="2" borderId="0" xfId="0" applyFont="1" applyFill="1"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4" fillId="2" borderId="0" xfId="0" applyFont="1" applyFill="1" applyAlignment="1">
      <alignment horizontal="center" vertical="center" wrapText="1"/>
    </xf>
    <xf numFmtId="0" fontId="4" fillId="2" borderId="5" xfId="0" applyFont="1" applyFill="1" applyBorder="1" applyAlignment="1">
      <alignment horizontal="center" vertical="center" wrapText="1"/>
    </xf>
    <xf numFmtId="0" fontId="1" fillId="2" borderId="0" xfId="0" applyFont="1" applyFill="1" applyAlignment="1"/>
    <xf numFmtId="0" fontId="1" fillId="2" borderId="4" xfId="0" applyFont="1" applyFill="1" applyBorder="1" applyAlignment="1"/>
    <xf numFmtId="0" fontId="1" fillId="2" borderId="0" xfId="0" applyFont="1" applyFill="1" applyBorder="1" applyAlignment="1"/>
    <xf numFmtId="0" fontId="1" fillId="2" borderId="5" xfId="0" applyFont="1" applyFill="1" applyBorder="1" applyAlignment="1"/>
    <xf numFmtId="0" fontId="1" fillId="0" borderId="0" xfId="0" applyFont="1" applyAlignment="1"/>
    <xf numFmtId="0" fontId="1" fillId="2" borderId="0" xfId="0" applyFont="1" applyFill="1" applyAlignment="1">
      <alignment horizontal="center" vertical="center"/>
    </xf>
    <xf numFmtId="0" fontId="7" fillId="2" borderId="4"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5" xfId="0" applyFont="1" applyFill="1" applyBorder="1" applyAlignment="1">
      <alignment horizontal="center" vertical="center"/>
    </xf>
    <xf numFmtId="0" fontId="1" fillId="0" borderId="0" xfId="0" applyFont="1" applyAlignment="1">
      <alignment horizontal="center" vertical="center"/>
    </xf>
    <xf numFmtId="0" fontId="1" fillId="2" borderId="4" xfId="0" applyFont="1" applyFill="1" applyBorder="1"/>
    <xf numFmtId="0" fontId="9" fillId="2" borderId="0" xfId="0" applyFont="1" applyFill="1" applyAlignment="1">
      <alignment horizontal="center" vertical="center" wrapText="1"/>
    </xf>
    <xf numFmtId="0" fontId="1" fillId="0" borderId="4" xfId="0" applyFont="1" applyBorder="1"/>
    <xf numFmtId="0" fontId="1" fillId="2" borderId="0" xfId="0" applyFont="1" applyFill="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0" borderId="0" xfId="0" applyFont="1" applyAlignment="1">
      <alignment vertical="center"/>
    </xf>
    <xf numFmtId="0" fontId="10" fillId="6" borderId="0" xfId="0" applyFont="1" applyFill="1" applyBorder="1" applyAlignment="1"/>
    <xf numFmtId="0" fontId="11" fillId="6" borderId="0" xfId="0" applyFont="1" applyFill="1" applyBorder="1" applyAlignment="1">
      <alignment horizontal="right"/>
    </xf>
    <xf numFmtId="0" fontId="10" fillId="2" borderId="0" xfId="0" applyFont="1" applyFill="1"/>
    <xf numFmtId="3" fontId="11" fillId="0" borderId="10" xfId="0" applyNumberFormat="1" applyFont="1" applyBorder="1" applyAlignment="1">
      <alignment horizontal="left" vertical="center"/>
    </xf>
    <xf numFmtId="0" fontId="11" fillId="2" borderId="8" xfId="0" applyFont="1" applyFill="1" applyBorder="1" applyAlignment="1">
      <alignment vertical="center"/>
    </xf>
    <xf numFmtId="0" fontId="11" fillId="2" borderId="8" xfId="0" applyFont="1" applyFill="1" applyBorder="1" applyAlignment="1">
      <alignment horizontal="right" vertical="center"/>
    </xf>
    <xf numFmtId="0" fontId="11" fillId="0" borderId="10" xfId="0" applyFont="1" applyBorder="1" applyAlignment="1">
      <alignment horizontal="left" vertical="center"/>
    </xf>
    <xf numFmtId="0" fontId="13" fillId="2" borderId="10" xfId="0" applyFont="1" applyFill="1" applyBorder="1" applyAlignment="1"/>
    <xf numFmtId="0" fontId="4" fillId="2" borderId="0" xfId="0" applyFont="1" applyFill="1" applyBorder="1" applyAlignment="1"/>
    <xf numFmtId="0" fontId="4" fillId="2" borderId="0" xfId="0" applyFont="1" applyFill="1"/>
    <xf numFmtId="0" fontId="4" fillId="2" borderId="4" xfId="0" applyFont="1" applyFill="1" applyBorder="1"/>
    <xf numFmtId="0" fontId="11" fillId="6" borderId="0" xfId="0" applyFont="1" applyFill="1" applyBorder="1" applyAlignment="1">
      <alignment horizontal="right" vertical="center"/>
    </xf>
    <xf numFmtId="0" fontId="10" fillId="2" borderId="0" xfId="0" applyFont="1" applyFill="1" applyBorder="1" applyAlignment="1"/>
    <xf numFmtId="0" fontId="4" fillId="2" borderId="5" xfId="0" applyFont="1" applyFill="1" applyBorder="1" applyAlignment="1"/>
    <xf numFmtId="0" fontId="4" fillId="0" borderId="0" xfId="0" applyFont="1"/>
    <xf numFmtId="0" fontId="14" fillId="2" borderId="0" xfId="0" applyFont="1" applyFill="1" applyBorder="1" applyAlignment="1">
      <alignment horizontal="right"/>
    </xf>
    <xf numFmtId="0" fontId="5" fillId="2" borderId="0" xfId="0" applyFont="1" applyFill="1" applyBorder="1" applyAlignment="1">
      <alignment vertical="center"/>
    </xf>
    <xf numFmtId="0" fontId="13" fillId="2" borderId="0" xfId="0" applyFont="1" applyFill="1" applyBorder="1" applyAlignment="1"/>
    <xf numFmtId="0" fontId="9" fillId="2" borderId="0" xfId="0" applyFont="1" applyFill="1" applyBorder="1" applyAlignment="1"/>
    <xf numFmtId="3" fontId="9" fillId="2" borderId="0" xfId="0" applyNumberFormat="1" applyFont="1" applyFill="1" applyBorder="1" applyAlignment="1"/>
    <xf numFmtId="0" fontId="17" fillId="2" borderId="0" xfId="0" applyFont="1" applyFill="1"/>
    <xf numFmtId="0" fontId="17" fillId="2" borderId="4" xfId="0" applyFont="1" applyFill="1" applyBorder="1"/>
    <xf numFmtId="0" fontId="17" fillId="2" borderId="0" xfId="0" applyFont="1" applyFill="1" applyBorder="1" applyAlignment="1"/>
    <xf numFmtId="3" fontId="18" fillId="2" borderId="0" xfId="0" applyNumberFormat="1" applyFont="1" applyFill="1" applyBorder="1" applyAlignment="1">
      <alignment horizontal="center"/>
    </xf>
    <xf numFmtId="0" fontId="18" fillId="2" borderId="0" xfId="0" applyFont="1" applyFill="1" applyBorder="1" applyAlignment="1">
      <alignment horizontal="center"/>
    </xf>
    <xf numFmtId="0" fontId="19" fillId="2" borderId="0" xfId="0" applyFont="1" applyFill="1" applyBorder="1" applyAlignment="1"/>
    <xf numFmtId="0" fontId="17" fillId="2" borderId="5" xfId="0" applyFont="1" applyFill="1" applyBorder="1" applyAlignment="1"/>
    <xf numFmtId="0" fontId="20" fillId="2" borderId="0" xfId="0" applyFont="1" applyFill="1" applyAlignment="1">
      <alignment horizontal="center"/>
    </xf>
    <xf numFmtId="0" fontId="20" fillId="2" borderId="4" xfId="0" applyFont="1" applyFill="1" applyBorder="1" applyAlignment="1">
      <alignment horizontal="center"/>
    </xf>
    <xf numFmtId="167" fontId="21" fillId="2" borderId="0" xfId="0" applyNumberFormat="1" applyFont="1" applyFill="1" applyBorder="1" applyAlignment="1">
      <alignment horizontal="center"/>
    </xf>
    <xf numFmtId="0" fontId="19" fillId="2" borderId="0" xfId="0" applyFont="1" applyFill="1" applyBorder="1" applyAlignment="1">
      <alignment horizontal="center"/>
    </xf>
    <xf numFmtId="3" fontId="21" fillId="2" borderId="0" xfId="0" applyNumberFormat="1" applyFont="1" applyFill="1" applyBorder="1" applyAlignment="1">
      <alignment horizontal="center"/>
    </xf>
    <xf numFmtId="0" fontId="20" fillId="2" borderId="5" xfId="0" applyFont="1" applyFill="1" applyBorder="1" applyAlignment="1">
      <alignment horizontal="center"/>
    </xf>
    <xf numFmtId="0" fontId="20" fillId="0" borderId="0" xfId="0" applyFont="1" applyAlignment="1">
      <alignment horizontal="center"/>
    </xf>
    <xf numFmtId="0" fontId="4" fillId="2" borderId="0" xfId="0" applyFont="1" applyFill="1" applyAlignment="1">
      <alignment vertical="center"/>
    </xf>
    <xf numFmtId="0" fontId="4" fillId="2" borderId="4" xfId="0" applyFont="1" applyFill="1" applyBorder="1" applyAlignment="1">
      <alignment vertical="center"/>
    </xf>
    <xf numFmtId="0" fontId="4" fillId="2" borderId="0" xfId="0" applyFont="1" applyFill="1" applyBorder="1" applyAlignment="1">
      <alignment vertical="center"/>
    </xf>
    <xf numFmtId="0" fontId="4" fillId="2" borderId="5" xfId="0" applyFont="1" applyFill="1" applyBorder="1" applyAlignment="1">
      <alignment vertical="center"/>
    </xf>
    <xf numFmtId="0" fontId="4" fillId="0" borderId="0" xfId="0" applyFont="1" applyAlignment="1">
      <alignment vertical="center"/>
    </xf>
    <xf numFmtId="0" fontId="11" fillId="2" borderId="0" xfId="0" applyFont="1" applyFill="1" applyBorder="1" applyAlignment="1">
      <alignment horizontal="left" vertical="center"/>
    </xf>
    <xf numFmtId="3" fontId="10" fillId="2" borderId="0" xfId="0" applyNumberFormat="1" applyFont="1" applyFill="1" applyBorder="1" applyAlignment="1">
      <alignment horizontal="right" vertical="center"/>
    </xf>
    <xf numFmtId="3" fontId="12" fillId="2" borderId="0" xfId="0" applyNumberFormat="1" applyFont="1" applyFill="1" applyBorder="1" applyAlignment="1">
      <alignment horizontal="right" vertical="center"/>
    </xf>
    <xf numFmtId="0" fontId="1" fillId="7" borderId="12" xfId="0" applyFont="1" applyFill="1" applyBorder="1"/>
    <xf numFmtId="0" fontId="1" fillId="7" borderId="8" xfId="0" applyFont="1" applyFill="1" applyBorder="1"/>
    <xf numFmtId="0" fontId="1" fillId="7" borderId="13" xfId="0" applyFont="1" applyFill="1" applyBorder="1"/>
    <xf numFmtId="0" fontId="0" fillId="2" borderId="0" xfId="0" applyFill="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25" fillId="2" borderId="0" xfId="3" applyFont="1" applyFill="1" applyBorder="1" applyAlignment="1" applyProtection="1"/>
    <xf numFmtId="0" fontId="0" fillId="2" borderId="0" xfId="0" applyFill="1" applyAlignment="1">
      <alignment horizontal="left"/>
    </xf>
    <xf numFmtId="0" fontId="25" fillId="2" borderId="0" xfId="3" applyFill="1" applyBorder="1" applyAlignment="1" applyProtection="1">
      <alignment horizontal="left"/>
    </xf>
    <xf numFmtId="0" fontId="27" fillId="3" borderId="19" xfId="0" applyFont="1" applyFill="1" applyBorder="1" applyAlignment="1">
      <alignment horizontal="center"/>
    </xf>
    <xf numFmtId="0" fontId="0" fillId="2" borderId="19" xfId="0" applyFont="1" applyFill="1" applyBorder="1"/>
    <xf numFmtId="1" fontId="0" fillId="2" borderId="19" xfId="1" applyNumberFormat="1" applyFont="1" applyFill="1" applyBorder="1" applyAlignment="1" applyProtection="1">
      <alignment horizontal="center"/>
    </xf>
    <xf numFmtId="1" fontId="0" fillId="2" borderId="0" xfId="0" applyNumberFormat="1" applyFill="1" applyAlignment="1">
      <alignment horizontal="right"/>
    </xf>
    <xf numFmtId="0" fontId="0" fillId="2" borderId="0" xfId="0" applyFill="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28" fillId="2" borderId="0" xfId="3" applyFont="1" applyFill="1" applyBorder="1" applyAlignment="1" applyProtection="1">
      <alignment horizontal="right"/>
    </xf>
    <xf numFmtId="0" fontId="28" fillId="2" borderId="0" xfId="3" applyFont="1" applyFill="1" applyBorder="1" applyAlignment="1" applyProtection="1"/>
    <xf numFmtId="0" fontId="0" fillId="2" borderId="0" xfId="0" applyFill="1" applyAlignment="1">
      <alignment horizontal="left" vertical="center"/>
    </xf>
    <xf numFmtId="0" fontId="29" fillId="2" borderId="0" xfId="0" applyFont="1" applyFill="1"/>
    <xf numFmtId="0" fontId="0" fillId="2" borderId="0" xfId="0" applyFill="1" applyAlignment="1">
      <alignment horizontal="left" wrapText="1"/>
    </xf>
    <xf numFmtId="0" fontId="0" fillId="2" borderId="17" xfId="0" applyFill="1" applyBorder="1" applyAlignment="1">
      <alignment horizontal="left" wrapText="1"/>
    </xf>
    <xf numFmtId="0" fontId="0" fillId="2" borderId="18" xfId="0" applyFill="1" applyBorder="1" applyAlignment="1">
      <alignment horizontal="left" wrapText="1"/>
    </xf>
    <xf numFmtId="0" fontId="0" fillId="2" borderId="20" xfId="0" applyFill="1" applyBorder="1"/>
    <xf numFmtId="0" fontId="0" fillId="2" borderId="21" xfId="0" applyFill="1" applyBorder="1"/>
    <xf numFmtId="0" fontId="0" fillId="2" borderId="22" xfId="0" applyFill="1" applyBorder="1"/>
    <xf numFmtId="0" fontId="0" fillId="2" borderId="0" xfId="0" applyFill="1" applyAlignment="1">
      <alignment horizontal="center"/>
    </xf>
    <xf numFmtId="0" fontId="27" fillId="3" borderId="23" xfId="0" applyFont="1" applyFill="1" applyBorder="1" applyAlignment="1">
      <alignment horizontal="center" vertical="center"/>
    </xf>
    <xf numFmtId="0" fontId="0" fillId="2" borderId="0" xfId="0" applyFill="1" applyAlignment="1">
      <alignment vertical="center"/>
    </xf>
    <xf numFmtId="0" fontId="0" fillId="2" borderId="23" xfId="0" applyFont="1" applyFill="1" applyBorder="1" applyAlignment="1">
      <alignment vertical="center"/>
    </xf>
    <xf numFmtId="0" fontId="0" fillId="2" borderId="23" xfId="0" applyFont="1" applyFill="1" applyBorder="1" applyAlignment="1">
      <alignment horizontal="left" vertical="center"/>
    </xf>
    <xf numFmtId="0" fontId="0" fillId="2" borderId="23" xfId="0" applyFont="1" applyFill="1" applyBorder="1" applyAlignment="1">
      <alignment horizontal="left" vertical="center" wrapText="1"/>
    </xf>
    <xf numFmtId="0" fontId="0" fillId="2" borderId="0" xfId="0" applyFill="1" applyAlignment="1">
      <alignment vertical="center" wrapText="1"/>
    </xf>
    <xf numFmtId="0" fontId="27" fillId="3" borderId="23" xfId="0" applyFont="1" applyFill="1" applyBorder="1" applyAlignment="1">
      <alignment horizontal="left" vertical="center" wrapText="1"/>
    </xf>
    <xf numFmtId="0" fontId="0" fillId="2" borderId="23" xfId="0" applyFont="1" applyFill="1" applyBorder="1" applyAlignment="1">
      <alignment vertical="center" wrapText="1"/>
    </xf>
    <xf numFmtId="0" fontId="30" fillId="2" borderId="0" xfId="0" applyFont="1" applyFill="1"/>
    <xf numFmtId="0" fontId="33" fillId="2" borderId="0" xfId="0" applyFont="1" applyFill="1" applyAlignment="1">
      <alignment horizontal="left" vertical="center"/>
    </xf>
    <xf numFmtId="0" fontId="0" fillId="2" borderId="0" xfId="0" applyFill="1" applyAlignment="1">
      <alignment horizontal="center" vertical="center"/>
    </xf>
    <xf numFmtId="0" fontId="0" fillId="0" borderId="0" xfId="0" applyAlignment="1">
      <alignment vertical="center"/>
    </xf>
    <xf numFmtId="0" fontId="33" fillId="2" borderId="0" xfId="0" applyFont="1" applyFill="1" applyAlignment="1">
      <alignment vertical="center"/>
    </xf>
    <xf numFmtId="1" fontId="0" fillId="2" borderId="0" xfId="0" applyNumberFormat="1" applyFill="1"/>
    <xf numFmtId="1" fontId="0" fillId="0" borderId="0" xfId="0" applyNumberFormat="1" applyAlignment="1">
      <alignment horizontal="center" vertical="center"/>
    </xf>
    <xf numFmtId="1" fontId="0" fillId="0" borderId="0" xfId="0" applyNumberFormat="1"/>
    <xf numFmtId="1" fontId="30" fillId="2" borderId="0" xfId="0" applyNumberFormat="1" applyFont="1" applyFill="1"/>
    <xf numFmtId="0" fontId="0" fillId="0" borderId="0" xfId="0" applyAlignment="1">
      <alignment horizontal="center" vertical="center"/>
    </xf>
    <xf numFmtId="0" fontId="33"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Border="1"/>
    <xf numFmtId="0" fontId="30" fillId="2" borderId="0" xfId="0" applyFont="1" applyFill="1" applyBorder="1"/>
    <xf numFmtId="0" fontId="36" fillId="0" borderId="24" xfId="0" applyFont="1" applyBorder="1" applyAlignment="1">
      <alignment horizontal="center" vertical="center"/>
    </xf>
    <xf numFmtId="0" fontId="0" fillId="2" borderId="0" xfId="0" applyFill="1" applyAlignment="1"/>
    <xf numFmtId="0" fontId="0" fillId="0" borderId="24" xfId="0" applyFont="1" applyBorder="1" applyAlignment="1">
      <alignment horizontal="center" vertical="center"/>
    </xf>
    <xf numFmtId="9" fontId="0" fillId="17" borderId="24" xfId="0" applyNumberFormat="1" applyFill="1" applyBorder="1" applyAlignment="1">
      <alignment horizontal="center" vertical="center"/>
    </xf>
    <xf numFmtId="9" fontId="0" fillId="13" borderId="27" xfId="0" applyNumberFormat="1" applyFill="1" applyBorder="1" applyAlignment="1">
      <alignment horizontal="center" vertical="center"/>
    </xf>
    <xf numFmtId="9" fontId="0" fillId="14" borderId="27" xfId="0" applyNumberFormat="1" applyFill="1" applyBorder="1" applyAlignment="1">
      <alignment horizontal="center" vertical="center"/>
    </xf>
    <xf numFmtId="9" fontId="0" fillId="15" borderId="27" xfId="0" applyNumberFormat="1" applyFill="1" applyBorder="1" applyAlignment="1">
      <alignment horizontal="center" vertical="center"/>
    </xf>
    <xf numFmtId="9" fontId="0" fillId="16" borderId="27" xfId="0" applyNumberFormat="1" applyFill="1" applyBorder="1" applyAlignment="1">
      <alignment horizontal="center" vertical="center"/>
    </xf>
    <xf numFmtId="9" fontId="0" fillId="18" borderId="26" xfId="0" applyNumberFormat="1" applyFill="1" applyBorder="1" applyAlignment="1">
      <alignment horizontal="center" vertical="center"/>
    </xf>
    <xf numFmtId="9" fontId="0" fillId="7" borderId="26" xfId="0" applyNumberFormat="1" applyFill="1" applyBorder="1" applyAlignment="1">
      <alignment horizontal="center" vertical="center"/>
    </xf>
    <xf numFmtId="0" fontId="0" fillId="2" borderId="28" xfId="0" applyFill="1" applyBorder="1" applyAlignment="1"/>
    <xf numFmtId="0" fontId="0" fillId="2" borderId="29" xfId="0" applyFill="1" applyBorder="1" applyAlignment="1"/>
    <xf numFmtId="0" fontId="0" fillId="2" borderId="28" xfId="0" applyFill="1" applyBorder="1"/>
    <xf numFmtId="0" fontId="0" fillId="2" borderId="29" xfId="0" applyFill="1" applyBorder="1"/>
    <xf numFmtId="9" fontId="0" fillId="2" borderId="0" xfId="0" applyNumberFormat="1" applyFill="1" applyBorder="1" applyAlignment="1">
      <alignment horizontal="center" vertical="center"/>
    </xf>
    <xf numFmtId="0" fontId="0" fillId="0" borderId="31" xfId="0" applyBorder="1"/>
    <xf numFmtId="0" fontId="0" fillId="2" borderId="32" xfId="0" applyFill="1" applyBorder="1" applyAlignment="1">
      <alignment horizontal="center" vertical="center"/>
    </xf>
    <xf numFmtId="0" fontId="0" fillId="2" borderId="33" xfId="0" applyFont="1" applyFill="1" applyBorder="1" applyAlignment="1">
      <alignment horizontal="center" vertical="center"/>
    </xf>
    <xf numFmtId="0" fontId="39" fillId="19" borderId="28" xfId="0" applyFont="1" applyFill="1" applyBorder="1" applyAlignment="1" applyProtection="1">
      <alignment horizontal="left" vertical="center"/>
    </xf>
    <xf numFmtId="3" fontId="0" fillId="2" borderId="0" xfId="0" applyNumberFormat="1" applyFill="1" applyBorder="1" applyAlignment="1">
      <alignment horizontal="center" vertical="center"/>
    </xf>
    <xf numFmtId="10" fontId="0" fillId="2" borderId="29" xfId="0" applyNumberFormat="1" applyFill="1" applyBorder="1" applyAlignment="1">
      <alignment horizontal="center" vertical="center"/>
    </xf>
    <xf numFmtId="0" fontId="39" fillId="20" borderId="28" xfId="0" applyFont="1" applyFill="1" applyBorder="1" applyAlignment="1" applyProtection="1">
      <alignment horizontal="left" vertical="center"/>
    </xf>
    <xf numFmtId="0" fontId="39" fillId="21" borderId="28" xfId="0" applyFont="1" applyFill="1" applyBorder="1" applyAlignment="1" applyProtection="1">
      <alignment horizontal="left" vertical="center"/>
    </xf>
    <xf numFmtId="0" fontId="39" fillId="22" borderId="28" xfId="0" applyFont="1" applyFill="1" applyBorder="1" applyAlignment="1" applyProtection="1">
      <alignment horizontal="left" vertical="center"/>
    </xf>
    <xf numFmtId="0" fontId="36" fillId="0" borderId="34" xfId="0" applyFont="1" applyBorder="1" applyAlignment="1">
      <alignment horizontal="center"/>
    </xf>
    <xf numFmtId="0" fontId="36" fillId="2" borderId="30" xfId="0" applyFont="1" applyFill="1" applyBorder="1" applyAlignment="1">
      <alignment horizontal="center"/>
    </xf>
    <xf numFmtId="10" fontId="36" fillId="2" borderId="35" xfId="0" applyNumberFormat="1" applyFont="1" applyFill="1" applyBorder="1" applyAlignment="1">
      <alignment horizontal="center"/>
    </xf>
    <xf numFmtId="0" fontId="36" fillId="2" borderId="0" xfId="0" applyFont="1" applyFill="1" applyBorder="1" applyAlignment="1">
      <alignment horizontal="center" vertical="center"/>
    </xf>
    <xf numFmtId="0" fontId="0" fillId="2" borderId="34" xfId="0" applyFill="1" applyBorder="1"/>
    <xf numFmtId="0" fontId="0" fillId="2" borderId="30" xfId="0" applyFill="1" applyBorder="1"/>
    <xf numFmtId="0" fontId="0" fillId="2" borderId="35" xfId="0" applyFill="1" applyBorder="1"/>
    <xf numFmtId="0" fontId="30" fillId="2" borderId="31" xfId="0" applyFont="1" applyFill="1" applyBorder="1"/>
    <xf numFmtId="0" fontId="30" fillId="2" borderId="28" xfId="0" applyFont="1" applyFill="1" applyBorder="1"/>
    <xf numFmtId="0" fontId="33" fillId="2" borderId="26" xfId="0" applyFont="1" applyFill="1" applyBorder="1"/>
    <xf numFmtId="0" fontId="36" fillId="2" borderId="32" xfId="0" applyFont="1" applyFill="1" applyBorder="1" applyAlignment="1">
      <alignment horizontal="right" vertical="center"/>
    </xf>
    <xf numFmtId="10" fontId="36" fillId="2" borderId="0" xfId="2" applyNumberFormat="1" applyFont="1" applyFill="1" applyBorder="1" applyAlignment="1" applyProtection="1">
      <alignment horizontal="right" vertical="center"/>
    </xf>
    <xf numFmtId="3" fontId="0" fillId="2" borderId="0" xfId="0" applyNumberFormat="1" applyFill="1" applyBorder="1" applyAlignment="1">
      <alignment horizontal="right" vertical="center"/>
    </xf>
    <xf numFmtId="3" fontId="36" fillId="2" borderId="0" xfId="0" applyNumberFormat="1" applyFont="1" applyFill="1" applyAlignment="1">
      <alignment horizontal="right" vertical="center"/>
    </xf>
    <xf numFmtId="4" fontId="36" fillId="2" borderId="0" xfId="0" applyNumberFormat="1" applyFont="1" applyFill="1" applyAlignment="1">
      <alignment horizontal="right" vertical="center"/>
    </xf>
    <xf numFmtId="0" fontId="0" fillId="2" borderId="0" xfId="0" applyFill="1" applyAlignment="1">
      <alignment horizontal="right" vertical="center"/>
    </xf>
    <xf numFmtId="0" fontId="0" fillId="2" borderId="0" xfId="0" applyFont="1" applyFill="1" applyBorder="1" applyAlignment="1">
      <alignment vertical="center"/>
    </xf>
    <xf numFmtId="3" fontId="0" fillId="2" borderId="0" xfId="0" applyNumberFormat="1" applyFont="1" applyFill="1" applyBorder="1" applyAlignment="1">
      <alignment horizontal="right" vertical="center"/>
    </xf>
    <xf numFmtId="3" fontId="0" fillId="2" borderId="0" xfId="0" applyNumberFormat="1" applyFill="1" applyAlignment="1">
      <alignment horizontal="right" vertical="center"/>
    </xf>
    <xf numFmtId="4" fontId="0" fillId="2" borderId="0" xfId="0" applyNumberFormat="1" applyFont="1" applyFill="1" applyBorder="1" applyAlignment="1">
      <alignment horizontal="right" vertical="center"/>
    </xf>
    <xf numFmtId="4" fontId="0" fillId="2" borderId="0" xfId="0" applyNumberFormat="1" applyFill="1" applyAlignment="1">
      <alignment horizontal="right" vertical="center"/>
    </xf>
    <xf numFmtId="0" fontId="36" fillId="2" borderId="0" xfId="0" applyFont="1" applyFill="1" applyBorder="1" applyAlignment="1">
      <alignment vertical="center"/>
    </xf>
    <xf numFmtId="3" fontId="36" fillId="2" borderId="0" xfId="2" applyNumberFormat="1" applyFont="1" applyFill="1" applyBorder="1" applyAlignment="1" applyProtection="1">
      <alignment horizontal="right" vertical="center"/>
    </xf>
    <xf numFmtId="4" fontId="36" fillId="2" borderId="0" xfId="2" applyNumberFormat="1" applyFont="1" applyFill="1" applyBorder="1" applyAlignment="1" applyProtection="1">
      <alignment horizontal="right" vertical="center"/>
    </xf>
    <xf numFmtId="0" fontId="36" fillId="2" borderId="0" xfId="0" applyFont="1" applyFill="1"/>
    <xf numFmtId="0" fontId="36" fillId="2" borderId="32"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applyBorder="1" applyAlignment="1">
      <alignment vertical="center"/>
    </xf>
    <xf numFmtId="3" fontId="36" fillId="2" borderId="0" xfId="0" applyNumberFormat="1" applyFont="1" applyFill="1" applyAlignment="1">
      <alignment vertical="center"/>
    </xf>
    <xf numFmtId="0" fontId="0" fillId="0" borderId="28" xfId="0" applyBorder="1"/>
    <xf numFmtId="0" fontId="30" fillId="12" borderId="25" xfId="0" applyFont="1" applyFill="1" applyBorder="1" applyAlignment="1"/>
    <xf numFmtId="0" fontId="0" fillId="0" borderId="29" xfId="0" applyBorder="1"/>
    <xf numFmtId="10" fontId="0" fillId="0" borderId="25" xfId="0" applyNumberFormat="1" applyBorder="1"/>
    <xf numFmtId="0" fontId="0" fillId="0" borderId="36" xfId="0" applyBorder="1"/>
    <xf numFmtId="4" fontId="35" fillId="0" borderId="24" xfId="0" applyNumberFormat="1" applyFont="1" applyBorder="1"/>
    <xf numFmtId="0" fontId="36" fillId="2" borderId="32" xfId="0" applyFont="1" applyFill="1" applyBorder="1" applyAlignment="1">
      <alignment vertical="center"/>
    </xf>
    <xf numFmtId="0" fontId="0" fillId="0" borderId="0" xfId="0" applyAlignment="1">
      <alignment horizontal="left"/>
    </xf>
    <xf numFmtId="0" fontId="43" fillId="24" borderId="0" xfId="0" applyFont="1" applyFill="1" applyAlignment="1">
      <alignment vertical="center"/>
    </xf>
    <xf numFmtId="0" fontId="0" fillId="24" borderId="0" xfId="0" applyFill="1"/>
    <xf numFmtId="0" fontId="44" fillId="24" borderId="0" xfId="0" applyFont="1" applyFill="1" applyAlignment="1">
      <alignment vertical="center"/>
    </xf>
    <xf numFmtId="0" fontId="0" fillId="24" borderId="0" xfId="0" applyFill="1" applyAlignment="1"/>
    <xf numFmtId="0" fontId="25" fillId="0" borderId="0" xfId="3" applyFont="1" applyBorder="1" applyAlignment="1" applyProtection="1"/>
    <xf numFmtId="0" fontId="0" fillId="0" borderId="0" xfId="0" applyBorder="1"/>
    <xf numFmtId="0" fontId="36" fillId="0" borderId="28" xfId="0" applyFont="1" applyBorder="1" applyAlignment="1">
      <alignment horizontal="left"/>
    </xf>
    <xf numFmtId="3" fontId="0" fillId="0" borderId="0" xfId="0" applyNumberFormat="1" applyBorder="1" applyAlignment="1">
      <alignment horizontal="center"/>
    </xf>
    <xf numFmtId="0" fontId="36" fillId="0" borderId="0" xfId="0" applyFont="1" applyBorder="1" applyAlignment="1">
      <alignment horizontal="left"/>
    </xf>
    <xf numFmtId="3" fontId="36" fillId="0" borderId="0" xfId="0" applyNumberFormat="1" applyFont="1" applyBorder="1" applyAlignment="1">
      <alignment horizontal="left"/>
    </xf>
    <xf numFmtId="3" fontId="0" fillId="7" borderId="0" xfId="0" applyNumberFormat="1" applyFill="1" applyBorder="1" applyAlignment="1">
      <alignment horizontal="center"/>
    </xf>
    <xf numFmtId="0" fontId="0" fillId="0" borderId="28" xfId="0" applyFont="1" applyBorder="1"/>
    <xf numFmtId="0" fontId="0" fillId="0" borderId="0" xfId="0" applyFont="1" applyBorder="1" applyAlignment="1">
      <alignment horizontal="center" vertical="center"/>
    </xf>
    <xf numFmtId="0" fontId="36" fillId="0" borderId="28" xfId="0" applyFont="1" applyBorder="1" applyAlignment="1">
      <alignment horizontal="right" vertical="center"/>
    </xf>
    <xf numFmtId="3" fontId="0" fillId="0" borderId="0" xfId="0" applyNumberFormat="1" applyFont="1" applyBorder="1" applyAlignment="1">
      <alignment horizontal="center" vertical="center"/>
    </xf>
    <xf numFmtId="3" fontId="36" fillId="25" borderId="0" xfId="0" applyNumberFormat="1" applyFont="1" applyFill="1" applyBorder="1" applyAlignment="1">
      <alignment horizontal="center"/>
    </xf>
    <xf numFmtId="3" fontId="36" fillId="25" borderId="0" xfId="0" applyNumberFormat="1" applyFont="1" applyFill="1" applyBorder="1" applyAlignment="1">
      <alignment horizontal="center" vertical="center"/>
    </xf>
    <xf numFmtId="0" fontId="36" fillId="0" borderId="0" xfId="0" applyFont="1" applyBorder="1" applyAlignment="1">
      <alignment horizontal="right" vertical="center"/>
    </xf>
    <xf numFmtId="0" fontId="0" fillId="0" borderId="28" xfId="0" applyBorder="1" applyAlignment="1">
      <alignment horizontal="left"/>
    </xf>
    <xf numFmtId="0" fontId="36" fillId="0" borderId="0" xfId="0" applyFont="1" applyBorder="1" applyAlignment="1">
      <alignment horizontal="center"/>
    </xf>
    <xf numFmtId="0" fontId="36" fillId="27" borderId="28" xfId="0" applyFont="1" applyFill="1" applyBorder="1" applyAlignment="1">
      <alignment horizontal="left"/>
    </xf>
    <xf numFmtId="3" fontId="0" fillId="28" borderId="0" xfId="0" applyNumberFormat="1" applyFill="1" applyBorder="1" applyAlignment="1">
      <alignment horizontal="center" vertical="center"/>
    </xf>
    <xf numFmtId="4" fontId="0" fillId="7" borderId="0" xfId="0" applyNumberFormat="1" applyFill="1" applyBorder="1" applyAlignment="1">
      <alignment horizontal="center" vertical="center"/>
    </xf>
    <xf numFmtId="0" fontId="36" fillId="27" borderId="28" xfId="0" applyFont="1" applyFill="1" applyBorder="1" applyAlignment="1">
      <alignment horizontal="center"/>
    </xf>
    <xf numFmtId="0" fontId="36" fillId="27" borderId="0" xfId="0" applyFont="1" applyFill="1" applyBorder="1" applyAlignment="1">
      <alignment horizontal="center"/>
    </xf>
    <xf numFmtId="0" fontId="0" fillId="0" borderId="0" xfId="0" applyBorder="1" applyAlignment="1">
      <alignment horizontal="center"/>
    </xf>
    <xf numFmtId="3" fontId="0" fillId="0" borderId="0" xfId="0" applyNumberFormat="1" applyBorder="1" applyAlignment="1">
      <alignment horizontal="center" vertical="center"/>
    </xf>
    <xf numFmtId="3" fontId="0" fillId="7" borderId="0" xfId="0" applyNumberFormat="1" applyFill="1" applyBorder="1" applyAlignment="1">
      <alignment horizontal="center" vertical="center"/>
    </xf>
    <xf numFmtId="0" fontId="0" fillId="0" borderId="0" xfId="0" applyAlignment="1">
      <alignment horizontal="center"/>
    </xf>
    <xf numFmtId="0" fontId="0" fillId="0" borderId="0" xfId="0" applyFont="1" applyBorder="1"/>
    <xf numFmtId="3" fontId="0" fillId="7" borderId="0" xfId="0" applyNumberFormat="1" applyFill="1" applyAlignment="1">
      <alignment horizontal="center"/>
    </xf>
    <xf numFmtId="10" fontId="0" fillId="7" borderId="0" xfId="0" applyNumberFormat="1" applyFill="1" applyBorder="1" applyAlignment="1">
      <alignment horizontal="center" vertical="center"/>
    </xf>
    <xf numFmtId="9" fontId="0" fillId="7" borderId="0" xfId="0" applyNumberFormat="1" applyFill="1"/>
    <xf numFmtId="3" fontId="0" fillId="0" borderId="0" xfId="0" applyNumberFormat="1" applyAlignment="1">
      <alignment horizontal="center"/>
    </xf>
    <xf numFmtId="10" fontId="0" fillId="7" borderId="0" xfId="0" applyNumberFormat="1" applyFill="1"/>
    <xf numFmtId="9" fontId="0" fillId="0" borderId="0" xfId="0" applyNumberFormat="1" applyBorder="1" applyAlignment="1">
      <alignment horizontal="center" vertical="center"/>
    </xf>
    <xf numFmtId="167" fontId="0" fillId="0" borderId="0" xfId="0" applyNumberFormat="1" applyAlignment="1">
      <alignment horizontal="center" vertical="center"/>
    </xf>
    <xf numFmtId="3" fontId="0" fillId="0" borderId="0" xfId="0" applyNumberFormat="1" applyAlignment="1">
      <alignment horizontal="center" vertical="center"/>
    </xf>
    <xf numFmtId="9" fontId="0" fillId="0" borderId="0" xfId="0" applyNumberFormat="1" applyAlignment="1">
      <alignment horizontal="center" vertical="center"/>
    </xf>
    <xf numFmtId="0" fontId="0" fillId="7" borderId="0" xfId="0" applyFont="1" applyFill="1"/>
    <xf numFmtId="3" fontId="0" fillId="7" borderId="0" xfId="0" applyNumberFormat="1" applyFill="1" applyAlignment="1">
      <alignment horizontal="center" vertical="center"/>
    </xf>
    <xf numFmtId="0" fontId="0" fillId="7" borderId="0" xfId="0" applyFill="1" applyAlignment="1">
      <alignment horizontal="center"/>
    </xf>
    <xf numFmtId="0" fontId="0" fillId="23" borderId="0" xfId="0" applyFill="1" applyAlignment="1">
      <alignment horizontal="center" vertical="center"/>
    </xf>
    <xf numFmtId="0" fontId="39" fillId="0" borderId="0" xfId="0" applyFont="1"/>
    <xf numFmtId="3" fontId="0" fillId="0" borderId="0" xfId="0" applyNumberFormat="1" applyFont="1" applyAlignment="1">
      <alignment horizontal="center"/>
    </xf>
    <xf numFmtId="0" fontId="0" fillId="0" borderId="0" xfId="0" applyAlignment="1"/>
    <xf numFmtId="0" fontId="36" fillId="0" borderId="0" xfId="0" applyFont="1" applyBorder="1" applyAlignment="1">
      <alignment horizontal="right"/>
    </xf>
    <xf numFmtId="0" fontId="36" fillId="25" borderId="0" xfId="0" applyFont="1" applyFill="1" applyBorder="1" applyAlignment="1">
      <alignment horizontal="right"/>
    </xf>
    <xf numFmtId="3" fontId="0" fillId="0" borderId="0" xfId="0" applyNumberFormat="1" applyFont="1" applyBorder="1" applyAlignment="1">
      <alignment horizontal="left" vertical="center"/>
    </xf>
    <xf numFmtId="3" fontId="0" fillId="0" borderId="0" xfId="1" applyNumberFormat="1" applyFont="1" applyBorder="1" applyAlignment="1" applyProtection="1">
      <alignment vertical="center"/>
    </xf>
    <xf numFmtId="3" fontId="0" fillId="25" borderId="0" xfId="0" applyNumberFormat="1" applyFont="1" applyFill="1" applyBorder="1"/>
    <xf numFmtId="0" fontId="0" fillId="0" borderId="0" xfId="0" applyFont="1" applyBorder="1" applyAlignment="1">
      <alignment horizontal="left" vertical="center"/>
    </xf>
    <xf numFmtId="0" fontId="36" fillId="25" borderId="0" xfId="0" applyFont="1" applyFill="1" applyBorder="1" applyAlignment="1">
      <alignment vertical="center"/>
    </xf>
    <xf numFmtId="3" fontId="36" fillId="25" borderId="0" xfId="0" applyNumberFormat="1" applyFont="1" applyFill="1" applyBorder="1" applyAlignment="1">
      <alignment vertical="center"/>
    </xf>
    <xf numFmtId="169" fontId="0" fillId="31" borderId="0" xfId="0" applyNumberFormat="1" applyFill="1"/>
    <xf numFmtId="3" fontId="0" fillId="31" borderId="0" xfId="0" applyNumberFormat="1" applyFill="1" applyAlignment="1">
      <alignment horizontal="center" vertical="center"/>
    </xf>
    <xf numFmtId="10" fontId="0" fillId="32" borderId="0" xfId="0" applyNumberFormat="1" applyFill="1" applyAlignment="1">
      <alignment horizontal="center"/>
    </xf>
    <xf numFmtId="0" fontId="1" fillId="2" borderId="0" xfId="0" applyFont="1" applyFill="1" applyBorder="1" applyAlignment="1">
      <alignment horizontal="center"/>
    </xf>
    <xf numFmtId="0" fontId="1" fillId="38" borderId="0" xfId="0" applyFont="1" applyFill="1" applyBorder="1" applyAlignment="1"/>
    <xf numFmtId="9" fontId="0" fillId="40" borderId="27" xfId="0" applyNumberFormat="1" applyFill="1" applyBorder="1" applyAlignment="1">
      <alignment horizontal="center" vertical="center"/>
    </xf>
    <xf numFmtId="0" fontId="50" fillId="2" borderId="8" xfId="0" applyFont="1" applyFill="1" applyBorder="1" applyAlignment="1">
      <alignment horizontal="right" vertical="center"/>
    </xf>
    <xf numFmtId="0" fontId="50" fillId="6" borderId="0" xfId="0" applyFont="1" applyFill="1"/>
    <xf numFmtId="0" fontId="50" fillId="6" borderId="0" xfId="0" applyFont="1" applyFill="1" applyAlignment="1">
      <alignment horizontal="right"/>
    </xf>
    <xf numFmtId="3" fontId="50" fillId="0" borderId="10" xfId="0" applyNumberFormat="1" applyFont="1" applyBorder="1" applyAlignment="1">
      <alignment horizontal="left" vertical="center"/>
    </xf>
    <xf numFmtId="3" fontId="50" fillId="2" borderId="8" xfId="1" applyNumberFormat="1" applyFont="1" applyFill="1" applyBorder="1" applyAlignment="1" applyProtection="1">
      <alignment vertical="center"/>
    </xf>
    <xf numFmtId="3" fontId="50" fillId="2" borderId="8" xfId="1" applyNumberFormat="1" applyFont="1" applyFill="1" applyBorder="1" applyAlignment="1" applyProtection="1">
      <alignment horizontal="right" vertical="center"/>
    </xf>
    <xf numFmtId="0" fontId="50" fillId="0" borderId="10" xfId="0" applyFont="1" applyBorder="1" applyAlignment="1">
      <alignment horizontal="left" vertical="center"/>
    </xf>
    <xf numFmtId="0" fontId="50" fillId="2" borderId="8" xfId="0" applyFont="1" applyFill="1" applyBorder="1" applyAlignment="1">
      <alignment vertical="center"/>
    </xf>
    <xf numFmtId="3" fontId="50" fillId="2" borderId="9" xfId="0" applyNumberFormat="1" applyFont="1" applyFill="1" applyBorder="1" applyAlignment="1">
      <alignment vertical="center"/>
    </xf>
    <xf numFmtId="0" fontId="50" fillId="6" borderId="0" xfId="0" applyFont="1" applyFill="1" applyBorder="1" applyAlignment="1"/>
    <xf numFmtId="0" fontId="50" fillId="6" borderId="0" xfId="0" applyFont="1" applyFill="1" applyBorder="1" applyAlignment="1">
      <alignment horizontal="right" vertical="center"/>
    </xf>
    <xf numFmtId="0" fontId="52" fillId="6" borderId="0" xfId="0" applyFont="1" applyFill="1" applyBorder="1" applyAlignment="1">
      <alignment horizontal="right" vertical="center"/>
    </xf>
    <xf numFmtId="3" fontId="50" fillId="2" borderId="8" xfId="0" applyNumberFormat="1" applyFont="1" applyFill="1" applyBorder="1" applyAlignment="1">
      <alignment horizontal="right" vertical="center"/>
    </xf>
    <xf numFmtId="3" fontId="49" fillId="2" borderId="8" xfId="0" applyNumberFormat="1" applyFont="1" applyFill="1" applyBorder="1" applyAlignment="1">
      <alignment horizontal="right" vertical="center"/>
    </xf>
    <xf numFmtId="3" fontId="50" fillId="2" borderId="9" xfId="0" applyNumberFormat="1" applyFont="1" applyFill="1" applyBorder="1" applyAlignment="1">
      <alignment horizontal="right" vertical="center"/>
    </xf>
    <xf numFmtId="3" fontId="49" fillId="2" borderId="9" xfId="0" applyNumberFormat="1" applyFont="1" applyFill="1" applyBorder="1" applyAlignment="1">
      <alignment horizontal="right" vertical="center"/>
    </xf>
    <xf numFmtId="0" fontId="50" fillId="6" borderId="0" xfId="0" applyFont="1" applyFill="1" applyBorder="1" applyAlignment="1">
      <alignment horizontal="right"/>
    </xf>
    <xf numFmtId="0" fontId="53" fillId="2" borderId="0" xfId="0" applyFont="1" applyFill="1" applyBorder="1" applyAlignment="1"/>
    <xf numFmtId="0" fontId="50" fillId="2" borderId="8" xfId="0" applyFont="1" applyFill="1" applyBorder="1" applyAlignment="1"/>
    <xf numFmtId="0" fontId="50" fillId="2" borderId="9" xfId="0" applyFont="1" applyFill="1" applyBorder="1" applyAlignment="1"/>
    <xf numFmtId="0" fontId="50" fillId="2" borderId="0" xfId="0" applyFont="1" applyFill="1" applyBorder="1" applyAlignment="1"/>
    <xf numFmtId="3" fontId="50" fillId="2" borderId="9" xfId="0" applyNumberFormat="1" applyFont="1" applyFill="1" applyBorder="1" applyAlignment="1"/>
    <xf numFmtId="0" fontId="55" fillId="2" borderId="0" xfId="0" applyFont="1" applyFill="1" applyBorder="1" applyAlignment="1"/>
    <xf numFmtId="0" fontId="53" fillId="2" borderId="0" xfId="0" applyFont="1" applyFill="1"/>
    <xf numFmtId="9" fontId="53" fillId="2" borderId="0" xfId="0" applyNumberFormat="1" applyFont="1" applyFill="1"/>
    <xf numFmtId="0" fontId="53" fillId="2" borderId="0" xfId="0" applyFont="1" applyFill="1" applyBorder="1"/>
    <xf numFmtId="166" fontId="50" fillId="6" borderId="0" xfId="0" applyNumberFormat="1" applyFont="1" applyFill="1" applyBorder="1" applyAlignment="1">
      <alignment horizontal="right" vertical="center"/>
    </xf>
    <xf numFmtId="0" fontId="50" fillId="6" borderId="0" xfId="0" applyFont="1" applyFill="1" applyAlignment="1">
      <alignment horizontal="left" vertical="center"/>
    </xf>
    <xf numFmtId="0" fontId="53" fillId="2" borderId="0" xfId="0" applyFont="1" applyFill="1" applyBorder="1" applyAlignment="1">
      <alignment vertical="center"/>
    </xf>
    <xf numFmtId="167" fontId="50" fillId="6" borderId="0" xfId="0" applyNumberFormat="1" applyFont="1" applyFill="1" applyBorder="1" applyAlignment="1">
      <alignment horizontal="right" vertical="center"/>
    </xf>
    <xf numFmtId="49" fontId="50" fillId="6" borderId="0" xfId="0" applyNumberFormat="1" applyFont="1" applyFill="1" applyAlignment="1">
      <alignment horizontal="left" vertical="center"/>
    </xf>
    <xf numFmtId="0" fontId="50" fillId="2" borderId="8" xfId="0" applyFont="1" applyFill="1" applyBorder="1" applyAlignment="1">
      <alignment horizontal="left" vertical="center"/>
    </xf>
    <xf numFmtId="0" fontId="51" fillId="2" borderId="8" xfId="0" applyFont="1" applyFill="1" applyBorder="1" applyAlignment="1">
      <alignment horizontal="right"/>
    </xf>
    <xf numFmtId="0" fontId="50" fillId="2" borderId="9" xfId="0" applyFont="1" applyFill="1" applyBorder="1" applyAlignment="1">
      <alignment horizontal="left" vertical="center"/>
    </xf>
    <xf numFmtId="9" fontId="51" fillId="2" borderId="9" xfId="0" applyNumberFormat="1" applyFont="1" applyFill="1" applyBorder="1" applyAlignment="1">
      <alignment horizontal="right"/>
    </xf>
    <xf numFmtId="9" fontId="50" fillId="2" borderId="9" xfId="0" applyNumberFormat="1" applyFont="1" applyFill="1" applyBorder="1" applyAlignment="1">
      <alignment horizontal="right" vertical="center"/>
    </xf>
    <xf numFmtId="0" fontId="51" fillId="2" borderId="9" xfId="0" applyFont="1" applyFill="1" applyBorder="1" applyAlignment="1">
      <alignment horizontal="right"/>
    </xf>
    <xf numFmtId="3" fontId="49" fillId="6" borderId="0" xfId="0" applyNumberFormat="1" applyFont="1" applyFill="1" applyBorder="1" applyAlignment="1">
      <alignment horizontal="right" vertical="center"/>
    </xf>
    <xf numFmtId="169" fontId="49" fillId="6" borderId="0" xfId="0" applyNumberFormat="1" applyFont="1" applyFill="1" applyBorder="1" applyAlignment="1">
      <alignment horizontal="right" vertical="center"/>
    </xf>
    <xf numFmtId="0" fontId="53" fillId="7" borderId="8" xfId="0" applyFont="1" applyFill="1" applyBorder="1"/>
    <xf numFmtId="0" fontId="53" fillId="7" borderId="8" xfId="0" applyFont="1" applyFill="1" applyBorder="1" applyAlignment="1">
      <alignment horizontal="right"/>
    </xf>
    <xf numFmtId="0" fontId="53" fillId="2" borderId="0" xfId="0" applyFont="1" applyFill="1" applyBorder="1" applyAlignment="1">
      <alignment horizontal="right"/>
    </xf>
    <xf numFmtId="164" fontId="53" fillId="2" borderId="0" xfId="0" applyNumberFormat="1" applyFont="1" applyFill="1" applyBorder="1" applyAlignment="1"/>
    <xf numFmtId="0" fontId="53" fillId="2" borderId="0" xfId="0" applyFont="1" applyFill="1" applyAlignment="1">
      <alignment horizontal="center" vertical="top" wrapText="1"/>
    </xf>
    <xf numFmtId="0" fontId="53" fillId="2" borderId="0" xfId="0" applyFont="1" applyFill="1" applyBorder="1" applyAlignment="1">
      <alignment horizontal="center" vertical="center" wrapText="1"/>
    </xf>
    <xf numFmtId="0" fontId="53" fillId="2" borderId="0" xfId="0" applyFont="1" applyFill="1" applyBorder="1" applyAlignment="1">
      <alignment horizontal="center" vertical="center"/>
    </xf>
    <xf numFmtId="0" fontId="53" fillId="0" borderId="0" xfId="0" applyFont="1" applyAlignment="1">
      <alignment horizontal="center" vertical="center"/>
    </xf>
    <xf numFmtId="0" fontId="54" fillId="2" borderId="0" xfId="0" applyFont="1" applyFill="1" applyBorder="1" applyAlignment="1"/>
    <xf numFmtId="3" fontId="54" fillId="2" borderId="8" xfId="0" applyNumberFormat="1" applyFont="1" applyFill="1" applyBorder="1" applyAlignment="1">
      <alignment vertical="center"/>
    </xf>
    <xf numFmtId="3" fontId="54" fillId="2" borderId="9" xfId="0" applyNumberFormat="1" applyFont="1" applyFill="1" applyBorder="1" applyAlignment="1">
      <alignment vertical="center"/>
    </xf>
    <xf numFmtId="0" fontId="53" fillId="33" borderId="0" xfId="0" applyFont="1" applyFill="1" applyBorder="1" applyAlignment="1">
      <alignment horizontal="center"/>
    </xf>
    <xf numFmtId="0" fontId="53" fillId="37" borderId="0" xfId="0" applyFont="1" applyFill="1" applyBorder="1" applyAlignment="1"/>
    <xf numFmtId="170" fontId="0" fillId="31" borderId="0" xfId="0" applyNumberFormat="1" applyFill="1" applyAlignment="1">
      <alignment horizontal="left"/>
    </xf>
    <xf numFmtId="0" fontId="25" fillId="31" borderId="0" xfId="3" applyFill="1" applyBorder="1" applyAlignment="1" applyProtection="1">
      <alignment horizontal="left"/>
    </xf>
    <xf numFmtId="3" fontId="0" fillId="42" borderId="0" xfId="0" applyNumberFormat="1" applyFill="1" applyAlignment="1">
      <alignment horizontal="left"/>
    </xf>
    <xf numFmtId="9" fontId="50" fillId="2" borderId="8" xfId="0" applyNumberFormat="1" applyFont="1" applyFill="1" applyBorder="1" applyAlignment="1">
      <alignment horizontal="right" vertical="center"/>
    </xf>
    <xf numFmtId="9" fontId="49" fillId="2" borderId="8" xfId="0" applyNumberFormat="1" applyFont="1" applyFill="1" applyBorder="1" applyAlignment="1">
      <alignment horizontal="right" vertical="center"/>
    </xf>
    <xf numFmtId="4" fontId="0" fillId="2" borderId="0" xfId="0" applyNumberFormat="1" applyFill="1" applyAlignment="1">
      <alignment vertical="center"/>
    </xf>
    <xf numFmtId="10" fontId="0" fillId="17" borderId="0" xfId="0" applyNumberFormat="1" applyFill="1" applyAlignment="1">
      <alignment horizontal="right" vertical="center"/>
    </xf>
    <xf numFmtId="0" fontId="0" fillId="2" borderId="23" xfId="0" applyFont="1" applyFill="1" applyBorder="1" applyAlignment="1">
      <alignment horizontal="center" vertical="center"/>
    </xf>
    <xf numFmtId="3" fontId="54" fillId="2" borderId="9" xfId="0" applyNumberFormat="1" applyFont="1" applyFill="1" applyBorder="1" applyAlignment="1">
      <alignment horizontal="right" vertical="center"/>
    </xf>
    <xf numFmtId="3" fontId="54" fillId="2" borderId="8" xfId="0" applyNumberFormat="1" applyFont="1" applyFill="1" applyBorder="1" applyAlignment="1">
      <alignment horizontal="right" vertical="center"/>
    </xf>
    <xf numFmtId="10" fontId="36" fillId="2" borderId="0" xfId="2" applyNumberFormat="1" applyFont="1" applyFill="1" applyBorder="1" applyAlignment="1" applyProtection="1">
      <alignment horizontal="center" vertical="center"/>
    </xf>
    <xf numFmtId="0" fontId="36" fillId="2" borderId="32" xfId="0" applyFont="1" applyFill="1" applyBorder="1" applyAlignment="1">
      <alignment horizontal="center" vertical="center"/>
    </xf>
    <xf numFmtId="10" fontId="0" fillId="2" borderId="0" xfId="0" applyNumberFormat="1" applyFill="1" applyAlignment="1">
      <alignment vertical="center"/>
    </xf>
    <xf numFmtId="2" fontId="0" fillId="2" borderId="0" xfId="0" applyNumberFormat="1" applyFill="1" applyAlignment="1">
      <alignment horizontal="center" vertical="center"/>
    </xf>
    <xf numFmtId="0" fontId="0" fillId="44" borderId="0" xfId="0" applyFill="1" applyAlignment="1">
      <alignment horizontal="center"/>
    </xf>
    <xf numFmtId="10" fontId="36" fillId="2" borderId="0" xfId="2" applyNumberFormat="1" applyFont="1" applyFill="1" applyBorder="1" applyAlignment="1" applyProtection="1">
      <alignment vertical="center"/>
    </xf>
    <xf numFmtId="0" fontId="36" fillId="2" borderId="0" xfId="0" applyFont="1" applyFill="1" applyAlignment="1">
      <alignment horizontal="center" vertical="center"/>
    </xf>
    <xf numFmtId="0" fontId="64" fillId="2" borderId="0" xfId="0" applyFont="1" applyFill="1" applyAlignment="1">
      <alignment horizontal="center" vertical="center"/>
    </xf>
    <xf numFmtId="10" fontId="0" fillId="17" borderId="0" xfId="0" applyNumberFormat="1" applyFill="1" applyAlignment="1">
      <alignment vertical="center"/>
    </xf>
    <xf numFmtId="1" fontId="0" fillId="44" borderId="0" xfId="0" applyNumberFormat="1" applyFill="1" applyAlignment="1">
      <alignment horizontal="center" vertical="center"/>
    </xf>
    <xf numFmtId="10" fontId="0" fillId="2" borderId="0" xfId="0" applyNumberFormat="1" applyFill="1" applyAlignment="1">
      <alignment horizontal="center" vertical="center"/>
    </xf>
    <xf numFmtId="9" fontId="0" fillId="17" borderId="0" xfId="0" applyNumberFormat="1" applyFill="1" applyAlignment="1">
      <alignment horizontal="center" vertical="center"/>
    </xf>
    <xf numFmtId="9" fontId="36" fillId="2" borderId="0" xfId="2" applyFont="1" applyFill="1" applyBorder="1" applyAlignment="1" applyProtection="1">
      <alignment horizontal="center" vertical="center"/>
    </xf>
    <xf numFmtId="2" fontId="0" fillId="2" borderId="0" xfId="0" applyNumberFormat="1" applyFill="1" applyAlignment="1">
      <alignment horizontal="center"/>
    </xf>
    <xf numFmtId="1" fontId="0" fillId="44" borderId="0" xfId="0" applyNumberFormat="1" applyFill="1" applyAlignment="1">
      <alignment horizontal="center"/>
    </xf>
    <xf numFmtId="1" fontId="0" fillId="2" borderId="0" xfId="0" applyNumberFormat="1" applyFill="1" applyAlignment="1">
      <alignment horizontal="center" vertical="center"/>
    </xf>
    <xf numFmtId="1" fontId="0" fillId="2" borderId="0" xfId="0" applyNumberFormat="1" applyFill="1" applyAlignment="1">
      <alignment horizontal="center"/>
    </xf>
    <xf numFmtId="1" fontId="65" fillId="2" borderId="0" xfId="0" applyNumberFormat="1" applyFont="1" applyFill="1" applyAlignment="1">
      <alignment horizontal="center" vertical="center"/>
    </xf>
    <xf numFmtId="2" fontId="36" fillId="2" borderId="0" xfId="0" applyNumberFormat="1" applyFont="1" applyFill="1" applyAlignment="1">
      <alignment horizontal="center" vertical="center"/>
    </xf>
    <xf numFmtId="1" fontId="64" fillId="2" borderId="0" xfId="0" applyNumberFormat="1" applyFont="1" applyFill="1" applyAlignment="1">
      <alignment horizontal="center" vertical="center"/>
    </xf>
    <xf numFmtId="2" fontId="0" fillId="17" borderId="0" xfId="0" applyNumberFormat="1" applyFill="1" applyAlignment="1">
      <alignment horizontal="center" vertical="center"/>
    </xf>
    <xf numFmtId="2" fontId="65" fillId="2" borderId="0" xfId="0" applyNumberFormat="1" applyFont="1" applyFill="1" applyAlignment="1">
      <alignment horizontal="center" vertical="center"/>
    </xf>
    <xf numFmtId="2" fontId="64" fillId="2" borderId="0" xfId="0" applyNumberFormat="1" applyFont="1" applyFill="1" applyAlignment="1">
      <alignment horizontal="center" vertical="center"/>
    </xf>
    <xf numFmtId="171" fontId="46" fillId="0" borderId="0" xfId="1" applyNumberFormat="1"/>
    <xf numFmtId="3" fontId="36" fillId="2" borderId="0" xfId="0" applyNumberFormat="1" applyFont="1" applyFill="1" applyAlignment="1">
      <alignment horizontal="center" vertical="center"/>
    </xf>
    <xf numFmtId="3" fontId="46" fillId="0" borderId="30" xfId="1" applyNumberFormat="1" applyBorder="1" applyAlignment="1">
      <alignment horizontal="center"/>
    </xf>
    <xf numFmtId="4" fontId="0" fillId="2" borderId="0" xfId="0" applyNumberFormat="1" applyFill="1" applyAlignment="1">
      <alignment horizontal="right" vertical="center"/>
    </xf>
    <xf numFmtId="0" fontId="0" fillId="0" borderId="0" xfId="0" applyNumberFormat="1"/>
    <xf numFmtId="9" fontId="18" fillId="2" borderId="0" xfId="0" applyNumberFormat="1" applyFont="1" applyFill="1" applyBorder="1" applyAlignment="1">
      <alignment horizontal="center"/>
    </xf>
    <xf numFmtId="9" fontId="21" fillId="2" borderId="0" xfId="0" applyNumberFormat="1" applyFont="1" applyFill="1" applyBorder="1" applyAlignment="1">
      <alignment horizontal="center"/>
    </xf>
    <xf numFmtId="9" fontId="0" fillId="2" borderId="0" xfId="0" applyNumberFormat="1" applyFill="1" applyAlignment="1">
      <alignment horizontal="right" vertical="center"/>
    </xf>
    <xf numFmtId="9" fontId="0" fillId="2" borderId="0" xfId="0" applyNumberFormat="1" applyFont="1" applyFill="1" applyBorder="1" applyAlignment="1">
      <alignment horizontal="right" vertical="center"/>
    </xf>
    <xf numFmtId="3" fontId="4" fillId="2" borderId="0" xfId="0" applyNumberFormat="1" applyFont="1" applyFill="1" applyBorder="1" applyAlignment="1"/>
    <xf numFmtId="10" fontId="0" fillId="7" borderId="0" xfId="0" applyNumberFormat="1" applyFill="1" applyAlignment="1">
      <alignment horizontal="center"/>
    </xf>
    <xf numFmtId="3" fontId="36" fillId="0" borderId="0" xfId="0" applyNumberFormat="1" applyFont="1" applyAlignment="1">
      <alignment horizontal="center"/>
    </xf>
    <xf numFmtId="3" fontId="66" fillId="0" borderId="0" xfId="0" applyNumberFormat="1" applyFont="1"/>
    <xf numFmtId="0" fontId="66" fillId="0" borderId="0" xfId="0" applyFont="1"/>
    <xf numFmtId="9" fontId="46" fillId="0" borderId="0" xfId="2" applyAlignment="1">
      <alignment horizontal="center"/>
    </xf>
    <xf numFmtId="0" fontId="45" fillId="0" borderId="0" xfId="0" applyFont="1" applyAlignment="1">
      <alignment horizontal="center" vertical="center"/>
    </xf>
    <xf numFmtId="3" fontId="0" fillId="0" borderId="0" xfId="1" applyNumberFormat="1" applyFont="1" applyBorder="1" applyAlignment="1" applyProtection="1">
      <alignment horizontal="right" vertical="center"/>
    </xf>
    <xf numFmtId="0" fontId="53" fillId="2" borderId="0" xfId="0" applyFont="1" applyFill="1" applyBorder="1" applyAlignment="1">
      <alignment horizontal="center" vertical="top" wrapText="1"/>
    </xf>
    <xf numFmtId="0" fontId="0" fillId="2" borderId="0" xfId="0" applyFill="1" applyAlignment="1">
      <alignment wrapText="1"/>
    </xf>
    <xf numFmtId="0" fontId="50" fillId="2" borderId="9" xfId="0" applyFont="1" applyFill="1" applyBorder="1" applyAlignment="1">
      <alignment horizontal="left" vertical="center"/>
    </xf>
    <xf numFmtId="0" fontId="50" fillId="2" borderId="8" xfId="0" applyFont="1" applyFill="1" applyBorder="1" applyAlignment="1">
      <alignment horizontal="right" vertical="center"/>
    </xf>
    <xf numFmtId="0" fontId="49" fillId="2" borderId="9" xfId="0" applyFont="1" applyFill="1" applyBorder="1" applyAlignment="1">
      <alignment horizontal="left" vertical="center"/>
    </xf>
    <xf numFmtId="0" fontId="49" fillId="2" borderId="9" xfId="0" applyFont="1" applyFill="1" applyBorder="1" applyAlignment="1">
      <alignment horizontal="right" vertical="center"/>
    </xf>
    <xf numFmtId="0" fontId="49" fillId="6" borderId="0" xfId="0" applyFont="1" applyFill="1" applyBorder="1" applyAlignment="1">
      <alignment horizontal="left" vertical="center"/>
    </xf>
    <xf numFmtId="0" fontId="49" fillId="6" borderId="0" xfId="0" applyFont="1" applyFill="1" applyBorder="1" applyAlignment="1">
      <alignment horizontal="right" vertical="center"/>
    </xf>
    <xf numFmtId="0" fontId="50" fillId="2" borderId="8" xfId="0" applyFont="1" applyFill="1" applyBorder="1" applyAlignment="1">
      <alignment horizontal="left" vertical="center"/>
    </xf>
    <xf numFmtId="0" fontId="47" fillId="34" borderId="37" xfId="0" applyFont="1" applyFill="1" applyBorder="1" applyAlignment="1">
      <alignment horizontal="center" vertical="center" wrapText="1"/>
    </xf>
    <xf numFmtId="0" fontId="53" fillId="34" borderId="38" xfId="0" applyFont="1" applyFill="1" applyBorder="1" applyAlignment="1">
      <alignment horizontal="center" vertical="center" wrapText="1"/>
    </xf>
    <xf numFmtId="0" fontId="53" fillId="34" borderId="39" xfId="0" applyFont="1" applyFill="1" applyBorder="1" applyAlignment="1">
      <alignment horizontal="center" vertical="center" wrapText="1"/>
    </xf>
    <xf numFmtId="0" fontId="6" fillId="3" borderId="6" xfId="0" applyFont="1" applyFill="1" applyBorder="1" applyAlignment="1">
      <alignment horizontal="center" vertical="center"/>
    </xf>
    <xf numFmtId="0" fontId="15" fillId="4" borderId="19" xfId="0" applyFont="1" applyFill="1" applyBorder="1" applyAlignment="1">
      <alignment horizontal="center" vertical="center" wrapText="1"/>
    </xf>
    <xf numFmtId="0" fontId="8" fillId="4" borderId="19" xfId="0" applyFont="1" applyFill="1" applyBorder="1" applyAlignment="1">
      <alignment horizontal="center" vertical="center"/>
    </xf>
    <xf numFmtId="0" fontId="50" fillId="6" borderId="0" xfId="0" applyFont="1" applyFill="1" applyBorder="1" applyAlignment="1">
      <alignment horizontal="center"/>
    </xf>
    <xf numFmtId="3" fontId="50" fillId="2" borderId="8" xfId="0" applyNumberFormat="1" applyFont="1" applyFill="1" applyBorder="1" applyAlignment="1">
      <alignment horizontal="center" vertical="center"/>
    </xf>
    <xf numFmtId="0" fontId="56" fillId="4" borderId="19" xfId="0" applyFont="1" applyFill="1" applyBorder="1" applyAlignment="1">
      <alignment horizontal="center" vertical="center" wrapText="1"/>
    </xf>
    <xf numFmtId="0" fontId="57" fillId="4" borderId="19" xfId="0" applyFont="1" applyFill="1" applyBorder="1" applyAlignment="1">
      <alignment horizontal="center" vertical="center" wrapText="1"/>
    </xf>
    <xf numFmtId="3" fontId="58" fillId="43" borderId="11" xfId="0" applyNumberFormat="1" applyFont="1" applyFill="1" applyBorder="1" applyAlignment="1">
      <alignment horizontal="center" vertical="center" wrapText="1"/>
    </xf>
    <xf numFmtId="3" fontId="58" fillId="6" borderId="11" xfId="0" applyNumberFormat="1" applyFont="1" applyFill="1" applyBorder="1" applyAlignment="1">
      <alignment horizontal="center" vertical="center" wrapText="1"/>
    </xf>
    <xf numFmtId="9" fontId="58" fillId="6" borderId="11" xfId="0" applyNumberFormat="1" applyFont="1" applyFill="1" applyBorder="1" applyAlignment="1">
      <alignment horizontal="center" vertical="center" wrapText="1"/>
    </xf>
    <xf numFmtId="0" fontId="1" fillId="2" borderId="0" xfId="0" applyFont="1" applyFill="1" applyBorder="1" applyAlignment="1">
      <alignment horizontal="center"/>
    </xf>
    <xf numFmtId="0" fontId="54" fillId="2" borderId="9" xfId="0" applyFont="1" applyFill="1" applyBorder="1" applyAlignment="1">
      <alignment horizontal="left" vertical="center"/>
    </xf>
    <xf numFmtId="167" fontId="54" fillId="2" borderId="9" xfId="0" applyNumberFormat="1" applyFont="1" applyFill="1" applyBorder="1" applyAlignment="1">
      <alignment horizontal="right"/>
    </xf>
    <xf numFmtId="0" fontId="54" fillId="0" borderId="9" xfId="0" applyFont="1" applyBorder="1" applyAlignment="1">
      <alignment horizontal="left" vertical="center"/>
    </xf>
    <xf numFmtId="3" fontId="54" fillId="2" borderId="9" xfId="0" applyNumberFormat="1" applyFont="1" applyFill="1" applyBorder="1" applyAlignment="1">
      <alignment horizontal="right" vertical="center"/>
    </xf>
    <xf numFmtId="0" fontId="61" fillId="5" borderId="0" xfId="0" applyFont="1" applyFill="1" applyBorder="1" applyAlignment="1">
      <alignment horizontal="center" vertical="top" wrapText="1"/>
    </xf>
    <xf numFmtId="0" fontId="54" fillId="2" borderId="8" xfId="0" applyFont="1" applyFill="1" applyBorder="1" applyAlignment="1">
      <alignment horizontal="left" vertical="center"/>
    </xf>
    <xf numFmtId="3" fontId="54" fillId="2" borderId="8" xfId="0" applyNumberFormat="1" applyFont="1" applyFill="1" applyBorder="1" applyAlignment="1">
      <alignment horizontal="right" vertical="center"/>
    </xf>
    <xf numFmtId="0" fontId="54" fillId="0" borderId="8" xfId="0" applyFont="1" applyBorder="1" applyAlignment="1">
      <alignment horizontal="left" vertical="center"/>
    </xf>
    <xf numFmtId="0" fontId="54" fillId="2" borderId="8" xfId="0" applyFont="1" applyFill="1" applyBorder="1" applyAlignment="1">
      <alignment horizontal="left"/>
    </xf>
    <xf numFmtId="0" fontId="54" fillId="2" borderId="8" xfId="0" applyFont="1" applyFill="1" applyBorder="1" applyAlignment="1">
      <alignment horizontal="right"/>
    </xf>
    <xf numFmtId="166" fontId="54" fillId="2" borderId="9" xfId="0" applyNumberFormat="1" applyFont="1" applyFill="1" applyBorder="1" applyAlignment="1">
      <alignment horizontal="right" vertical="center"/>
    </xf>
    <xf numFmtId="0" fontId="10" fillId="0" borderId="44" xfId="0" applyFont="1" applyBorder="1" applyAlignment="1">
      <alignment horizontal="left" vertical="top" wrapText="1"/>
    </xf>
    <xf numFmtId="0" fontId="10" fillId="0" borderId="7" xfId="0" applyFont="1" applyBorder="1" applyAlignment="1">
      <alignment horizontal="left" vertical="top" wrapText="1"/>
    </xf>
    <xf numFmtId="0" fontId="10" fillId="0" borderId="45" xfId="0" applyFont="1" applyBorder="1" applyAlignment="1">
      <alignment horizontal="left" vertical="top" wrapText="1"/>
    </xf>
    <xf numFmtId="0" fontId="10" fillId="0" borderId="46" xfId="0" applyFont="1" applyBorder="1" applyAlignment="1">
      <alignment horizontal="left" vertical="top" wrapText="1"/>
    </xf>
    <xf numFmtId="0" fontId="10" fillId="0" borderId="47" xfId="0" applyFont="1" applyBorder="1" applyAlignment="1">
      <alignment horizontal="left" vertical="top" wrapText="1"/>
    </xf>
    <xf numFmtId="0" fontId="10" fillId="0" borderId="48" xfId="0" applyFont="1" applyBorder="1" applyAlignment="1">
      <alignment horizontal="left" vertical="top" wrapText="1"/>
    </xf>
    <xf numFmtId="0" fontId="59" fillId="4" borderId="19" xfId="0" applyFont="1" applyFill="1" applyBorder="1" applyAlignment="1">
      <alignment horizontal="center" vertical="center"/>
    </xf>
    <xf numFmtId="0" fontId="48" fillId="35" borderId="19" xfId="0" applyFont="1" applyFill="1" applyBorder="1" applyAlignment="1">
      <alignment horizontal="center" vertical="center"/>
    </xf>
    <xf numFmtId="3" fontId="62" fillId="36" borderId="0" xfId="0" applyNumberFormat="1" applyFont="1" applyFill="1" applyAlignment="1">
      <alignment horizontal="center" wrapText="1"/>
    </xf>
    <xf numFmtId="0" fontId="63" fillId="36" borderId="0" xfId="0" applyFont="1" applyFill="1" applyAlignment="1">
      <alignment horizontal="center" vertical="top" wrapText="1"/>
    </xf>
    <xf numFmtId="3" fontId="62" fillId="33" borderId="0" xfId="0" applyNumberFormat="1" applyFont="1" applyFill="1" applyAlignment="1">
      <alignment horizontal="center" wrapText="1"/>
    </xf>
    <xf numFmtId="0" fontId="3" fillId="0" borderId="2" xfId="0" applyFont="1" applyBorder="1" applyAlignment="1">
      <alignment horizontal="center" vertical="center" wrapText="1"/>
    </xf>
    <xf numFmtId="0" fontId="5" fillId="2" borderId="0" xfId="0" applyFont="1" applyFill="1" applyBorder="1" applyAlignment="1">
      <alignment horizontal="right" vertical="center" wrapText="1"/>
    </xf>
    <xf numFmtId="164" fontId="4" fillId="2" borderId="0" xfId="0" applyNumberFormat="1" applyFont="1" applyFill="1" applyBorder="1" applyAlignment="1">
      <alignment horizontal="left" vertical="center" wrapText="1"/>
    </xf>
    <xf numFmtId="165" fontId="4" fillId="2" borderId="0" xfId="0" applyNumberFormat="1" applyFont="1" applyFill="1" applyBorder="1" applyAlignment="1">
      <alignment horizontal="left" vertical="center" wrapText="1"/>
    </xf>
    <xf numFmtId="3" fontId="60" fillId="5" borderId="0" xfId="0" applyNumberFormat="1" applyFont="1" applyFill="1" applyBorder="1" applyAlignment="1">
      <alignment horizontal="center" wrapText="1"/>
    </xf>
    <xf numFmtId="0" fontId="53" fillId="6" borderId="41" xfId="0" applyFont="1" applyFill="1" applyBorder="1" applyAlignment="1">
      <alignment horizontal="center" vertical="top" wrapText="1"/>
    </xf>
    <xf numFmtId="0" fontId="53" fillId="6" borderId="42" xfId="0" applyFont="1" applyFill="1" applyBorder="1" applyAlignment="1">
      <alignment horizontal="center" vertical="top" wrapText="1"/>
    </xf>
    <xf numFmtId="0" fontId="53" fillId="6" borderId="43" xfId="0" applyFont="1" applyFill="1" applyBorder="1" applyAlignment="1">
      <alignment horizontal="center" vertical="top" wrapText="1"/>
    </xf>
    <xf numFmtId="0" fontId="0" fillId="2" borderId="0" xfId="0" applyFont="1" applyFill="1" applyBorder="1" applyAlignment="1">
      <alignment horizontal="left" vertical="center" wrapText="1"/>
    </xf>
    <xf numFmtId="0" fontId="26" fillId="2" borderId="0" xfId="0" applyFont="1" applyFill="1" applyBorder="1" applyAlignment="1">
      <alignment horizontal="left"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top" wrapText="1"/>
    </xf>
    <xf numFmtId="0" fontId="24" fillId="2" borderId="0" xfId="0" applyFont="1" applyFill="1" applyBorder="1" applyAlignment="1">
      <alignment horizontal="left"/>
    </xf>
    <xf numFmtId="0" fontId="26" fillId="2" borderId="0" xfId="0" applyFont="1" applyFill="1" applyBorder="1" applyAlignment="1">
      <alignment horizontal="left"/>
    </xf>
    <xf numFmtId="0" fontId="0" fillId="2" borderId="0" xfId="0" applyFont="1" applyFill="1" applyBorder="1" applyAlignment="1">
      <alignment horizontal="left" wrapText="1"/>
    </xf>
    <xf numFmtId="0" fontId="22" fillId="2" borderId="0" xfId="0" applyFont="1" applyFill="1" applyBorder="1" applyAlignment="1">
      <alignment horizontal="center"/>
    </xf>
    <xf numFmtId="0" fontId="23" fillId="2" borderId="0" xfId="0" applyFont="1" applyFill="1" applyBorder="1" applyAlignment="1">
      <alignment horizontal="center"/>
    </xf>
    <xf numFmtId="0" fontId="0" fillId="2" borderId="0" xfId="0" applyFont="1" applyFill="1" applyBorder="1" applyAlignment="1">
      <alignment horizontal="left"/>
    </xf>
    <xf numFmtId="0" fontId="36" fillId="2" borderId="0" xfId="0" applyFont="1" applyFill="1" applyAlignment="1">
      <alignment horizontal="left" vertical="center"/>
    </xf>
    <xf numFmtId="10" fontId="36" fillId="2" borderId="0" xfId="2" applyNumberFormat="1" applyFont="1" applyFill="1" applyBorder="1" applyAlignment="1" applyProtection="1">
      <alignment horizontal="right" vertical="center"/>
    </xf>
    <xf numFmtId="2" fontId="0" fillId="2" borderId="0" xfId="0" applyNumberFormat="1" applyFill="1" applyAlignment="1">
      <alignment horizontal="right" vertical="center"/>
    </xf>
    <xf numFmtId="4" fontId="36" fillId="2" borderId="0" xfId="0" applyNumberFormat="1" applyFont="1" applyFill="1" applyAlignment="1">
      <alignment horizontal="right" vertical="center"/>
    </xf>
    <xf numFmtId="10" fontId="0" fillId="2" borderId="0" xfId="0" applyNumberFormat="1" applyFill="1" applyAlignment="1">
      <alignment horizontal="right" vertical="center"/>
    </xf>
    <xf numFmtId="4" fontId="0" fillId="2" borderId="0" xfId="0" applyNumberFormat="1" applyFill="1" applyAlignment="1">
      <alignment horizontal="right" vertical="center"/>
    </xf>
    <xf numFmtId="0" fontId="36" fillId="2" borderId="0" xfId="0" applyFont="1" applyFill="1" applyBorder="1" applyAlignment="1">
      <alignment horizontal="left" vertical="center"/>
    </xf>
    <xf numFmtId="3" fontId="36" fillId="2" borderId="0" xfId="0" applyNumberFormat="1" applyFont="1" applyFill="1" applyBorder="1" applyAlignment="1">
      <alignment horizontal="right" vertical="center"/>
    </xf>
    <xf numFmtId="2" fontId="0" fillId="2" borderId="0" xfId="0" applyNumberFormat="1" applyFill="1" applyBorder="1" applyAlignment="1">
      <alignment horizontal="right" vertical="center"/>
    </xf>
    <xf numFmtId="4" fontId="36" fillId="2" borderId="0" xfId="0" applyNumberFormat="1" applyFont="1" applyFill="1" applyBorder="1" applyAlignment="1">
      <alignment horizontal="right" vertical="center"/>
    </xf>
    <xf numFmtId="0" fontId="36" fillId="12" borderId="24" xfId="0" applyFont="1" applyFill="1" applyBorder="1" applyAlignment="1">
      <alignment horizontal="center"/>
    </xf>
    <xf numFmtId="0" fontId="36" fillId="2" borderId="32" xfId="0" applyFont="1" applyFill="1" applyBorder="1" applyAlignment="1">
      <alignment horizontal="right" vertical="center"/>
    </xf>
    <xf numFmtId="3" fontId="36" fillId="2" borderId="0" xfId="0" applyNumberFormat="1" applyFont="1" applyFill="1" applyAlignment="1">
      <alignment horizontal="right" vertical="center"/>
    </xf>
    <xf numFmtId="0" fontId="0" fillId="0" borderId="32" xfId="0" applyBorder="1" applyAlignment="1">
      <alignment horizontal="right"/>
    </xf>
    <xf numFmtId="0" fontId="0" fillId="2" borderId="0" xfId="0" applyFill="1" applyAlignment="1">
      <alignment horizontal="left" vertical="center"/>
    </xf>
    <xf numFmtId="0" fontId="0" fillId="2" borderId="0" xfId="0" applyFill="1" applyAlignment="1">
      <alignment horizontal="right" vertical="center"/>
    </xf>
    <xf numFmtId="10" fontId="30" fillId="17" borderId="33" xfId="0" applyNumberFormat="1" applyFont="1" applyFill="1" applyBorder="1" applyAlignment="1">
      <alignment horizontal="right"/>
    </xf>
    <xf numFmtId="2" fontId="30" fillId="2" borderId="29" xfId="0" applyNumberFormat="1" applyFont="1" applyFill="1" applyBorder="1" applyAlignment="1">
      <alignment horizontal="right"/>
    </xf>
    <xf numFmtId="4" fontId="33" fillId="2" borderId="27" xfId="0" applyNumberFormat="1" applyFont="1" applyFill="1" applyBorder="1" applyAlignment="1">
      <alignment horizontal="right"/>
    </xf>
    <xf numFmtId="10" fontId="36" fillId="2" borderId="0" xfId="2" applyNumberFormat="1" applyFont="1" applyFill="1" applyBorder="1" applyAlignment="1" applyProtection="1">
      <alignment horizontal="center" vertical="center"/>
    </xf>
    <xf numFmtId="10" fontId="0" fillId="17" borderId="0" xfId="0" applyNumberFormat="1" applyFont="1" applyFill="1" applyBorder="1" applyAlignment="1">
      <alignment horizontal="right" vertical="center"/>
    </xf>
    <xf numFmtId="0" fontId="35" fillId="12" borderId="24" xfId="0" applyFont="1" applyFill="1" applyBorder="1" applyAlignment="1">
      <alignment horizontal="center" vertical="center"/>
    </xf>
    <xf numFmtId="0" fontId="37" fillId="2" borderId="30" xfId="0" applyFont="1" applyFill="1" applyBorder="1" applyAlignment="1">
      <alignment horizontal="left"/>
    </xf>
    <xf numFmtId="2" fontId="37" fillId="2" borderId="30" xfId="0" applyNumberFormat="1" applyFont="1" applyFill="1" applyBorder="1" applyAlignment="1">
      <alignment horizontal="right"/>
    </xf>
    <xf numFmtId="0" fontId="40" fillId="12" borderId="24" xfId="0" applyFont="1" applyFill="1" applyBorder="1" applyAlignment="1">
      <alignment horizontal="center"/>
    </xf>
    <xf numFmtId="0" fontId="0" fillId="2" borderId="0" xfId="0" applyFont="1" applyFill="1" applyBorder="1" applyAlignment="1">
      <alignment horizontal="center" vertical="center"/>
    </xf>
    <xf numFmtId="10" fontId="0" fillId="2" borderId="0" xfId="0" applyNumberFormat="1" applyFont="1" applyFill="1" applyBorder="1" applyAlignment="1">
      <alignment horizontal="center" vertical="center"/>
    </xf>
    <xf numFmtId="4" fontId="0" fillId="2" borderId="0" xfId="0" applyNumberFormat="1" applyFill="1" applyBorder="1" applyAlignment="1">
      <alignment horizontal="right" vertical="center"/>
    </xf>
    <xf numFmtId="0" fontId="36" fillId="2" borderId="32" xfId="0" applyFont="1" applyFill="1" applyBorder="1" applyAlignment="1">
      <alignment horizontal="center" vertical="center"/>
    </xf>
    <xf numFmtId="0" fontId="0" fillId="33" borderId="0" xfId="0" applyFill="1" applyAlignment="1">
      <alignment horizontal="right" vertical="center"/>
    </xf>
    <xf numFmtId="0" fontId="36" fillId="11" borderId="24" xfId="0" applyFont="1" applyFill="1" applyBorder="1" applyAlignment="1">
      <alignment horizontal="center"/>
    </xf>
    <xf numFmtId="0" fontId="40" fillId="11" borderId="24" xfId="0" applyFont="1" applyFill="1" applyBorder="1" applyAlignment="1">
      <alignment horizontal="center"/>
    </xf>
    <xf numFmtId="10" fontId="30" fillId="23" borderId="33" xfId="0" applyNumberFormat="1" applyFont="1" applyFill="1" applyBorder="1" applyAlignment="1">
      <alignment horizontal="right"/>
    </xf>
    <xf numFmtId="0" fontId="35" fillId="39" borderId="24" xfId="0" applyFont="1" applyFill="1" applyBorder="1" applyAlignment="1">
      <alignment horizontal="center" vertical="center"/>
    </xf>
    <xf numFmtId="0" fontId="40" fillId="39" borderId="24" xfId="0" applyFont="1" applyFill="1" applyBorder="1" applyAlignment="1">
      <alignment horizontal="center"/>
    </xf>
    <xf numFmtId="0" fontId="36" fillId="39" borderId="24" xfId="0" applyFont="1" applyFill="1" applyBorder="1" applyAlignment="1">
      <alignment horizontal="center"/>
    </xf>
    <xf numFmtId="0" fontId="35" fillId="11" borderId="24" xfId="0" applyFont="1" applyFill="1" applyBorder="1" applyAlignment="1">
      <alignment horizontal="center" vertical="center"/>
    </xf>
    <xf numFmtId="3" fontId="0" fillId="2" borderId="0" xfId="0" applyNumberFormat="1" applyFill="1" applyAlignment="1">
      <alignment horizontal="right" vertical="center"/>
    </xf>
    <xf numFmtId="0" fontId="36" fillId="10" borderId="24" xfId="0" applyFont="1" applyFill="1" applyBorder="1" applyAlignment="1">
      <alignment horizontal="center"/>
    </xf>
    <xf numFmtId="10" fontId="0" fillId="17" borderId="0" xfId="0" applyNumberFormat="1" applyFill="1" applyAlignment="1">
      <alignment horizontal="right" vertical="center"/>
    </xf>
    <xf numFmtId="0" fontId="40" fillId="10" borderId="24" xfId="0" applyFont="1" applyFill="1" applyBorder="1" applyAlignment="1">
      <alignment horizontal="center"/>
    </xf>
    <xf numFmtId="0" fontId="0" fillId="0" borderId="25" xfId="0" applyFont="1" applyBorder="1" applyAlignment="1">
      <alignment horizontal="center"/>
    </xf>
    <xf numFmtId="0" fontId="0" fillId="0" borderId="24" xfId="0" applyFont="1" applyBorder="1" applyAlignment="1">
      <alignment horizontal="center"/>
    </xf>
    <xf numFmtId="2" fontId="38" fillId="0" borderId="24" xfId="0" applyNumberFormat="1" applyFont="1" applyBorder="1" applyAlignment="1">
      <alignment horizontal="center" vertical="center"/>
    </xf>
    <xf numFmtId="0" fontId="35" fillId="10" borderId="24" xfId="0" applyFont="1" applyFill="1" applyBorder="1" applyAlignment="1">
      <alignment horizontal="center" vertical="center"/>
    </xf>
    <xf numFmtId="0" fontId="30" fillId="2" borderId="0" xfId="0" applyFont="1" applyFill="1" applyBorder="1" applyAlignment="1">
      <alignment horizontal="left"/>
    </xf>
    <xf numFmtId="168" fontId="46" fillId="0" borderId="0" xfId="1" applyBorder="1"/>
    <xf numFmtId="10" fontId="30" fillId="17" borderId="0" xfId="0" applyNumberFormat="1" applyFont="1" applyFill="1" applyBorder="1" applyAlignment="1">
      <alignment horizontal="right"/>
    </xf>
    <xf numFmtId="2" fontId="30" fillId="2" borderId="0" xfId="0" applyNumberFormat="1" applyFont="1" applyFill="1" applyBorder="1" applyAlignment="1">
      <alignment horizontal="right"/>
    </xf>
    <xf numFmtId="0" fontId="39" fillId="19" borderId="28" xfId="0" applyFont="1" applyFill="1" applyBorder="1" applyAlignment="1" applyProtection="1">
      <alignment horizontal="left" vertical="center"/>
    </xf>
    <xf numFmtId="0" fontId="39" fillId="20" borderId="28" xfId="0" applyFont="1" applyFill="1" applyBorder="1" applyAlignment="1" applyProtection="1">
      <alignment horizontal="left" vertical="center"/>
    </xf>
    <xf numFmtId="0" fontId="39" fillId="21" borderId="28" xfId="0" applyFont="1" applyFill="1" applyBorder="1" applyAlignment="1" applyProtection="1">
      <alignment horizontal="left" vertical="center"/>
    </xf>
    <xf numFmtId="0" fontId="39" fillId="22" borderId="28" xfId="0" applyFont="1" applyFill="1" applyBorder="1" applyAlignment="1" applyProtection="1">
      <alignment horizontal="left" vertical="center"/>
    </xf>
    <xf numFmtId="0" fontId="35" fillId="9" borderId="24" xfId="0" applyFont="1" applyFill="1" applyBorder="1" applyAlignment="1">
      <alignment horizontal="center" vertical="center"/>
    </xf>
    <xf numFmtId="168" fontId="46" fillId="0" borderId="30" xfId="1" applyBorder="1"/>
    <xf numFmtId="0" fontId="30" fillId="2" borderId="0" xfId="0" applyFont="1" applyFill="1" applyBorder="1" applyAlignment="1">
      <alignment horizontal="right"/>
    </xf>
    <xf numFmtId="0" fontId="35" fillId="13" borderId="24" xfId="0" applyFont="1" applyFill="1" applyBorder="1" applyAlignment="1">
      <alignment horizontal="center" vertical="center"/>
    </xf>
    <xf numFmtId="0" fontId="35" fillId="14" borderId="24" xfId="0" applyFont="1" applyFill="1" applyBorder="1" applyAlignment="1">
      <alignment horizontal="center" vertical="center"/>
    </xf>
    <xf numFmtId="0" fontId="35" fillId="15" borderId="24" xfId="0" applyFont="1" applyFill="1" applyBorder="1" applyAlignment="1">
      <alignment horizontal="center" vertical="center"/>
    </xf>
    <xf numFmtId="0" fontId="35" fillId="16" borderId="24" xfId="0" applyFont="1" applyFill="1" applyBorder="1" applyAlignment="1">
      <alignment horizontal="center" vertical="center"/>
    </xf>
    <xf numFmtId="0" fontId="36" fillId="0" borderId="25" xfId="0" applyFont="1" applyBorder="1" applyAlignment="1">
      <alignment horizontal="center" vertical="center"/>
    </xf>
    <xf numFmtId="0" fontId="36" fillId="0" borderId="24" xfId="0" applyFont="1" applyBorder="1" applyAlignment="1">
      <alignment horizontal="center" vertical="center"/>
    </xf>
    <xf numFmtId="0" fontId="0" fillId="9" borderId="26" xfId="0" applyFont="1" applyFill="1" applyBorder="1" applyAlignment="1">
      <alignment horizontal="left" vertical="center"/>
    </xf>
    <xf numFmtId="9" fontId="32" fillId="0" borderId="24" xfId="0" applyNumberFormat="1" applyFont="1" applyBorder="1" applyAlignment="1">
      <alignment horizontal="center" vertical="center"/>
    </xf>
    <xf numFmtId="0" fontId="0" fillId="10" borderId="26" xfId="0" applyFont="1" applyFill="1" applyBorder="1" applyAlignment="1">
      <alignment horizontal="left" vertical="center"/>
    </xf>
    <xf numFmtId="0" fontId="0" fillId="11" borderId="26" xfId="0" applyFont="1" applyFill="1" applyBorder="1" applyAlignment="1">
      <alignment horizontal="left" vertical="center"/>
    </xf>
    <xf numFmtId="0" fontId="0" fillId="12" borderId="26" xfId="0" applyFont="1" applyFill="1" applyBorder="1" applyAlignment="1">
      <alignment horizontal="left" vertical="center"/>
    </xf>
    <xf numFmtId="0" fontId="0" fillId="18" borderId="26" xfId="0" applyFont="1" applyFill="1" applyBorder="1" applyAlignment="1">
      <alignment horizontal="left" vertical="center"/>
    </xf>
    <xf numFmtId="0" fontId="34" fillId="41" borderId="24" xfId="0" applyFont="1" applyFill="1" applyBorder="1" applyAlignment="1">
      <alignment horizontal="center" vertical="center"/>
    </xf>
    <xf numFmtId="1" fontId="33" fillId="41" borderId="25" xfId="0" applyNumberFormat="1" applyFont="1" applyFill="1" applyBorder="1" applyAlignment="1">
      <alignment horizontal="center" vertical="center"/>
    </xf>
    <xf numFmtId="0" fontId="35" fillId="41" borderId="24" xfId="0" applyFont="1" applyFill="1" applyBorder="1" applyAlignment="1">
      <alignment horizontal="center" vertical="center"/>
    </xf>
    <xf numFmtId="1" fontId="33" fillId="40" borderId="25" xfId="0" applyNumberFormat="1" applyFont="1" applyFill="1" applyBorder="1" applyAlignment="1">
      <alignment horizontal="center" vertical="center"/>
    </xf>
    <xf numFmtId="0" fontId="35" fillId="40" borderId="24" xfId="0" applyFont="1" applyFill="1" applyBorder="1" applyAlignment="1">
      <alignment horizontal="center" vertical="center"/>
    </xf>
    <xf numFmtId="0" fontId="0" fillId="39" borderId="26" xfId="0" applyFont="1" applyFill="1" applyBorder="1" applyAlignment="1">
      <alignment horizontal="left" vertical="center"/>
    </xf>
    <xf numFmtId="0" fontId="0" fillId="39" borderId="40" xfId="0" applyFont="1" applyFill="1" applyBorder="1" applyAlignment="1">
      <alignment horizontal="left" vertical="center"/>
    </xf>
    <xf numFmtId="0" fontId="0" fillId="39" borderId="27" xfId="0" applyFont="1" applyFill="1" applyBorder="1" applyAlignment="1">
      <alignment horizontal="left" vertical="center"/>
    </xf>
    <xf numFmtId="0" fontId="31" fillId="0" borderId="24" xfId="0" applyFont="1" applyBorder="1" applyAlignment="1">
      <alignment horizontal="left" vertical="center"/>
    </xf>
    <xf numFmtId="1" fontId="32" fillId="8" borderId="24" xfId="0" applyNumberFormat="1" applyFont="1" applyFill="1" applyBorder="1" applyAlignment="1">
      <alignment horizontal="center" vertical="center"/>
    </xf>
    <xf numFmtId="0" fontId="34" fillId="9" borderId="24" xfId="0" applyFont="1" applyFill="1" applyBorder="1" applyAlignment="1">
      <alignment horizontal="center" vertical="center"/>
    </xf>
    <xf numFmtId="0" fontId="34" fillId="10" borderId="24" xfId="0" applyFont="1" applyFill="1" applyBorder="1" applyAlignment="1">
      <alignment horizontal="center" vertical="center"/>
    </xf>
    <xf numFmtId="0" fontId="34" fillId="11" borderId="24" xfId="0" applyFont="1" applyFill="1" applyBorder="1" applyAlignment="1">
      <alignment horizontal="center" vertical="center"/>
    </xf>
    <xf numFmtId="0" fontId="34" fillId="12" borderId="24" xfId="0" applyFont="1" applyFill="1" applyBorder="1" applyAlignment="1">
      <alignment horizontal="center" vertical="center"/>
    </xf>
    <xf numFmtId="1" fontId="33" fillId="9" borderId="25" xfId="0" applyNumberFormat="1" applyFont="1" applyFill="1" applyBorder="1" applyAlignment="1">
      <alignment horizontal="center" vertical="center"/>
    </xf>
    <xf numFmtId="1" fontId="33" fillId="10" borderId="25" xfId="0" applyNumberFormat="1" applyFont="1" applyFill="1" applyBorder="1" applyAlignment="1">
      <alignment horizontal="center" vertical="center"/>
    </xf>
    <xf numFmtId="1" fontId="33" fillId="11" borderId="25" xfId="0" applyNumberFormat="1" applyFont="1" applyFill="1" applyBorder="1" applyAlignment="1">
      <alignment horizontal="center" vertical="center"/>
    </xf>
    <xf numFmtId="1" fontId="33" fillId="12" borderId="25" xfId="0" applyNumberFormat="1" applyFont="1" applyFill="1" applyBorder="1" applyAlignment="1">
      <alignment horizontal="center" vertical="center"/>
    </xf>
    <xf numFmtId="1" fontId="33" fillId="13" borderId="25" xfId="0" applyNumberFormat="1" applyFont="1" applyFill="1" applyBorder="1" applyAlignment="1">
      <alignment horizontal="center" vertical="center"/>
    </xf>
    <xf numFmtId="1" fontId="33" fillId="14" borderId="25" xfId="0" applyNumberFormat="1" applyFont="1" applyFill="1" applyBorder="1" applyAlignment="1">
      <alignment horizontal="center" vertical="center"/>
    </xf>
    <xf numFmtId="1" fontId="33" fillId="15" borderId="25" xfId="0" applyNumberFormat="1" applyFont="1" applyFill="1" applyBorder="1" applyAlignment="1">
      <alignment horizontal="center" vertical="center"/>
    </xf>
    <xf numFmtId="1" fontId="33" fillId="16" borderId="25" xfId="0" applyNumberFormat="1" applyFont="1" applyFill="1" applyBorder="1" applyAlignment="1">
      <alignment horizontal="center" vertical="center"/>
    </xf>
    <xf numFmtId="0" fontId="43" fillId="24" borderId="0" xfId="0" applyFont="1" applyFill="1" applyBorder="1" applyAlignment="1">
      <alignment horizontal="center" vertical="center"/>
    </xf>
    <xf numFmtId="0" fontId="36" fillId="26" borderId="28" xfId="0" applyFont="1" applyFill="1" applyBorder="1" applyAlignment="1">
      <alignment horizontal="center" vertical="center"/>
    </xf>
    <xf numFmtId="0" fontId="36" fillId="26" borderId="0" xfId="0" applyFont="1" applyFill="1" applyBorder="1" applyAlignment="1">
      <alignment horizontal="center" vertical="center"/>
    </xf>
    <xf numFmtId="3" fontId="36" fillId="29" borderId="0" xfId="0" applyNumberFormat="1" applyFont="1" applyFill="1" applyBorder="1" applyAlignment="1">
      <alignment horizontal="center"/>
    </xf>
    <xf numFmtId="0" fontId="0" fillId="0" borderId="0" xfId="0" applyFont="1" applyBorder="1" applyAlignment="1">
      <alignment horizontal="center" vertical="center"/>
    </xf>
    <xf numFmtId="0" fontId="0" fillId="30" borderId="0" xfId="0" applyFont="1" applyFill="1" applyBorder="1" applyAlignment="1">
      <alignment horizontal="center"/>
    </xf>
    <xf numFmtId="0" fontId="24" fillId="2" borderId="0" xfId="0" applyFont="1" applyFill="1" applyAlignment="1">
      <alignment horizontal="left"/>
    </xf>
    <xf numFmtId="0" fontId="0" fillId="2" borderId="0" xfId="0" applyFill="1" applyAlignment="1">
      <alignment horizontal="left" wrapText="1"/>
    </xf>
    <xf numFmtId="3" fontId="50" fillId="2" borderId="9" xfId="0" applyNumberFormat="1" applyFont="1" applyFill="1" applyBorder="1" applyAlignment="1">
      <alignment horizontal="center" vertical="center"/>
    </xf>
  </cellXfs>
  <cellStyles count="4">
    <cellStyle name="Comma" xfId="1" builtinId="3"/>
    <cellStyle name="Hyperlink" xfId="3" builtinId="8"/>
    <cellStyle name="Normal" xfId="0" builtinId="0"/>
    <cellStyle name="Percent" xfId="2" builtinId="5"/>
  </cellStyles>
  <dxfs count="113">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color rgb="FFFFFFFF"/>
      </font>
      <fill>
        <patternFill>
          <bgColor rgb="FF00B050"/>
        </patternFill>
      </fill>
    </dxf>
    <dxf>
      <font>
        <color rgb="FFFFFFFF"/>
      </font>
      <fill>
        <patternFill>
          <bgColor rgb="FFFF0000"/>
        </patternFill>
      </fill>
    </dxf>
    <dxf>
      <font>
        <color rgb="FFFFFFFF"/>
      </font>
      <fill>
        <patternFill>
          <bgColor rgb="FFFF0000"/>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color rgb="FFFFFFFF"/>
      </font>
      <fill>
        <patternFill>
          <bgColor rgb="FF70AD47"/>
        </patternFill>
      </fill>
    </dxf>
    <dxf>
      <font>
        <color rgb="FFFFFFFF"/>
      </font>
      <fill>
        <patternFill>
          <bgColor rgb="FFFF0000"/>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ont>
        <color auto="1"/>
      </font>
      <fill>
        <patternFill>
          <bgColor rgb="FFBE0712"/>
        </patternFill>
      </fill>
    </dxf>
    <dxf>
      <font>
        <color auto="1"/>
      </font>
      <fill>
        <patternFill>
          <bgColor rgb="FFF06B29"/>
        </patternFill>
      </fill>
    </dxf>
    <dxf>
      <font>
        <color auto="1"/>
      </font>
      <fill>
        <patternFill>
          <bgColor rgb="FFFEDA6F"/>
        </patternFill>
      </fill>
    </dxf>
    <dxf>
      <fill>
        <patternFill>
          <bgColor rgb="FFCFDE57"/>
        </patternFill>
      </fill>
    </dxf>
    <dxf>
      <font>
        <color auto="1"/>
      </font>
      <fill>
        <patternFill>
          <bgColor rgb="FF72AC4D"/>
        </patternFill>
      </fill>
    </dxf>
    <dxf>
      <fill>
        <patternFill>
          <bgColor rgb="FF72AC4D"/>
        </patternFill>
      </fill>
    </dxf>
    <dxf>
      <fill>
        <patternFill>
          <bgColor rgb="FFCFDE57"/>
        </patternFill>
      </fill>
    </dxf>
    <dxf>
      <fill>
        <patternFill>
          <bgColor rgb="FFFEDA6F"/>
        </patternFill>
      </fill>
    </dxf>
    <dxf>
      <fill>
        <patternFill>
          <bgColor rgb="FFF06B29"/>
        </patternFill>
      </fill>
    </dxf>
    <dxf>
      <fill>
        <patternFill>
          <bgColor rgb="FFBE0712"/>
        </patternFill>
      </fill>
    </dxf>
    <dxf>
      <fill>
        <patternFill>
          <bgColor rgb="FF72AC4D"/>
        </patternFill>
      </fill>
    </dxf>
    <dxf>
      <fill>
        <patternFill>
          <bgColor rgb="FFCFDE57"/>
        </patternFill>
      </fill>
    </dxf>
    <dxf>
      <fill>
        <patternFill>
          <bgColor rgb="FFFEDA6F"/>
        </patternFill>
      </fill>
    </dxf>
    <dxf>
      <fill>
        <patternFill>
          <bgColor rgb="FFF06B29"/>
        </patternFill>
      </fill>
    </dxf>
    <dxf>
      <fill>
        <patternFill>
          <bgColor rgb="FFBE0712"/>
        </patternFill>
      </fill>
    </dxf>
    <dxf>
      <fill>
        <patternFill>
          <bgColor rgb="FF72AC4D"/>
        </patternFill>
      </fill>
    </dxf>
    <dxf>
      <fill>
        <patternFill>
          <bgColor rgb="FFCFDE57"/>
        </patternFill>
      </fill>
    </dxf>
    <dxf>
      <fill>
        <patternFill>
          <bgColor rgb="FFFEDA6F"/>
        </patternFill>
      </fill>
    </dxf>
    <dxf>
      <fill>
        <patternFill>
          <bgColor rgb="FFF06B29"/>
        </patternFill>
      </fill>
    </dxf>
    <dxf>
      <fill>
        <patternFill>
          <bgColor rgb="FFBE0712"/>
        </patternFill>
      </fill>
    </dxf>
    <dxf>
      <fill>
        <patternFill>
          <bgColor rgb="FF72AC4D"/>
        </patternFill>
      </fill>
    </dxf>
    <dxf>
      <fill>
        <patternFill>
          <bgColor rgb="FFCFDE57"/>
        </patternFill>
      </fill>
    </dxf>
    <dxf>
      <fill>
        <patternFill>
          <bgColor rgb="FFFEDA6F"/>
        </patternFill>
      </fill>
    </dxf>
    <dxf>
      <fill>
        <patternFill>
          <bgColor rgb="FFF06B29"/>
        </patternFill>
      </fill>
    </dxf>
    <dxf>
      <fill>
        <patternFill>
          <bgColor rgb="FFBE0712"/>
        </patternFill>
      </fill>
    </dxf>
    <dxf>
      <fill>
        <patternFill>
          <bgColor rgb="FF72AC4D"/>
        </patternFill>
      </fill>
    </dxf>
    <dxf>
      <fill>
        <patternFill>
          <bgColor rgb="FFCFDE57"/>
        </patternFill>
      </fill>
    </dxf>
    <dxf>
      <fill>
        <patternFill>
          <bgColor rgb="FFFEDA6F"/>
        </patternFill>
      </fill>
    </dxf>
    <dxf>
      <fill>
        <patternFill>
          <bgColor rgb="FFF06B29"/>
        </patternFill>
      </fill>
    </dxf>
    <dxf>
      <fill>
        <patternFill>
          <bgColor rgb="FFBE0712"/>
        </patternFill>
      </fill>
    </dxf>
    <dxf>
      <font>
        <b/>
        <i val="0"/>
        <color rgb="FFFF0000"/>
      </font>
      <fill>
        <patternFill>
          <bgColor rgb="FFFFFFFF"/>
        </patternFill>
      </fill>
    </dxf>
    <dxf>
      <font>
        <b/>
        <i val="0"/>
        <color rgb="FF00B050"/>
      </font>
      <fill>
        <patternFill>
          <bgColor rgb="FFFFFFFF"/>
        </patternFill>
      </fill>
    </dxf>
    <dxf>
      <font>
        <b/>
        <i val="0"/>
        <color rgb="FFFF0000"/>
      </font>
      <fill>
        <patternFill>
          <bgColor rgb="FFFFFFFF"/>
        </patternFill>
      </fill>
    </dxf>
    <dxf>
      <font>
        <b/>
        <i val="0"/>
        <color rgb="FF00B050"/>
      </font>
      <fill>
        <patternFill>
          <bgColor rgb="FFFFFFFF"/>
        </patternFill>
      </fill>
    </dxf>
    <dxf>
      <font>
        <color auto="1"/>
      </font>
      <fill>
        <patternFill>
          <bgColor rgb="FF72AC4D"/>
        </patternFill>
      </fill>
    </dxf>
    <dxf>
      <font>
        <color auto="1"/>
      </font>
      <fill>
        <patternFill>
          <bgColor rgb="FFCFDE57"/>
        </patternFill>
      </fill>
    </dxf>
    <dxf>
      <font>
        <color auto="1"/>
      </font>
      <fill>
        <patternFill>
          <bgColor rgb="FFFEDA6F"/>
        </patternFill>
      </fill>
    </dxf>
    <dxf>
      <font>
        <color auto="1"/>
      </font>
      <fill>
        <patternFill>
          <bgColor rgb="FFF06B29"/>
        </patternFill>
      </fill>
    </dxf>
    <dxf>
      <font>
        <color auto="1"/>
      </font>
      <fill>
        <patternFill>
          <bgColor rgb="FFBE0712"/>
        </patternFill>
      </fill>
    </dxf>
  </dxfs>
  <tableStyles count="0" defaultTableStyle="TableStyleMedium2" defaultPivotStyle="PivotStyleLight16"/>
  <colors>
    <indexedColors>
      <rgbColor rgb="FF000000"/>
      <rgbColor rgb="FFFFFFFF"/>
      <rgbColor rgb="FFFF0000"/>
      <rgbColor rgb="FFCFDE56"/>
      <rgbColor rgb="FFD9D9D9"/>
      <rgbColor rgb="FFFFFF00"/>
      <rgbColor rgb="FFFFA244"/>
      <rgbColor rgb="FFC5E0B4"/>
      <rgbColor rgb="FFBE0712"/>
      <rgbColor rgb="FF43682B"/>
      <rgbColor rgb="FFFED86F"/>
      <rgbColor rgb="FF9A6801"/>
      <rgbColor rgb="FFAFABAB"/>
      <rgbColor rgb="FF255E91"/>
      <rgbColor rgb="FFBFBFBF"/>
      <rgbColor rgb="FF808080"/>
      <rgbColor rgb="FFA5A5A5"/>
      <rgbColor rgb="FF595959"/>
      <rgbColor rgb="FFFFFFCC"/>
      <rgbColor rgb="FFDAE3F3"/>
      <rgbColor rgb="FFD0CECE"/>
      <rgbColor rgb="FFED7D31"/>
      <rgbColor rgb="FF0563C1"/>
      <rgbColor rgb="FFBDD7EE"/>
      <rgbColor rgb="FFFEDA6F"/>
      <rgbColor rgb="FFEBCDFF"/>
      <rgbColor rgb="FFFFD966"/>
      <rgbColor rgb="FFA6A6A6"/>
      <rgbColor rgb="FFEEC845"/>
      <rgbColor rgb="FFFF7800"/>
      <rgbColor rgb="FF44546A"/>
      <rgbColor rgb="FFFBE5D6"/>
      <rgbColor rgb="FF72AC4D"/>
      <rgbColor rgb="FFF2F2F2"/>
      <rgbColor rgb="FFE2F0D9"/>
      <rgbColor rgb="FFFFE699"/>
      <rgbColor rgb="FFB4C7E7"/>
      <rgbColor rgb="FFF6AA58"/>
      <rgbColor rgb="FFE0B3FF"/>
      <rgbColor rgb="FFF8CBAD"/>
      <rgbColor rgb="FF4472C4"/>
      <rgbColor rgb="FF5B9BD5"/>
      <rgbColor rgb="FF70AD47"/>
      <rgbColor rgb="FFFFC000"/>
      <rgbColor rgb="FFD69E00"/>
      <rgbColor rgb="FFF26B16"/>
      <rgbColor rgb="FF636363"/>
      <rgbColor rgb="FF8B8B8B"/>
      <rgbColor rgb="FF43546A"/>
      <rgbColor rgb="FF00B050"/>
      <rgbColor rgb="FF0D0D0D"/>
      <rgbColor rgb="FF404040"/>
      <rgbColor rgb="FFED1C24"/>
      <rgbColor rgb="FFF4682A"/>
      <rgbColor rgb="FF264478"/>
      <rgbColor rgb="FF3B3838"/>
      <rgbColor rgb="00003366"/>
      <rgbColor rgb="00339966"/>
      <rgbColor rgb="00003300"/>
      <rgbColor rgb="00333300"/>
      <rgbColor rgb="00993300"/>
      <rgbColor rgb="00993366"/>
      <rgbColor rgb="00333399"/>
      <rgbColor rgb="00333333"/>
    </indexed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pieChart>
        <c:varyColors val="1"/>
        <c:ser>
          <c:idx val="0"/>
          <c:order val="0"/>
          <c:tx>
            <c:strRef>
              <c:f>SetView!$Q$72</c:f>
              <c:strCache>
                <c:ptCount val="1"/>
                <c:pt idx="0">
                  <c:v>% of Total</c:v>
                </c:pt>
              </c:strCache>
            </c:strRef>
          </c:tx>
          <c:spPr>
            <a:solidFill>
              <a:srgbClr val="4472C4"/>
            </a:solidFill>
            <a:ln>
              <a:noFill/>
            </a:ln>
          </c:spPr>
          <c:dPt>
            <c:idx val="0"/>
            <c:bubble3D val="0"/>
            <c:spPr>
              <a:solidFill>
                <a:srgbClr val="BE0712"/>
              </a:solidFill>
              <a:ln w="19080">
                <a:solidFill>
                  <a:srgbClr val="FFFFFF"/>
                </a:solidFill>
                <a:round/>
              </a:ln>
            </c:spPr>
            <c:extLst>
              <c:ext xmlns:c16="http://schemas.microsoft.com/office/drawing/2014/chart" uri="{C3380CC4-5D6E-409C-BE32-E72D297353CC}">
                <c16:uniqueId val="{00000001-77CD-44EE-89B2-DAD5E9C56BF1}"/>
              </c:ext>
            </c:extLst>
          </c:dPt>
          <c:dPt>
            <c:idx val="1"/>
            <c:bubble3D val="0"/>
            <c:spPr>
              <a:solidFill>
                <a:srgbClr val="F06B29"/>
              </a:solidFill>
              <a:ln w="19080">
                <a:solidFill>
                  <a:srgbClr val="FFFFFF"/>
                </a:solidFill>
                <a:round/>
              </a:ln>
            </c:spPr>
            <c:extLst>
              <c:ext xmlns:c16="http://schemas.microsoft.com/office/drawing/2014/chart" uri="{C3380CC4-5D6E-409C-BE32-E72D297353CC}">
                <c16:uniqueId val="{00000003-77CD-44EE-89B2-DAD5E9C56BF1}"/>
              </c:ext>
            </c:extLst>
          </c:dPt>
          <c:dPt>
            <c:idx val="2"/>
            <c:bubble3D val="0"/>
            <c:spPr>
              <a:solidFill>
                <a:srgbClr val="A6A6A6"/>
              </a:solidFill>
              <a:ln w="19080">
                <a:solidFill>
                  <a:srgbClr val="FFFFFF"/>
                </a:solidFill>
                <a:round/>
              </a:ln>
            </c:spPr>
            <c:extLst>
              <c:ext xmlns:c16="http://schemas.microsoft.com/office/drawing/2014/chart" uri="{C3380CC4-5D6E-409C-BE32-E72D297353CC}">
                <c16:uniqueId val="{00000005-77CD-44EE-89B2-DAD5E9C56BF1}"/>
              </c:ext>
            </c:extLst>
          </c:dPt>
          <c:dLbls>
            <c:dLbl>
              <c:idx val="0"/>
              <c:layout>
                <c:manualLayout>
                  <c:x val="-0.39094102298511335"/>
                  <c:y val="3.6202483053247109E-2"/>
                </c:manualLayout>
              </c:layout>
              <c:spPr/>
              <c:txPr>
                <a:bodyPr/>
                <a:lstStyle/>
                <a:p>
                  <a:pPr>
                    <a:defRPr sz="7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15:layout>
                    <c:manualLayout>
                      <c:w val="0.55248114025111239"/>
                      <c:h val="0.12578383285158376"/>
                    </c:manualLayout>
                  </c15:layout>
                </c:ext>
                <c:ext xmlns:c16="http://schemas.microsoft.com/office/drawing/2014/chart" uri="{C3380CC4-5D6E-409C-BE32-E72D297353CC}">
                  <c16:uniqueId val="{00000001-77CD-44EE-89B2-DAD5E9C56BF1}"/>
                </c:ext>
              </c:extLst>
            </c:dLbl>
            <c:dLbl>
              <c:idx val="1"/>
              <c:layout>
                <c:manualLayout>
                  <c:x val="0"/>
                  <c:y val="8.2996488707549176E-3"/>
                </c:manualLayout>
              </c:layout>
              <c:spPr/>
              <c:txPr>
                <a:bodyPr/>
                <a:lstStyle/>
                <a:p>
                  <a:pPr>
                    <a:defRPr sz="7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15:layout>
                    <c:manualLayout>
                      <c:w val="0.48572242284562733"/>
                      <c:h val="0.15396349092023989"/>
                    </c:manualLayout>
                  </c15:layout>
                </c:ext>
                <c:ext xmlns:c16="http://schemas.microsoft.com/office/drawing/2014/chart" uri="{C3380CC4-5D6E-409C-BE32-E72D297353CC}">
                  <c16:uniqueId val="{00000003-77CD-44EE-89B2-DAD5E9C56BF1}"/>
                </c:ext>
              </c:extLst>
            </c:dLbl>
            <c:dLbl>
              <c:idx val="2"/>
              <c:layout>
                <c:manualLayout>
                  <c:x val="2.9842862057362211E-3"/>
                  <c:y val="0"/>
                </c:manualLayout>
              </c:layout>
              <c:spPr/>
              <c:txPr>
                <a:bodyPr/>
                <a:lstStyle/>
                <a:p>
                  <a:pPr>
                    <a:defRPr sz="7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15:layout>
                    <c:manualLayout>
                      <c:w val="0.492795416136388"/>
                      <c:h val="0.23036878389429763"/>
                    </c:manualLayout>
                  </c15:layout>
                </c:ext>
                <c:ext xmlns:c16="http://schemas.microsoft.com/office/drawing/2014/chart" uri="{C3380CC4-5D6E-409C-BE32-E72D297353CC}">
                  <c16:uniqueId val="{00000005-77CD-44EE-89B2-DAD5E9C56BF1}"/>
                </c:ext>
              </c:extLst>
            </c:dLbl>
            <c:spPr>
              <a:noFill/>
              <a:ln>
                <a:noFill/>
              </a:ln>
              <a:effectLst/>
            </c:spPr>
            <c:txPr>
              <a:bodyPr/>
              <a:lstStyle/>
              <a:p>
                <a:pPr>
                  <a:defRPr sz="700" b="0" strike="noStrike" spc="-1">
                    <a:solidFill>
                      <a:srgbClr val="404040"/>
                    </a:solidFill>
                    <a:latin typeface="Calibri"/>
                  </a:defRPr>
                </a:pPr>
                <a:endParaRPr lang="en-US"/>
              </a:p>
            </c:txPr>
            <c:dLblPos val="outEnd"/>
            <c:showLegendKey val="0"/>
            <c:showVal val="0"/>
            <c:showCatName val="1"/>
            <c:showSerName val="0"/>
            <c:showPercent val="1"/>
            <c:showBubbleSize val="1"/>
            <c:separator> </c:separator>
            <c:showLeaderLines val="0"/>
            <c:extLst>
              <c:ext xmlns:c15="http://schemas.microsoft.com/office/drawing/2012/chart" uri="{CE6537A1-D6FC-4f65-9D91-7224C49458BB}"/>
            </c:extLst>
          </c:dLbls>
          <c:cat>
            <c:strRef>
              <c:f>SetView!$M$73:$O$75</c:f>
              <c:strCache>
                <c:ptCount val="3"/>
                <c:pt idx="0">
                  <c:v>High complexity</c:v>
                </c:pt>
                <c:pt idx="1">
                  <c:v>Problematic complexity</c:v>
                </c:pt>
                <c:pt idx="2">
                  <c:v>Low complexity</c:v>
                </c:pt>
              </c:strCache>
            </c:strRef>
          </c:cat>
          <c:val>
            <c:numRef>
              <c:f>SetView!$Q$73:$Q$75</c:f>
              <c:numCache>
                <c:formatCode>0%</c:formatCode>
                <c:ptCount val="3"/>
                <c:pt idx="0">
                  <c:v>5.7294429708222815E-2</c:v>
                </c:pt>
                <c:pt idx="1">
                  <c:v>8.3289124668435008E-2</c:v>
                </c:pt>
                <c:pt idx="2">
                  <c:v>0.85941644562334218</c:v>
                </c:pt>
              </c:numCache>
            </c:numRef>
          </c:val>
          <c:extLst>
            <c:ext xmlns:c16="http://schemas.microsoft.com/office/drawing/2014/chart" uri="{C3380CC4-5D6E-409C-BE32-E72D297353CC}">
              <c16:uniqueId val="{00000006-77CD-44EE-89B2-DAD5E9C56BF1}"/>
            </c:ext>
          </c:extLst>
        </c:ser>
        <c:dLbls>
          <c:showLegendKey val="0"/>
          <c:showVal val="0"/>
          <c:showCatName val="0"/>
          <c:showSerName val="0"/>
          <c:showPercent val="0"/>
          <c:showBubbleSize val="0"/>
          <c:showLeaderLines val="0"/>
        </c:dLbls>
        <c:firstSliceAng val="0"/>
      </c:pieChart>
      <c:spPr>
        <a:noFill/>
        <a:ln>
          <a:noFill/>
        </a:ln>
      </c:spPr>
    </c:plotArea>
    <c:plotVisOnly val="1"/>
    <c:dispBlanksAs val="gap"/>
    <c:showDLblsOverMax val="1"/>
  </c:chart>
  <c:spPr>
    <a:noFill/>
    <a:ln w="9360">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col"/>
        <c:grouping val="clustered"/>
        <c:varyColors val="0"/>
        <c:ser>
          <c:idx val="0"/>
          <c:order val="0"/>
          <c:spPr>
            <a:solidFill>
              <a:srgbClr val="44546A"/>
            </a:solidFill>
            <a:ln>
              <a:noFill/>
            </a:ln>
          </c:spPr>
          <c:invertIfNegative val="0"/>
          <c:dLbls>
            <c:spPr>
              <a:noFill/>
              <a:ln>
                <a:noFill/>
              </a:ln>
              <a:effectLst/>
            </c:spPr>
            <c:txPr>
              <a:bodyPr/>
              <a:lstStyle/>
              <a:p>
                <a:pPr>
                  <a:defRPr sz="900" b="0" strike="noStrike" spc="-1">
                    <a:solidFill>
                      <a:srgbClr val="404040"/>
                    </a:solidFill>
                    <a:latin typeface="Calibri"/>
                  </a:defRPr>
                </a:pPr>
                <a:endParaRPr lang="en-US"/>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6480">
                <a:solidFill>
                  <a:srgbClr val="A6A6A6"/>
                </a:solidFill>
                <a:round/>
              </a:ln>
            </c:spPr>
            <c:trendlineType val="linear"/>
            <c:dispRSqr val="0"/>
            <c:dispEq val="0"/>
          </c:trendline>
          <c:cat>
            <c:strRef>
              <c:f>SetView!$S$81:$T$81</c:f>
              <c:strCache>
                <c:ptCount val="2"/>
                <c:pt idx="0">
                  <c:v>Codename One</c:v>
                </c:pt>
                <c:pt idx="1">
                  <c:v>Benchmark</c:v>
                </c:pt>
              </c:strCache>
            </c:strRef>
          </c:cat>
          <c:val>
            <c:numRef>
              <c:f>SetView!$S$82:$T$82</c:f>
              <c:numCache>
                <c:formatCode>0%</c:formatCode>
                <c:ptCount val="2"/>
                <c:pt idx="0">
                  <c:v>0.21</c:v>
                </c:pt>
                <c:pt idx="1">
                  <c:v>0.06</c:v>
                </c:pt>
              </c:numCache>
            </c:numRef>
          </c:val>
          <c:extLst>
            <c:ext xmlns:c16="http://schemas.microsoft.com/office/drawing/2014/chart" uri="{C3380CC4-5D6E-409C-BE32-E72D297353CC}">
              <c16:uniqueId val="{00000001-D428-4F76-9114-0E0AEC7E85A1}"/>
            </c:ext>
          </c:extLst>
        </c:ser>
        <c:dLbls>
          <c:showLegendKey val="0"/>
          <c:showVal val="0"/>
          <c:showCatName val="0"/>
          <c:showSerName val="0"/>
          <c:showPercent val="0"/>
          <c:showBubbleSize val="0"/>
        </c:dLbls>
        <c:gapWidth val="219"/>
        <c:overlap val="-27"/>
        <c:axId val="32688400"/>
        <c:axId val="93165612"/>
      </c:barChart>
      <c:catAx>
        <c:axId val="32688400"/>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93165612"/>
        <c:crosses val="autoZero"/>
        <c:auto val="1"/>
        <c:lblAlgn val="ctr"/>
        <c:lblOffset val="100"/>
        <c:noMultiLvlLbl val="1"/>
      </c:catAx>
      <c:valAx>
        <c:axId val="93165612"/>
        <c:scaling>
          <c:orientation val="minMax"/>
        </c:scaling>
        <c:delete val="1"/>
        <c:axPos val="l"/>
        <c:numFmt formatCode="#,##0" sourceLinked="0"/>
        <c:majorTickMark val="none"/>
        <c:minorTickMark val="none"/>
        <c:tickLblPos val="nextTo"/>
        <c:crossAx val="32688400"/>
        <c:crosses val="autoZero"/>
        <c:crossBetween val="between"/>
      </c:valAx>
      <c:spPr>
        <a:noFill/>
        <a:ln>
          <a:noFill/>
        </a:ln>
      </c:spPr>
    </c:plotArea>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col"/>
        <c:grouping val="clustered"/>
        <c:varyColors val="0"/>
        <c:ser>
          <c:idx val="0"/>
          <c:order val="0"/>
          <c:spPr>
            <a:solidFill>
              <a:srgbClr val="44546A"/>
            </a:solidFill>
            <a:ln>
              <a:noFill/>
            </a:ln>
          </c:spPr>
          <c:invertIfNegative val="0"/>
          <c:dLbls>
            <c:spPr>
              <a:noFill/>
              <a:ln>
                <a:noFill/>
              </a:ln>
              <a:effectLst/>
            </c:spPr>
            <c:txPr>
              <a:bodyPr/>
              <a:lstStyle/>
              <a:p>
                <a:pPr>
                  <a:defRPr sz="900" b="0" strike="noStrike" spc="-1">
                    <a:solidFill>
                      <a:srgbClr val="404040"/>
                    </a:solidFill>
                    <a:latin typeface="Calibri"/>
                  </a:defRPr>
                </a:pPr>
                <a:endParaRPr lang="en-US"/>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6480">
                <a:solidFill>
                  <a:srgbClr val="A6A6A6"/>
                </a:solidFill>
                <a:round/>
              </a:ln>
            </c:spPr>
            <c:trendlineType val="linear"/>
            <c:dispRSqr val="0"/>
            <c:dispEq val="0"/>
          </c:trendline>
          <c:cat>
            <c:strRef>
              <c:f>SetView!$D$81:$E$81</c:f>
              <c:strCache>
                <c:ptCount val="2"/>
                <c:pt idx="0">
                  <c:v>Codename One</c:v>
                </c:pt>
                <c:pt idx="1">
                  <c:v>Benchmark</c:v>
                </c:pt>
              </c:strCache>
            </c:strRef>
          </c:cat>
          <c:val>
            <c:numRef>
              <c:f>SetView!$D$82:$E$82</c:f>
              <c:numCache>
                <c:formatCode>\$#,##0</c:formatCode>
                <c:ptCount val="2"/>
                <c:pt idx="0">
                  <c:v>20589</c:v>
                </c:pt>
                <c:pt idx="1">
                  <c:v>8314</c:v>
                </c:pt>
              </c:numCache>
            </c:numRef>
          </c:val>
          <c:extLst>
            <c:ext xmlns:c16="http://schemas.microsoft.com/office/drawing/2014/chart" uri="{C3380CC4-5D6E-409C-BE32-E72D297353CC}">
              <c16:uniqueId val="{00000001-A296-4A80-8EE9-FA15CCF0A115}"/>
            </c:ext>
          </c:extLst>
        </c:ser>
        <c:dLbls>
          <c:showLegendKey val="0"/>
          <c:showVal val="0"/>
          <c:showCatName val="0"/>
          <c:showSerName val="0"/>
          <c:showPercent val="0"/>
          <c:showBubbleSize val="0"/>
        </c:dLbls>
        <c:gapWidth val="219"/>
        <c:overlap val="-27"/>
        <c:axId val="42342303"/>
        <c:axId val="55553991"/>
      </c:barChart>
      <c:catAx>
        <c:axId val="42342303"/>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55553991"/>
        <c:crosses val="autoZero"/>
        <c:auto val="1"/>
        <c:lblAlgn val="ctr"/>
        <c:lblOffset val="100"/>
        <c:noMultiLvlLbl val="1"/>
      </c:catAx>
      <c:valAx>
        <c:axId val="55553991"/>
        <c:scaling>
          <c:orientation val="minMax"/>
        </c:scaling>
        <c:delete val="1"/>
        <c:axPos val="l"/>
        <c:numFmt formatCode="\$#,##0" sourceLinked="0"/>
        <c:majorTickMark val="none"/>
        <c:minorTickMark val="none"/>
        <c:tickLblPos val="nextTo"/>
        <c:crossAx val="42342303"/>
        <c:crosses val="autoZero"/>
        <c:crossBetween val="between"/>
      </c:valAx>
      <c:spPr>
        <a:noFill/>
        <a:ln>
          <a:noFill/>
        </a:ln>
      </c:spPr>
    </c:plotArea>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col"/>
        <c:grouping val="clustered"/>
        <c:varyColors val="0"/>
        <c:ser>
          <c:idx val="0"/>
          <c:order val="0"/>
          <c:spPr>
            <a:solidFill>
              <a:srgbClr val="44546A"/>
            </a:solidFill>
            <a:ln>
              <a:noFill/>
            </a:ln>
          </c:spPr>
          <c:invertIfNegative val="0"/>
          <c:dLbls>
            <c:dLbl>
              <c:idx val="0"/>
              <c:dLblPos val="outEnd"/>
              <c:showLegendKey val="0"/>
              <c:showVal val="1"/>
              <c:showCatName val="0"/>
              <c:showSerName val="0"/>
              <c:showPercent val="0"/>
              <c:showBubbleSize val="1"/>
              <c:separator>; </c:separator>
              <c:extLst>
                <c:ext xmlns:c15="http://schemas.microsoft.com/office/drawing/2012/chart" uri="{CE6537A1-D6FC-4f65-9D91-7224C49458BB}">
                  <c15:layout>
                    <c:manualLayout>
                      <c:w val="0.21701895350994047"/>
                      <c:h val="0.20149431071598312"/>
                    </c:manualLayout>
                  </c15:layout>
                </c:ext>
                <c:ext xmlns:c16="http://schemas.microsoft.com/office/drawing/2014/chart" uri="{C3380CC4-5D6E-409C-BE32-E72D297353CC}">
                  <c16:uniqueId val="{00000002-AB87-45F0-8171-A9CF2BA040B9}"/>
                </c:ext>
              </c:extLst>
            </c:dLbl>
            <c:dLbl>
              <c:idx val="1"/>
              <c:dLblPos val="outEnd"/>
              <c:showLegendKey val="0"/>
              <c:showVal val="1"/>
              <c:showCatName val="0"/>
              <c:showSerName val="0"/>
              <c:showPercent val="0"/>
              <c:showBubbleSize val="1"/>
              <c:separator>; </c:separator>
              <c:extLst>
                <c:ext xmlns:c15="http://schemas.microsoft.com/office/drawing/2012/chart" uri="{CE6537A1-D6FC-4f65-9D91-7224C49458BB}">
                  <c15:layout>
                    <c:manualLayout>
                      <c:w val="0.24914211759944685"/>
                      <c:h val="0.20149431071598312"/>
                    </c:manualLayout>
                  </c15:layout>
                </c:ext>
                <c:ext xmlns:c16="http://schemas.microsoft.com/office/drawing/2014/chart" uri="{C3380CC4-5D6E-409C-BE32-E72D297353CC}">
                  <c16:uniqueId val="{00000003-AB87-45F0-8171-A9CF2BA040B9}"/>
                </c:ext>
              </c:extLst>
            </c:dLbl>
            <c:spPr>
              <a:noFill/>
              <a:ln>
                <a:noFill/>
              </a:ln>
              <a:effectLst/>
            </c:spPr>
            <c:txPr>
              <a:bodyPr/>
              <a:lstStyle/>
              <a:p>
                <a:pPr>
                  <a:defRPr sz="900" b="0" strike="noStrike" spc="-1">
                    <a:solidFill>
                      <a:srgbClr val="404040"/>
                    </a:solidFill>
                    <a:latin typeface="Calibri"/>
                  </a:defRPr>
                </a:pPr>
                <a:endParaRPr lang="en-US"/>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6480">
                <a:solidFill>
                  <a:srgbClr val="A6A6A6"/>
                </a:solidFill>
                <a:round/>
              </a:ln>
            </c:spPr>
            <c:trendlineType val="linear"/>
            <c:dispRSqr val="0"/>
            <c:dispEq val="0"/>
          </c:trendline>
          <c:cat>
            <c:strRef>
              <c:f>SetView!$I$81:$J$81</c:f>
              <c:strCache>
                <c:ptCount val="2"/>
                <c:pt idx="0">
                  <c:v>Codename One</c:v>
                </c:pt>
                <c:pt idx="1">
                  <c:v>Benchmark</c:v>
                </c:pt>
              </c:strCache>
            </c:strRef>
          </c:cat>
          <c:val>
            <c:numRef>
              <c:f>SetView!$I$82:$J$82</c:f>
              <c:numCache>
                <c:formatCode>\$#,##0</c:formatCode>
                <c:ptCount val="2"/>
                <c:pt idx="0">
                  <c:v>783348</c:v>
                </c:pt>
                <c:pt idx="1">
                  <c:v>463505</c:v>
                </c:pt>
              </c:numCache>
            </c:numRef>
          </c:val>
          <c:extLst>
            <c:ext xmlns:c16="http://schemas.microsoft.com/office/drawing/2014/chart" uri="{C3380CC4-5D6E-409C-BE32-E72D297353CC}">
              <c16:uniqueId val="{00000001-3428-433B-9F9A-FD629F22CF49}"/>
            </c:ext>
          </c:extLst>
        </c:ser>
        <c:dLbls>
          <c:showLegendKey val="0"/>
          <c:showVal val="0"/>
          <c:showCatName val="0"/>
          <c:showSerName val="0"/>
          <c:showPercent val="0"/>
          <c:showBubbleSize val="0"/>
        </c:dLbls>
        <c:gapWidth val="219"/>
        <c:overlap val="-27"/>
        <c:axId val="56317935"/>
        <c:axId val="46583938"/>
      </c:barChart>
      <c:catAx>
        <c:axId val="56317935"/>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46583938"/>
        <c:crosses val="autoZero"/>
        <c:auto val="1"/>
        <c:lblAlgn val="ctr"/>
        <c:lblOffset val="100"/>
        <c:noMultiLvlLbl val="1"/>
      </c:catAx>
      <c:valAx>
        <c:axId val="46583938"/>
        <c:scaling>
          <c:orientation val="minMax"/>
        </c:scaling>
        <c:delete val="1"/>
        <c:axPos val="l"/>
        <c:numFmt formatCode="\$#,##0" sourceLinked="0"/>
        <c:majorTickMark val="none"/>
        <c:minorTickMark val="none"/>
        <c:tickLblPos val="nextTo"/>
        <c:crossAx val="56317935"/>
        <c:crosses val="autoZero"/>
        <c:crossBetween val="between"/>
      </c:valAx>
      <c:spPr>
        <a:noFill/>
        <a:ln>
          <a:noFill/>
        </a:ln>
      </c:spPr>
    </c:plotArea>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col"/>
        <c:grouping val="percentStacked"/>
        <c:varyColors val="0"/>
        <c:ser>
          <c:idx val="0"/>
          <c:order val="0"/>
          <c:tx>
            <c:strRef>
              <c:f>SetView!$F$62</c:f>
              <c:strCache>
                <c:ptCount val="1"/>
                <c:pt idx="0">
                  <c:v>Blocker</c:v>
                </c:pt>
              </c:strCache>
            </c:strRef>
          </c:tx>
          <c:spPr>
            <a:solidFill>
              <a:srgbClr val="BE0712"/>
            </a:solidFill>
            <a:ln>
              <a:noFill/>
            </a:ln>
          </c:spPr>
          <c:invertIfNegative val="0"/>
          <c:dLbls>
            <c:spPr>
              <a:noFill/>
              <a:ln>
                <a:noFill/>
              </a:ln>
              <a:effectLst/>
            </c:spPr>
            <c:txPr>
              <a:bodyPr/>
              <a:lstStyle/>
              <a:p>
                <a:pPr>
                  <a:defRPr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SetView!$C$63:$D$65</c:f>
              <c:strCache>
                <c:ptCount val="3"/>
                <c:pt idx="0">
                  <c:v>Bugs</c:v>
                </c:pt>
                <c:pt idx="1">
                  <c:v>Vulnerabilities</c:v>
                </c:pt>
                <c:pt idx="2">
                  <c:v>Code Smells</c:v>
                </c:pt>
              </c:strCache>
            </c:strRef>
          </c:cat>
          <c:val>
            <c:numRef>
              <c:f>SetView!$F$63:$F$65</c:f>
              <c:numCache>
                <c:formatCode>#,##0</c:formatCode>
                <c:ptCount val="3"/>
                <c:pt idx="0">
                  <c:v>98</c:v>
                </c:pt>
                <c:pt idx="1">
                  <c:v>0</c:v>
                </c:pt>
                <c:pt idx="2">
                  <c:v>211</c:v>
                </c:pt>
              </c:numCache>
            </c:numRef>
          </c:val>
          <c:extLst>
            <c:ext xmlns:c16="http://schemas.microsoft.com/office/drawing/2014/chart" uri="{C3380CC4-5D6E-409C-BE32-E72D297353CC}">
              <c16:uniqueId val="{00000000-CFBA-4822-B95B-A0FE35C3059F}"/>
            </c:ext>
          </c:extLst>
        </c:ser>
        <c:ser>
          <c:idx val="1"/>
          <c:order val="1"/>
          <c:tx>
            <c:strRef>
              <c:f>SetView!$G$62</c:f>
              <c:strCache>
                <c:ptCount val="1"/>
                <c:pt idx="0">
                  <c:v>Critical</c:v>
                </c:pt>
              </c:strCache>
            </c:strRef>
          </c:tx>
          <c:spPr>
            <a:solidFill>
              <a:srgbClr val="F06B29"/>
            </a:solidFill>
            <a:ln>
              <a:noFill/>
            </a:ln>
          </c:spPr>
          <c:invertIfNegative val="0"/>
          <c:dLbls>
            <c:spPr>
              <a:noFill/>
              <a:ln>
                <a:noFill/>
              </a:ln>
              <a:effectLst/>
            </c:spPr>
            <c:txPr>
              <a:bodyPr/>
              <a:lstStyle/>
              <a:p>
                <a:pPr>
                  <a:defRPr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SetView!$C$63:$D$65</c:f>
              <c:strCache>
                <c:ptCount val="3"/>
                <c:pt idx="0">
                  <c:v>Bugs</c:v>
                </c:pt>
                <c:pt idx="1">
                  <c:v>Vulnerabilities</c:v>
                </c:pt>
                <c:pt idx="2">
                  <c:v>Code Smells</c:v>
                </c:pt>
              </c:strCache>
            </c:strRef>
          </c:cat>
          <c:val>
            <c:numRef>
              <c:f>SetView!$G$63:$G$65</c:f>
              <c:numCache>
                <c:formatCode>#,##0</c:formatCode>
                <c:ptCount val="3"/>
                <c:pt idx="0">
                  <c:v>34</c:v>
                </c:pt>
                <c:pt idx="1">
                  <c:v>2</c:v>
                </c:pt>
                <c:pt idx="2">
                  <c:v>4479</c:v>
                </c:pt>
              </c:numCache>
            </c:numRef>
          </c:val>
          <c:extLst>
            <c:ext xmlns:c16="http://schemas.microsoft.com/office/drawing/2014/chart" uri="{C3380CC4-5D6E-409C-BE32-E72D297353CC}">
              <c16:uniqueId val="{00000001-CFBA-4822-B95B-A0FE35C3059F}"/>
            </c:ext>
          </c:extLst>
        </c:ser>
        <c:ser>
          <c:idx val="2"/>
          <c:order val="2"/>
          <c:tx>
            <c:strRef>
              <c:f>SetView!$H$62</c:f>
              <c:strCache>
                <c:ptCount val="1"/>
                <c:pt idx="0">
                  <c:v>Major</c:v>
                </c:pt>
              </c:strCache>
            </c:strRef>
          </c:tx>
          <c:spPr>
            <a:solidFill>
              <a:srgbClr val="FFA244"/>
            </a:solidFill>
            <a:ln>
              <a:noFill/>
            </a:ln>
          </c:spPr>
          <c:invertIfNegative val="0"/>
          <c:dLbls>
            <c:spPr>
              <a:noFill/>
              <a:ln>
                <a:noFill/>
              </a:ln>
              <a:effectLst/>
            </c:spPr>
            <c:txPr>
              <a:bodyPr/>
              <a:lstStyle/>
              <a:p>
                <a:pPr>
                  <a:defRPr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SetView!$C$63:$D$65</c:f>
              <c:strCache>
                <c:ptCount val="3"/>
                <c:pt idx="0">
                  <c:v>Bugs</c:v>
                </c:pt>
                <c:pt idx="1">
                  <c:v>Vulnerabilities</c:v>
                </c:pt>
                <c:pt idx="2">
                  <c:v>Code Smells</c:v>
                </c:pt>
              </c:strCache>
            </c:strRef>
          </c:cat>
          <c:val>
            <c:numRef>
              <c:f>SetView!$H$63:$H$65</c:f>
              <c:numCache>
                <c:formatCode>#,##0</c:formatCode>
                <c:ptCount val="3"/>
                <c:pt idx="0">
                  <c:v>509</c:v>
                </c:pt>
                <c:pt idx="1">
                  <c:v>0</c:v>
                </c:pt>
                <c:pt idx="2">
                  <c:v>11194</c:v>
                </c:pt>
              </c:numCache>
            </c:numRef>
          </c:val>
          <c:extLst>
            <c:ext xmlns:c16="http://schemas.microsoft.com/office/drawing/2014/chart" uri="{C3380CC4-5D6E-409C-BE32-E72D297353CC}">
              <c16:uniqueId val="{00000002-CFBA-4822-B95B-A0FE35C3059F}"/>
            </c:ext>
          </c:extLst>
        </c:ser>
        <c:ser>
          <c:idx val="3"/>
          <c:order val="3"/>
          <c:tx>
            <c:strRef>
              <c:f>SetView!$I$62</c:f>
              <c:strCache>
                <c:ptCount val="1"/>
                <c:pt idx="0">
                  <c:v>Minor</c:v>
                </c:pt>
              </c:strCache>
            </c:strRef>
          </c:tx>
          <c:spPr>
            <a:solidFill>
              <a:srgbClr val="FFFF00"/>
            </a:solidFill>
            <a:ln>
              <a:noFill/>
            </a:ln>
          </c:spPr>
          <c:invertIfNegative val="0"/>
          <c:dLbls>
            <c:spPr>
              <a:noFill/>
              <a:ln>
                <a:noFill/>
              </a:ln>
              <a:effectLst/>
            </c:spPr>
            <c:txPr>
              <a:bodyPr/>
              <a:lstStyle/>
              <a:p>
                <a:pPr>
                  <a:defRPr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SetView!$C$63:$D$65</c:f>
              <c:strCache>
                <c:ptCount val="3"/>
                <c:pt idx="0">
                  <c:v>Bugs</c:v>
                </c:pt>
                <c:pt idx="1">
                  <c:v>Vulnerabilities</c:v>
                </c:pt>
                <c:pt idx="2">
                  <c:v>Code Smells</c:v>
                </c:pt>
              </c:strCache>
            </c:strRef>
          </c:cat>
          <c:val>
            <c:numRef>
              <c:f>SetView!$I$63:$I$65</c:f>
              <c:numCache>
                <c:formatCode>#,##0</c:formatCode>
                <c:ptCount val="3"/>
                <c:pt idx="0">
                  <c:v>203</c:v>
                </c:pt>
                <c:pt idx="1">
                  <c:v>810</c:v>
                </c:pt>
                <c:pt idx="2">
                  <c:v>10228</c:v>
                </c:pt>
              </c:numCache>
            </c:numRef>
          </c:val>
          <c:extLst>
            <c:ext xmlns:c16="http://schemas.microsoft.com/office/drawing/2014/chart" uri="{C3380CC4-5D6E-409C-BE32-E72D297353CC}">
              <c16:uniqueId val="{00000003-CFBA-4822-B95B-A0FE35C3059F}"/>
            </c:ext>
          </c:extLst>
        </c:ser>
        <c:ser>
          <c:idx val="4"/>
          <c:order val="4"/>
          <c:tx>
            <c:strRef>
              <c:f>SetView!$J$62</c:f>
              <c:strCache>
                <c:ptCount val="1"/>
                <c:pt idx="0">
                  <c:v>Info</c:v>
                </c:pt>
              </c:strCache>
            </c:strRef>
          </c:tx>
          <c:spPr>
            <a:solidFill>
              <a:srgbClr val="A6A6A6"/>
            </a:solidFill>
            <a:ln>
              <a:noFill/>
            </a:ln>
          </c:spPr>
          <c:invertIfNegative val="0"/>
          <c:dLbls>
            <c:spPr>
              <a:noFill/>
              <a:ln>
                <a:noFill/>
              </a:ln>
              <a:effectLst/>
            </c:spPr>
            <c:txPr>
              <a:bodyPr/>
              <a:lstStyle/>
              <a:p>
                <a:pPr>
                  <a:defRPr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SetView!$C$63:$D$65</c:f>
              <c:strCache>
                <c:ptCount val="3"/>
                <c:pt idx="0">
                  <c:v>Bugs</c:v>
                </c:pt>
                <c:pt idx="1">
                  <c:v>Vulnerabilities</c:v>
                </c:pt>
                <c:pt idx="2">
                  <c:v>Code Smells</c:v>
                </c:pt>
              </c:strCache>
            </c:strRef>
          </c:cat>
          <c:val>
            <c:numRef>
              <c:f>SetView!$J$63:$J$65</c:f>
              <c:numCache>
                <c:formatCode>#,##0</c:formatCode>
                <c:ptCount val="3"/>
                <c:pt idx="0">
                  <c:v>0</c:v>
                </c:pt>
                <c:pt idx="1">
                  <c:v>0</c:v>
                </c:pt>
                <c:pt idx="2">
                  <c:v>1034</c:v>
                </c:pt>
              </c:numCache>
            </c:numRef>
          </c:val>
          <c:extLst>
            <c:ext xmlns:c16="http://schemas.microsoft.com/office/drawing/2014/chart" uri="{C3380CC4-5D6E-409C-BE32-E72D297353CC}">
              <c16:uniqueId val="{00000004-CFBA-4822-B95B-A0FE35C3059F}"/>
            </c:ext>
          </c:extLst>
        </c:ser>
        <c:dLbls>
          <c:showLegendKey val="0"/>
          <c:showVal val="0"/>
          <c:showCatName val="0"/>
          <c:showSerName val="0"/>
          <c:showPercent val="0"/>
          <c:showBubbleSize val="0"/>
        </c:dLbls>
        <c:gapWidth val="150"/>
        <c:overlap val="100"/>
        <c:axId val="65822717"/>
        <c:axId val="10476690"/>
      </c:barChart>
      <c:catAx>
        <c:axId val="65822717"/>
        <c:scaling>
          <c:orientation val="minMax"/>
        </c:scaling>
        <c:delete val="0"/>
        <c:axPos val="b"/>
        <c:numFmt formatCode="General" sourceLinked="1"/>
        <c:majorTickMark val="none"/>
        <c:minorTickMark val="none"/>
        <c:tickLblPos val="nextTo"/>
        <c:spPr>
          <a:ln w="12600">
            <a:solidFill>
              <a:srgbClr val="D9D9D9"/>
            </a:solidFill>
            <a:round/>
          </a:ln>
        </c:spPr>
        <c:txPr>
          <a:bodyPr/>
          <a:lstStyle/>
          <a:p>
            <a:pPr>
              <a:defRPr sz="900" b="0" strike="noStrike" spc="-1">
                <a:solidFill>
                  <a:srgbClr val="595959"/>
                </a:solidFill>
                <a:latin typeface="Yu Gothic UI Semibold" panose="020B0700000000000000" pitchFamily="34" charset="-128"/>
                <a:ea typeface="Yu Gothic UI Semibold" panose="020B0700000000000000" pitchFamily="34" charset="-128"/>
              </a:defRPr>
            </a:pPr>
            <a:endParaRPr lang="en-US"/>
          </a:p>
        </c:txPr>
        <c:crossAx val="10476690"/>
        <c:crosses val="autoZero"/>
        <c:auto val="1"/>
        <c:lblAlgn val="ctr"/>
        <c:lblOffset val="100"/>
        <c:noMultiLvlLbl val="1"/>
      </c:catAx>
      <c:valAx>
        <c:axId val="10476690"/>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sz="900" b="0" strike="noStrike" spc="-1">
                <a:solidFill>
                  <a:srgbClr val="595959"/>
                </a:solidFill>
                <a:latin typeface="Yu Gothic UI Semibold" panose="020B0700000000000000" pitchFamily="34" charset="-128"/>
                <a:ea typeface="Yu Gothic UI Semibold" panose="020B0700000000000000" pitchFamily="34" charset="-128"/>
              </a:defRPr>
            </a:pPr>
            <a:endParaRPr lang="en-US"/>
          </a:p>
        </c:txPr>
        <c:crossAx val="65822717"/>
        <c:crosses val="autoZero"/>
        <c:crossBetween val="between"/>
      </c:valAx>
      <c:spPr>
        <a:noFill/>
        <a:ln>
          <a:noFill/>
        </a:ln>
      </c:spPr>
    </c:plotArea>
    <c:legend>
      <c:legendPos val="b"/>
      <c:overlay val="0"/>
      <c:spPr>
        <a:noFill/>
        <a:ln>
          <a:noFill/>
        </a:ln>
      </c:spPr>
      <c:txPr>
        <a:bodyPr/>
        <a:lstStyle/>
        <a:p>
          <a:pPr>
            <a:defRPr sz="900" b="0" strike="noStrike" spc="-1">
              <a:solidFill>
                <a:srgbClr val="595959"/>
              </a:solidFill>
              <a:latin typeface="Yu Gothic UI Semibold" panose="020B0700000000000000" pitchFamily="34" charset="-128"/>
              <a:ea typeface="Yu Gothic UI Semibold" panose="020B0700000000000000" pitchFamily="34" charset="-128"/>
            </a:defRPr>
          </a:pPr>
          <a:endParaRPr lang="en-US"/>
        </a:p>
      </c:txPr>
    </c:legend>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col"/>
        <c:grouping val="clustered"/>
        <c:varyColors val="0"/>
        <c:ser>
          <c:idx val="0"/>
          <c:order val="0"/>
          <c:spPr>
            <a:solidFill>
              <a:srgbClr val="44546A"/>
            </a:solidFill>
            <a:ln>
              <a:noFill/>
            </a:ln>
          </c:spPr>
          <c:invertIfNegative val="0"/>
          <c:dLbls>
            <c:spPr>
              <a:noFill/>
              <a:ln>
                <a:noFill/>
              </a:ln>
              <a:effectLst/>
            </c:spPr>
            <c:txPr>
              <a:bodyPr/>
              <a:lstStyle/>
              <a:p>
                <a:pPr>
                  <a:defRPr sz="900" b="0" strike="noStrike" spc="-1">
                    <a:solidFill>
                      <a:srgbClr val="404040"/>
                    </a:solidFill>
                    <a:latin typeface="Yu Gothic UI Light"/>
                  </a:defRPr>
                </a:pPr>
                <a:endParaRPr lang="en-US"/>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6480">
                <a:solidFill>
                  <a:srgbClr val="A6A6A6"/>
                </a:solidFill>
                <a:round/>
              </a:ln>
            </c:spPr>
            <c:trendlineType val="linear"/>
            <c:dispRSqr val="0"/>
            <c:dispEq val="0"/>
          </c:trendline>
          <c:cat>
            <c:strRef>
              <c:f>SetView!$N$81:$O$81</c:f>
              <c:strCache>
                <c:ptCount val="2"/>
                <c:pt idx="0">
                  <c:v>Codename One</c:v>
                </c:pt>
                <c:pt idx="1">
                  <c:v>Benchmark</c:v>
                </c:pt>
              </c:strCache>
            </c:strRef>
          </c:cat>
          <c:val>
            <c:numRef>
              <c:f>SetView!$N$82:$O$82</c:f>
              <c:numCache>
                <c:formatCode>#,##0</c:formatCode>
                <c:ptCount val="2"/>
                <c:pt idx="0">
                  <c:v>25</c:v>
                </c:pt>
                <c:pt idx="1">
                  <c:v>13</c:v>
                </c:pt>
              </c:numCache>
            </c:numRef>
          </c:val>
          <c:extLst>
            <c:ext xmlns:c16="http://schemas.microsoft.com/office/drawing/2014/chart" uri="{C3380CC4-5D6E-409C-BE32-E72D297353CC}">
              <c16:uniqueId val="{00000001-65D5-40A0-9C72-4537875ADDE4}"/>
            </c:ext>
          </c:extLst>
        </c:ser>
        <c:dLbls>
          <c:showLegendKey val="0"/>
          <c:showVal val="0"/>
          <c:showCatName val="0"/>
          <c:showSerName val="0"/>
          <c:showPercent val="0"/>
          <c:showBubbleSize val="0"/>
        </c:dLbls>
        <c:gapWidth val="219"/>
        <c:overlap val="-27"/>
        <c:axId val="88728956"/>
        <c:axId val="20619743"/>
      </c:barChart>
      <c:catAx>
        <c:axId val="88728956"/>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Yu Gothic UI Light"/>
              </a:defRPr>
            </a:pPr>
            <a:endParaRPr lang="en-US"/>
          </a:p>
        </c:txPr>
        <c:crossAx val="20619743"/>
        <c:crosses val="autoZero"/>
        <c:auto val="1"/>
        <c:lblAlgn val="ctr"/>
        <c:lblOffset val="100"/>
        <c:noMultiLvlLbl val="1"/>
      </c:catAx>
      <c:valAx>
        <c:axId val="20619743"/>
        <c:scaling>
          <c:orientation val="minMax"/>
        </c:scaling>
        <c:delete val="1"/>
        <c:axPos val="l"/>
        <c:numFmt formatCode="#,##0" sourceLinked="0"/>
        <c:majorTickMark val="none"/>
        <c:minorTickMark val="none"/>
        <c:tickLblPos val="nextTo"/>
        <c:crossAx val="88728956"/>
        <c:crosses val="autoZero"/>
        <c:crossBetween val="between"/>
      </c:valAx>
      <c:spPr>
        <a:noFill/>
        <a:ln>
          <a:noFill/>
        </a:ln>
      </c:spPr>
    </c:plotArea>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col"/>
        <c:grouping val="percentStacked"/>
        <c:varyColors val="0"/>
        <c:ser>
          <c:idx val="0"/>
          <c:order val="0"/>
          <c:tx>
            <c:strRef>
              <c:f>SetView!$E$99</c:f>
              <c:strCache>
                <c:ptCount val="1"/>
                <c:pt idx="0">
                  <c:v>Critical</c:v>
                </c:pt>
              </c:strCache>
            </c:strRef>
          </c:tx>
          <c:spPr>
            <a:solidFill>
              <a:srgbClr val="FF4444"/>
            </a:solidFill>
            <a:ln>
              <a:noFill/>
            </a:ln>
          </c:spPr>
          <c:invertIfNegative val="0"/>
          <c:dLbls>
            <c:spPr>
              <a:noFill/>
              <a:ln>
                <a:noFill/>
              </a:ln>
              <a:effectLst/>
            </c:sp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SetView!$C$100:$D$103</c:f>
              <c:strCache>
                <c:ptCount val="4"/>
                <c:pt idx="0">
                  <c:v>Vulnerabilities</c:v>
                </c:pt>
                <c:pt idx="1">
                  <c:v>Distribution</c:v>
                </c:pt>
                <c:pt idx="2">
                  <c:v>Components</c:v>
                </c:pt>
                <c:pt idx="3">
                  <c:v>Files</c:v>
                </c:pt>
              </c:strCache>
            </c:strRef>
          </c:cat>
          <c:val>
            <c:numRef>
              <c:f>SetView!$E$100:$E$103</c:f>
              <c:numCache>
                <c:formatCode>0%</c:formatCode>
                <c:ptCount val="4"/>
                <c:pt idx="0" formatCode="General">
                  <c:v>0</c:v>
                </c:pt>
                <c:pt idx="1">
                  <c:v>0</c:v>
                </c:pt>
                <c:pt idx="2" formatCode="General">
                  <c:v>0</c:v>
                </c:pt>
                <c:pt idx="3" formatCode="General">
                  <c:v>0</c:v>
                </c:pt>
              </c:numCache>
            </c:numRef>
          </c:val>
          <c:extLst>
            <c:ext xmlns:c16="http://schemas.microsoft.com/office/drawing/2014/chart" uri="{C3380CC4-5D6E-409C-BE32-E72D297353CC}">
              <c16:uniqueId val="{00000000-47FC-4B85-AB09-62C3C17CDC73}"/>
            </c:ext>
          </c:extLst>
        </c:ser>
        <c:ser>
          <c:idx val="1"/>
          <c:order val="1"/>
          <c:tx>
            <c:strRef>
              <c:f>SetView!$F$99</c:f>
              <c:strCache>
                <c:ptCount val="1"/>
                <c:pt idx="0">
                  <c:v>High</c:v>
                </c:pt>
              </c:strCache>
            </c:strRef>
          </c:tx>
          <c:spPr>
            <a:solidFill>
              <a:srgbClr val="ED7D31"/>
            </a:solidFill>
            <a:ln>
              <a:noFill/>
            </a:ln>
          </c:spPr>
          <c:invertIfNegative val="0"/>
          <c:dLbls>
            <c:spPr>
              <a:noFill/>
              <a:ln>
                <a:noFill/>
              </a:ln>
              <a:effectLst/>
            </c:sp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SetView!$C$100:$D$103</c:f>
              <c:strCache>
                <c:ptCount val="4"/>
                <c:pt idx="0">
                  <c:v>Vulnerabilities</c:v>
                </c:pt>
                <c:pt idx="1">
                  <c:v>Distribution</c:v>
                </c:pt>
                <c:pt idx="2">
                  <c:v>Components</c:v>
                </c:pt>
                <c:pt idx="3">
                  <c:v>Files</c:v>
                </c:pt>
              </c:strCache>
            </c:strRef>
          </c:cat>
          <c:val>
            <c:numRef>
              <c:f>SetView!$F$100:$F$103</c:f>
              <c:numCache>
                <c:formatCode>0%</c:formatCode>
                <c:ptCount val="4"/>
                <c:pt idx="0" formatCode="General">
                  <c:v>0</c:v>
                </c:pt>
                <c:pt idx="1">
                  <c:v>0</c:v>
                </c:pt>
                <c:pt idx="2" formatCode="General">
                  <c:v>0</c:v>
                </c:pt>
                <c:pt idx="3" formatCode="General">
                  <c:v>0</c:v>
                </c:pt>
              </c:numCache>
            </c:numRef>
          </c:val>
          <c:extLst>
            <c:ext xmlns:c16="http://schemas.microsoft.com/office/drawing/2014/chart" uri="{C3380CC4-5D6E-409C-BE32-E72D297353CC}">
              <c16:uniqueId val="{00000001-47FC-4B85-AB09-62C3C17CDC73}"/>
            </c:ext>
          </c:extLst>
        </c:ser>
        <c:ser>
          <c:idx val="2"/>
          <c:order val="2"/>
          <c:tx>
            <c:strRef>
              <c:f>SetView!$G$99</c:f>
              <c:strCache>
                <c:ptCount val="1"/>
                <c:pt idx="0">
                  <c:v>Medium</c:v>
                </c:pt>
              </c:strCache>
            </c:strRef>
          </c:tx>
          <c:spPr>
            <a:solidFill>
              <a:srgbClr val="FFFF00"/>
            </a:solidFill>
            <a:ln>
              <a:noFill/>
            </a:ln>
          </c:spPr>
          <c:invertIfNegative val="0"/>
          <c:dLbls>
            <c:spPr>
              <a:noFill/>
              <a:ln>
                <a:noFill/>
              </a:ln>
              <a:effectLst/>
            </c:sp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SetView!$C$100:$D$103</c:f>
              <c:strCache>
                <c:ptCount val="4"/>
                <c:pt idx="0">
                  <c:v>Vulnerabilities</c:v>
                </c:pt>
                <c:pt idx="1">
                  <c:v>Distribution</c:v>
                </c:pt>
                <c:pt idx="2">
                  <c:v>Components</c:v>
                </c:pt>
                <c:pt idx="3">
                  <c:v>Files</c:v>
                </c:pt>
              </c:strCache>
            </c:strRef>
          </c:cat>
          <c:val>
            <c:numRef>
              <c:f>SetView!$G$100:$G$103</c:f>
              <c:numCache>
                <c:formatCode>0%</c:formatCode>
                <c:ptCount val="4"/>
                <c:pt idx="0" formatCode="General">
                  <c:v>2</c:v>
                </c:pt>
                <c:pt idx="1">
                  <c:v>1</c:v>
                </c:pt>
                <c:pt idx="2" formatCode="General">
                  <c:v>1</c:v>
                </c:pt>
                <c:pt idx="3" formatCode="General">
                  <c:v>1</c:v>
                </c:pt>
              </c:numCache>
            </c:numRef>
          </c:val>
          <c:extLst>
            <c:ext xmlns:c16="http://schemas.microsoft.com/office/drawing/2014/chart" uri="{C3380CC4-5D6E-409C-BE32-E72D297353CC}">
              <c16:uniqueId val="{00000002-47FC-4B85-AB09-62C3C17CDC73}"/>
            </c:ext>
          </c:extLst>
        </c:ser>
        <c:ser>
          <c:idx val="3"/>
          <c:order val="3"/>
          <c:tx>
            <c:strRef>
              <c:f>SetView!$H$99</c:f>
              <c:strCache>
                <c:ptCount val="1"/>
                <c:pt idx="0">
                  <c:v>Low</c:v>
                </c:pt>
              </c:strCache>
            </c:strRef>
          </c:tx>
          <c:spPr>
            <a:solidFill>
              <a:srgbClr val="CFE04B"/>
            </a:solidFill>
            <a:ln>
              <a:noFill/>
            </a:ln>
          </c:spPr>
          <c:invertIfNegative val="0"/>
          <c:dLbls>
            <c:spPr>
              <a:noFill/>
              <a:ln>
                <a:noFill/>
              </a:ln>
              <a:effectLst/>
            </c:sp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SetView!$C$100:$D$103</c:f>
              <c:strCache>
                <c:ptCount val="4"/>
                <c:pt idx="0">
                  <c:v>Vulnerabilities</c:v>
                </c:pt>
                <c:pt idx="1">
                  <c:v>Distribution</c:v>
                </c:pt>
                <c:pt idx="2">
                  <c:v>Components</c:v>
                </c:pt>
                <c:pt idx="3">
                  <c:v>Files</c:v>
                </c:pt>
              </c:strCache>
            </c:strRef>
          </c:cat>
          <c:val>
            <c:numRef>
              <c:f>SetView!$H$100:$H$103</c:f>
              <c:numCache>
                <c:formatCode>0%</c:formatCode>
                <c:ptCount val="4"/>
                <c:pt idx="0" formatCode="General">
                  <c:v>0</c:v>
                </c:pt>
                <c:pt idx="1">
                  <c:v>0</c:v>
                </c:pt>
                <c:pt idx="2" formatCode="General">
                  <c:v>0</c:v>
                </c:pt>
                <c:pt idx="3" formatCode="General">
                  <c:v>0</c:v>
                </c:pt>
              </c:numCache>
            </c:numRef>
          </c:val>
          <c:extLst>
            <c:ext xmlns:c16="http://schemas.microsoft.com/office/drawing/2014/chart" uri="{C3380CC4-5D6E-409C-BE32-E72D297353CC}">
              <c16:uniqueId val="{00000003-47FC-4B85-AB09-62C3C17CDC73}"/>
            </c:ext>
          </c:extLst>
        </c:ser>
        <c:dLbls>
          <c:showLegendKey val="0"/>
          <c:showVal val="0"/>
          <c:showCatName val="0"/>
          <c:showSerName val="0"/>
          <c:showPercent val="0"/>
          <c:showBubbleSize val="0"/>
        </c:dLbls>
        <c:gapWidth val="150"/>
        <c:overlap val="100"/>
        <c:axId val="92993309"/>
        <c:axId val="66851502"/>
      </c:barChart>
      <c:catAx>
        <c:axId val="92993309"/>
        <c:scaling>
          <c:orientation val="minMax"/>
        </c:scaling>
        <c:delete val="0"/>
        <c:axPos val="b"/>
        <c:numFmt formatCode="General" sourceLinked="1"/>
        <c:majorTickMark val="none"/>
        <c:minorTickMark val="none"/>
        <c:tickLblPos val="nextTo"/>
        <c:spPr>
          <a:ln w="9360">
            <a:solidFill>
              <a:srgbClr val="D9D9D9"/>
            </a:solidFill>
            <a:round/>
          </a:ln>
        </c:spPr>
        <c:crossAx val="66851502"/>
        <c:crosses val="autoZero"/>
        <c:auto val="1"/>
        <c:lblAlgn val="ctr"/>
        <c:lblOffset val="100"/>
        <c:noMultiLvlLbl val="1"/>
      </c:catAx>
      <c:valAx>
        <c:axId val="66851502"/>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crossAx val="92993309"/>
        <c:crosses val="autoZero"/>
        <c:crossBetween val="between"/>
      </c:valAx>
      <c:spPr>
        <a:noFill/>
        <a:ln>
          <a:noFill/>
        </a:ln>
      </c:spPr>
    </c:plotArea>
    <c:legend>
      <c:legendPos val="b"/>
      <c:overlay val="0"/>
      <c:spPr>
        <a:noFill/>
        <a:ln>
          <a:noFill/>
        </a:ln>
      </c:spPr>
    </c:legend>
    <c:plotVisOnly val="1"/>
    <c:dispBlanksAs val="gap"/>
    <c:showDLblsOverMax val="1"/>
  </c:chart>
  <c:spPr>
    <a:solidFill>
      <a:srgbClr val="FFFFFF"/>
    </a:solidFill>
    <a:ln w="9360">
      <a:noFill/>
    </a:ln>
  </c:spPr>
  <c:txPr>
    <a:bodyPr/>
    <a:lstStyle/>
    <a:p>
      <a:pPr>
        <a:defRPr>
          <a:latin typeface="Yu Gothic UI Semibold" panose="020B0700000000000000" pitchFamily="34" charset="-128"/>
          <a:ea typeface="Yu Gothic UI Semibold" panose="020B0700000000000000" pitchFamily="34" charset="-128"/>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manualLayout>
          <c:layoutTarget val="inner"/>
          <c:xMode val="edge"/>
          <c:yMode val="edge"/>
          <c:x val="5.2944214876033097E-2"/>
          <c:y val="0.49054224464060497"/>
          <c:w val="0.89372417355371903"/>
          <c:h val="1.51324085750315E-2"/>
        </c:manualLayout>
      </c:layout>
      <c:scatterChart>
        <c:scatterStyle val="lineMarker"/>
        <c:varyColors val="0"/>
        <c:ser>
          <c:idx val="0"/>
          <c:order val="0"/>
          <c:spPr>
            <a:ln w="25560">
              <a:noFill/>
            </a:ln>
          </c:spPr>
          <c:marker>
            <c:symbol val="x"/>
            <c:size val="6"/>
            <c:spPr>
              <a:solidFill>
                <a:srgbClr val="A5A5A5"/>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SetView!$C$16:$F$16</c:f>
              <c:numCache>
                <c:formatCode>#,##0</c:formatCode>
                <c:ptCount val="4"/>
              </c:numCache>
            </c:numRef>
          </c:yVal>
          <c:smooth val="0"/>
          <c:extLst>
            <c:ext xmlns:c16="http://schemas.microsoft.com/office/drawing/2014/chart" uri="{C3380CC4-5D6E-409C-BE32-E72D297353CC}">
              <c16:uniqueId val="{00000000-AB48-498C-AA22-8CD968992281}"/>
            </c:ext>
          </c:extLst>
        </c:ser>
        <c:ser>
          <c:idx val="1"/>
          <c:order val="1"/>
          <c:spPr>
            <a:ln w="25560">
              <a:noFill/>
            </a:ln>
          </c:spPr>
          <c:marker>
            <c:symbol val="square"/>
            <c:size val="6"/>
            <c:spPr>
              <a:solidFill>
                <a:srgbClr val="FFC000"/>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SetView!$C$17:$F$17</c:f>
              <c:numCache>
                <c:formatCode>#,##0</c:formatCode>
                <c:ptCount val="4"/>
              </c:numCache>
            </c:numRef>
          </c:yVal>
          <c:smooth val="0"/>
          <c:extLst>
            <c:ext xmlns:c16="http://schemas.microsoft.com/office/drawing/2014/chart" uri="{C3380CC4-5D6E-409C-BE32-E72D297353CC}">
              <c16:uniqueId val="{00000001-AB48-498C-AA22-8CD968992281}"/>
            </c:ext>
          </c:extLst>
        </c:ser>
        <c:ser>
          <c:idx val="2"/>
          <c:order val="2"/>
          <c:spPr>
            <a:ln w="25560">
              <a:noFill/>
            </a:ln>
          </c:spPr>
          <c:marker>
            <c:symbol val="circle"/>
            <c:size val="6"/>
            <c:spPr>
              <a:solidFill>
                <a:srgbClr val="5B9BD5"/>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SetView!$C$18:$F$18</c:f>
              <c:numCache>
                <c:formatCode>#,##0</c:formatCode>
                <c:ptCount val="4"/>
              </c:numCache>
            </c:numRef>
          </c:yVal>
          <c:smooth val="0"/>
          <c:extLst>
            <c:ext xmlns:c16="http://schemas.microsoft.com/office/drawing/2014/chart" uri="{C3380CC4-5D6E-409C-BE32-E72D297353CC}">
              <c16:uniqueId val="{00000002-AB48-498C-AA22-8CD968992281}"/>
            </c:ext>
          </c:extLst>
        </c:ser>
        <c:ser>
          <c:idx val="3"/>
          <c:order val="3"/>
          <c:spPr>
            <a:ln w="22320">
              <a:solidFill>
                <a:srgbClr val="70AD47"/>
              </a:solidFill>
              <a:round/>
            </a:ln>
          </c:spPr>
          <c:marker>
            <c:symbol val="triangle"/>
            <c:size val="13"/>
            <c:spPr>
              <a:solidFill>
                <a:srgbClr val="70AD47"/>
              </a:solidFill>
            </c:spPr>
          </c:marker>
          <c:dPt>
            <c:idx val="0"/>
            <c:marker>
              <c:symbol val="triangle"/>
              <c:size val="15"/>
              <c:spPr>
                <a:solidFill>
                  <a:schemeClr val="tx1"/>
                </a:solidFill>
                <a:ln>
                  <a:noFill/>
                </a:ln>
              </c:spPr>
            </c:marker>
            <c:bubble3D val="0"/>
            <c:extLst>
              <c:ext xmlns:c16="http://schemas.microsoft.com/office/drawing/2014/chart" uri="{C3380CC4-5D6E-409C-BE32-E72D297353CC}">
                <c16:uniqueId val="{00000003-AB48-498C-AA22-8CD968992281}"/>
              </c:ext>
            </c:extLst>
          </c:dPt>
          <c:dLbls>
            <c:dLbl>
              <c:idx val="0"/>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AB48-498C-AA22-8CD968992281}"/>
                </c:ext>
              </c:extLst>
            </c:dLbl>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SetView!$C$19:$F$19</c:f>
              <c:numCache>
                <c:formatCode>General</c:formatCode>
                <c:ptCount val="4"/>
                <c:pt idx="0">
                  <c:v>0</c:v>
                </c:pt>
              </c:numCache>
            </c:numRef>
          </c:yVal>
          <c:smooth val="0"/>
          <c:extLst>
            <c:ext xmlns:c16="http://schemas.microsoft.com/office/drawing/2014/chart" uri="{C3380CC4-5D6E-409C-BE32-E72D297353CC}">
              <c16:uniqueId val="{00000004-AB48-498C-AA22-8CD968992281}"/>
            </c:ext>
          </c:extLst>
        </c:ser>
        <c:ser>
          <c:idx val="4"/>
          <c:order val="4"/>
          <c:spPr>
            <a:ln w="25560">
              <a:noFill/>
            </a:ln>
          </c:spPr>
          <c:marker>
            <c:symbol val="triangle"/>
            <c:size val="6"/>
            <c:spPr>
              <a:solidFill>
                <a:srgbClr val="264478"/>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9360">
                <a:solidFill>
                  <a:srgbClr val="264478"/>
                </a:solidFill>
                <a:round/>
              </a:ln>
            </c:spPr>
            <c:trendlineType val="linear"/>
            <c:dispRSqr val="0"/>
            <c:dispEq val="1"/>
            <c:trendlineLbl>
              <c:numFmt formatCode="General" sourceLinked="0"/>
            </c:trendlineLbl>
          </c:trendline>
          <c:xVal>
            <c:numRef>
              <c:f>SetView!$C$12:$F$12</c:f>
              <c:numCache>
                <c:formatCode>#,##0</c:formatCode>
                <c:ptCount val="4"/>
                <c:pt idx="0">
                  <c:v>522.48252420494623</c:v>
                </c:pt>
              </c:numCache>
            </c:numRef>
          </c:xVal>
          <c:yVal>
            <c:numRef>
              <c:f>SetView!$C$20:$F$20</c:f>
              <c:numCache>
                <c:formatCode>General</c:formatCode>
                <c:ptCount val="4"/>
              </c:numCache>
            </c:numRef>
          </c:yVal>
          <c:smooth val="0"/>
          <c:extLst>
            <c:ext xmlns:c16="http://schemas.microsoft.com/office/drawing/2014/chart" uri="{C3380CC4-5D6E-409C-BE32-E72D297353CC}">
              <c16:uniqueId val="{00000006-AB48-498C-AA22-8CD968992281}"/>
            </c:ext>
          </c:extLst>
        </c:ser>
        <c:ser>
          <c:idx val="5"/>
          <c:order val="5"/>
          <c:spPr>
            <a:ln w="25560">
              <a:noFill/>
            </a:ln>
          </c:spPr>
          <c:marker>
            <c:symbol val="dash"/>
            <c:size val="6"/>
            <c:spPr>
              <a:solidFill>
                <a:srgbClr val="9E480E"/>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SetView!$C$21:$F$21</c:f>
              <c:numCache>
                <c:formatCode>General</c:formatCode>
                <c:ptCount val="4"/>
              </c:numCache>
            </c:numRef>
          </c:yVal>
          <c:smooth val="0"/>
          <c:extLst>
            <c:ext xmlns:c16="http://schemas.microsoft.com/office/drawing/2014/chart" uri="{C3380CC4-5D6E-409C-BE32-E72D297353CC}">
              <c16:uniqueId val="{00000007-AB48-498C-AA22-8CD968992281}"/>
            </c:ext>
          </c:extLst>
        </c:ser>
        <c:ser>
          <c:idx val="6"/>
          <c:order val="6"/>
          <c:spPr>
            <a:ln w="25560">
              <a:noFill/>
            </a:ln>
          </c:spPr>
          <c:marker>
            <c:symbol val="diamond"/>
            <c:size val="6"/>
            <c:spPr>
              <a:solidFill>
                <a:srgbClr val="636363"/>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SetView!$C$22:$F$22</c:f>
              <c:numCache>
                <c:formatCode>General</c:formatCode>
                <c:ptCount val="4"/>
              </c:numCache>
            </c:numRef>
          </c:yVal>
          <c:smooth val="0"/>
          <c:extLst>
            <c:ext xmlns:c16="http://schemas.microsoft.com/office/drawing/2014/chart" uri="{C3380CC4-5D6E-409C-BE32-E72D297353CC}">
              <c16:uniqueId val="{00000008-AB48-498C-AA22-8CD968992281}"/>
            </c:ext>
          </c:extLst>
        </c:ser>
        <c:ser>
          <c:idx val="7"/>
          <c:order val="7"/>
          <c:spPr>
            <a:ln w="25560">
              <a:noFill/>
            </a:ln>
          </c:spPr>
          <c:marker>
            <c:symbol val="square"/>
            <c:size val="6"/>
            <c:spPr>
              <a:solidFill>
                <a:srgbClr val="997300"/>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SetView!$C$23:$F$23</c:f>
              <c:numCache>
                <c:formatCode>General</c:formatCode>
                <c:ptCount val="4"/>
              </c:numCache>
            </c:numRef>
          </c:yVal>
          <c:smooth val="0"/>
          <c:extLst>
            <c:ext xmlns:c16="http://schemas.microsoft.com/office/drawing/2014/chart" uri="{C3380CC4-5D6E-409C-BE32-E72D297353CC}">
              <c16:uniqueId val="{00000009-AB48-498C-AA22-8CD968992281}"/>
            </c:ext>
          </c:extLst>
        </c:ser>
        <c:ser>
          <c:idx val="8"/>
          <c:order val="8"/>
          <c:spPr>
            <a:ln w="25560">
              <a:noFill/>
            </a:ln>
          </c:spPr>
          <c:marker>
            <c:symbol val="triangle"/>
            <c:size val="6"/>
            <c:spPr>
              <a:solidFill>
                <a:srgbClr val="255E91"/>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SetView!$C$24:$F$24</c:f>
              <c:numCache>
                <c:formatCode>General</c:formatCode>
                <c:ptCount val="4"/>
              </c:numCache>
            </c:numRef>
          </c:yVal>
          <c:smooth val="0"/>
          <c:extLst>
            <c:ext xmlns:c16="http://schemas.microsoft.com/office/drawing/2014/chart" uri="{C3380CC4-5D6E-409C-BE32-E72D297353CC}">
              <c16:uniqueId val="{0000000A-AB48-498C-AA22-8CD968992281}"/>
            </c:ext>
          </c:extLst>
        </c:ser>
        <c:ser>
          <c:idx val="9"/>
          <c:order val="9"/>
          <c:spPr>
            <a:ln w="25560">
              <a:noFill/>
            </a:ln>
          </c:spPr>
          <c:marker>
            <c:symbol val="triangle"/>
            <c:size val="6"/>
            <c:spPr>
              <a:solidFill>
                <a:srgbClr val="43682B"/>
              </a:solidFill>
            </c:spPr>
          </c:marker>
          <c:dLbls>
            <c:spPr>
              <a:noFill/>
              <a:ln>
                <a:noFill/>
              </a:ln>
              <a:effectLst/>
            </c:spPr>
            <c:txPr>
              <a:bodyPr/>
              <a:lstStyle/>
              <a:p>
                <a:pPr>
                  <a:defRPr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SetView!$C$12:$F$12</c:f>
              <c:numCache>
                <c:formatCode>#,##0</c:formatCode>
                <c:ptCount val="4"/>
                <c:pt idx="0">
                  <c:v>522.48252420494623</c:v>
                </c:pt>
              </c:numCache>
            </c:numRef>
          </c:xVal>
          <c:yVal>
            <c:numRef>
              <c:f>SetView!$C$25:$F$25</c:f>
              <c:numCache>
                <c:formatCode>General</c:formatCode>
                <c:ptCount val="4"/>
              </c:numCache>
            </c:numRef>
          </c:yVal>
          <c:smooth val="0"/>
          <c:extLst>
            <c:ext xmlns:c16="http://schemas.microsoft.com/office/drawing/2014/chart" uri="{C3380CC4-5D6E-409C-BE32-E72D297353CC}">
              <c16:uniqueId val="{0000000B-AB48-498C-AA22-8CD968992281}"/>
            </c:ext>
          </c:extLst>
        </c:ser>
        <c:dLbls>
          <c:showLegendKey val="0"/>
          <c:showVal val="0"/>
          <c:showCatName val="0"/>
          <c:showSerName val="0"/>
          <c:showPercent val="0"/>
          <c:showBubbleSize val="0"/>
        </c:dLbls>
        <c:axId val="80581562"/>
        <c:axId val="48440645"/>
      </c:scatterChart>
      <c:valAx>
        <c:axId val="80581562"/>
        <c:scaling>
          <c:orientation val="minMax"/>
          <c:max val="1000"/>
          <c:min val="0"/>
        </c:scaling>
        <c:delete val="0"/>
        <c:axPos val="b"/>
        <c:majorGridlines>
          <c:spPr>
            <a:ln w="0">
              <a:noFill/>
              <a:round/>
            </a:ln>
          </c:spPr>
        </c:majorGridlines>
        <c:numFmt formatCode="#,##0" sourceLinked="0"/>
        <c:majorTickMark val="none"/>
        <c:minorTickMark val="none"/>
        <c:tickLblPos val="none"/>
        <c:spPr>
          <a:noFill/>
          <a:ln w="25560">
            <a:noFill/>
            <a:round/>
          </a:ln>
        </c:spPr>
        <c:txPr>
          <a:bodyPr/>
          <a:lstStyle/>
          <a:p>
            <a:pPr>
              <a:defRPr sz="900" b="0" strike="noStrike" spc="114">
                <a:latin typeface="Calibri"/>
              </a:defRPr>
            </a:pPr>
            <a:endParaRPr lang="en-US"/>
          </a:p>
        </c:txPr>
        <c:crossAx val="48440645"/>
        <c:crosses val="autoZero"/>
        <c:crossBetween val="midCat"/>
      </c:valAx>
      <c:valAx>
        <c:axId val="48440645"/>
        <c:scaling>
          <c:orientation val="minMax"/>
          <c:max val="0.5"/>
          <c:min val="-0.5"/>
        </c:scaling>
        <c:delete val="1"/>
        <c:axPos val="l"/>
        <c:majorGridlines>
          <c:spPr>
            <a:ln w="9360">
              <a:noFill/>
              <a:round/>
            </a:ln>
          </c:spPr>
        </c:majorGridlines>
        <c:numFmt formatCode="#,##0" sourceLinked="0"/>
        <c:majorTickMark val="none"/>
        <c:minorTickMark val="none"/>
        <c:tickLblPos val="nextTo"/>
        <c:crossAx val="80581562"/>
        <c:crosses val="autoZero"/>
        <c:crossBetween val="midCat"/>
        <c:majorUnit val="0.5"/>
        <c:minorUnit val="0.5"/>
      </c:valAx>
      <c:spPr>
        <a:noFill/>
        <a:ln>
          <a:noFill/>
        </a:ln>
      </c:spPr>
    </c:plotArea>
    <c:plotVisOnly val="1"/>
    <c:dispBlanksAs val="gap"/>
    <c:showDLblsOverMax val="1"/>
  </c:chart>
  <c:spPr>
    <a:noFill/>
    <a:ln w="9360">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pieChart>
        <c:varyColors val="1"/>
        <c:ser>
          <c:idx val="0"/>
          <c:order val="0"/>
          <c:spPr>
            <a:solidFill>
              <a:srgbClr val="4472C4"/>
            </a:solidFill>
            <a:ln>
              <a:noFill/>
            </a:ln>
          </c:spPr>
          <c:dPt>
            <c:idx val="0"/>
            <c:bubble3D val="0"/>
            <c:spPr>
              <a:solidFill>
                <a:srgbClr val="BE0712"/>
              </a:solidFill>
              <a:ln w="19080">
                <a:solidFill>
                  <a:srgbClr val="FFFFFF"/>
                </a:solidFill>
                <a:round/>
              </a:ln>
            </c:spPr>
            <c:extLst>
              <c:ext xmlns:c16="http://schemas.microsoft.com/office/drawing/2014/chart" uri="{C3380CC4-5D6E-409C-BE32-E72D297353CC}">
                <c16:uniqueId val="{00000001-037B-45B4-9011-7833CB97E90F}"/>
              </c:ext>
            </c:extLst>
          </c:dPt>
          <c:dPt>
            <c:idx val="1"/>
            <c:bubble3D val="0"/>
            <c:spPr>
              <a:solidFill>
                <a:srgbClr val="F06B29"/>
              </a:solidFill>
              <a:ln w="19080">
                <a:solidFill>
                  <a:srgbClr val="FFFFFF"/>
                </a:solidFill>
                <a:round/>
              </a:ln>
            </c:spPr>
            <c:extLst>
              <c:ext xmlns:c16="http://schemas.microsoft.com/office/drawing/2014/chart" uri="{C3380CC4-5D6E-409C-BE32-E72D297353CC}">
                <c16:uniqueId val="{00000003-037B-45B4-9011-7833CB97E90F}"/>
              </c:ext>
            </c:extLst>
          </c:dPt>
          <c:dPt>
            <c:idx val="2"/>
            <c:bubble3D val="0"/>
            <c:spPr>
              <a:solidFill>
                <a:srgbClr val="FFA244"/>
              </a:solidFill>
              <a:ln w="19080">
                <a:solidFill>
                  <a:srgbClr val="FFFFFF"/>
                </a:solidFill>
                <a:round/>
              </a:ln>
            </c:spPr>
            <c:extLst>
              <c:ext xmlns:c16="http://schemas.microsoft.com/office/drawing/2014/chart" uri="{C3380CC4-5D6E-409C-BE32-E72D297353CC}">
                <c16:uniqueId val="{00000005-037B-45B4-9011-7833CB97E90F}"/>
              </c:ext>
            </c:extLst>
          </c:dPt>
          <c:dPt>
            <c:idx val="3"/>
            <c:bubble3D val="0"/>
            <c:spPr>
              <a:solidFill>
                <a:srgbClr val="FFFF00"/>
              </a:solidFill>
              <a:ln w="19080">
                <a:solidFill>
                  <a:srgbClr val="FFFFFF"/>
                </a:solidFill>
                <a:round/>
              </a:ln>
            </c:spPr>
            <c:extLst>
              <c:ext xmlns:c16="http://schemas.microsoft.com/office/drawing/2014/chart" uri="{C3380CC4-5D6E-409C-BE32-E72D297353CC}">
                <c16:uniqueId val="{00000007-037B-45B4-9011-7833CB97E90F}"/>
              </c:ext>
            </c:extLst>
          </c:dPt>
          <c:dLbls>
            <c:dLbl>
              <c:idx val="0"/>
              <c:layout>
                <c:manualLayout>
                  <c:x val="-0.10048358049250987"/>
                  <c:y val="-2.3760879489309467E-2"/>
                </c:manualLayout>
              </c:layout>
              <c:spPr/>
              <c:txPr>
                <a:bodyPr/>
                <a:lstStyle/>
                <a:p>
                  <a:pPr>
                    <a:defRPr sz="9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15:layout>
                    <c:manualLayout>
                      <c:w val="0.23056221177321634"/>
                      <c:h val="0.1898019053606041"/>
                    </c:manualLayout>
                  </c15:layout>
                </c:ext>
                <c:ext xmlns:c16="http://schemas.microsoft.com/office/drawing/2014/chart" uri="{C3380CC4-5D6E-409C-BE32-E72D297353CC}">
                  <c16:uniqueId val="{00000001-037B-45B4-9011-7833CB97E90F}"/>
                </c:ext>
              </c:extLst>
            </c:dLbl>
            <c:dLbl>
              <c:idx val="1"/>
              <c:spPr/>
              <c:txPr>
                <a:bodyPr/>
                <a:lstStyle/>
                <a:p>
                  <a:pPr>
                    <a:defRPr sz="900" b="0" strike="noStrike" spc="-1">
                      <a:solidFill>
                        <a:srgbClr val="40404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3-037B-45B4-9011-7833CB97E90F}"/>
                </c:ext>
              </c:extLst>
            </c:dLbl>
            <c:dLbl>
              <c:idx val="2"/>
              <c:spPr/>
              <c:txPr>
                <a:bodyPr/>
                <a:lstStyle/>
                <a:p>
                  <a:pPr>
                    <a:defRPr sz="900" b="0" strike="noStrike" spc="-1">
                      <a:solidFill>
                        <a:srgbClr val="404040"/>
                      </a:solidFill>
                      <a:latin typeface="Calibri"/>
                    </a:defRPr>
                  </a:pPr>
                  <a:endParaRPr lang="en-US"/>
                </a:p>
              </c:txPr>
              <c:dLblPos val="outEnd"/>
              <c:showLegendKey val="0"/>
              <c:showVal val="0"/>
              <c:showCatName val="0"/>
              <c:showSerName val="0"/>
              <c:showPercent val="0"/>
              <c:showBubbleSize val="1"/>
              <c:separator> </c:separator>
              <c:extLst>
                <c:ext xmlns:c15="http://schemas.microsoft.com/office/drawing/2012/chart" uri="{CE6537A1-D6FC-4f65-9D91-7224C49458BB}"/>
                <c:ext xmlns:c16="http://schemas.microsoft.com/office/drawing/2014/chart" uri="{C3380CC4-5D6E-409C-BE32-E72D297353CC}">
                  <c16:uniqueId val="{00000005-037B-45B4-9011-7833CB97E90F}"/>
                </c:ext>
              </c:extLst>
            </c:dLbl>
            <c:dLbl>
              <c:idx val="3"/>
              <c:layout>
                <c:manualLayout>
                  <c:x val="0.11483859300117551"/>
                  <c:y val="6.6530462570066534E-2"/>
                </c:manualLayout>
              </c:layout>
              <c:spPr/>
              <c:txPr>
                <a:bodyPr/>
                <a:lstStyle/>
                <a:p>
                  <a:pPr>
                    <a:defRPr sz="9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7-037B-45B4-9011-7833CB97E90F}"/>
                </c:ext>
              </c:extLst>
            </c:dLbl>
            <c:spPr>
              <a:noFill/>
              <a:ln>
                <a:noFill/>
              </a:ln>
              <a:effectLst/>
            </c:spPr>
            <c:txPr>
              <a:bodyPr/>
              <a:lstStyle/>
              <a:p>
                <a:pPr>
                  <a:defRPr sz="900" b="0" strike="noStrike" spc="-1">
                    <a:solidFill>
                      <a:srgbClr val="404040"/>
                    </a:solidFill>
                    <a:latin typeface="Calibri"/>
                  </a:defRPr>
                </a:pPr>
                <a:endParaRPr lang="en-US"/>
              </a:p>
            </c:txPr>
            <c:dLblPos val="outEnd"/>
            <c:showLegendKey val="0"/>
            <c:showVal val="0"/>
            <c:showCatName val="1"/>
            <c:showSerName val="0"/>
            <c:showPercent val="1"/>
            <c:showBubbleSize val="1"/>
            <c:separator> </c:separator>
            <c:showLeaderLines val="0"/>
            <c:extLst>
              <c:ext xmlns:c15="http://schemas.microsoft.com/office/drawing/2012/chart" uri="{CE6537A1-D6FC-4f65-9D91-7224C49458BB}"/>
            </c:extLst>
          </c:dLbls>
          <c:cat>
            <c:strRef>
              <c:f>SetView!$C$41:$C$44</c:f>
              <c:strCache>
                <c:ptCount val="4"/>
                <c:pt idx="0">
                  <c:v>Critical</c:v>
                </c:pt>
                <c:pt idx="1">
                  <c:v>High</c:v>
                </c:pt>
                <c:pt idx="2">
                  <c:v>Medium</c:v>
                </c:pt>
                <c:pt idx="3">
                  <c:v>Low</c:v>
                </c:pt>
              </c:strCache>
            </c:strRef>
          </c:cat>
          <c:val>
            <c:numRef>
              <c:f>SetView!$F$41:$F$44</c:f>
              <c:numCache>
                <c:formatCode>General</c:formatCode>
                <c:ptCount val="4"/>
                <c:pt idx="0">
                  <c:v>2</c:v>
                </c:pt>
                <c:pt idx="1">
                  <c:v>60</c:v>
                </c:pt>
                <c:pt idx="2">
                  <c:v>0</c:v>
                </c:pt>
                <c:pt idx="3">
                  <c:v>457</c:v>
                </c:pt>
              </c:numCache>
            </c:numRef>
          </c:val>
          <c:extLst>
            <c:ext xmlns:c16="http://schemas.microsoft.com/office/drawing/2014/chart" uri="{C3380CC4-5D6E-409C-BE32-E72D297353CC}">
              <c16:uniqueId val="{00000008-037B-45B4-9011-7833CB97E90F}"/>
            </c:ext>
          </c:extLst>
        </c:ser>
        <c:dLbls>
          <c:showLegendKey val="0"/>
          <c:showVal val="0"/>
          <c:showCatName val="0"/>
          <c:showSerName val="0"/>
          <c:showPercent val="0"/>
          <c:showBubbleSize val="0"/>
          <c:showLeaderLines val="0"/>
        </c:dLbls>
        <c:firstSliceAng val="0"/>
      </c:pieChart>
      <c:spPr>
        <a:noFill/>
        <a:ln>
          <a:noFill/>
        </a:ln>
      </c:spPr>
    </c:plotArea>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pieChart>
        <c:varyColors val="1"/>
        <c:ser>
          <c:idx val="0"/>
          <c:order val="0"/>
          <c:spPr>
            <a:solidFill>
              <a:srgbClr val="4472C4"/>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1-13F6-44A4-B431-8C9C16E0EC53}"/>
              </c:ext>
            </c:extLst>
          </c:dPt>
          <c:dPt>
            <c:idx val="1"/>
            <c:bubble3D val="0"/>
            <c:spPr>
              <a:solidFill>
                <a:srgbClr val="ED7D31"/>
              </a:solidFill>
              <a:ln w="19080">
                <a:solidFill>
                  <a:srgbClr val="FFFFFF"/>
                </a:solidFill>
                <a:round/>
              </a:ln>
            </c:spPr>
            <c:extLst>
              <c:ext xmlns:c16="http://schemas.microsoft.com/office/drawing/2014/chart" uri="{C3380CC4-5D6E-409C-BE32-E72D297353CC}">
                <c16:uniqueId val="{00000003-13F6-44A4-B431-8C9C16E0EC53}"/>
              </c:ext>
            </c:extLst>
          </c:dPt>
          <c:dPt>
            <c:idx val="2"/>
            <c:bubble3D val="0"/>
            <c:spPr>
              <a:solidFill>
                <a:srgbClr val="A5A5A5"/>
              </a:solidFill>
              <a:ln w="19080">
                <a:solidFill>
                  <a:srgbClr val="FFFFFF"/>
                </a:solidFill>
                <a:round/>
              </a:ln>
            </c:spPr>
            <c:extLst>
              <c:ext xmlns:c16="http://schemas.microsoft.com/office/drawing/2014/chart" uri="{C3380CC4-5D6E-409C-BE32-E72D297353CC}">
                <c16:uniqueId val="{00000005-13F6-44A4-B431-8C9C16E0EC53}"/>
              </c:ext>
            </c:extLst>
          </c:dPt>
          <c:dLbls>
            <c:dLbl>
              <c:idx val="0"/>
              <c:layout>
                <c:manualLayout>
                  <c:x val="-1.3222645359528301E-2"/>
                  <c:y val="4.3361172851979074E-2"/>
                </c:manualLayout>
              </c:layout>
              <c:spPr/>
              <c:txPr>
                <a:bodyPr/>
                <a:lstStyle/>
                <a:p>
                  <a:pPr>
                    <a:defRPr sz="9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15:layout>
                    <c:manualLayout>
                      <c:w val="0.32896928497704381"/>
                      <c:h val="0.24844525268853412"/>
                    </c:manualLayout>
                  </c15:layout>
                </c:ext>
                <c:ext xmlns:c16="http://schemas.microsoft.com/office/drawing/2014/chart" uri="{C3380CC4-5D6E-409C-BE32-E72D297353CC}">
                  <c16:uniqueId val="{00000001-13F6-44A4-B431-8C9C16E0EC53}"/>
                </c:ext>
              </c:extLst>
            </c:dLbl>
            <c:dLbl>
              <c:idx val="1"/>
              <c:layout>
                <c:manualLayout>
                  <c:x val="0.20778226619686563"/>
                  <c:y val="9.5416582474573991E-2"/>
                </c:manualLayout>
              </c:layout>
              <c:spPr/>
              <c:txPr>
                <a:bodyPr/>
                <a:lstStyle/>
                <a:p>
                  <a:pPr>
                    <a:defRPr sz="900" b="0" strike="noStrike" spc="-1">
                      <a:solidFill>
                        <a:srgbClr val="404040"/>
                      </a:solidFill>
                      <a:latin typeface="Calibri"/>
                    </a:defRPr>
                  </a:pPr>
                  <a:endParaRPr lang="en-US"/>
                </a:p>
              </c:txPr>
              <c:dLblPos val="bestFit"/>
              <c:showLegendKey val="0"/>
              <c:showVal val="0"/>
              <c:showCatName val="1"/>
              <c:showSerName val="0"/>
              <c:showPercent val="1"/>
              <c:showBubbleSize val="1"/>
              <c:extLst>
                <c:ext xmlns:c15="http://schemas.microsoft.com/office/drawing/2012/chart" uri="{CE6537A1-D6FC-4f65-9D91-7224C49458BB}">
                  <c15:layout>
                    <c:manualLayout>
                      <c:w val="0.59331171728589693"/>
                      <c:h val="0.21003545674570798"/>
                    </c:manualLayout>
                  </c15:layout>
                </c:ext>
                <c:ext xmlns:c16="http://schemas.microsoft.com/office/drawing/2014/chart" uri="{C3380CC4-5D6E-409C-BE32-E72D297353CC}">
                  <c16:uniqueId val="{00000003-13F6-44A4-B431-8C9C16E0EC53}"/>
                </c:ext>
              </c:extLst>
            </c:dLbl>
            <c:dLbl>
              <c:idx val="2"/>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15:layout>
                    <c:manualLayout>
                      <c:w val="0.48326263497635119"/>
                      <c:h val="0.13981648667114113"/>
                    </c:manualLayout>
                  </c15:layout>
                </c:ext>
                <c:ext xmlns:c16="http://schemas.microsoft.com/office/drawing/2014/chart" uri="{C3380CC4-5D6E-409C-BE32-E72D297353CC}">
                  <c16:uniqueId val="{00000005-13F6-44A4-B431-8C9C16E0EC53}"/>
                </c:ext>
              </c:extLst>
            </c:dLbl>
            <c:spPr>
              <a:noFill/>
              <a:ln>
                <a:noFill/>
              </a:ln>
              <a:effectLst/>
            </c:spPr>
            <c:txPr>
              <a:bodyPr/>
              <a:lstStyle/>
              <a:p>
                <a:pPr>
                  <a:defRPr sz="900" b="0" strike="noStrike" spc="-1">
                    <a:solidFill>
                      <a:srgbClr val="404040"/>
                    </a:solidFill>
                    <a:latin typeface="Calibri"/>
                  </a:defRPr>
                </a:pPr>
                <a:endParaRPr lang="en-US"/>
              </a:p>
            </c:txPr>
            <c:dLblPos val="outEnd"/>
            <c:showLegendKey val="0"/>
            <c:showVal val="0"/>
            <c:showCatName val="1"/>
            <c:showSerName val="0"/>
            <c:showPercent val="1"/>
            <c:showBubbleSize val="1"/>
            <c:separator> </c:separator>
            <c:showLeaderLines val="0"/>
            <c:extLst>
              <c:ext xmlns:c15="http://schemas.microsoft.com/office/drawing/2012/chart" uri="{CE6537A1-D6FC-4f65-9D91-7224C49458BB}"/>
            </c:extLst>
          </c:dLbls>
          <c:cat>
            <c:strRef>
              <c:f>SetView!$M$41:$M$43</c:f>
              <c:strCache>
                <c:ptCount val="3"/>
                <c:pt idx="0">
                  <c:v>CAT I</c:v>
                </c:pt>
                <c:pt idx="1">
                  <c:v>CAT II</c:v>
                </c:pt>
                <c:pt idx="2">
                  <c:v>CAT III</c:v>
                </c:pt>
              </c:strCache>
            </c:strRef>
          </c:cat>
          <c:val>
            <c:numRef>
              <c:f>SetView!$P$41:$P$43</c:f>
              <c:numCache>
                <c:formatCode>#,##0</c:formatCode>
                <c:ptCount val="3"/>
                <c:pt idx="0">
                  <c:v>624</c:v>
                </c:pt>
                <c:pt idx="1">
                  <c:v>1456</c:v>
                </c:pt>
                <c:pt idx="2">
                  <c:v>0</c:v>
                </c:pt>
              </c:numCache>
            </c:numRef>
          </c:val>
          <c:extLst>
            <c:ext xmlns:c16="http://schemas.microsoft.com/office/drawing/2014/chart" uri="{C3380CC4-5D6E-409C-BE32-E72D297353CC}">
              <c16:uniqueId val="{00000006-13F6-44A4-B431-8C9C16E0EC53}"/>
            </c:ext>
          </c:extLst>
        </c:ser>
        <c:dLbls>
          <c:showLegendKey val="0"/>
          <c:showVal val="0"/>
          <c:showCatName val="0"/>
          <c:showSerName val="0"/>
          <c:showPercent val="0"/>
          <c:showBubbleSize val="0"/>
          <c:showLeaderLines val="0"/>
        </c:dLbls>
        <c:firstSliceAng val="0"/>
      </c:pieChart>
      <c:spPr>
        <a:noFill/>
        <a:ln>
          <a:noFill/>
        </a:ln>
      </c:spPr>
    </c:plotArea>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manualLayout>
          <c:layoutTarget val="inner"/>
          <c:xMode val="edge"/>
          <c:yMode val="edge"/>
          <c:x val="0.25740069206676303"/>
          <c:y val="0.10175463093101202"/>
          <c:w val="0.23724012163597652"/>
          <c:h val="0.79670569589050999"/>
        </c:manualLayout>
      </c:layout>
      <c:pieChart>
        <c:varyColors val="1"/>
        <c:ser>
          <c:idx val="0"/>
          <c:order val="0"/>
          <c:tx>
            <c:strRef>
              <c:f>SetView!$C$109</c:f>
              <c:strCache>
                <c:ptCount val="1"/>
                <c:pt idx="0">
                  <c:v>License</c:v>
                </c:pt>
              </c:strCache>
            </c:strRef>
          </c:tx>
          <c:spPr>
            <a:solidFill>
              <a:srgbClr val="4472C4"/>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1-7E8B-41E4-88A7-6EE2109F0C66}"/>
              </c:ext>
            </c:extLst>
          </c:dPt>
          <c:dPt>
            <c:idx val="1"/>
            <c:bubble3D val="0"/>
            <c:spPr>
              <a:solidFill>
                <a:srgbClr val="ED7D31"/>
              </a:solidFill>
              <a:ln w="19080">
                <a:solidFill>
                  <a:srgbClr val="FFFFFF"/>
                </a:solidFill>
                <a:round/>
              </a:ln>
            </c:spPr>
            <c:extLst>
              <c:ext xmlns:c16="http://schemas.microsoft.com/office/drawing/2014/chart" uri="{C3380CC4-5D6E-409C-BE32-E72D297353CC}">
                <c16:uniqueId val="{00000003-7E8B-41E4-88A7-6EE2109F0C66}"/>
              </c:ext>
            </c:extLst>
          </c:dPt>
          <c:dPt>
            <c:idx val="2"/>
            <c:bubble3D val="0"/>
            <c:spPr>
              <a:solidFill>
                <a:srgbClr val="A5A5A5"/>
              </a:solidFill>
              <a:ln w="19080">
                <a:solidFill>
                  <a:srgbClr val="FFFFFF"/>
                </a:solidFill>
                <a:round/>
              </a:ln>
            </c:spPr>
            <c:extLst>
              <c:ext xmlns:c16="http://schemas.microsoft.com/office/drawing/2014/chart" uri="{C3380CC4-5D6E-409C-BE32-E72D297353CC}">
                <c16:uniqueId val="{00000005-7E8B-41E4-88A7-6EE2109F0C66}"/>
              </c:ext>
            </c:extLst>
          </c:dPt>
          <c:dPt>
            <c:idx val="3"/>
            <c:bubble3D val="0"/>
            <c:spPr>
              <a:solidFill>
                <a:srgbClr val="FFC000"/>
              </a:solidFill>
              <a:ln w="19080">
                <a:solidFill>
                  <a:srgbClr val="FFFFFF"/>
                </a:solidFill>
                <a:round/>
              </a:ln>
            </c:spPr>
            <c:extLst>
              <c:ext xmlns:c16="http://schemas.microsoft.com/office/drawing/2014/chart" uri="{C3380CC4-5D6E-409C-BE32-E72D297353CC}">
                <c16:uniqueId val="{00000007-7E8B-41E4-88A7-6EE2109F0C66}"/>
              </c:ext>
            </c:extLst>
          </c:dPt>
          <c:dPt>
            <c:idx val="4"/>
            <c:bubble3D val="0"/>
            <c:spPr>
              <a:solidFill>
                <a:srgbClr val="5B9BD5"/>
              </a:solidFill>
              <a:ln w="19080">
                <a:solidFill>
                  <a:srgbClr val="FFFFFF"/>
                </a:solidFill>
                <a:round/>
              </a:ln>
            </c:spPr>
            <c:extLst>
              <c:ext xmlns:c16="http://schemas.microsoft.com/office/drawing/2014/chart" uri="{C3380CC4-5D6E-409C-BE32-E72D297353CC}">
                <c16:uniqueId val="{00000009-7E8B-41E4-88A7-6EE2109F0C66}"/>
              </c:ext>
            </c:extLst>
          </c:dPt>
          <c:dPt>
            <c:idx val="5"/>
            <c:bubble3D val="0"/>
            <c:spPr>
              <a:solidFill>
                <a:srgbClr val="70AD47"/>
              </a:solidFill>
              <a:ln w="19080">
                <a:solidFill>
                  <a:srgbClr val="FFFFFF"/>
                </a:solidFill>
                <a:round/>
              </a:ln>
            </c:spPr>
            <c:extLst>
              <c:ext xmlns:c16="http://schemas.microsoft.com/office/drawing/2014/chart" uri="{C3380CC4-5D6E-409C-BE32-E72D297353CC}">
                <c16:uniqueId val="{0000000B-7E8B-41E4-88A7-6EE2109F0C66}"/>
              </c:ext>
            </c:extLst>
          </c:dPt>
          <c:dLbls>
            <c:dLbl>
              <c:idx val="0"/>
              <c:spPr/>
              <c:txPr>
                <a:bodyPr/>
                <a:lstStyle/>
                <a:p>
                  <a:pPr>
                    <a:defRPr sz="900" b="0" strike="noStrike" spc="-1">
                      <a:solidFill>
                        <a:srgbClr val="404040"/>
                      </a:solidFill>
                      <a:latin typeface="Calibri"/>
                    </a:defRPr>
                  </a:pPr>
                  <a:endParaRPr lang="en-US"/>
                </a:p>
              </c:txPr>
              <c:dLblPos val="out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7E8B-41E4-88A7-6EE2109F0C66}"/>
                </c:ext>
              </c:extLst>
            </c:dLbl>
            <c:dLbl>
              <c:idx val="1"/>
              <c:spPr/>
              <c:txPr>
                <a:bodyPr/>
                <a:lstStyle/>
                <a:p>
                  <a:pPr>
                    <a:defRPr sz="900" b="0" strike="noStrike" spc="-1">
                      <a:solidFill>
                        <a:srgbClr val="404040"/>
                      </a:solidFill>
                      <a:latin typeface="Calibri"/>
                    </a:defRPr>
                  </a:pPr>
                  <a:endParaRPr lang="en-US"/>
                </a:p>
              </c:txPr>
              <c:dLblPos val="out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7E8B-41E4-88A7-6EE2109F0C66}"/>
                </c:ext>
              </c:extLst>
            </c:dLbl>
            <c:dLbl>
              <c:idx val="2"/>
              <c:layout>
                <c:manualLayout>
                  <c:x val="-4.2459644238269673E-17"/>
                  <c:y val="0"/>
                </c:manualLayout>
              </c:layout>
              <c:spPr/>
              <c:txPr>
                <a:bodyPr/>
                <a:lstStyle/>
                <a:p>
                  <a:pPr>
                    <a:defRPr sz="900" b="0" strike="noStrike" spc="-1">
                      <a:solidFill>
                        <a:srgbClr val="404040"/>
                      </a:solidFill>
                      <a:latin typeface="Calibri"/>
                    </a:defRPr>
                  </a:pPr>
                  <a:endParaRPr lang="en-US"/>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7E8B-41E4-88A7-6EE2109F0C66}"/>
                </c:ext>
              </c:extLst>
            </c:dLbl>
            <c:dLbl>
              <c:idx val="3"/>
              <c:layout>
                <c:manualLayout>
                  <c:x val="2.3160073492201713E-2"/>
                  <c:y val="0"/>
                </c:manualLayout>
              </c:layout>
              <c:spPr/>
              <c:txPr>
                <a:bodyPr/>
                <a:lstStyle/>
                <a:p>
                  <a:pPr>
                    <a:defRPr sz="900" b="0" strike="noStrike" spc="-1">
                      <a:solidFill>
                        <a:srgbClr val="404040"/>
                      </a:solidFill>
                      <a:latin typeface="Calibri"/>
                    </a:defRPr>
                  </a:pPr>
                  <a:endParaRPr lang="en-US"/>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7E8B-41E4-88A7-6EE2109F0C66}"/>
                </c:ext>
              </c:extLst>
            </c:dLbl>
            <c:dLbl>
              <c:idx val="4"/>
              <c:layout>
                <c:manualLayout>
                  <c:x val="5.7900183730504276E-2"/>
                  <c:y val="0"/>
                </c:manualLayout>
              </c:layout>
              <c:spPr/>
              <c:txPr>
                <a:bodyPr/>
                <a:lstStyle/>
                <a:p>
                  <a:pPr>
                    <a:defRPr sz="900" b="0" strike="noStrike" spc="-1">
                      <a:solidFill>
                        <a:srgbClr val="404040"/>
                      </a:solidFill>
                      <a:latin typeface="Calibri"/>
                    </a:defRPr>
                  </a:pPr>
                  <a:endParaRPr lang="en-US"/>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9-7E8B-41E4-88A7-6EE2109F0C66}"/>
                </c:ext>
              </c:extLst>
            </c:dLbl>
            <c:dLbl>
              <c:idx val="5"/>
              <c:spPr/>
              <c:txPr>
                <a:bodyPr/>
                <a:lstStyle/>
                <a:p>
                  <a:pPr>
                    <a:defRPr sz="900" b="0" strike="noStrike" spc="-1">
                      <a:solidFill>
                        <a:srgbClr val="404040"/>
                      </a:solidFill>
                      <a:latin typeface="Calibri"/>
                    </a:defRPr>
                  </a:pPr>
                  <a:endParaRPr lang="en-US"/>
                </a:p>
              </c:txPr>
              <c:dLblPos val="out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B-7E8B-41E4-88A7-6EE2109F0C66}"/>
                </c:ext>
              </c:extLst>
            </c:dLbl>
            <c:spPr>
              <a:noFill/>
              <a:ln>
                <a:noFill/>
              </a:ln>
              <a:effectLst/>
            </c:spPr>
            <c:txPr>
              <a:bodyPr/>
              <a:lstStyle/>
              <a:p>
                <a:pPr>
                  <a:defRPr sz="900" b="0" strike="noStrike" spc="-1">
                    <a:solidFill>
                      <a:srgbClr val="404040"/>
                    </a:solidFill>
                    <a:latin typeface="Calibri"/>
                  </a:defRPr>
                </a:pPr>
                <a:endParaRPr lang="en-US"/>
              </a:p>
            </c:txPr>
            <c:dLblPos val="outEnd"/>
            <c:showLegendKey val="0"/>
            <c:showVal val="0"/>
            <c:showCatName val="0"/>
            <c:showSerName val="0"/>
            <c:showPercent val="1"/>
            <c:showBubbleSize val="1"/>
            <c:separator>
</c:separator>
            <c:showLeaderLines val="0"/>
            <c:extLst>
              <c:ext xmlns:c15="http://schemas.microsoft.com/office/drawing/2012/chart" uri="{CE6537A1-D6FC-4f65-9D91-7224C49458BB}"/>
            </c:extLst>
          </c:dLbls>
          <c:cat>
            <c:strRef>
              <c:f>SetView!$C$110:$F$114</c:f>
              <c:strCache>
                <c:ptCount val="5"/>
                <c:pt idx="0">
                  <c:v>GNU General Public License v2.0 only</c:v>
                </c:pt>
                <c:pt idx="1">
                  <c:v>Apache License 2.0</c:v>
                </c:pt>
                <c:pt idx="2">
                  <c:v>BSD 2-clause 'Simplified' License</c:v>
                </c:pt>
                <c:pt idx="3">
                  <c:v>BSD 3-clause Clear License</c:v>
                </c:pt>
                <c:pt idx="4">
                  <c:v>MIT License</c:v>
                </c:pt>
              </c:strCache>
            </c:strRef>
          </c:cat>
          <c:val>
            <c:numRef>
              <c:f>SetView!$J$110:$J$114</c:f>
              <c:numCache>
                <c:formatCode>#,##0</c:formatCode>
                <c:ptCount val="5"/>
                <c:pt idx="0">
                  <c:v>2350</c:v>
                </c:pt>
                <c:pt idx="1">
                  <c:v>144</c:v>
                </c:pt>
                <c:pt idx="2">
                  <c:v>34</c:v>
                </c:pt>
                <c:pt idx="3">
                  <c:v>23</c:v>
                </c:pt>
                <c:pt idx="4">
                  <c:v>1</c:v>
                </c:pt>
              </c:numCache>
            </c:numRef>
          </c:val>
          <c:extLst>
            <c:ext xmlns:c16="http://schemas.microsoft.com/office/drawing/2014/chart" uri="{C3380CC4-5D6E-409C-BE32-E72D297353CC}">
              <c16:uniqueId val="{0000000C-7E8B-41E4-88A7-6EE2109F0C66}"/>
            </c:ext>
          </c:extLst>
        </c:ser>
        <c:ser>
          <c:idx val="1"/>
          <c:order val="1"/>
          <c:tx>
            <c:strRef>
              <c:f>SetView!$C$111</c:f>
              <c:strCache>
                <c:ptCount val="1"/>
                <c:pt idx="0">
                  <c:v>Apache License 2.0</c:v>
                </c:pt>
              </c:strCache>
            </c:strRef>
          </c:tx>
          <c:spPr>
            <a:solidFill>
              <a:srgbClr val="ED7D31"/>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0E-7E8B-41E4-88A7-6EE2109F0C66}"/>
              </c:ext>
            </c:extLst>
          </c:dPt>
          <c:dLbls>
            <c:dLbl>
              <c:idx val="0"/>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E-7E8B-41E4-88A7-6EE2109F0C66}"/>
                </c:ext>
              </c:extLst>
            </c:dLbl>
            <c:spPr>
              <a:noFill/>
              <a:ln>
                <a:noFill/>
              </a:ln>
              <a:effectLst/>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separator>; </c:separator>
            <c:showLeaderLines val="0"/>
            <c:extLst>
              <c:ext xmlns:c15="http://schemas.microsoft.com/office/drawing/2012/chart" uri="{CE6537A1-D6FC-4f65-9D91-7224C49458BB}"/>
            </c:extLst>
          </c:dLbls>
          <c:cat>
            <c:strRef>
              <c:f>SetView!$C$110:$F$114</c:f>
              <c:strCache>
                <c:ptCount val="5"/>
                <c:pt idx="0">
                  <c:v>GNU General Public License v2.0 only</c:v>
                </c:pt>
                <c:pt idx="1">
                  <c:v>Apache License 2.0</c:v>
                </c:pt>
                <c:pt idx="2">
                  <c:v>BSD 2-clause 'Simplified' License</c:v>
                </c:pt>
                <c:pt idx="3">
                  <c:v>BSD 3-clause Clear License</c:v>
                </c:pt>
                <c:pt idx="4">
                  <c:v>MIT License</c:v>
                </c:pt>
              </c:strCache>
            </c:strRef>
          </c:cat>
          <c:val>
            <c:numRef>
              <c:f>SetView!$K$111</c:f>
              <c:numCache>
                <c:formatCode>0%</c:formatCode>
                <c:ptCount val="1"/>
                <c:pt idx="0">
                  <c:v>5.6426332288401257E-2</c:v>
                </c:pt>
              </c:numCache>
            </c:numRef>
          </c:val>
          <c:extLst>
            <c:ext xmlns:c16="http://schemas.microsoft.com/office/drawing/2014/chart" uri="{C3380CC4-5D6E-409C-BE32-E72D297353CC}">
              <c16:uniqueId val="{0000000F-7E8B-41E4-88A7-6EE2109F0C66}"/>
            </c:ext>
          </c:extLst>
        </c:ser>
        <c:ser>
          <c:idx val="2"/>
          <c:order val="2"/>
          <c:tx>
            <c:strRef>
              <c:f>SetView!$C$112</c:f>
              <c:strCache>
                <c:ptCount val="1"/>
                <c:pt idx="0">
                  <c:v>BSD 2-clause 'Simplified' License</c:v>
                </c:pt>
              </c:strCache>
            </c:strRef>
          </c:tx>
          <c:spPr>
            <a:solidFill>
              <a:srgbClr val="A5A5A5"/>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11-7E8B-41E4-88A7-6EE2109F0C66}"/>
              </c:ext>
            </c:extLst>
          </c:dPt>
          <c:dLbls>
            <c:dLbl>
              <c:idx val="0"/>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1-7E8B-41E4-88A7-6EE2109F0C66}"/>
                </c:ext>
              </c:extLst>
            </c:dLbl>
            <c:spPr>
              <a:noFill/>
              <a:ln>
                <a:noFill/>
              </a:ln>
              <a:effectLst/>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separator>; </c:separator>
            <c:showLeaderLines val="0"/>
            <c:extLst>
              <c:ext xmlns:c15="http://schemas.microsoft.com/office/drawing/2012/chart" uri="{CE6537A1-D6FC-4f65-9D91-7224C49458BB}"/>
            </c:extLst>
          </c:dLbls>
          <c:cat>
            <c:strRef>
              <c:f>SetView!$C$110:$F$114</c:f>
              <c:strCache>
                <c:ptCount val="5"/>
                <c:pt idx="0">
                  <c:v>GNU General Public License v2.0 only</c:v>
                </c:pt>
                <c:pt idx="1">
                  <c:v>Apache License 2.0</c:v>
                </c:pt>
                <c:pt idx="2">
                  <c:v>BSD 2-clause 'Simplified' License</c:v>
                </c:pt>
                <c:pt idx="3">
                  <c:v>BSD 3-clause Clear License</c:v>
                </c:pt>
                <c:pt idx="4">
                  <c:v>MIT License</c:v>
                </c:pt>
              </c:strCache>
            </c:strRef>
          </c:cat>
          <c:val>
            <c:numRef>
              <c:f>SetView!$K$112</c:f>
              <c:numCache>
                <c:formatCode>0%</c:formatCode>
                <c:ptCount val="1"/>
                <c:pt idx="0">
                  <c:v>1.3322884012539185E-2</c:v>
                </c:pt>
              </c:numCache>
            </c:numRef>
          </c:val>
          <c:extLst>
            <c:ext xmlns:c16="http://schemas.microsoft.com/office/drawing/2014/chart" uri="{C3380CC4-5D6E-409C-BE32-E72D297353CC}">
              <c16:uniqueId val="{00000012-7E8B-41E4-88A7-6EE2109F0C66}"/>
            </c:ext>
          </c:extLst>
        </c:ser>
        <c:ser>
          <c:idx val="3"/>
          <c:order val="3"/>
          <c:tx>
            <c:strRef>
              <c:f>SetView!$C$113</c:f>
              <c:strCache>
                <c:ptCount val="1"/>
                <c:pt idx="0">
                  <c:v>BSD 3-clause Clear License</c:v>
                </c:pt>
              </c:strCache>
            </c:strRef>
          </c:tx>
          <c:spPr>
            <a:solidFill>
              <a:srgbClr val="FFC000"/>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14-7E8B-41E4-88A7-6EE2109F0C66}"/>
              </c:ext>
            </c:extLst>
          </c:dPt>
          <c:dLbls>
            <c:dLbl>
              <c:idx val="0"/>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4-7E8B-41E4-88A7-6EE2109F0C66}"/>
                </c:ext>
              </c:extLst>
            </c:dLbl>
            <c:spPr>
              <a:noFill/>
              <a:ln>
                <a:noFill/>
              </a:ln>
              <a:effectLst/>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separator>; </c:separator>
            <c:showLeaderLines val="0"/>
            <c:extLst>
              <c:ext xmlns:c15="http://schemas.microsoft.com/office/drawing/2012/chart" uri="{CE6537A1-D6FC-4f65-9D91-7224C49458BB}"/>
            </c:extLst>
          </c:dLbls>
          <c:cat>
            <c:strRef>
              <c:f>SetView!$C$110:$F$114</c:f>
              <c:strCache>
                <c:ptCount val="5"/>
                <c:pt idx="0">
                  <c:v>GNU General Public License v2.0 only</c:v>
                </c:pt>
                <c:pt idx="1">
                  <c:v>Apache License 2.0</c:v>
                </c:pt>
                <c:pt idx="2">
                  <c:v>BSD 2-clause 'Simplified' License</c:v>
                </c:pt>
                <c:pt idx="3">
                  <c:v>BSD 3-clause Clear License</c:v>
                </c:pt>
                <c:pt idx="4">
                  <c:v>MIT License</c:v>
                </c:pt>
              </c:strCache>
            </c:strRef>
          </c:cat>
          <c:val>
            <c:numRef>
              <c:f>SetView!$K$113</c:f>
              <c:numCache>
                <c:formatCode>0%</c:formatCode>
                <c:ptCount val="1"/>
                <c:pt idx="0">
                  <c:v>9.0125391849529782E-3</c:v>
                </c:pt>
              </c:numCache>
            </c:numRef>
          </c:val>
          <c:extLst>
            <c:ext xmlns:c16="http://schemas.microsoft.com/office/drawing/2014/chart" uri="{C3380CC4-5D6E-409C-BE32-E72D297353CC}">
              <c16:uniqueId val="{00000015-7E8B-41E4-88A7-6EE2109F0C66}"/>
            </c:ext>
          </c:extLst>
        </c:ser>
        <c:ser>
          <c:idx val="4"/>
          <c:order val="4"/>
          <c:tx>
            <c:strRef>
              <c:f>SetView!$C$114</c:f>
              <c:strCache>
                <c:ptCount val="1"/>
                <c:pt idx="0">
                  <c:v>MIT License</c:v>
                </c:pt>
              </c:strCache>
            </c:strRef>
          </c:tx>
          <c:spPr>
            <a:solidFill>
              <a:srgbClr val="5B9BD5"/>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17-7E8B-41E4-88A7-6EE2109F0C66}"/>
              </c:ext>
            </c:extLst>
          </c:dPt>
          <c:dLbls>
            <c:dLbl>
              <c:idx val="0"/>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7-7E8B-41E4-88A7-6EE2109F0C66}"/>
                </c:ext>
              </c:extLst>
            </c:dLbl>
            <c:spPr>
              <a:noFill/>
              <a:ln>
                <a:noFill/>
              </a:ln>
              <a:effectLst/>
            </c:spPr>
            <c:txPr>
              <a:bodyPr/>
              <a:lstStyle/>
              <a:p>
                <a:pPr>
                  <a:defRPr sz="1000" b="0" strike="noStrike" spc="-1">
                    <a:solidFill>
                      <a:srgbClr val="000000"/>
                    </a:solidFill>
                    <a:latin typeface="Calibri"/>
                  </a:defRPr>
                </a:pPr>
                <a:endParaRPr lang="en-US"/>
              </a:p>
            </c:txPr>
            <c:dLblPos val="bestFit"/>
            <c:showLegendKey val="0"/>
            <c:showVal val="0"/>
            <c:showCatName val="0"/>
            <c:showSerName val="0"/>
            <c:showPercent val="0"/>
            <c:showBubbleSize val="1"/>
            <c:separator>; </c:separator>
            <c:showLeaderLines val="0"/>
            <c:extLst>
              <c:ext xmlns:c15="http://schemas.microsoft.com/office/drawing/2012/chart" uri="{CE6537A1-D6FC-4f65-9D91-7224C49458BB}"/>
            </c:extLst>
          </c:dLbls>
          <c:cat>
            <c:strRef>
              <c:f>SetView!$C$110:$F$114</c:f>
              <c:strCache>
                <c:ptCount val="5"/>
                <c:pt idx="0">
                  <c:v>GNU General Public License v2.0 only</c:v>
                </c:pt>
                <c:pt idx="1">
                  <c:v>Apache License 2.0</c:v>
                </c:pt>
                <c:pt idx="2">
                  <c:v>BSD 2-clause 'Simplified' License</c:v>
                </c:pt>
                <c:pt idx="3">
                  <c:v>BSD 3-clause Clear License</c:v>
                </c:pt>
                <c:pt idx="4">
                  <c:v>MIT License</c:v>
                </c:pt>
              </c:strCache>
            </c:strRef>
          </c:cat>
          <c:val>
            <c:numRef>
              <c:f>SetView!$K$114</c:f>
              <c:numCache>
                <c:formatCode>0%</c:formatCode>
                <c:ptCount val="1"/>
                <c:pt idx="0">
                  <c:v>3.9184952978056425E-4</c:v>
                </c:pt>
              </c:numCache>
            </c:numRef>
          </c:val>
          <c:extLst>
            <c:ext xmlns:c16="http://schemas.microsoft.com/office/drawing/2014/chart" uri="{C3380CC4-5D6E-409C-BE32-E72D297353CC}">
              <c16:uniqueId val="{00000018-7E8B-41E4-88A7-6EE2109F0C66}"/>
            </c:ext>
          </c:extLst>
        </c:ser>
        <c:ser>
          <c:idx val="5"/>
          <c:order val="5"/>
          <c:tx>
            <c:strRef>
              <c:f>SetView!#REF!</c:f>
              <c:strCache>
                <c:ptCount val="1"/>
                <c:pt idx="0">
                  <c:v>#REF!</c:v>
                </c:pt>
              </c:strCache>
            </c:strRef>
          </c:tx>
          <c:spPr>
            <a:solidFill>
              <a:srgbClr val="70AD47"/>
            </a:solidFill>
            <a:ln>
              <a:noFill/>
            </a:ln>
          </c:spPr>
          <c:dPt>
            <c:idx val="0"/>
            <c:bubble3D val="0"/>
            <c:spPr>
              <a:solidFill>
                <a:srgbClr val="4472C4"/>
              </a:solidFill>
              <a:ln w="19080">
                <a:solidFill>
                  <a:srgbClr val="FFFFFF"/>
                </a:solidFill>
                <a:round/>
              </a:ln>
            </c:spPr>
            <c:extLst>
              <c:ext xmlns:c16="http://schemas.microsoft.com/office/drawing/2014/chart" uri="{C3380CC4-5D6E-409C-BE32-E72D297353CC}">
                <c16:uniqueId val="{0000001A-7E8B-41E4-88A7-6EE2109F0C66}"/>
              </c:ext>
            </c:extLst>
          </c:dPt>
          <c:dLbls>
            <c:dLbl>
              <c:idx val="0"/>
              <c:spPr/>
              <c:txPr>
                <a:bodyPr/>
                <a:lstStyle/>
                <a:p>
                  <a:pPr>
                    <a:defRPr sz="900" b="0" strike="noStrike" spc="-1">
                      <a:solidFill>
                        <a:srgbClr val="404040"/>
                      </a:solidFill>
                      <a:latin typeface="Calibri"/>
                    </a:defRPr>
                  </a:pPr>
                  <a:endParaRPr lang="en-US"/>
                </a:p>
              </c:txPr>
              <c:dLblPos val="bestFit"/>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A-7E8B-41E4-88A7-6EE2109F0C66}"/>
                </c:ext>
              </c:extLst>
            </c:dLbl>
            <c:spPr>
              <a:noFill/>
              <a:ln>
                <a:noFill/>
              </a:ln>
              <a:effectLst/>
            </c:spPr>
            <c:txPr>
              <a:bodyPr/>
              <a:lstStyle/>
              <a:p>
                <a:pPr>
                  <a:defRPr sz="900" b="0" strike="noStrike" spc="-1">
                    <a:solidFill>
                      <a:srgbClr val="404040"/>
                    </a:solidFill>
                    <a:latin typeface="Calibri"/>
                  </a:defRPr>
                </a:pPr>
                <a:endParaRPr lang="en-US"/>
              </a:p>
            </c:txPr>
            <c:dLblPos val="bestFit"/>
            <c:showLegendKey val="0"/>
            <c:showVal val="0"/>
            <c:showCatName val="0"/>
            <c:showSerName val="0"/>
            <c:showPercent val="1"/>
            <c:showBubbleSize val="1"/>
            <c:separator>
</c:separator>
            <c:showLeaderLines val="0"/>
            <c:extLst>
              <c:ext xmlns:c15="http://schemas.microsoft.com/office/drawing/2012/chart" uri="{CE6537A1-D6FC-4f65-9D91-7224C49458BB}"/>
            </c:extLst>
          </c:dLbls>
          <c:cat>
            <c:strRef>
              <c:f>SetView!$C$110:$F$114</c:f>
              <c:strCache>
                <c:ptCount val="5"/>
                <c:pt idx="0">
                  <c:v>GNU General Public License v2.0 only</c:v>
                </c:pt>
                <c:pt idx="1">
                  <c:v>Apache License 2.0</c:v>
                </c:pt>
                <c:pt idx="2">
                  <c:v>BSD 2-clause 'Simplified' License</c:v>
                </c:pt>
                <c:pt idx="3">
                  <c:v>BSD 3-clause Clear License</c:v>
                </c:pt>
                <c:pt idx="4">
                  <c:v>MIT License</c:v>
                </c:pt>
              </c:strCache>
            </c:strRef>
          </c:cat>
          <c:val>
            <c:numRef>
              <c:f>SetView!#REF!</c:f>
              <c:numCache>
                <c:formatCode>General</c:formatCode>
                <c:ptCount val="1"/>
                <c:pt idx="0">
                  <c:v>1</c:v>
                </c:pt>
              </c:numCache>
            </c:numRef>
          </c:val>
          <c:extLst>
            <c:ext xmlns:c16="http://schemas.microsoft.com/office/drawing/2014/chart" uri="{C3380CC4-5D6E-409C-BE32-E72D297353CC}">
              <c16:uniqueId val="{0000001B-7E8B-41E4-88A7-6EE2109F0C66}"/>
            </c:ext>
          </c:extLst>
        </c:ser>
        <c:dLbls>
          <c:showLegendKey val="0"/>
          <c:showVal val="0"/>
          <c:showCatName val="0"/>
          <c:showSerName val="0"/>
          <c:showPercent val="0"/>
          <c:showBubbleSize val="0"/>
          <c:showLeaderLines val="0"/>
        </c:dLbls>
        <c:firstSliceAng val="0"/>
      </c:pieChart>
      <c:spPr>
        <a:noFill/>
        <a:ln>
          <a:noFill/>
        </a:ln>
      </c:spPr>
    </c:plotArea>
    <c:legend>
      <c:legendPos val="r"/>
      <c:layout>
        <c:manualLayout>
          <c:xMode val="edge"/>
          <c:yMode val="edge"/>
          <c:x val="0.5324709955040805"/>
          <c:y val="9.2952384084028367E-2"/>
          <c:w val="0.43170885804063397"/>
          <c:h val="0.82844365735706182"/>
        </c:manualLayout>
      </c:layout>
      <c:overlay val="0"/>
      <c:spPr>
        <a:noFill/>
        <a:ln>
          <a:noFill/>
        </a:ln>
      </c:spPr>
      <c:txPr>
        <a:bodyPr/>
        <a:lstStyle/>
        <a:p>
          <a:pPr>
            <a:defRPr sz="900" b="0" strike="noStrike" spc="-1">
              <a:solidFill>
                <a:srgbClr val="595959"/>
              </a:solidFill>
              <a:latin typeface="Calibri"/>
            </a:defRPr>
          </a:pPr>
          <a:endParaRPr lang="en-US"/>
        </a:p>
      </c:txPr>
    </c:legend>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005048569622529E-2"/>
          <c:y val="0.49217002237136465"/>
          <c:w val="0.89398990286075497"/>
          <c:h val="1.5659955257270694E-2"/>
        </c:manualLayout>
      </c:layout>
      <c:scatterChart>
        <c:scatterStyle val="lineMarker"/>
        <c:varyColors val="0"/>
        <c:ser>
          <c:idx val="17"/>
          <c:order val="0"/>
          <c:spPr>
            <a:ln w="19050">
              <a:noFill/>
            </a:ln>
          </c:spPr>
          <c:marker>
            <c:symbol val="triangle"/>
            <c:size val="13"/>
            <c:spPr>
              <a:solidFill>
                <a:schemeClr val="bg2">
                  <a:lumMod val="25000"/>
                </a:schemeClr>
              </a:solidFill>
              <a:ln w="9525">
                <a:solidFill>
                  <a:schemeClr val="accent6"/>
                </a:solidFill>
                <a:round/>
              </a:ln>
              <a:effectLst/>
            </c:spPr>
          </c:marker>
          <c:dPt>
            <c:idx val="0"/>
            <c:marker>
              <c:spPr>
                <a:solidFill>
                  <a:schemeClr val="bg2">
                    <a:lumMod val="25000"/>
                  </a:schemeClr>
                </a:solidFill>
                <a:ln w="9525">
                  <a:noFill/>
                  <a:round/>
                </a:ln>
                <a:effectLst/>
              </c:spPr>
            </c:marker>
            <c:bubble3D val="0"/>
            <c:extLst>
              <c:ext xmlns:c16="http://schemas.microsoft.com/office/drawing/2014/chart" uri="{C3380CC4-5D6E-409C-BE32-E72D297353CC}">
                <c16:uniqueId val="{00000005-12FC-45EB-8CF2-27D43E9399AE}"/>
              </c:ext>
            </c:extLst>
          </c:dPt>
          <c:xVal>
            <c:numRef>
              <c:f>SetView!$C$29</c:f>
              <c:numCache>
                <c:formatCode>#,##0</c:formatCode>
                <c:ptCount val="1"/>
                <c:pt idx="0">
                  <c:v>659.21192793542696</c:v>
                </c:pt>
              </c:numCache>
            </c:numRef>
          </c:xVal>
          <c:yVal>
            <c:numRef>
              <c:f>SetView!$C$32</c:f>
              <c:numCache>
                <c:formatCode>General</c:formatCode>
                <c:ptCount val="1"/>
                <c:pt idx="0">
                  <c:v>0</c:v>
                </c:pt>
              </c:numCache>
            </c:numRef>
          </c:yVal>
          <c:smooth val="0"/>
          <c:extLst>
            <c:ext xmlns:c16="http://schemas.microsoft.com/office/drawing/2014/chart" uri="{C3380CC4-5D6E-409C-BE32-E72D297353CC}">
              <c16:uniqueId val="{00000006-12FC-45EB-8CF2-27D43E9399AE}"/>
            </c:ext>
          </c:extLst>
        </c:ser>
        <c:dLbls>
          <c:showLegendKey val="0"/>
          <c:showVal val="0"/>
          <c:showCatName val="0"/>
          <c:showSerName val="0"/>
          <c:showPercent val="0"/>
          <c:showBubbleSize val="0"/>
        </c:dLbls>
        <c:axId val="666351904"/>
        <c:axId val="666356496"/>
        <c:extLst/>
      </c:scatterChart>
      <c:valAx>
        <c:axId val="666351904"/>
        <c:scaling>
          <c:orientation val="minMax"/>
          <c:max val="1000"/>
          <c:min val="0"/>
        </c:scaling>
        <c:delete val="0"/>
        <c:axPos val="b"/>
        <c:majorGridlines>
          <c:spPr>
            <a:ln w="9525" cap="flat" cmpd="sng" algn="ctr">
              <a:noFill/>
              <a:round/>
            </a:ln>
            <a:effectLst/>
          </c:spPr>
        </c:majorGridlines>
        <c:numFmt formatCode="#,##0" sourceLinked="1"/>
        <c:majorTickMark val="none"/>
        <c:minorTickMark val="none"/>
        <c:tickLblPos val="none"/>
        <c:spPr>
          <a:noFill/>
          <a:ln>
            <a:noFill/>
          </a:ln>
          <a:effectLst>
            <a:glow rad="127000">
              <a:schemeClr val="bg1"/>
            </a:glow>
          </a:effectLst>
        </c:spPr>
        <c:txPr>
          <a:bodyPr rot="-60000000" spcFirstLastPara="1" vertOverflow="ellipsis" vert="horz" wrap="square" anchor="ctr" anchorCtr="1"/>
          <a:lstStyle/>
          <a:p>
            <a:pPr>
              <a:defRPr sz="900" b="0" i="0" u="none" strike="noStrike" kern="1200" cap="all" spc="120" normalizeH="0" baseline="0">
                <a:noFill/>
                <a:latin typeface="+mn-lt"/>
                <a:ea typeface="+mn-ea"/>
                <a:cs typeface="+mn-cs"/>
              </a:defRPr>
            </a:pPr>
            <a:endParaRPr lang="en-US"/>
          </a:p>
        </c:txPr>
        <c:crossAx val="666356496"/>
        <c:crosses val="autoZero"/>
        <c:crossBetween val="midCat"/>
        <c:minorUnit val="50"/>
      </c:valAx>
      <c:valAx>
        <c:axId val="666356496"/>
        <c:scaling>
          <c:orientation val="minMax"/>
          <c:max val="0.5"/>
          <c:min val="-0.5"/>
        </c:scaling>
        <c:delete val="1"/>
        <c:axPos val="l"/>
        <c:numFmt formatCode="General" sourceLinked="1"/>
        <c:majorTickMark val="none"/>
        <c:minorTickMark val="none"/>
        <c:tickLblPos val="nextTo"/>
        <c:crossAx val="666351904"/>
        <c:crosses val="autoZero"/>
        <c:crossBetween val="midCat"/>
        <c:majorUnit val="0.5"/>
        <c:minorUnit val="0.5"/>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005048569622529E-2"/>
          <c:y val="0.49217002237136465"/>
          <c:w val="0.89398990286075497"/>
          <c:h val="1.5659955257270694E-2"/>
        </c:manualLayout>
      </c:layout>
      <c:scatterChart>
        <c:scatterStyle val="lineMarker"/>
        <c:varyColors val="0"/>
        <c:ser>
          <c:idx val="17"/>
          <c:order val="0"/>
          <c:spPr>
            <a:ln w="19050">
              <a:noFill/>
            </a:ln>
          </c:spPr>
          <c:marker>
            <c:symbol val="triangle"/>
            <c:size val="13"/>
            <c:spPr>
              <a:solidFill>
                <a:schemeClr val="bg2">
                  <a:lumMod val="25000"/>
                </a:schemeClr>
              </a:solidFill>
              <a:ln w="9525">
                <a:solidFill>
                  <a:schemeClr val="accent6"/>
                </a:solidFill>
                <a:round/>
              </a:ln>
              <a:effectLst/>
            </c:spPr>
          </c:marker>
          <c:dPt>
            <c:idx val="0"/>
            <c:marker>
              <c:spPr>
                <a:solidFill>
                  <a:schemeClr val="bg2">
                    <a:lumMod val="25000"/>
                  </a:schemeClr>
                </a:solidFill>
                <a:ln w="9525">
                  <a:noFill/>
                  <a:round/>
                </a:ln>
                <a:effectLst/>
              </c:spPr>
            </c:marker>
            <c:bubble3D val="0"/>
            <c:extLst>
              <c:ext xmlns:c16="http://schemas.microsoft.com/office/drawing/2014/chart" uri="{C3380CC4-5D6E-409C-BE32-E72D297353CC}">
                <c16:uniqueId val="{00000000-5C79-4928-9988-EF6A7969B7FF}"/>
              </c:ext>
            </c:extLst>
          </c:dPt>
          <c:xVal>
            <c:numRef>
              <c:f>SetView!$G$29</c:f>
              <c:numCache>
                <c:formatCode>#,##0</c:formatCode>
                <c:ptCount val="1"/>
                <c:pt idx="0">
                  <c:v>362.99225435777817</c:v>
                </c:pt>
              </c:numCache>
            </c:numRef>
          </c:xVal>
          <c:yVal>
            <c:numRef>
              <c:f>SetView!$G$32</c:f>
              <c:numCache>
                <c:formatCode>General</c:formatCode>
                <c:ptCount val="1"/>
                <c:pt idx="0">
                  <c:v>0</c:v>
                </c:pt>
              </c:numCache>
            </c:numRef>
          </c:yVal>
          <c:smooth val="0"/>
          <c:extLst>
            <c:ext xmlns:c16="http://schemas.microsoft.com/office/drawing/2014/chart" uri="{C3380CC4-5D6E-409C-BE32-E72D297353CC}">
              <c16:uniqueId val="{00000001-5C79-4928-9988-EF6A7969B7FF}"/>
            </c:ext>
          </c:extLst>
        </c:ser>
        <c:dLbls>
          <c:showLegendKey val="0"/>
          <c:showVal val="0"/>
          <c:showCatName val="0"/>
          <c:showSerName val="0"/>
          <c:showPercent val="0"/>
          <c:showBubbleSize val="0"/>
        </c:dLbls>
        <c:axId val="666351904"/>
        <c:axId val="666356496"/>
        <c:extLst/>
      </c:scatterChart>
      <c:valAx>
        <c:axId val="666351904"/>
        <c:scaling>
          <c:orientation val="minMax"/>
          <c:max val="1000"/>
          <c:min val="0"/>
        </c:scaling>
        <c:delete val="0"/>
        <c:axPos val="b"/>
        <c:majorGridlines>
          <c:spPr>
            <a:ln w="9525" cap="flat" cmpd="sng" algn="ctr">
              <a:noFill/>
              <a:round/>
            </a:ln>
            <a:effectLst/>
          </c:spPr>
        </c:majorGridlines>
        <c:numFmt formatCode="#,##0" sourceLinked="1"/>
        <c:majorTickMark val="none"/>
        <c:minorTickMark val="none"/>
        <c:tickLblPos val="none"/>
        <c:spPr>
          <a:noFill/>
          <a:ln>
            <a:noFill/>
          </a:ln>
          <a:effectLst>
            <a:glow rad="127000">
              <a:schemeClr val="bg1"/>
            </a:glow>
          </a:effectLst>
        </c:spPr>
        <c:txPr>
          <a:bodyPr rot="-60000000" spcFirstLastPara="1" vertOverflow="ellipsis" vert="horz" wrap="square" anchor="ctr" anchorCtr="1"/>
          <a:lstStyle/>
          <a:p>
            <a:pPr>
              <a:defRPr sz="900" b="0" i="0" u="none" strike="noStrike" kern="1200" cap="all" spc="120" normalizeH="0" baseline="0">
                <a:noFill/>
                <a:latin typeface="+mn-lt"/>
                <a:ea typeface="+mn-ea"/>
                <a:cs typeface="+mn-cs"/>
              </a:defRPr>
            </a:pPr>
            <a:endParaRPr lang="en-US"/>
          </a:p>
        </c:txPr>
        <c:crossAx val="666356496"/>
        <c:crosses val="autoZero"/>
        <c:crossBetween val="midCat"/>
        <c:minorUnit val="50"/>
      </c:valAx>
      <c:valAx>
        <c:axId val="666356496"/>
        <c:scaling>
          <c:orientation val="minMax"/>
          <c:max val="0.5"/>
          <c:min val="-0.5"/>
        </c:scaling>
        <c:delete val="1"/>
        <c:axPos val="l"/>
        <c:numFmt formatCode="General" sourceLinked="1"/>
        <c:majorTickMark val="none"/>
        <c:minorTickMark val="none"/>
        <c:tickLblPos val="nextTo"/>
        <c:crossAx val="666351904"/>
        <c:crosses val="autoZero"/>
        <c:crossBetween val="midCat"/>
        <c:majorUnit val="0.5"/>
        <c:minorUnit val="0.5"/>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005048569622529E-2"/>
          <c:y val="0.49217002237136465"/>
          <c:w val="0.89398990286075497"/>
          <c:h val="1.5659955257270694E-2"/>
        </c:manualLayout>
      </c:layout>
      <c:scatterChart>
        <c:scatterStyle val="lineMarker"/>
        <c:varyColors val="0"/>
        <c:ser>
          <c:idx val="17"/>
          <c:order val="0"/>
          <c:spPr>
            <a:ln w="19050">
              <a:noFill/>
            </a:ln>
          </c:spPr>
          <c:marker>
            <c:symbol val="triangle"/>
            <c:size val="13"/>
            <c:spPr>
              <a:solidFill>
                <a:schemeClr val="bg2">
                  <a:lumMod val="25000"/>
                </a:schemeClr>
              </a:solidFill>
              <a:ln w="9525">
                <a:solidFill>
                  <a:schemeClr val="accent6"/>
                </a:solidFill>
                <a:round/>
              </a:ln>
              <a:effectLst/>
            </c:spPr>
          </c:marker>
          <c:dPt>
            <c:idx val="0"/>
            <c:marker>
              <c:spPr>
                <a:solidFill>
                  <a:schemeClr val="bg2">
                    <a:lumMod val="25000"/>
                  </a:schemeClr>
                </a:solidFill>
                <a:ln w="9525">
                  <a:noFill/>
                  <a:round/>
                </a:ln>
                <a:effectLst/>
              </c:spPr>
            </c:marker>
            <c:bubble3D val="0"/>
            <c:extLst>
              <c:ext xmlns:c16="http://schemas.microsoft.com/office/drawing/2014/chart" uri="{C3380CC4-5D6E-409C-BE32-E72D297353CC}">
                <c16:uniqueId val="{00000000-A176-4D08-9A5E-DDFF3E7804C4}"/>
              </c:ext>
            </c:extLst>
          </c:dPt>
          <c:xVal>
            <c:numRef>
              <c:f>SetView!$K$29</c:f>
              <c:numCache>
                <c:formatCode>#,##0</c:formatCode>
                <c:ptCount val="1"/>
                <c:pt idx="0">
                  <c:v>372.87436693078814</c:v>
                </c:pt>
              </c:numCache>
            </c:numRef>
          </c:xVal>
          <c:yVal>
            <c:numRef>
              <c:f>SetView!$K$32</c:f>
              <c:numCache>
                <c:formatCode>General</c:formatCode>
                <c:ptCount val="1"/>
                <c:pt idx="0">
                  <c:v>0</c:v>
                </c:pt>
              </c:numCache>
            </c:numRef>
          </c:yVal>
          <c:smooth val="0"/>
          <c:extLst>
            <c:ext xmlns:c16="http://schemas.microsoft.com/office/drawing/2014/chart" uri="{C3380CC4-5D6E-409C-BE32-E72D297353CC}">
              <c16:uniqueId val="{00000001-A176-4D08-9A5E-DDFF3E7804C4}"/>
            </c:ext>
          </c:extLst>
        </c:ser>
        <c:dLbls>
          <c:showLegendKey val="0"/>
          <c:showVal val="0"/>
          <c:showCatName val="0"/>
          <c:showSerName val="0"/>
          <c:showPercent val="0"/>
          <c:showBubbleSize val="0"/>
        </c:dLbls>
        <c:axId val="666351904"/>
        <c:axId val="666356496"/>
        <c:extLst/>
      </c:scatterChart>
      <c:valAx>
        <c:axId val="666351904"/>
        <c:scaling>
          <c:orientation val="minMax"/>
          <c:max val="1000"/>
          <c:min val="0"/>
        </c:scaling>
        <c:delete val="0"/>
        <c:axPos val="b"/>
        <c:majorGridlines>
          <c:spPr>
            <a:ln w="9525" cap="flat" cmpd="sng" algn="ctr">
              <a:noFill/>
              <a:round/>
            </a:ln>
            <a:effectLst/>
          </c:spPr>
        </c:majorGridlines>
        <c:numFmt formatCode="#,##0" sourceLinked="1"/>
        <c:majorTickMark val="none"/>
        <c:minorTickMark val="none"/>
        <c:tickLblPos val="none"/>
        <c:spPr>
          <a:noFill/>
          <a:ln>
            <a:noFill/>
          </a:ln>
          <a:effectLst>
            <a:glow rad="127000">
              <a:schemeClr val="bg1"/>
            </a:glow>
          </a:effectLst>
        </c:spPr>
        <c:txPr>
          <a:bodyPr rot="-60000000" spcFirstLastPara="1" vertOverflow="ellipsis" vert="horz" wrap="square" anchor="ctr" anchorCtr="1"/>
          <a:lstStyle/>
          <a:p>
            <a:pPr>
              <a:defRPr sz="900" b="0" i="0" u="none" strike="noStrike" kern="1200" cap="all" spc="120" normalizeH="0" baseline="0">
                <a:noFill/>
                <a:latin typeface="+mn-lt"/>
                <a:ea typeface="+mn-ea"/>
                <a:cs typeface="+mn-cs"/>
              </a:defRPr>
            </a:pPr>
            <a:endParaRPr lang="en-US"/>
          </a:p>
        </c:txPr>
        <c:crossAx val="666356496"/>
        <c:crosses val="autoZero"/>
        <c:crossBetween val="midCat"/>
        <c:minorUnit val="50"/>
      </c:valAx>
      <c:valAx>
        <c:axId val="666356496"/>
        <c:scaling>
          <c:orientation val="minMax"/>
          <c:max val="0.5"/>
          <c:min val="-0.5"/>
        </c:scaling>
        <c:delete val="1"/>
        <c:axPos val="l"/>
        <c:numFmt formatCode="General" sourceLinked="1"/>
        <c:majorTickMark val="none"/>
        <c:minorTickMark val="none"/>
        <c:tickLblPos val="nextTo"/>
        <c:crossAx val="666351904"/>
        <c:crosses val="autoZero"/>
        <c:crossBetween val="midCat"/>
        <c:majorUnit val="0.5"/>
        <c:minorUnit val="0.5"/>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005048569622529E-2"/>
          <c:y val="0.49217002237136465"/>
          <c:w val="0.89398990286075497"/>
          <c:h val="1.5659955257270694E-2"/>
        </c:manualLayout>
      </c:layout>
      <c:scatterChart>
        <c:scatterStyle val="lineMarker"/>
        <c:varyColors val="0"/>
        <c:ser>
          <c:idx val="17"/>
          <c:order val="0"/>
          <c:spPr>
            <a:ln w="19050">
              <a:noFill/>
            </a:ln>
          </c:spPr>
          <c:marker>
            <c:symbol val="triangle"/>
            <c:size val="13"/>
            <c:spPr>
              <a:solidFill>
                <a:schemeClr val="bg2">
                  <a:lumMod val="25000"/>
                </a:schemeClr>
              </a:solidFill>
              <a:ln w="9525">
                <a:solidFill>
                  <a:schemeClr val="accent6"/>
                </a:solidFill>
                <a:round/>
              </a:ln>
              <a:effectLst/>
            </c:spPr>
          </c:marker>
          <c:dPt>
            <c:idx val="0"/>
            <c:marker>
              <c:spPr>
                <a:solidFill>
                  <a:schemeClr val="bg2">
                    <a:lumMod val="25000"/>
                  </a:schemeClr>
                </a:solidFill>
                <a:ln w="9525">
                  <a:noFill/>
                  <a:round/>
                </a:ln>
                <a:effectLst/>
              </c:spPr>
            </c:marker>
            <c:bubble3D val="0"/>
            <c:extLst>
              <c:ext xmlns:c16="http://schemas.microsoft.com/office/drawing/2014/chart" uri="{C3380CC4-5D6E-409C-BE32-E72D297353CC}">
                <c16:uniqueId val="{00000000-BA43-4978-8F8E-8DA564492340}"/>
              </c:ext>
            </c:extLst>
          </c:dPt>
          <c:xVal>
            <c:numRef>
              <c:f>SetView!$O$29</c:f>
              <c:numCache>
                <c:formatCode>#,##0</c:formatCode>
                <c:ptCount val="1"/>
                <c:pt idx="0">
                  <c:v>450.30489408190499</c:v>
                </c:pt>
              </c:numCache>
            </c:numRef>
          </c:xVal>
          <c:yVal>
            <c:numRef>
              <c:f>SetView!$O$32</c:f>
              <c:numCache>
                <c:formatCode>General</c:formatCode>
                <c:ptCount val="1"/>
                <c:pt idx="0">
                  <c:v>0</c:v>
                </c:pt>
              </c:numCache>
            </c:numRef>
          </c:yVal>
          <c:smooth val="0"/>
          <c:extLst>
            <c:ext xmlns:c16="http://schemas.microsoft.com/office/drawing/2014/chart" uri="{C3380CC4-5D6E-409C-BE32-E72D297353CC}">
              <c16:uniqueId val="{00000001-BA43-4978-8F8E-8DA564492340}"/>
            </c:ext>
          </c:extLst>
        </c:ser>
        <c:dLbls>
          <c:showLegendKey val="0"/>
          <c:showVal val="0"/>
          <c:showCatName val="0"/>
          <c:showSerName val="0"/>
          <c:showPercent val="0"/>
          <c:showBubbleSize val="0"/>
        </c:dLbls>
        <c:axId val="666351904"/>
        <c:axId val="666356496"/>
        <c:extLst/>
      </c:scatterChart>
      <c:valAx>
        <c:axId val="666351904"/>
        <c:scaling>
          <c:orientation val="minMax"/>
          <c:max val="1000"/>
          <c:min val="0"/>
        </c:scaling>
        <c:delete val="0"/>
        <c:axPos val="b"/>
        <c:majorGridlines>
          <c:spPr>
            <a:ln w="9525" cap="flat" cmpd="sng" algn="ctr">
              <a:noFill/>
              <a:round/>
            </a:ln>
            <a:effectLst/>
          </c:spPr>
        </c:majorGridlines>
        <c:numFmt formatCode="#,##0" sourceLinked="1"/>
        <c:majorTickMark val="none"/>
        <c:minorTickMark val="none"/>
        <c:tickLblPos val="none"/>
        <c:spPr>
          <a:noFill/>
          <a:ln>
            <a:noFill/>
          </a:ln>
          <a:effectLst>
            <a:glow rad="127000">
              <a:schemeClr val="bg1"/>
            </a:glow>
          </a:effectLst>
        </c:spPr>
        <c:txPr>
          <a:bodyPr rot="-60000000" spcFirstLastPara="1" vertOverflow="ellipsis" vert="horz" wrap="square" anchor="ctr" anchorCtr="1"/>
          <a:lstStyle/>
          <a:p>
            <a:pPr>
              <a:defRPr sz="900" b="0" i="0" u="none" strike="noStrike" kern="1200" cap="all" spc="120" normalizeH="0" baseline="0">
                <a:noFill/>
                <a:latin typeface="+mn-lt"/>
                <a:ea typeface="+mn-ea"/>
                <a:cs typeface="+mn-cs"/>
              </a:defRPr>
            </a:pPr>
            <a:endParaRPr lang="en-US"/>
          </a:p>
        </c:txPr>
        <c:crossAx val="666356496"/>
        <c:crosses val="autoZero"/>
        <c:crossBetween val="midCat"/>
        <c:minorUnit val="50"/>
      </c:valAx>
      <c:valAx>
        <c:axId val="666356496"/>
        <c:scaling>
          <c:orientation val="minMax"/>
          <c:max val="0.5"/>
          <c:min val="-0.5"/>
        </c:scaling>
        <c:delete val="1"/>
        <c:axPos val="l"/>
        <c:numFmt formatCode="General" sourceLinked="1"/>
        <c:majorTickMark val="none"/>
        <c:minorTickMark val="none"/>
        <c:tickLblPos val="nextTo"/>
        <c:crossAx val="666351904"/>
        <c:crosses val="autoZero"/>
        <c:crossBetween val="midCat"/>
        <c:majorUnit val="0.5"/>
        <c:minorUnit val="0.5"/>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005048569622529E-2"/>
          <c:y val="0.49217002237136465"/>
          <c:w val="0.89398990286075497"/>
          <c:h val="1.5659955257270694E-2"/>
        </c:manualLayout>
      </c:layout>
      <c:scatterChart>
        <c:scatterStyle val="lineMarker"/>
        <c:varyColors val="0"/>
        <c:ser>
          <c:idx val="17"/>
          <c:order val="0"/>
          <c:spPr>
            <a:ln w="19050">
              <a:noFill/>
            </a:ln>
          </c:spPr>
          <c:marker>
            <c:symbol val="triangle"/>
            <c:size val="13"/>
            <c:spPr>
              <a:solidFill>
                <a:schemeClr val="bg2">
                  <a:lumMod val="25000"/>
                </a:schemeClr>
              </a:solidFill>
              <a:ln w="9525">
                <a:solidFill>
                  <a:schemeClr val="accent6"/>
                </a:solidFill>
                <a:round/>
              </a:ln>
              <a:effectLst/>
            </c:spPr>
          </c:marker>
          <c:dPt>
            <c:idx val="0"/>
            <c:marker>
              <c:spPr>
                <a:solidFill>
                  <a:schemeClr val="bg2">
                    <a:lumMod val="25000"/>
                  </a:schemeClr>
                </a:solidFill>
                <a:ln w="9525">
                  <a:noFill/>
                  <a:round/>
                </a:ln>
                <a:effectLst/>
              </c:spPr>
            </c:marker>
            <c:bubble3D val="0"/>
            <c:extLst>
              <c:ext xmlns:c16="http://schemas.microsoft.com/office/drawing/2014/chart" uri="{C3380CC4-5D6E-409C-BE32-E72D297353CC}">
                <c16:uniqueId val="{00000000-C18F-4354-9432-DF41BD295DA7}"/>
              </c:ext>
            </c:extLst>
          </c:dPt>
          <c:xVal>
            <c:numRef>
              <c:f>SetView!$S$29</c:f>
              <c:numCache>
                <c:formatCode>#,##0</c:formatCode>
                <c:ptCount val="1"/>
                <c:pt idx="0">
                  <c:v>767.0291777188329</c:v>
                </c:pt>
              </c:numCache>
            </c:numRef>
          </c:xVal>
          <c:yVal>
            <c:numRef>
              <c:f>SetView!$S$32</c:f>
              <c:numCache>
                <c:formatCode>General</c:formatCode>
                <c:ptCount val="1"/>
                <c:pt idx="0">
                  <c:v>0</c:v>
                </c:pt>
              </c:numCache>
            </c:numRef>
          </c:yVal>
          <c:smooth val="0"/>
          <c:extLst>
            <c:ext xmlns:c16="http://schemas.microsoft.com/office/drawing/2014/chart" uri="{C3380CC4-5D6E-409C-BE32-E72D297353CC}">
              <c16:uniqueId val="{00000001-C18F-4354-9432-DF41BD295DA7}"/>
            </c:ext>
          </c:extLst>
        </c:ser>
        <c:dLbls>
          <c:showLegendKey val="0"/>
          <c:showVal val="0"/>
          <c:showCatName val="0"/>
          <c:showSerName val="0"/>
          <c:showPercent val="0"/>
          <c:showBubbleSize val="0"/>
        </c:dLbls>
        <c:axId val="666351904"/>
        <c:axId val="666356496"/>
        <c:extLst/>
      </c:scatterChart>
      <c:valAx>
        <c:axId val="666351904"/>
        <c:scaling>
          <c:orientation val="minMax"/>
          <c:max val="1000"/>
          <c:min val="0"/>
        </c:scaling>
        <c:delete val="0"/>
        <c:axPos val="b"/>
        <c:majorGridlines>
          <c:spPr>
            <a:ln w="9525" cap="flat" cmpd="sng" algn="ctr">
              <a:noFill/>
              <a:round/>
            </a:ln>
            <a:effectLst/>
          </c:spPr>
        </c:majorGridlines>
        <c:numFmt formatCode="#,##0" sourceLinked="1"/>
        <c:majorTickMark val="none"/>
        <c:minorTickMark val="none"/>
        <c:tickLblPos val="none"/>
        <c:spPr>
          <a:noFill/>
          <a:ln>
            <a:noFill/>
          </a:ln>
          <a:effectLst>
            <a:glow rad="127000">
              <a:schemeClr val="bg1"/>
            </a:glow>
          </a:effectLst>
        </c:spPr>
        <c:txPr>
          <a:bodyPr rot="-60000000" spcFirstLastPara="1" vertOverflow="ellipsis" vert="horz" wrap="square" anchor="ctr" anchorCtr="1"/>
          <a:lstStyle/>
          <a:p>
            <a:pPr>
              <a:defRPr sz="900" b="0" i="0" u="none" strike="noStrike" kern="1200" cap="all" spc="120" normalizeH="0" baseline="0">
                <a:noFill/>
                <a:latin typeface="+mn-lt"/>
                <a:ea typeface="+mn-ea"/>
                <a:cs typeface="+mn-cs"/>
              </a:defRPr>
            </a:pPr>
            <a:endParaRPr lang="en-US"/>
          </a:p>
        </c:txPr>
        <c:crossAx val="666356496"/>
        <c:crosses val="autoZero"/>
        <c:crossBetween val="midCat"/>
        <c:minorUnit val="50"/>
      </c:valAx>
      <c:valAx>
        <c:axId val="666356496"/>
        <c:scaling>
          <c:orientation val="minMax"/>
          <c:max val="0.5"/>
          <c:min val="-0.5"/>
        </c:scaling>
        <c:delete val="1"/>
        <c:axPos val="l"/>
        <c:numFmt formatCode="General" sourceLinked="1"/>
        <c:majorTickMark val="none"/>
        <c:minorTickMark val="none"/>
        <c:tickLblPos val="nextTo"/>
        <c:crossAx val="666351904"/>
        <c:crosses val="autoZero"/>
        <c:crossBetween val="midCat"/>
        <c:majorUnit val="0.5"/>
        <c:minorUnit val="0.5"/>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pieChart>
        <c:varyColors val="1"/>
        <c:ser>
          <c:idx val="0"/>
          <c:order val="0"/>
          <c:spPr>
            <a:solidFill>
              <a:srgbClr val="A5A5A5"/>
            </a:solidFill>
            <a:ln>
              <a:solidFill>
                <a:srgbClr val="3B3838"/>
              </a:solidFill>
            </a:ln>
          </c:spPr>
          <c:dPt>
            <c:idx val="0"/>
            <c:bubble3D val="0"/>
            <c:spPr>
              <a:solidFill>
                <a:srgbClr val="B4C7E7"/>
              </a:solidFill>
              <a:ln w="19080">
                <a:solidFill>
                  <a:srgbClr val="3B3838"/>
                </a:solidFill>
                <a:round/>
              </a:ln>
            </c:spPr>
            <c:extLst>
              <c:ext xmlns:c16="http://schemas.microsoft.com/office/drawing/2014/chart" uri="{C3380CC4-5D6E-409C-BE32-E72D297353CC}">
                <c16:uniqueId val="{00000001-2B44-4890-AD0C-CCDED8839E2D}"/>
              </c:ext>
            </c:extLst>
          </c:dPt>
          <c:dPt>
            <c:idx val="1"/>
            <c:bubble3D val="0"/>
            <c:spPr>
              <a:solidFill>
                <a:srgbClr val="F8CBAD"/>
              </a:solidFill>
              <a:ln w="19080">
                <a:solidFill>
                  <a:srgbClr val="3B3838"/>
                </a:solidFill>
                <a:round/>
              </a:ln>
            </c:spPr>
            <c:extLst>
              <c:ext xmlns:c16="http://schemas.microsoft.com/office/drawing/2014/chart" uri="{C3380CC4-5D6E-409C-BE32-E72D297353CC}">
                <c16:uniqueId val="{00000003-2B44-4890-AD0C-CCDED8839E2D}"/>
              </c:ext>
            </c:extLst>
          </c:dPt>
          <c:dPt>
            <c:idx val="2"/>
            <c:bubble3D val="0"/>
            <c:spPr>
              <a:solidFill>
                <a:schemeClr val="tx2">
                  <a:lumMod val="60000"/>
                  <a:lumOff val="40000"/>
                </a:schemeClr>
              </a:solidFill>
              <a:ln w="19080">
                <a:solidFill>
                  <a:srgbClr val="3B3838"/>
                </a:solidFill>
                <a:round/>
              </a:ln>
            </c:spPr>
            <c:extLst>
              <c:ext xmlns:c16="http://schemas.microsoft.com/office/drawing/2014/chart" uri="{C3380CC4-5D6E-409C-BE32-E72D297353CC}">
                <c16:uniqueId val="{00000005-2B44-4890-AD0C-CCDED8839E2D}"/>
              </c:ext>
            </c:extLst>
          </c:dPt>
          <c:dPt>
            <c:idx val="3"/>
            <c:bubble3D val="0"/>
            <c:spPr>
              <a:solidFill>
                <a:srgbClr val="C5E0B4"/>
              </a:solidFill>
              <a:ln w="19080">
                <a:solidFill>
                  <a:srgbClr val="3B3838"/>
                </a:solidFill>
                <a:round/>
              </a:ln>
            </c:spPr>
            <c:extLst>
              <c:ext xmlns:c16="http://schemas.microsoft.com/office/drawing/2014/chart" uri="{C3380CC4-5D6E-409C-BE32-E72D297353CC}">
                <c16:uniqueId val="{00000007-2B44-4890-AD0C-CCDED8839E2D}"/>
              </c:ext>
            </c:extLst>
          </c:dPt>
          <c:dPt>
            <c:idx val="4"/>
            <c:bubble3D val="0"/>
            <c:spPr>
              <a:solidFill>
                <a:srgbClr val="A6A6A6"/>
              </a:solidFill>
              <a:ln w="19080">
                <a:solidFill>
                  <a:srgbClr val="3B3838"/>
                </a:solidFill>
                <a:round/>
              </a:ln>
            </c:spPr>
            <c:extLst>
              <c:ext xmlns:c16="http://schemas.microsoft.com/office/drawing/2014/chart" uri="{C3380CC4-5D6E-409C-BE32-E72D297353CC}">
                <c16:uniqueId val="{00000009-2B44-4890-AD0C-CCDED8839E2D}"/>
              </c:ext>
            </c:extLst>
          </c:dPt>
          <c:dLbls>
            <c:dLbl>
              <c:idx val="0"/>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1-2B44-4890-AD0C-CCDED8839E2D}"/>
                </c:ext>
              </c:extLst>
            </c:dLbl>
            <c:dLbl>
              <c:idx val="1"/>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3-2B44-4890-AD0C-CCDED8839E2D}"/>
                </c:ext>
              </c:extLst>
            </c:dLbl>
            <c:dLbl>
              <c:idx val="2"/>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5-2B44-4890-AD0C-CCDED8839E2D}"/>
                </c:ext>
              </c:extLst>
            </c:dLbl>
            <c:dLbl>
              <c:idx val="3"/>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7-2B44-4890-AD0C-CCDED8839E2D}"/>
                </c:ext>
              </c:extLst>
            </c:dLbl>
            <c:dLbl>
              <c:idx val="4"/>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9-2B44-4890-AD0C-CCDED8839E2D}"/>
                </c:ext>
              </c:extLst>
            </c:dLbl>
            <c:spPr>
              <a:noFill/>
              <a:ln>
                <a:noFill/>
              </a:ln>
              <a:effectLst/>
            </c:spPr>
            <c:txPr>
              <a:bodyPr/>
              <a:lstStyle/>
              <a:p>
                <a:pPr>
                  <a:defRPr sz="1000" b="0" strike="noStrike" spc="-1">
                    <a:solidFill>
                      <a:srgbClr val="000000"/>
                    </a:solidFill>
                    <a:latin typeface="Calibri"/>
                  </a:defRPr>
                </a:pPr>
                <a:endParaRPr lang="en-US"/>
              </a:p>
            </c:txPr>
            <c:dLblPos val="outEnd"/>
            <c:showLegendKey val="0"/>
            <c:showVal val="0"/>
            <c:showCatName val="1"/>
            <c:showSerName val="0"/>
            <c:showPercent val="1"/>
            <c:showBubbleSize val="1"/>
            <c:separator>
</c:separator>
            <c:showLeaderLines val="0"/>
            <c:extLst>
              <c:ext xmlns:c15="http://schemas.microsoft.com/office/drawing/2012/chart" uri="{CE6537A1-D6FC-4f65-9D91-7224C49458BB}"/>
            </c:extLst>
          </c:dLbls>
          <c:cat>
            <c:strRef>
              <c:f>Scorecard!$B$17:$B$22</c:f>
              <c:strCache>
                <c:ptCount val="6"/>
                <c:pt idx="0">
                  <c:v>Security</c:v>
                </c:pt>
                <c:pt idx="1">
                  <c:v>Architectural Health</c:v>
                </c:pt>
                <c:pt idx="2">
                  <c:v>Economic Health</c:v>
                </c:pt>
                <c:pt idx="3">
                  <c:v>Open Source</c:v>
                </c:pt>
                <c:pt idx="4">
                  <c:v>Code Quality</c:v>
                </c:pt>
                <c:pt idx="5">
                  <c:v>Unaccounted</c:v>
                </c:pt>
              </c:strCache>
            </c:strRef>
          </c:cat>
          <c:val>
            <c:numRef>
              <c:f>Scorecard!$E$17:$E$22</c:f>
              <c:numCache>
                <c:formatCode>0%</c:formatCode>
                <c:ptCount val="6"/>
                <c:pt idx="0">
                  <c:v>0.2</c:v>
                </c:pt>
                <c:pt idx="1">
                  <c:v>0.2</c:v>
                </c:pt>
                <c:pt idx="2">
                  <c:v>0.2</c:v>
                </c:pt>
                <c:pt idx="3">
                  <c:v>0.2</c:v>
                </c:pt>
                <c:pt idx="4">
                  <c:v>0.2</c:v>
                </c:pt>
                <c:pt idx="5">
                  <c:v>0</c:v>
                </c:pt>
              </c:numCache>
            </c:numRef>
          </c:val>
          <c:extLst>
            <c:ext xmlns:c16="http://schemas.microsoft.com/office/drawing/2014/chart" uri="{C3380CC4-5D6E-409C-BE32-E72D297353CC}">
              <c16:uniqueId val="{0000000A-2B44-4890-AD0C-CCDED8839E2D}"/>
            </c:ext>
          </c:extLst>
        </c:ser>
        <c:dLbls>
          <c:showLegendKey val="0"/>
          <c:showVal val="0"/>
          <c:showCatName val="0"/>
          <c:showSerName val="0"/>
          <c:showPercent val="0"/>
          <c:showBubbleSize val="0"/>
          <c:showLeaderLines val="0"/>
        </c:dLbls>
        <c:firstSliceAng val="0"/>
      </c:pieChart>
      <c:spPr>
        <a:noFill/>
        <a:ln>
          <a:noFill/>
        </a:ln>
      </c:spPr>
    </c:plotArea>
    <c:plotVisOnly val="1"/>
    <c:dispBlanksAs val="gap"/>
    <c:showDLblsOverMax val="1"/>
  </c:chart>
  <c:spPr>
    <a:solidFill>
      <a:srgbClr val="FFFFFF"/>
    </a:solidFill>
    <a:ln w="19080">
      <a:solidFill>
        <a:srgbClr val="000000"/>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6.png"/><Relationship Id="rId18" Type="http://schemas.openxmlformats.org/officeDocument/2006/relationships/chart" Target="../charts/chart11.xml"/><Relationship Id="rId3" Type="http://schemas.openxmlformats.org/officeDocument/2006/relationships/image" Target="../media/image3.png"/><Relationship Id="rId21" Type="http://schemas.openxmlformats.org/officeDocument/2006/relationships/chart" Target="../charts/chart14.xml"/><Relationship Id="rId7" Type="http://schemas.openxmlformats.org/officeDocument/2006/relationships/chart" Target="../charts/chart3.xml"/><Relationship Id="rId12" Type="http://schemas.openxmlformats.org/officeDocument/2006/relationships/image" Target="../media/image5.jpeg"/><Relationship Id="rId17" Type="http://schemas.openxmlformats.org/officeDocument/2006/relationships/image" Target="../media/image7.png"/><Relationship Id="rId2" Type="http://schemas.openxmlformats.org/officeDocument/2006/relationships/image" Target="../media/image2.jpeg"/><Relationship Id="rId16" Type="http://schemas.openxmlformats.org/officeDocument/2006/relationships/chart" Target="../charts/chart10.xml"/><Relationship Id="rId20" Type="http://schemas.openxmlformats.org/officeDocument/2006/relationships/chart" Target="../charts/chart13.xml"/><Relationship Id="rId1" Type="http://schemas.openxmlformats.org/officeDocument/2006/relationships/image" Target="../media/image1.jpe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chart" Target="../charts/chart1.xml"/><Relationship Id="rId15" Type="http://schemas.openxmlformats.org/officeDocument/2006/relationships/chart" Target="../charts/chart9.xml"/><Relationship Id="rId23" Type="http://schemas.openxmlformats.org/officeDocument/2006/relationships/chart" Target="../charts/chart16.xml"/><Relationship Id="rId10" Type="http://schemas.openxmlformats.org/officeDocument/2006/relationships/chart" Target="../charts/chart6.xml"/><Relationship Id="rId19"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chart" Target="../charts/chart8.xml"/><Relationship Id="rId22" Type="http://schemas.openxmlformats.org/officeDocument/2006/relationships/chart" Target="../charts/chart15.xml"/></Relationships>
</file>

<file path=xl/drawings/_rels/drawing2.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4.png"/><Relationship Id="rId1" Type="http://schemas.openxmlformats.org/officeDocument/2006/relationships/chart" Target="../charts/chart17.xml"/><Relationship Id="rId5" Type="http://schemas.openxmlformats.org/officeDocument/2006/relationships/image" Target="../media/image7.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90720</xdr:colOff>
      <xdr:row>0</xdr:row>
      <xdr:rowOff>108720</xdr:rowOff>
    </xdr:from>
    <xdr:to>
      <xdr:col>4</xdr:col>
      <xdr:colOff>83599</xdr:colOff>
      <xdr:row>6</xdr:row>
      <xdr:rowOff>104638</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61360" y="289440"/>
          <a:ext cx="1415880" cy="1215360"/>
        </a:xfrm>
        <a:prstGeom prst="rect">
          <a:avLst/>
        </a:prstGeom>
        <a:ln>
          <a:noFill/>
        </a:ln>
      </xdr:spPr>
    </xdr:pic>
    <xdr:clientData/>
  </xdr:twoCellAnchor>
  <xdr:twoCellAnchor editAs="oneCell">
    <xdr:from>
      <xdr:col>1</xdr:col>
      <xdr:colOff>34920</xdr:colOff>
      <xdr:row>91</xdr:row>
      <xdr:rowOff>102960</xdr:rowOff>
    </xdr:from>
    <xdr:to>
      <xdr:col>3</xdr:col>
      <xdr:colOff>287079</xdr:colOff>
      <xdr:row>92</xdr:row>
      <xdr:rowOff>170481</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205560" y="19361520"/>
          <a:ext cx="1051200" cy="267480"/>
        </a:xfrm>
        <a:prstGeom prst="rect">
          <a:avLst/>
        </a:prstGeom>
        <a:ln>
          <a:noFill/>
        </a:ln>
      </xdr:spPr>
    </xdr:pic>
    <xdr:clientData/>
  </xdr:twoCellAnchor>
  <xdr:twoCellAnchor editAs="oneCell">
    <xdr:from>
      <xdr:col>2</xdr:col>
      <xdr:colOff>66240</xdr:colOff>
      <xdr:row>115</xdr:row>
      <xdr:rowOff>130680</xdr:rowOff>
    </xdr:from>
    <xdr:to>
      <xdr:col>3</xdr:col>
      <xdr:colOff>104321</xdr:colOff>
      <xdr:row>116</xdr:row>
      <xdr:rowOff>180238</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407520" y="24948720"/>
          <a:ext cx="662400" cy="256320"/>
        </a:xfrm>
        <a:prstGeom prst="rect">
          <a:avLst/>
        </a:prstGeom>
        <a:ln>
          <a:noFill/>
        </a:ln>
      </xdr:spPr>
    </xdr:pic>
    <xdr:clientData/>
  </xdr:twoCellAnchor>
  <xdr:twoCellAnchor editAs="oneCell">
    <xdr:from>
      <xdr:col>2</xdr:col>
      <xdr:colOff>7560</xdr:colOff>
      <xdr:row>66</xdr:row>
      <xdr:rowOff>172800</xdr:rowOff>
    </xdr:from>
    <xdr:to>
      <xdr:col>3</xdr:col>
      <xdr:colOff>132681</xdr:colOff>
      <xdr:row>68</xdr:row>
      <xdr:rowOff>83282</xdr:rowOff>
    </xdr:to>
    <xdr:pic>
      <xdr:nvPicPr>
        <xdr:cNvPr id="5" name="Picture 5">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a:stretch/>
      </xdr:blipFill>
      <xdr:spPr>
        <a:xfrm>
          <a:off x="348840" y="11131560"/>
          <a:ext cx="748080" cy="311400"/>
        </a:xfrm>
        <a:prstGeom prst="rect">
          <a:avLst/>
        </a:prstGeom>
        <a:ln>
          <a:noFill/>
        </a:ln>
      </xdr:spPr>
    </xdr:pic>
    <xdr:clientData/>
  </xdr:twoCellAnchor>
  <xdr:twoCellAnchor editAs="oneCell">
    <xdr:from>
      <xdr:col>17</xdr:col>
      <xdr:colOff>186119</xdr:colOff>
      <xdr:row>69</xdr:row>
      <xdr:rowOff>191520</xdr:rowOff>
    </xdr:from>
    <xdr:to>
      <xdr:col>21</xdr:col>
      <xdr:colOff>85724</xdr:colOff>
      <xdr:row>77</xdr:row>
      <xdr:rowOff>55641</xdr:rowOff>
    </xdr:to>
    <xdr:graphicFrame macro="">
      <xdr:nvGraphicFramePr>
        <xdr:cNvPr id="6" name="Chart 7">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11880</xdr:colOff>
      <xdr:row>82</xdr:row>
      <xdr:rowOff>0</xdr:rowOff>
    </xdr:from>
    <xdr:to>
      <xdr:col>21</xdr:col>
      <xdr:colOff>17841</xdr:colOff>
      <xdr:row>89</xdr:row>
      <xdr:rowOff>161042</xdr:rowOff>
    </xdr:to>
    <xdr:graphicFrame macro="">
      <xdr:nvGraphicFramePr>
        <xdr:cNvPr id="7" name="Chart 8">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15840</xdr:colOff>
      <xdr:row>82</xdr:row>
      <xdr:rowOff>0</xdr:rowOff>
    </xdr:from>
    <xdr:to>
      <xdr:col>6</xdr:col>
      <xdr:colOff>11282</xdr:colOff>
      <xdr:row>89</xdr:row>
      <xdr:rowOff>135561</xdr:rowOff>
    </xdr:to>
    <xdr:graphicFrame macro="">
      <xdr:nvGraphicFramePr>
        <xdr:cNvPr id="8" name="Chart 9">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7920</xdr:colOff>
      <xdr:row>82</xdr:row>
      <xdr:rowOff>0</xdr:rowOff>
    </xdr:from>
    <xdr:to>
      <xdr:col>11</xdr:col>
      <xdr:colOff>17840</xdr:colOff>
      <xdr:row>89</xdr:row>
      <xdr:rowOff>135561</xdr:rowOff>
    </xdr:to>
    <xdr:graphicFrame macro="">
      <xdr:nvGraphicFramePr>
        <xdr:cNvPr id="9" name="Chart 10">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12</xdr:col>
      <xdr:colOff>115560</xdr:colOff>
      <xdr:row>60</xdr:row>
      <xdr:rowOff>74880</xdr:rowOff>
    </xdr:from>
    <xdr:to>
      <xdr:col>21</xdr:col>
      <xdr:colOff>26462</xdr:colOff>
      <xdr:row>68</xdr:row>
      <xdr:rowOff>144958</xdr:rowOff>
    </xdr:to>
    <xdr:graphicFrame macro="">
      <xdr:nvGraphicFramePr>
        <xdr:cNvPr id="10" name="Chart 11">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12</xdr:col>
      <xdr:colOff>6840</xdr:colOff>
      <xdr:row>81</xdr:row>
      <xdr:rowOff>101880</xdr:rowOff>
    </xdr:from>
    <xdr:to>
      <xdr:col>16</xdr:col>
      <xdr:colOff>59601</xdr:colOff>
      <xdr:row>89</xdr:row>
      <xdr:rowOff>189000</xdr:rowOff>
    </xdr:to>
    <xdr:graphicFrame macro="">
      <xdr:nvGraphicFramePr>
        <xdr:cNvPr id="11" name="Chart 12">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10</xdr:col>
      <xdr:colOff>3240</xdr:colOff>
      <xdr:row>97</xdr:row>
      <xdr:rowOff>0</xdr:rowOff>
    </xdr:from>
    <xdr:to>
      <xdr:col>21</xdr:col>
      <xdr:colOff>57078</xdr:colOff>
      <xdr:row>105</xdr:row>
      <xdr:rowOff>171879</xdr:rowOff>
    </xdr:to>
    <xdr:graphicFrame macro="">
      <xdr:nvGraphicFramePr>
        <xdr:cNvPr id="12" name="Chart 13">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54720</xdr:colOff>
      <xdr:row>104</xdr:row>
      <xdr:rowOff>37080</xdr:rowOff>
    </xdr:from>
    <xdr:to>
      <xdr:col>3</xdr:col>
      <xdr:colOff>94161</xdr:colOff>
      <xdr:row>105</xdr:row>
      <xdr:rowOff>93441</xdr:rowOff>
    </xdr:to>
    <xdr:pic>
      <xdr:nvPicPr>
        <xdr:cNvPr id="13" name="Picture 15">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3"/>
        <a:stretch/>
      </xdr:blipFill>
      <xdr:spPr>
        <a:xfrm>
          <a:off x="396000" y="22310280"/>
          <a:ext cx="662400" cy="255960"/>
        </a:xfrm>
        <a:prstGeom prst="rect">
          <a:avLst/>
        </a:prstGeom>
        <a:ln>
          <a:noFill/>
        </a:ln>
      </xdr:spPr>
    </xdr:pic>
    <xdr:clientData/>
  </xdr:twoCellAnchor>
  <xdr:twoCellAnchor editAs="oneCell">
    <xdr:from>
      <xdr:col>19</xdr:col>
      <xdr:colOff>400320</xdr:colOff>
      <xdr:row>75</xdr:row>
      <xdr:rowOff>126000</xdr:rowOff>
    </xdr:from>
    <xdr:to>
      <xdr:col>21</xdr:col>
      <xdr:colOff>49082</xdr:colOff>
      <xdr:row>76</xdr:row>
      <xdr:rowOff>140278</xdr:rowOff>
    </xdr:to>
    <xdr:pic>
      <xdr:nvPicPr>
        <xdr:cNvPr id="14" name="Picture 16">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a:stretch/>
      </xdr:blipFill>
      <xdr:spPr>
        <a:xfrm>
          <a:off x="11422440" y="13021920"/>
          <a:ext cx="895680" cy="221040"/>
        </a:xfrm>
        <a:prstGeom prst="rect">
          <a:avLst/>
        </a:prstGeom>
        <a:ln>
          <a:noFill/>
        </a:ln>
      </xdr:spPr>
    </xdr:pic>
    <xdr:clientData/>
  </xdr:twoCellAnchor>
  <xdr:twoCellAnchor editAs="oneCell">
    <xdr:from>
      <xdr:col>1</xdr:col>
      <xdr:colOff>45720</xdr:colOff>
      <xdr:row>55</xdr:row>
      <xdr:rowOff>79920</xdr:rowOff>
    </xdr:from>
    <xdr:to>
      <xdr:col>3</xdr:col>
      <xdr:colOff>296518</xdr:colOff>
      <xdr:row>56</xdr:row>
      <xdr:rowOff>140638</xdr:rowOff>
    </xdr:to>
    <xdr:pic>
      <xdr:nvPicPr>
        <xdr:cNvPr id="15" name="Picture 17">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a:stretch/>
      </xdr:blipFill>
      <xdr:spPr>
        <a:xfrm>
          <a:off x="216360" y="15734880"/>
          <a:ext cx="1051200" cy="267480"/>
        </a:xfrm>
        <a:prstGeom prst="rect">
          <a:avLst/>
        </a:prstGeom>
        <a:ln>
          <a:noFill/>
        </a:ln>
      </xdr:spPr>
    </xdr:pic>
    <xdr:clientData/>
  </xdr:twoCellAnchor>
  <xdr:twoCellAnchor editAs="oneCell">
    <xdr:from>
      <xdr:col>1</xdr:col>
      <xdr:colOff>160200</xdr:colOff>
      <xdr:row>75</xdr:row>
      <xdr:rowOff>34200</xdr:rowOff>
    </xdr:from>
    <xdr:to>
      <xdr:col>3</xdr:col>
      <xdr:colOff>111960</xdr:colOff>
      <xdr:row>76</xdr:row>
      <xdr:rowOff>142438</xdr:rowOff>
    </xdr:to>
    <xdr:pic>
      <xdr:nvPicPr>
        <xdr:cNvPr id="16" name="Picture 18">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4"/>
        <a:stretch/>
      </xdr:blipFill>
      <xdr:spPr>
        <a:xfrm>
          <a:off x="330840" y="12930120"/>
          <a:ext cx="748080" cy="315000"/>
        </a:xfrm>
        <a:prstGeom prst="rect">
          <a:avLst/>
        </a:prstGeom>
        <a:ln>
          <a:noFill/>
        </a:ln>
      </xdr:spPr>
    </xdr:pic>
    <xdr:clientData/>
  </xdr:twoCellAnchor>
  <xdr:twoCellAnchor>
    <xdr:from>
      <xdr:col>2</xdr:col>
      <xdr:colOff>38</xdr:colOff>
      <xdr:row>24</xdr:row>
      <xdr:rowOff>0</xdr:rowOff>
    </xdr:from>
    <xdr:to>
      <xdr:col>6</xdr:col>
      <xdr:colOff>0</xdr:colOff>
      <xdr:row>25</xdr:row>
      <xdr:rowOff>5400</xdr:rowOff>
    </xdr:to>
    <xdr:pic>
      <xdr:nvPicPr>
        <xdr:cNvPr id="17" name="Picture 28">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13"/>
        <a:stretch/>
      </xdr:blipFill>
      <xdr:spPr>
        <a:xfrm>
          <a:off x="341124" y="5555343"/>
          <a:ext cx="2467390" cy="208600"/>
        </a:xfrm>
        <a:prstGeom prst="rect">
          <a:avLst/>
        </a:prstGeom>
        <a:ln>
          <a:noFill/>
        </a:ln>
      </xdr:spPr>
    </xdr:pic>
    <xdr:clientData/>
  </xdr:twoCellAnchor>
  <xdr:twoCellAnchor editAs="oneCell">
    <xdr:from>
      <xdr:col>1</xdr:col>
      <xdr:colOff>25024</xdr:colOff>
      <xdr:row>24</xdr:row>
      <xdr:rowOff>65880</xdr:rowOff>
    </xdr:from>
    <xdr:to>
      <xdr:col>6</xdr:col>
      <xdr:colOff>141225</xdr:colOff>
      <xdr:row>25</xdr:row>
      <xdr:rowOff>144238</xdr:rowOff>
    </xdr:to>
    <xdr:graphicFrame macro="">
      <xdr:nvGraphicFramePr>
        <xdr:cNvPr id="18" name="Chart 29">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6</xdr:col>
      <xdr:colOff>164520</xdr:colOff>
      <xdr:row>38</xdr:row>
      <xdr:rowOff>65880</xdr:rowOff>
    </xdr:from>
    <xdr:to>
      <xdr:col>10</xdr:col>
      <xdr:colOff>456480</xdr:colOff>
      <xdr:row>45</xdr:row>
      <xdr:rowOff>1935</xdr:rowOff>
    </xdr:to>
    <xdr:graphicFrame macro="">
      <xdr:nvGraphicFramePr>
        <xdr:cNvPr id="19" name="Chart 4">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18</xdr:col>
      <xdr:colOff>66240</xdr:colOff>
      <xdr:row>38</xdr:row>
      <xdr:rowOff>65880</xdr:rowOff>
    </xdr:from>
    <xdr:to>
      <xdr:col>20</xdr:col>
      <xdr:colOff>570960</xdr:colOff>
      <xdr:row>45</xdr:row>
      <xdr:rowOff>1935</xdr:rowOff>
    </xdr:to>
    <xdr:graphicFrame macro="">
      <xdr:nvGraphicFramePr>
        <xdr:cNvPr id="20" name="Chart 20">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147240</xdr:colOff>
      <xdr:row>44</xdr:row>
      <xdr:rowOff>65520</xdr:rowOff>
    </xdr:from>
    <xdr:to>
      <xdr:col>3</xdr:col>
      <xdr:colOff>49759</xdr:colOff>
      <xdr:row>45</xdr:row>
      <xdr:rowOff>121399</xdr:rowOff>
    </xdr:to>
    <xdr:pic>
      <xdr:nvPicPr>
        <xdr:cNvPr id="21" name="Picture 21">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17"/>
        <a:stretch/>
      </xdr:blipFill>
      <xdr:spPr>
        <a:xfrm>
          <a:off x="317880" y="8415000"/>
          <a:ext cx="700200" cy="259920"/>
        </a:xfrm>
        <a:prstGeom prst="rect">
          <a:avLst/>
        </a:prstGeom>
        <a:ln>
          <a:noFill/>
        </a:ln>
      </xdr:spPr>
    </xdr:pic>
    <xdr:clientData/>
  </xdr:twoCellAnchor>
  <xdr:twoCellAnchor editAs="oneCell">
    <xdr:from>
      <xdr:col>11</xdr:col>
      <xdr:colOff>447120</xdr:colOff>
      <xdr:row>107</xdr:row>
      <xdr:rowOff>164880</xdr:rowOff>
    </xdr:from>
    <xdr:to>
      <xdr:col>21</xdr:col>
      <xdr:colOff>35</xdr:colOff>
      <xdr:row>116</xdr:row>
      <xdr:rowOff>18561</xdr:rowOff>
    </xdr:to>
    <xdr:graphicFrame macro="">
      <xdr:nvGraphicFramePr>
        <xdr:cNvPr id="22" name="Chart 22">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663</xdr:colOff>
      <xdr:row>33</xdr:row>
      <xdr:rowOff>732</xdr:rowOff>
    </xdr:from>
    <xdr:to>
      <xdr:col>5</xdr:col>
      <xdr:colOff>0</xdr:colOff>
      <xdr:row>34</xdr:row>
      <xdr:rowOff>0</xdr:rowOff>
    </xdr:to>
    <xdr:pic>
      <xdr:nvPicPr>
        <xdr:cNvPr id="23" name="Picture 22">
          <a:extLst>
            <a:ext uri="{FF2B5EF4-FFF2-40B4-BE49-F238E27FC236}">
              <a16:creationId xmlns:a16="http://schemas.microsoft.com/office/drawing/2014/main" id="{853D1803-4A2A-4D52-87BB-A3BE4B79E60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24513" y="7249257"/>
          <a:ext cx="1770987" cy="199293"/>
        </a:xfrm>
        <a:prstGeom prst="rect">
          <a:avLst/>
        </a:prstGeom>
      </xdr:spPr>
    </xdr:pic>
    <xdr:clientData/>
  </xdr:twoCellAnchor>
  <xdr:twoCellAnchor>
    <xdr:from>
      <xdr:col>1</xdr:col>
      <xdr:colOff>63500</xdr:colOff>
      <xdr:row>33</xdr:row>
      <xdr:rowOff>58210</xdr:rowOff>
    </xdr:from>
    <xdr:to>
      <xdr:col>5</xdr:col>
      <xdr:colOff>112146</xdr:colOff>
      <xdr:row>34</xdr:row>
      <xdr:rowOff>135906</xdr:rowOff>
    </xdr:to>
    <xdr:graphicFrame macro="">
      <xdr:nvGraphicFramePr>
        <xdr:cNvPr id="24" name="Chart 23">
          <a:extLst>
            <a:ext uri="{FF2B5EF4-FFF2-40B4-BE49-F238E27FC236}">
              <a16:creationId xmlns:a16="http://schemas.microsoft.com/office/drawing/2014/main" id="{69B082AA-DD30-4A3A-944A-9BC94D9A97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488</xdr:colOff>
      <xdr:row>33</xdr:row>
      <xdr:rowOff>244</xdr:rowOff>
    </xdr:from>
    <xdr:to>
      <xdr:col>9</xdr:col>
      <xdr:colOff>0</xdr:colOff>
      <xdr:row>33</xdr:row>
      <xdr:rowOff>199537</xdr:rowOff>
    </xdr:to>
    <xdr:pic>
      <xdr:nvPicPr>
        <xdr:cNvPr id="31" name="Picture 30">
          <a:extLst>
            <a:ext uri="{FF2B5EF4-FFF2-40B4-BE49-F238E27FC236}">
              <a16:creationId xmlns:a16="http://schemas.microsoft.com/office/drawing/2014/main" id="{E34356A0-2EA9-4151-BCC3-25C85C33074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86538" y="7248769"/>
          <a:ext cx="1771162" cy="199293"/>
        </a:xfrm>
        <a:prstGeom prst="rect">
          <a:avLst/>
        </a:prstGeom>
      </xdr:spPr>
    </xdr:pic>
    <xdr:clientData/>
  </xdr:twoCellAnchor>
  <xdr:twoCellAnchor>
    <xdr:from>
      <xdr:col>5</xdr:col>
      <xdr:colOff>521576</xdr:colOff>
      <xdr:row>33</xdr:row>
      <xdr:rowOff>58340</xdr:rowOff>
    </xdr:from>
    <xdr:to>
      <xdr:col>9</xdr:col>
      <xdr:colOff>117022</xdr:colOff>
      <xdr:row>34</xdr:row>
      <xdr:rowOff>142839</xdr:rowOff>
    </xdr:to>
    <xdr:graphicFrame macro="">
      <xdr:nvGraphicFramePr>
        <xdr:cNvPr id="32" name="Chart 31">
          <a:extLst>
            <a:ext uri="{FF2B5EF4-FFF2-40B4-BE49-F238E27FC236}">
              <a16:creationId xmlns:a16="http://schemas.microsoft.com/office/drawing/2014/main" id="{AB370A35-15E7-400E-9B11-685B1C141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452</xdr:colOff>
      <xdr:row>32</xdr:row>
      <xdr:rowOff>201385</xdr:rowOff>
    </xdr:from>
    <xdr:to>
      <xdr:col>13</xdr:col>
      <xdr:colOff>453</xdr:colOff>
      <xdr:row>33</xdr:row>
      <xdr:rowOff>197932</xdr:rowOff>
    </xdr:to>
    <xdr:pic>
      <xdr:nvPicPr>
        <xdr:cNvPr id="33" name="Picture 32">
          <a:extLst>
            <a:ext uri="{FF2B5EF4-FFF2-40B4-BE49-F238E27FC236}">
              <a16:creationId xmlns:a16="http://schemas.microsoft.com/office/drawing/2014/main" id="{935A8BC8-09B0-4419-8CF2-A754760AC1E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73195" y="7298871"/>
          <a:ext cx="1779815" cy="197932"/>
        </a:xfrm>
        <a:prstGeom prst="rect">
          <a:avLst/>
        </a:prstGeom>
      </xdr:spPr>
    </xdr:pic>
    <xdr:clientData/>
  </xdr:twoCellAnchor>
  <xdr:twoCellAnchor>
    <xdr:from>
      <xdr:col>13</xdr:col>
      <xdr:colOff>588283</xdr:colOff>
      <xdr:row>32</xdr:row>
      <xdr:rowOff>201385</xdr:rowOff>
    </xdr:from>
    <xdr:to>
      <xdr:col>17</xdr:col>
      <xdr:colOff>1</xdr:colOff>
      <xdr:row>33</xdr:row>
      <xdr:rowOff>197932</xdr:rowOff>
    </xdr:to>
    <xdr:pic>
      <xdr:nvPicPr>
        <xdr:cNvPr id="34" name="Picture 33">
          <a:extLst>
            <a:ext uri="{FF2B5EF4-FFF2-40B4-BE49-F238E27FC236}">
              <a16:creationId xmlns:a16="http://schemas.microsoft.com/office/drawing/2014/main" id="{C69203CB-73D7-4F04-8484-3F34DFA371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440840" y="7298871"/>
          <a:ext cx="1784804" cy="197932"/>
        </a:xfrm>
        <a:prstGeom prst="rect">
          <a:avLst/>
        </a:prstGeom>
      </xdr:spPr>
    </xdr:pic>
    <xdr:clientData/>
  </xdr:twoCellAnchor>
  <xdr:twoCellAnchor>
    <xdr:from>
      <xdr:col>18</xdr:col>
      <xdr:colOff>453</xdr:colOff>
      <xdr:row>32</xdr:row>
      <xdr:rowOff>201385</xdr:rowOff>
    </xdr:from>
    <xdr:to>
      <xdr:col>21</xdr:col>
      <xdr:colOff>452</xdr:colOff>
      <xdr:row>33</xdr:row>
      <xdr:rowOff>197932</xdr:rowOff>
    </xdr:to>
    <xdr:pic>
      <xdr:nvPicPr>
        <xdr:cNvPr id="35" name="Picture 34">
          <a:extLst>
            <a:ext uri="{FF2B5EF4-FFF2-40B4-BE49-F238E27FC236}">
              <a16:creationId xmlns:a16="http://schemas.microsoft.com/office/drawing/2014/main" id="{1B59456D-79E2-49D8-A13B-BB68EC80D14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819367" y="7298871"/>
          <a:ext cx="1779814" cy="197932"/>
        </a:xfrm>
        <a:prstGeom prst="rect">
          <a:avLst/>
        </a:prstGeom>
      </xdr:spPr>
    </xdr:pic>
    <xdr:clientData/>
  </xdr:twoCellAnchor>
  <xdr:twoCellAnchor>
    <xdr:from>
      <xdr:col>9</xdr:col>
      <xdr:colOff>521274</xdr:colOff>
      <xdr:row>33</xdr:row>
      <xdr:rowOff>56811</xdr:rowOff>
    </xdr:from>
    <xdr:to>
      <xdr:col>13</xdr:col>
      <xdr:colOff>117022</xdr:colOff>
      <xdr:row>34</xdr:row>
      <xdr:rowOff>141310</xdr:rowOff>
    </xdr:to>
    <xdr:graphicFrame macro="">
      <xdr:nvGraphicFramePr>
        <xdr:cNvPr id="36" name="Chart 35">
          <a:extLst>
            <a:ext uri="{FF2B5EF4-FFF2-40B4-BE49-F238E27FC236}">
              <a16:creationId xmlns:a16="http://schemas.microsoft.com/office/drawing/2014/main" id="{2DD1D4CE-7731-4F61-8E7B-650FD9AE8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521272</xdr:colOff>
      <xdr:row>33</xdr:row>
      <xdr:rowOff>56807</xdr:rowOff>
    </xdr:from>
    <xdr:to>
      <xdr:col>17</xdr:col>
      <xdr:colOff>117022</xdr:colOff>
      <xdr:row>34</xdr:row>
      <xdr:rowOff>141306</xdr:rowOff>
    </xdr:to>
    <xdr:graphicFrame macro="">
      <xdr:nvGraphicFramePr>
        <xdr:cNvPr id="37" name="Chart 36">
          <a:extLst>
            <a:ext uri="{FF2B5EF4-FFF2-40B4-BE49-F238E27FC236}">
              <a16:creationId xmlns:a16="http://schemas.microsoft.com/office/drawing/2014/main" id="{15EEEA2A-A845-4926-A69E-8EC2EC2A2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17</xdr:col>
      <xdr:colOff>480765</xdr:colOff>
      <xdr:row>33</xdr:row>
      <xdr:rowOff>59528</xdr:rowOff>
    </xdr:from>
    <xdr:to>
      <xdr:col>21</xdr:col>
      <xdr:colOff>99646</xdr:colOff>
      <xdr:row>34</xdr:row>
      <xdr:rowOff>145391</xdr:rowOff>
    </xdr:to>
    <xdr:graphicFrame macro="">
      <xdr:nvGraphicFramePr>
        <xdr:cNvPr id="38" name="Chart 37">
          <a:extLst>
            <a:ext uri="{FF2B5EF4-FFF2-40B4-BE49-F238E27FC236}">
              <a16:creationId xmlns:a16="http://schemas.microsoft.com/office/drawing/2014/main" id="{0F84D38B-D767-45BE-9479-BC0F41944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608040</xdr:colOff>
      <xdr:row>16</xdr:row>
      <xdr:rowOff>0</xdr:rowOff>
    </xdr:from>
    <xdr:to>
      <xdr:col>15</xdr:col>
      <xdr:colOff>540040</xdr:colOff>
      <xdr:row>20</xdr:row>
      <xdr:rowOff>380160</xdr:rowOff>
    </xdr:to>
    <xdr:graphicFrame macro="">
      <xdr:nvGraphicFramePr>
        <xdr:cNvPr id="21" name="Chart 1">
          <a:extLst>
            <a:ext uri="{FF2B5EF4-FFF2-40B4-BE49-F238E27FC236}">
              <a16:creationId xmlns:a16="http://schemas.microsoft.com/office/drawing/2014/main" id="{00000000-0008-0000-04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19080</xdr:colOff>
      <xdr:row>3</xdr:row>
      <xdr:rowOff>38160</xdr:rowOff>
    </xdr:from>
    <xdr:to>
      <xdr:col>15</xdr:col>
      <xdr:colOff>132840</xdr:colOff>
      <xdr:row>4</xdr:row>
      <xdr:rowOff>154080</xdr:rowOff>
    </xdr:to>
    <xdr:pic>
      <xdr:nvPicPr>
        <xdr:cNvPr id="22" name="Picture 2">
          <a:extLst>
            <a:ext uri="{FF2B5EF4-FFF2-40B4-BE49-F238E27FC236}">
              <a16:creationId xmlns:a16="http://schemas.microsoft.com/office/drawing/2014/main" id="{00000000-0008-0000-0400-000016000000}"/>
            </a:ext>
          </a:extLst>
        </xdr:cNvPr>
        <xdr:cNvPicPr/>
      </xdr:nvPicPr>
      <xdr:blipFill>
        <a:blip xmlns:r="http://schemas.openxmlformats.org/officeDocument/2006/relationships" r:embed="rId2"/>
        <a:stretch/>
      </xdr:blipFill>
      <xdr:spPr>
        <a:xfrm>
          <a:off x="8760960" y="1428480"/>
          <a:ext cx="758160" cy="306720"/>
        </a:xfrm>
        <a:prstGeom prst="rect">
          <a:avLst/>
        </a:prstGeom>
        <a:ln>
          <a:noFill/>
        </a:ln>
      </xdr:spPr>
    </xdr:pic>
    <xdr:clientData/>
  </xdr:twoCellAnchor>
  <xdr:twoCellAnchor editAs="oneCell">
    <xdr:from>
      <xdr:col>5</xdr:col>
      <xdr:colOff>514440</xdr:colOff>
      <xdr:row>3</xdr:row>
      <xdr:rowOff>114480</xdr:rowOff>
    </xdr:from>
    <xdr:to>
      <xdr:col>7</xdr:col>
      <xdr:colOff>120960</xdr:colOff>
      <xdr:row>4</xdr:row>
      <xdr:rowOff>142200</xdr:rowOff>
    </xdr:to>
    <xdr:pic>
      <xdr:nvPicPr>
        <xdr:cNvPr id="23" name="Picture 3">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3"/>
        <a:stretch/>
      </xdr:blipFill>
      <xdr:spPr>
        <a:xfrm>
          <a:off x="3303360" y="1504800"/>
          <a:ext cx="895320" cy="218520"/>
        </a:xfrm>
        <a:prstGeom prst="rect">
          <a:avLst/>
        </a:prstGeom>
        <a:ln>
          <a:noFill/>
        </a:ln>
      </xdr:spPr>
    </xdr:pic>
    <xdr:clientData/>
  </xdr:twoCellAnchor>
  <xdr:twoCellAnchor editAs="oneCell">
    <xdr:from>
      <xdr:col>9</xdr:col>
      <xdr:colOff>514440</xdr:colOff>
      <xdr:row>3</xdr:row>
      <xdr:rowOff>66600</xdr:rowOff>
    </xdr:from>
    <xdr:to>
      <xdr:col>10</xdr:col>
      <xdr:colOff>465819</xdr:colOff>
      <xdr:row>4</xdr:row>
      <xdr:rowOff>129600</xdr:rowOff>
    </xdr:to>
    <xdr:pic>
      <xdr:nvPicPr>
        <xdr:cNvPr id="24" name="Picture 4">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4"/>
        <a:stretch/>
      </xdr:blipFill>
      <xdr:spPr>
        <a:xfrm>
          <a:off x="5881320" y="1456920"/>
          <a:ext cx="662040" cy="253800"/>
        </a:xfrm>
        <a:prstGeom prst="rect">
          <a:avLst/>
        </a:prstGeom>
        <a:ln>
          <a:noFill/>
        </a:ln>
      </xdr:spPr>
    </xdr:pic>
    <xdr:clientData/>
  </xdr:twoCellAnchor>
  <xdr:twoCellAnchor editAs="oneCell">
    <xdr:from>
      <xdr:col>1</xdr:col>
      <xdr:colOff>447840</xdr:colOff>
      <xdr:row>3</xdr:row>
      <xdr:rowOff>19080</xdr:rowOff>
    </xdr:from>
    <xdr:to>
      <xdr:col>3</xdr:col>
      <xdr:colOff>85320</xdr:colOff>
      <xdr:row>4</xdr:row>
      <xdr:rowOff>159480</xdr:rowOff>
    </xdr:to>
    <xdr:pic>
      <xdr:nvPicPr>
        <xdr:cNvPr id="25" name="Picture 6">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5"/>
        <a:stretch/>
      </xdr:blipFill>
      <xdr:spPr>
        <a:xfrm>
          <a:off x="658440" y="1409400"/>
          <a:ext cx="926640" cy="331200"/>
        </a:xfrm>
        <a:prstGeom prst="rect">
          <a:avLst/>
        </a:prstGeom>
        <a:ln>
          <a:noFill/>
        </a:ln>
      </xdr:spPr>
    </xdr:pic>
    <xdr:clientData/>
  </xdr:twoCellAnchor>
  <xdr:twoCellAnchor>
    <xdr:from>
      <xdr:col>0</xdr:col>
      <xdr:colOff>0</xdr:colOff>
      <xdr:row>0</xdr:row>
      <xdr:rowOff>0</xdr:rowOff>
    </xdr:from>
    <xdr:to>
      <xdr:col>16</xdr:col>
      <xdr:colOff>38100</xdr:colOff>
      <xdr:row>28</xdr:row>
      <xdr:rowOff>38100</xdr:rowOff>
    </xdr:to>
    <xdr:sp macro="" textlink="">
      <xdr:nvSpPr>
        <xdr:cNvPr id="4106" name="_x0000_t202" hidden="1">
          <a:extLst>
            <a:ext uri="{FF2B5EF4-FFF2-40B4-BE49-F238E27FC236}">
              <a16:creationId xmlns:a16="http://schemas.microsoft.com/office/drawing/2014/main" id="{00000000-0008-0000-0400-00000A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4104" name="_x0000_t202" hidden="1">
          <a:extLst>
            <a:ext uri="{FF2B5EF4-FFF2-40B4-BE49-F238E27FC236}">
              <a16:creationId xmlns:a16="http://schemas.microsoft.com/office/drawing/2014/main" id="{00000000-0008-0000-0400-000008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4102" name="_x0000_t202" hidden="1">
          <a:extLst>
            <a:ext uri="{FF2B5EF4-FFF2-40B4-BE49-F238E27FC236}">
              <a16:creationId xmlns:a16="http://schemas.microsoft.com/office/drawing/2014/main" id="{00000000-0008-0000-0400-000006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2" name="AutoShape 10">
          <a:extLst>
            <a:ext uri="{FF2B5EF4-FFF2-40B4-BE49-F238E27FC236}">
              <a16:creationId xmlns:a16="http://schemas.microsoft.com/office/drawing/2014/main" id="{2F3FCD01-4102-4C1F-8CBB-861CA283DEE8}"/>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3" name="AutoShape 8">
          <a:extLst>
            <a:ext uri="{FF2B5EF4-FFF2-40B4-BE49-F238E27FC236}">
              <a16:creationId xmlns:a16="http://schemas.microsoft.com/office/drawing/2014/main" id="{C406DE0B-2FD6-4496-B6F7-3A5D5F514A1C}"/>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4" name="AutoShape 6">
          <a:extLst>
            <a:ext uri="{FF2B5EF4-FFF2-40B4-BE49-F238E27FC236}">
              <a16:creationId xmlns:a16="http://schemas.microsoft.com/office/drawing/2014/main" id="{00ECC8A9-616E-4C4E-9DBF-C2C79204DA06}"/>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5" name="AutoShape 4">
          <a:extLst>
            <a:ext uri="{FF2B5EF4-FFF2-40B4-BE49-F238E27FC236}">
              <a16:creationId xmlns:a16="http://schemas.microsoft.com/office/drawing/2014/main" id="{878C30C0-07D7-408F-AFA5-986DF0512C2B}"/>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6" name="AutoShape 2">
          <a:extLst>
            <a:ext uri="{FF2B5EF4-FFF2-40B4-BE49-F238E27FC236}">
              <a16:creationId xmlns:a16="http://schemas.microsoft.com/office/drawing/2014/main" id="{816AEF21-FC30-4C51-A8AE-0D330B3BAE27}"/>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7" name="AutoShape 10">
          <a:extLst>
            <a:ext uri="{FF2B5EF4-FFF2-40B4-BE49-F238E27FC236}">
              <a16:creationId xmlns:a16="http://schemas.microsoft.com/office/drawing/2014/main" id="{C4376565-B355-436A-8D6D-26298E220B89}"/>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8" name="AutoShape 8">
          <a:extLst>
            <a:ext uri="{FF2B5EF4-FFF2-40B4-BE49-F238E27FC236}">
              <a16:creationId xmlns:a16="http://schemas.microsoft.com/office/drawing/2014/main" id="{A78D2C5F-5448-4C3E-8764-3347CCEB631A}"/>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9" name="AutoShape 6">
          <a:extLst>
            <a:ext uri="{FF2B5EF4-FFF2-40B4-BE49-F238E27FC236}">
              <a16:creationId xmlns:a16="http://schemas.microsoft.com/office/drawing/2014/main" id="{EE5A5AE2-1B45-430F-B5EE-8F691535F1BE}"/>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0" name="AutoShape 4">
          <a:extLst>
            <a:ext uri="{FF2B5EF4-FFF2-40B4-BE49-F238E27FC236}">
              <a16:creationId xmlns:a16="http://schemas.microsoft.com/office/drawing/2014/main" id="{11537C1F-D6E7-442D-A0D7-CF6C124F79D5}"/>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1" name="AutoShape 2">
          <a:extLst>
            <a:ext uri="{FF2B5EF4-FFF2-40B4-BE49-F238E27FC236}">
              <a16:creationId xmlns:a16="http://schemas.microsoft.com/office/drawing/2014/main" id="{E3C406C9-CB48-4186-934E-E7FD8DCE429A}"/>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2" name="AutoShape 10">
          <a:extLst>
            <a:ext uri="{FF2B5EF4-FFF2-40B4-BE49-F238E27FC236}">
              <a16:creationId xmlns:a16="http://schemas.microsoft.com/office/drawing/2014/main" id="{C8E01BF0-F12F-495C-89BC-EEA7C3068B71}"/>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3" name="AutoShape 8">
          <a:extLst>
            <a:ext uri="{FF2B5EF4-FFF2-40B4-BE49-F238E27FC236}">
              <a16:creationId xmlns:a16="http://schemas.microsoft.com/office/drawing/2014/main" id="{F9E633A6-C651-4F75-9280-786CDB0562F8}"/>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4" name="AutoShape 6">
          <a:extLst>
            <a:ext uri="{FF2B5EF4-FFF2-40B4-BE49-F238E27FC236}">
              <a16:creationId xmlns:a16="http://schemas.microsoft.com/office/drawing/2014/main" id="{6B4F6D1E-5F56-4599-8653-29CCB2CC7BBE}"/>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5" name="AutoShape 4">
          <a:extLst>
            <a:ext uri="{FF2B5EF4-FFF2-40B4-BE49-F238E27FC236}">
              <a16:creationId xmlns:a16="http://schemas.microsoft.com/office/drawing/2014/main" id="{4871B19F-8051-4D3C-B941-9FCA20F843B4}"/>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28</xdr:row>
      <xdr:rowOff>38100</xdr:rowOff>
    </xdr:to>
    <xdr:sp macro="" textlink="">
      <xdr:nvSpPr>
        <xdr:cNvPr id="16" name="AutoShape 2">
          <a:extLst>
            <a:ext uri="{FF2B5EF4-FFF2-40B4-BE49-F238E27FC236}">
              <a16:creationId xmlns:a16="http://schemas.microsoft.com/office/drawing/2014/main" id="{131FFB6F-C2D6-4721-B248-96DFED81F970}"/>
            </a:ext>
          </a:extLst>
        </xdr:cNvPr>
        <xdr:cNvSpPr>
          <a:spLocks noChangeArrowheads="1"/>
        </xdr:cNvSpPr>
      </xdr:nvSpPr>
      <xdr:spPr bwMode="auto">
        <a:xfrm>
          <a:off x="0" y="0"/>
          <a:ext cx="95916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17" name="AutoShape 10">
          <a:extLst>
            <a:ext uri="{FF2B5EF4-FFF2-40B4-BE49-F238E27FC236}">
              <a16:creationId xmlns:a16="http://schemas.microsoft.com/office/drawing/2014/main" id="{E864BDE6-E170-4A3A-97F9-360E2DA2BD43}"/>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18" name="AutoShape 8">
          <a:extLst>
            <a:ext uri="{FF2B5EF4-FFF2-40B4-BE49-F238E27FC236}">
              <a16:creationId xmlns:a16="http://schemas.microsoft.com/office/drawing/2014/main" id="{C56E5779-149F-4DE5-97C1-EE4AED90D300}"/>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19" name="AutoShape 6">
          <a:extLst>
            <a:ext uri="{FF2B5EF4-FFF2-40B4-BE49-F238E27FC236}">
              <a16:creationId xmlns:a16="http://schemas.microsoft.com/office/drawing/2014/main" id="{020AFFD4-5893-45E1-9A79-2028E8137FA9}"/>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20" name="AutoShape 4">
          <a:extLst>
            <a:ext uri="{FF2B5EF4-FFF2-40B4-BE49-F238E27FC236}">
              <a16:creationId xmlns:a16="http://schemas.microsoft.com/office/drawing/2014/main" id="{B6C559CB-B45D-4023-91D3-D744EB6613EE}"/>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26" name="AutoShape 2">
          <a:extLst>
            <a:ext uri="{FF2B5EF4-FFF2-40B4-BE49-F238E27FC236}">
              <a16:creationId xmlns:a16="http://schemas.microsoft.com/office/drawing/2014/main" id="{8ED46D50-4735-4FE5-A600-982AA17435EF}"/>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27" name="AutoShape 10">
          <a:extLst>
            <a:ext uri="{FF2B5EF4-FFF2-40B4-BE49-F238E27FC236}">
              <a16:creationId xmlns:a16="http://schemas.microsoft.com/office/drawing/2014/main" id="{5079D8EC-CBCA-4B89-8EE9-8E1F2BDCDF92}"/>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28" name="AutoShape 8">
          <a:extLst>
            <a:ext uri="{FF2B5EF4-FFF2-40B4-BE49-F238E27FC236}">
              <a16:creationId xmlns:a16="http://schemas.microsoft.com/office/drawing/2014/main" id="{97D800EE-1324-417B-AA09-CD68C03BE65F}"/>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29" name="AutoShape 6">
          <a:extLst>
            <a:ext uri="{FF2B5EF4-FFF2-40B4-BE49-F238E27FC236}">
              <a16:creationId xmlns:a16="http://schemas.microsoft.com/office/drawing/2014/main" id="{857498DD-1F77-4617-A6CD-8C0743BE700C}"/>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30" name="AutoShape 4">
          <a:extLst>
            <a:ext uri="{FF2B5EF4-FFF2-40B4-BE49-F238E27FC236}">
              <a16:creationId xmlns:a16="http://schemas.microsoft.com/office/drawing/2014/main" id="{C4655DDC-EFF2-42F1-B12C-91EF2122CA71}"/>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31" name="AutoShape 2">
          <a:extLst>
            <a:ext uri="{FF2B5EF4-FFF2-40B4-BE49-F238E27FC236}">
              <a16:creationId xmlns:a16="http://schemas.microsoft.com/office/drawing/2014/main" id="{08186BD0-98AE-44D6-AB78-566009D12398}"/>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190500</xdr:colOff>
      <xdr:row>27</xdr:row>
      <xdr:rowOff>63500</xdr:rowOff>
    </xdr:to>
    <xdr:sp macro="" textlink="">
      <xdr:nvSpPr>
        <xdr:cNvPr id="32" name="AutoShape 10">
          <a:extLst>
            <a:ext uri="{FF2B5EF4-FFF2-40B4-BE49-F238E27FC236}">
              <a16:creationId xmlns:a16="http://schemas.microsoft.com/office/drawing/2014/main" id="{64DFB3FF-057F-4C77-A500-81D64B6F762F}"/>
            </a:ext>
          </a:extLst>
        </xdr:cNvPr>
        <xdr:cNvSpPr>
          <a:spLocks noChangeArrowheads="1"/>
        </xdr:cNvSpPr>
      </xdr:nvSpPr>
      <xdr:spPr bwMode="auto">
        <a:xfrm>
          <a:off x="0" y="0"/>
          <a:ext cx="9594850" cy="9671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190500</xdr:colOff>
      <xdr:row>27</xdr:row>
      <xdr:rowOff>63500</xdr:rowOff>
    </xdr:to>
    <xdr:sp macro="" textlink="">
      <xdr:nvSpPr>
        <xdr:cNvPr id="33" name="AutoShape 8">
          <a:extLst>
            <a:ext uri="{FF2B5EF4-FFF2-40B4-BE49-F238E27FC236}">
              <a16:creationId xmlns:a16="http://schemas.microsoft.com/office/drawing/2014/main" id="{C93CD27B-B3E1-4309-B6D8-C14AFEDE277C}"/>
            </a:ext>
          </a:extLst>
        </xdr:cNvPr>
        <xdr:cNvSpPr>
          <a:spLocks noChangeArrowheads="1"/>
        </xdr:cNvSpPr>
      </xdr:nvSpPr>
      <xdr:spPr bwMode="auto">
        <a:xfrm>
          <a:off x="0" y="0"/>
          <a:ext cx="9594850" cy="9671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190500</xdr:colOff>
      <xdr:row>27</xdr:row>
      <xdr:rowOff>63500</xdr:rowOff>
    </xdr:to>
    <xdr:sp macro="" textlink="">
      <xdr:nvSpPr>
        <xdr:cNvPr id="34" name="AutoShape 6">
          <a:extLst>
            <a:ext uri="{FF2B5EF4-FFF2-40B4-BE49-F238E27FC236}">
              <a16:creationId xmlns:a16="http://schemas.microsoft.com/office/drawing/2014/main" id="{917F8F97-1097-457F-AA81-23407A0B1E82}"/>
            </a:ext>
          </a:extLst>
        </xdr:cNvPr>
        <xdr:cNvSpPr>
          <a:spLocks noChangeArrowheads="1"/>
        </xdr:cNvSpPr>
      </xdr:nvSpPr>
      <xdr:spPr bwMode="auto">
        <a:xfrm>
          <a:off x="0" y="0"/>
          <a:ext cx="9594850" cy="9671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190500</xdr:colOff>
      <xdr:row>27</xdr:row>
      <xdr:rowOff>63500</xdr:rowOff>
    </xdr:to>
    <xdr:sp macro="" textlink="">
      <xdr:nvSpPr>
        <xdr:cNvPr id="35" name="AutoShape 4">
          <a:extLst>
            <a:ext uri="{FF2B5EF4-FFF2-40B4-BE49-F238E27FC236}">
              <a16:creationId xmlns:a16="http://schemas.microsoft.com/office/drawing/2014/main" id="{C92224D2-D3F0-470A-A3FA-5616BDC963B5}"/>
            </a:ext>
          </a:extLst>
        </xdr:cNvPr>
        <xdr:cNvSpPr>
          <a:spLocks noChangeArrowheads="1"/>
        </xdr:cNvSpPr>
      </xdr:nvSpPr>
      <xdr:spPr bwMode="auto">
        <a:xfrm>
          <a:off x="0" y="0"/>
          <a:ext cx="9594850" cy="9671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190500</xdr:colOff>
      <xdr:row>27</xdr:row>
      <xdr:rowOff>63500</xdr:rowOff>
    </xdr:to>
    <xdr:sp macro="" textlink="">
      <xdr:nvSpPr>
        <xdr:cNvPr id="36" name="AutoShape 2">
          <a:extLst>
            <a:ext uri="{FF2B5EF4-FFF2-40B4-BE49-F238E27FC236}">
              <a16:creationId xmlns:a16="http://schemas.microsoft.com/office/drawing/2014/main" id="{D70D2496-1AC2-47AB-95E4-A14E1E5D0262}"/>
            </a:ext>
          </a:extLst>
        </xdr:cNvPr>
        <xdr:cNvSpPr>
          <a:spLocks noChangeArrowheads="1"/>
        </xdr:cNvSpPr>
      </xdr:nvSpPr>
      <xdr:spPr bwMode="auto">
        <a:xfrm>
          <a:off x="0" y="0"/>
          <a:ext cx="9594850" cy="9671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37" name="AutoShape 10">
          <a:extLst>
            <a:ext uri="{FF2B5EF4-FFF2-40B4-BE49-F238E27FC236}">
              <a16:creationId xmlns:a16="http://schemas.microsoft.com/office/drawing/2014/main" id="{F5FE5843-A2D0-433F-B1E1-4859CF5750B4}"/>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38" name="AutoShape 8">
          <a:extLst>
            <a:ext uri="{FF2B5EF4-FFF2-40B4-BE49-F238E27FC236}">
              <a16:creationId xmlns:a16="http://schemas.microsoft.com/office/drawing/2014/main" id="{97B4D190-4968-44ED-A471-8768A6866736}"/>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39" name="AutoShape 6">
          <a:extLst>
            <a:ext uri="{FF2B5EF4-FFF2-40B4-BE49-F238E27FC236}">
              <a16:creationId xmlns:a16="http://schemas.microsoft.com/office/drawing/2014/main" id="{89AEBE07-56DC-4A76-876D-8583DFE89668}"/>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40" name="AutoShape 4">
          <a:extLst>
            <a:ext uri="{FF2B5EF4-FFF2-40B4-BE49-F238E27FC236}">
              <a16:creationId xmlns:a16="http://schemas.microsoft.com/office/drawing/2014/main" id="{2FA329DC-85D6-4D59-BA3A-88096E4E3626}"/>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38100</xdr:colOff>
      <xdr:row>27</xdr:row>
      <xdr:rowOff>38100</xdr:rowOff>
    </xdr:to>
    <xdr:sp macro="" textlink="">
      <xdr:nvSpPr>
        <xdr:cNvPr id="41" name="AutoShape 2">
          <a:extLst>
            <a:ext uri="{FF2B5EF4-FFF2-40B4-BE49-F238E27FC236}">
              <a16:creationId xmlns:a16="http://schemas.microsoft.com/office/drawing/2014/main" id="{29791182-8096-4BCE-BFBE-07697DC43277}"/>
            </a:ext>
          </a:extLst>
        </xdr:cNvPr>
        <xdr:cNvSpPr>
          <a:spLocks noChangeArrowheads="1"/>
        </xdr:cNvSpPr>
      </xdr:nvSpPr>
      <xdr:spPr bwMode="auto">
        <a:xfrm>
          <a:off x="0" y="0"/>
          <a:ext cx="9591675" cy="96678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542925</xdr:colOff>
      <xdr:row>50</xdr:row>
      <xdr:rowOff>0</xdr:rowOff>
    </xdr:to>
    <xdr:sp macro="" textlink="">
      <xdr:nvSpPr>
        <xdr:cNvPr id="5124" name="_x0000_t202" hidden="1">
          <a:extLst>
            <a:ext uri="{FF2B5EF4-FFF2-40B4-BE49-F238E27FC236}">
              <a16:creationId xmlns:a16="http://schemas.microsoft.com/office/drawing/2014/main" id="{00000000-0008-0000-06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5122" name="_x0000_t202" hidden="1">
          <a:extLst>
            <a:ext uri="{FF2B5EF4-FFF2-40B4-BE49-F238E27FC236}">
              <a16:creationId xmlns:a16="http://schemas.microsoft.com/office/drawing/2014/main" id="{00000000-0008-0000-06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2" name="AutoShape 4">
          <a:extLst>
            <a:ext uri="{FF2B5EF4-FFF2-40B4-BE49-F238E27FC236}">
              <a16:creationId xmlns:a16="http://schemas.microsoft.com/office/drawing/2014/main" id="{8CDE46B5-0E2A-41B0-A128-EE97BEDF45B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3" name="AutoShape 2">
          <a:extLst>
            <a:ext uri="{FF2B5EF4-FFF2-40B4-BE49-F238E27FC236}">
              <a16:creationId xmlns:a16="http://schemas.microsoft.com/office/drawing/2014/main" id="{CD10A13F-4582-4A4D-8F8A-4EE4DAA7C94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4" name="AutoShape 4">
          <a:extLst>
            <a:ext uri="{FF2B5EF4-FFF2-40B4-BE49-F238E27FC236}">
              <a16:creationId xmlns:a16="http://schemas.microsoft.com/office/drawing/2014/main" id="{3B82A95A-FE85-443B-949D-5D6D140FE68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5" name="AutoShape 2">
          <a:extLst>
            <a:ext uri="{FF2B5EF4-FFF2-40B4-BE49-F238E27FC236}">
              <a16:creationId xmlns:a16="http://schemas.microsoft.com/office/drawing/2014/main" id="{818BBC09-45BA-4FDF-B934-654559C9216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6" name="AutoShape 4">
          <a:extLst>
            <a:ext uri="{FF2B5EF4-FFF2-40B4-BE49-F238E27FC236}">
              <a16:creationId xmlns:a16="http://schemas.microsoft.com/office/drawing/2014/main" id="{DBC3EDBC-A6A9-43B0-96A2-53F0708B00E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7" name="AutoShape 2">
          <a:extLst>
            <a:ext uri="{FF2B5EF4-FFF2-40B4-BE49-F238E27FC236}">
              <a16:creationId xmlns:a16="http://schemas.microsoft.com/office/drawing/2014/main" id="{D30FF1FC-DD31-4887-9FBE-5D2B46FF0EF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8" name="AutoShape 4">
          <a:extLst>
            <a:ext uri="{FF2B5EF4-FFF2-40B4-BE49-F238E27FC236}">
              <a16:creationId xmlns:a16="http://schemas.microsoft.com/office/drawing/2014/main" id="{324A445F-EDA3-47DB-B9DB-06B03CC3A99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9" name="AutoShape 2">
          <a:extLst>
            <a:ext uri="{FF2B5EF4-FFF2-40B4-BE49-F238E27FC236}">
              <a16:creationId xmlns:a16="http://schemas.microsoft.com/office/drawing/2014/main" id="{259613F3-3ED1-4D67-86DE-A2D8346EFE3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10" name="AutoShape 4">
          <a:extLst>
            <a:ext uri="{FF2B5EF4-FFF2-40B4-BE49-F238E27FC236}">
              <a16:creationId xmlns:a16="http://schemas.microsoft.com/office/drawing/2014/main" id="{853310A7-E803-4D80-9F49-01C85DE17E6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11" name="AutoShape 2">
          <a:extLst>
            <a:ext uri="{FF2B5EF4-FFF2-40B4-BE49-F238E27FC236}">
              <a16:creationId xmlns:a16="http://schemas.microsoft.com/office/drawing/2014/main" id="{A8ADBD2D-901E-4FF3-BE25-9BBED58D09A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101600</xdr:colOff>
      <xdr:row>51</xdr:row>
      <xdr:rowOff>133350</xdr:rowOff>
    </xdr:to>
    <xdr:sp macro="" textlink="">
      <xdr:nvSpPr>
        <xdr:cNvPr id="12" name="AutoShape 4">
          <a:extLst>
            <a:ext uri="{FF2B5EF4-FFF2-40B4-BE49-F238E27FC236}">
              <a16:creationId xmlns:a16="http://schemas.microsoft.com/office/drawing/2014/main" id="{775AB6FB-D8A1-4CF7-86FA-F3DC8B24E25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101600</xdr:colOff>
      <xdr:row>51</xdr:row>
      <xdr:rowOff>133350</xdr:rowOff>
    </xdr:to>
    <xdr:sp macro="" textlink="">
      <xdr:nvSpPr>
        <xdr:cNvPr id="13" name="AutoShape 2">
          <a:extLst>
            <a:ext uri="{FF2B5EF4-FFF2-40B4-BE49-F238E27FC236}">
              <a16:creationId xmlns:a16="http://schemas.microsoft.com/office/drawing/2014/main" id="{F1D8CB81-4721-4BFC-A015-16CFEAB6CD9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14" name="AutoShape 4">
          <a:extLst>
            <a:ext uri="{FF2B5EF4-FFF2-40B4-BE49-F238E27FC236}">
              <a16:creationId xmlns:a16="http://schemas.microsoft.com/office/drawing/2014/main" id="{E8DDFA34-2135-416C-81ED-991C89B3783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50</xdr:row>
      <xdr:rowOff>0</xdr:rowOff>
    </xdr:to>
    <xdr:sp macro="" textlink="">
      <xdr:nvSpPr>
        <xdr:cNvPr id="15" name="AutoShape 2">
          <a:extLst>
            <a:ext uri="{FF2B5EF4-FFF2-40B4-BE49-F238E27FC236}">
              <a16:creationId xmlns:a16="http://schemas.microsoft.com/office/drawing/2014/main" id="{A2E672F6-8BBB-4658-955E-E34FB1CD689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fa8706665a41975/Desktop/template-t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SetView"/>
      <sheetName val="User Guide"/>
      <sheetName val="Vendor Tool Description"/>
      <sheetName val="Glossary"/>
      <sheetName val="Scorecard"/>
      <sheetName val="SettleTop"/>
      <sheetName val="SonarQube-Data"/>
      <sheetName val="CodeMRI-Data"/>
      <sheetName val="FossID-Data"/>
      <sheetName val="Fortify-OWASP"/>
      <sheetName val="Fortify-DISA STIG"/>
      <sheetName val="Checkmarx"/>
    </sheetNames>
    <sheetDataSet>
      <sheetData sheetId="0"/>
      <sheetData sheetId="1"/>
      <sheetData sheetId="2"/>
      <sheetData sheetId="3"/>
      <sheetData sheetId="4"/>
      <sheetData sheetId="5">
        <row r="8">
          <cell r="R8">
            <v>0</v>
          </cell>
        </row>
        <row r="19">
          <cell r="E19">
            <v>0.2</v>
          </cell>
        </row>
      </sheetData>
      <sheetData sheetId="6"/>
      <sheetData sheetId="7"/>
      <sheetData sheetId="8"/>
      <sheetData sheetId="9">
        <row r="3">
          <cell r="B3">
            <v>0</v>
          </cell>
        </row>
        <row r="17">
          <cell r="B17" t="str">
            <v>-</v>
          </cell>
          <cell r="C17">
            <v>0</v>
          </cell>
          <cell r="D17">
            <v>0</v>
          </cell>
        </row>
        <row r="18">
          <cell r="B18" t="str">
            <v>-</v>
          </cell>
          <cell r="C18">
            <v>0</v>
          </cell>
          <cell r="D18">
            <v>0</v>
          </cell>
        </row>
        <row r="19">
          <cell r="B19" t="str">
            <v>-</v>
          </cell>
          <cell r="C19">
            <v>0</v>
          </cell>
          <cell r="D19">
            <v>0</v>
          </cell>
        </row>
        <row r="20">
          <cell r="B20" t="str">
            <v>-</v>
          </cell>
          <cell r="C20">
            <v>0</v>
          </cell>
          <cell r="D20">
            <v>0</v>
          </cell>
        </row>
        <row r="21">
          <cell r="B21" t="str">
            <v>-</v>
          </cell>
          <cell r="C21">
            <v>0</v>
          </cell>
          <cell r="D21">
            <v>0</v>
          </cell>
        </row>
      </sheetData>
      <sheetData sheetId="10"/>
      <sheetData sheetId="11">
        <row r="5">
          <cell r="C5">
            <v>0</v>
          </cell>
          <cell r="D5">
            <v>0</v>
          </cell>
        </row>
      </sheetData>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ttletop.com/" TargetMode="External"/><Relationship Id="rId1" Type="http://schemas.openxmlformats.org/officeDocument/2006/relationships/hyperlink" Target="mailto:support@settleto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274"/>
  <sheetViews>
    <sheetView tabSelected="1" zoomScaleNormal="100" workbookViewId="0">
      <selection activeCell="X8" sqref="X8"/>
    </sheetView>
  </sheetViews>
  <sheetFormatPr defaultColWidth="8.85546875" defaultRowHeight="15"/>
  <cols>
    <col min="1" max="1" width="1.7109375" style="1" customWidth="1" collapsed="1"/>
    <col min="2" max="2" width="2.42578125" style="1" customWidth="1" collapsed="1"/>
    <col min="3" max="6" width="8.85546875" style="2" collapsed="1"/>
    <col min="7" max="7" width="8.85546875" style="2" customWidth="1" collapsed="1"/>
    <col min="8" max="11" width="8.85546875" style="2" collapsed="1"/>
    <col min="12" max="13" width="8.85546875" style="2" customWidth="1" collapsed="1"/>
    <col min="14" max="16" width="8.85546875" style="2" collapsed="1"/>
    <col min="17" max="17" width="8.85546875" style="2" customWidth="1" collapsed="1"/>
    <col min="18" max="21" width="8.85546875" style="2" collapsed="1"/>
    <col min="22" max="22" width="2.85546875" style="2" customWidth="1" collapsed="1"/>
    <col min="23" max="23" width="1.7109375" style="1" customWidth="1" collapsed="1"/>
    <col min="24" max="120" width="8.85546875" style="1" collapsed="1"/>
    <col min="121" max="1024" width="8.85546875" style="2" collapsed="1"/>
  </cols>
  <sheetData>
    <row r="1" spans="1:120" ht="15.95" customHeight="1">
      <c r="A1" s="3"/>
      <c r="B1" s="4"/>
      <c r="C1" s="5"/>
      <c r="D1" s="5"/>
      <c r="E1" s="5"/>
      <c r="F1" s="5"/>
      <c r="G1" s="391" t="s">
        <v>0</v>
      </c>
      <c r="H1" s="391"/>
      <c r="I1" s="391"/>
      <c r="J1" s="391"/>
      <c r="K1" s="391"/>
      <c r="L1" s="391"/>
      <c r="M1" s="391"/>
      <c r="N1" s="391"/>
      <c r="O1" s="391"/>
      <c r="P1" s="391"/>
      <c r="Q1" s="391"/>
      <c r="R1" s="5"/>
      <c r="S1" s="6"/>
      <c r="T1" s="6"/>
      <c r="U1" s="6"/>
      <c r="V1" s="7"/>
    </row>
    <row r="2" spans="1:120" ht="15.95" customHeight="1">
      <c r="A2" s="3"/>
      <c r="B2" s="8"/>
      <c r="C2" s="9"/>
      <c r="D2" s="9"/>
      <c r="E2" s="9"/>
      <c r="F2" s="9"/>
      <c r="G2" s="391"/>
      <c r="H2" s="391"/>
      <c r="I2" s="391"/>
      <c r="J2" s="391"/>
      <c r="K2" s="391"/>
      <c r="L2" s="391"/>
      <c r="M2" s="391"/>
      <c r="N2" s="391"/>
      <c r="O2" s="391"/>
      <c r="P2" s="391"/>
      <c r="Q2" s="391"/>
      <c r="R2" s="10"/>
      <c r="S2" s="1"/>
      <c r="T2" s="1"/>
      <c r="U2" s="1"/>
      <c r="V2" s="11"/>
    </row>
    <row r="3" spans="1:120" ht="15.95" customHeight="1">
      <c r="B3" s="8"/>
      <c r="C3" s="9"/>
      <c r="D3" s="9"/>
      <c r="E3" s="9"/>
      <c r="F3" s="9"/>
      <c r="G3" s="391"/>
      <c r="H3" s="391"/>
      <c r="I3" s="391"/>
      <c r="J3" s="391"/>
      <c r="K3" s="391"/>
      <c r="L3" s="391"/>
      <c r="M3" s="391"/>
      <c r="N3" s="391"/>
      <c r="O3" s="391"/>
      <c r="P3" s="391"/>
      <c r="Q3" s="391"/>
      <c r="R3" s="392" t="s">
        <v>1</v>
      </c>
      <c r="S3" s="392"/>
      <c r="T3" s="393" t="str">
        <f>Customer</f>
        <v>Codename One</v>
      </c>
      <c r="U3" s="393"/>
      <c r="V3" s="11"/>
      <c r="W3" s="3"/>
    </row>
    <row r="4" spans="1:120" ht="15.95" customHeight="1">
      <c r="B4" s="8"/>
      <c r="C4" s="9"/>
      <c r="D4" s="9"/>
      <c r="E4" s="9"/>
      <c r="F4" s="9"/>
      <c r="G4" s="391"/>
      <c r="H4" s="391"/>
      <c r="I4" s="391"/>
      <c r="J4" s="391"/>
      <c r="K4" s="391"/>
      <c r="L4" s="391"/>
      <c r="M4" s="391"/>
      <c r="N4" s="391"/>
      <c r="O4" s="391"/>
      <c r="P4" s="391"/>
      <c r="Q4" s="391"/>
      <c r="R4" s="392" t="s">
        <v>2</v>
      </c>
      <c r="S4" s="392"/>
      <c r="T4" s="393" t="str">
        <f>Program</f>
        <v>Codename One</v>
      </c>
      <c r="U4" s="393"/>
      <c r="V4" s="11"/>
    </row>
    <row r="5" spans="1:120" ht="15.95" customHeight="1">
      <c r="B5" s="8"/>
      <c r="C5" s="9"/>
      <c r="D5" s="9"/>
      <c r="E5" s="9"/>
      <c r="F5" s="9"/>
      <c r="G5" s="391"/>
      <c r="H5" s="391"/>
      <c r="I5" s="391"/>
      <c r="J5" s="391"/>
      <c r="K5" s="391"/>
      <c r="L5" s="391"/>
      <c r="M5" s="391"/>
      <c r="N5" s="391"/>
      <c r="O5" s="391"/>
      <c r="P5" s="391"/>
      <c r="Q5" s="391"/>
      <c r="R5" s="392" t="s">
        <v>3</v>
      </c>
      <c r="S5" s="392"/>
      <c r="T5" s="394">
        <f ca="1">AnalysisDate</f>
        <v>44259</v>
      </c>
      <c r="U5" s="394"/>
      <c r="V5" s="11"/>
      <c r="W5" s="3"/>
    </row>
    <row r="6" spans="1:120" ht="15.95" customHeight="1">
      <c r="B6" s="8"/>
      <c r="C6" s="9"/>
      <c r="D6" s="9"/>
      <c r="E6" s="9"/>
      <c r="F6" s="9"/>
      <c r="G6" s="391"/>
      <c r="H6" s="391"/>
      <c r="I6" s="391"/>
      <c r="J6" s="391"/>
      <c r="K6" s="391"/>
      <c r="L6" s="391"/>
      <c r="M6" s="391"/>
      <c r="N6" s="391"/>
      <c r="O6" s="391"/>
      <c r="P6" s="391"/>
      <c r="Q6" s="391"/>
      <c r="R6" s="10"/>
      <c r="S6" s="10"/>
      <c r="T6" s="10"/>
      <c r="U6" s="10"/>
      <c r="V6" s="11"/>
      <c r="W6" s="3"/>
    </row>
    <row r="7" spans="1:120" ht="15.95" customHeight="1">
      <c r="B7" s="8"/>
      <c r="C7" s="9"/>
      <c r="D7" s="9"/>
      <c r="E7" s="9"/>
      <c r="F7" s="9"/>
      <c r="G7" s="391"/>
      <c r="H7" s="391"/>
      <c r="I7" s="391"/>
      <c r="J7" s="391"/>
      <c r="K7" s="391"/>
      <c r="L7" s="391"/>
      <c r="M7" s="391"/>
      <c r="N7" s="391"/>
      <c r="O7" s="391"/>
      <c r="P7" s="391"/>
      <c r="Q7" s="391"/>
      <c r="R7" s="10"/>
      <c r="S7" s="10"/>
      <c r="T7" s="10"/>
      <c r="U7" s="10"/>
      <c r="V7" s="11"/>
      <c r="W7" s="3"/>
    </row>
    <row r="8" spans="1:120" ht="36.950000000000003" customHeight="1">
      <c r="B8" s="358" t="s">
        <v>93</v>
      </c>
      <c r="C8" s="358"/>
      <c r="D8" s="358"/>
      <c r="E8" s="358"/>
      <c r="F8" s="358"/>
      <c r="G8" s="358"/>
      <c r="H8" s="358"/>
      <c r="I8" s="358"/>
      <c r="J8" s="358"/>
      <c r="K8" s="358"/>
      <c r="L8" s="358"/>
      <c r="M8" s="358"/>
      <c r="N8" s="358"/>
      <c r="O8" s="358"/>
      <c r="P8" s="358"/>
      <c r="Q8" s="358"/>
      <c r="R8" s="358"/>
      <c r="S8" s="358"/>
      <c r="T8" s="358"/>
      <c r="U8" s="358"/>
      <c r="V8" s="358"/>
    </row>
    <row r="9" spans="1:120" s="16" customFormat="1" ht="15.95" customHeight="1">
      <c r="A9" s="12"/>
      <c r="B9" s="13"/>
      <c r="C9" s="14"/>
      <c r="D9" s="14"/>
      <c r="E9" s="14"/>
      <c r="F9" s="14"/>
      <c r="G9" s="14"/>
      <c r="H9" s="14"/>
      <c r="I9" s="14"/>
      <c r="J9" s="14"/>
      <c r="K9" s="14"/>
      <c r="L9" s="14"/>
      <c r="M9" s="14"/>
      <c r="N9" s="14"/>
      <c r="O9" s="14"/>
      <c r="P9" s="14"/>
      <c r="Q9" s="14"/>
      <c r="R9" s="14"/>
      <c r="S9" s="14"/>
      <c r="T9" s="14"/>
      <c r="U9" s="14"/>
      <c r="V9" s="15"/>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row>
    <row r="10" spans="1:120" s="21" customFormat="1" ht="24.95" customHeight="1">
      <c r="A10" s="17"/>
      <c r="B10" s="18"/>
      <c r="C10" s="386" t="s">
        <v>4</v>
      </c>
      <c r="D10" s="386"/>
      <c r="E10" s="386"/>
      <c r="F10" s="386"/>
      <c r="G10" s="19"/>
      <c r="H10" s="386" t="s">
        <v>5</v>
      </c>
      <c r="I10" s="386"/>
      <c r="J10" s="386"/>
      <c r="K10" s="386"/>
      <c r="L10" s="386"/>
      <c r="M10" s="386"/>
      <c r="N10" s="386"/>
      <c r="O10" s="386"/>
      <c r="P10" s="386"/>
      <c r="Q10" s="386"/>
      <c r="R10" s="386"/>
      <c r="S10" s="386"/>
      <c r="T10" s="386"/>
      <c r="U10" s="386"/>
      <c r="V10" s="20"/>
      <c r="W10" s="17"/>
      <c r="X10" s="1"/>
      <c r="Y10" s="1"/>
      <c r="Z10" s="1"/>
      <c r="AA10" s="1"/>
      <c r="AB10" s="1"/>
      <c r="AC10" s="1"/>
      <c r="AD10" s="1"/>
      <c r="AE10" s="1"/>
      <c r="AF10" s="1"/>
      <c r="AG10" s="1"/>
      <c r="AH10" s="1"/>
      <c r="AI10" s="1"/>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row>
    <row r="11" spans="1:120" ht="15.95" customHeight="1">
      <c r="B11" s="22"/>
      <c r="C11" s="261"/>
      <c r="D11" s="285"/>
      <c r="E11" s="286"/>
      <c r="F11" s="261"/>
      <c r="G11" s="14"/>
      <c r="H11" s="1"/>
      <c r="I11" s="1"/>
      <c r="J11" s="1"/>
      <c r="K11" s="1"/>
      <c r="L11" s="1"/>
      <c r="M11" s="1"/>
      <c r="N11" s="1"/>
      <c r="O11" s="1"/>
      <c r="P11" s="1"/>
      <c r="Q11" s="1"/>
      <c r="R11" s="1"/>
      <c r="S11" s="1"/>
      <c r="T11" s="1"/>
      <c r="U11" s="1"/>
      <c r="V11" s="15"/>
    </row>
    <row r="12" spans="1:120" ht="15.95" customHeight="1">
      <c r="B12" s="22"/>
      <c r="C12" s="395">
        <f>Score</f>
        <v>522.48252420494623</v>
      </c>
      <c r="D12" s="395"/>
      <c r="E12" s="395"/>
      <c r="F12" s="395"/>
      <c r="G12" s="14"/>
      <c r="H12" s="396" t="s">
        <v>6</v>
      </c>
      <c r="I12" s="397"/>
      <c r="J12" s="397"/>
      <c r="K12" s="398"/>
      <c r="L12" s="346"/>
      <c r="M12" s="396" t="s">
        <v>7</v>
      </c>
      <c r="N12" s="397"/>
      <c r="O12" s="397"/>
      <c r="P12" s="398"/>
      <c r="Q12" s="287"/>
      <c r="R12" s="396" t="s">
        <v>8</v>
      </c>
      <c r="S12" s="397"/>
      <c r="T12" s="397"/>
      <c r="U12" s="398"/>
      <c r="V12" s="15"/>
    </row>
    <row r="13" spans="1:120" ht="15.95" customHeight="1">
      <c r="B13" s="22"/>
      <c r="C13" s="395"/>
      <c r="D13" s="395"/>
      <c r="E13" s="395"/>
      <c r="F13" s="395"/>
      <c r="G13" s="14"/>
      <c r="H13" s="380" t="s">
        <v>299</v>
      </c>
      <c r="I13" s="381"/>
      <c r="J13" s="381"/>
      <c r="K13" s="382"/>
      <c r="L13" s="23"/>
      <c r="M13" s="380" t="s">
        <v>300</v>
      </c>
      <c r="N13" s="381"/>
      <c r="O13" s="381"/>
      <c r="P13" s="382"/>
      <c r="Q13" s="23"/>
      <c r="R13" s="380" t="s">
        <v>301</v>
      </c>
      <c r="S13" s="381"/>
      <c r="T13" s="381"/>
      <c r="U13" s="382"/>
      <c r="V13" s="15"/>
    </row>
    <row r="14" spans="1:120" ht="15.95" customHeight="1">
      <c r="B14" s="22"/>
      <c r="C14" s="395"/>
      <c r="D14" s="395"/>
      <c r="E14" s="395"/>
      <c r="F14" s="395"/>
      <c r="G14" s="14"/>
      <c r="H14" s="380"/>
      <c r="I14" s="381"/>
      <c r="J14" s="381"/>
      <c r="K14" s="382"/>
      <c r="L14" s="23"/>
      <c r="M14" s="380"/>
      <c r="N14" s="381"/>
      <c r="O14" s="381"/>
      <c r="P14" s="382"/>
      <c r="Q14" s="23"/>
      <c r="R14" s="380"/>
      <c r="S14" s="381"/>
      <c r="T14" s="381"/>
      <c r="U14" s="382"/>
      <c r="V14" s="15"/>
    </row>
    <row r="15" spans="1:120" ht="15.95" customHeight="1">
      <c r="B15" s="22"/>
      <c r="C15" s="395"/>
      <c r="D15" s="395"/>
      <c r="E15" s="395"/>
      <c r="F15" s="395"/>
      <c r="G15" s="14"/>
      <c r="H15" s="383"/>
      <c r="I15" s="384"/>
      <c r="J15" s="384"/>
      <c r="K15" s="385"/>
      <c r="L15" s="23"/>
      <c r="M15" s="383"/>
      <c r="N15" s="384"/>
      <c r="O15" s="384"/>
      <c r="P15" s="385"/>
      <c r="Q15" s="23"/>
      <c r="R15" s="383"/>
      <c r="S15" s="384"/>
      <c r="T15" s="384"/>
      <c r="U15" s="385"/>
      <c r="V15" s="15"/>
    </row>
    <row r="16" spans="1:120" ht="15.95" customHeight="1">
      <c r="B16" s="22"/>
      <c r="C16" s="395"/>
      <c r="D16" s="395"/>
      <c r="E16" s="395"/>
      <c r="F16" s="395"/>
      <c r="G16" s="14"/>
      <c r="H16" s="1"/>
      <c r="I16" s="1"/>
      <c r="J16" s="1"/>
      <c r="K16" s="1"/>
      <c r="L16" s="1"/>
      <c r="M16" s="1"/>
      <c r="N16" s="1"/>
      <c r="O16" s="1"/>
      <c r="P16" s="1"/>
      <c r="Q16" s="1"/>
      <c r="R16" s="1"/>
      <c r="S16" s="1"/>
      <c r="T16" s="1"/>
      <c r="U16" s="1"/>
      <c r="V16" s="15"/>
    </row>
    <row r="17" spans="2:22" ht="24.95" customHeight="1">
      <c r="B17" s="22"/>
      <c r="C17" s="395"/>
      <c r="D17" s="395"/>
      <c r="E17" s="395"/>
      <c r="F17" s="395"/>
      <c r="G17" s="288"/>
      <c r="H17" s="386" t="s">
        <v>9</v>
      </c>
      <c r="I17" s="386"/>
      <c r="J17" s="386"/>
      <c r="K17" s="386"/>
      <c r="L17" s="289"/>
      <c r="M17" s="386" t="s">
        <v>10</v>
      </c>
      <c r="N17" s="386"/>
      <c r="O17" s="386"/>
      <c r="P17" s="386"/>
      <c r="Q17" s="290"/>
      <c r="R17" s="386" t="s">
        <v>11</v>
      </c>
      <c r="S17" s="386"/>
      <c r="T17" s="386"/>
      <c r="U17" s="386"/>
      <c r="V17" s="15"/>
    </row>
    <row r="18" spans="2:22" ht="15.95" customHeight="1">
      <c r="B18" s="22"/>
      <c r="C18" s="395"/>
      <c r="D18" s="395"/>
      <c r="E18" s="395"/>
      <c r="F18" s="395"/>
      <c r="G18" s="288"/>
      <c r="H18" s="261"/>
      <c r="I18" s="261"/>
      <c r="J18" s="261"/>
      <c r="K18" s="261"/>
      <c r="L18" s="261"/>
      <c r="M18" s="261"/>
      <c r="N18" s="261"/>
      <c r="O18" s="261"/>
      <c r="P18" s="261"/>
      <c r="Q18" s="261"/>
      <c r="R18" s="261"/>
      <c r="S18" s="261"/>
      <c r="T18" s="261"/>
      <c r="U18" s="261"/>
      <c r="V18" s="15"/>
    </row>
    <row r="19" spans="2:22" ht="15.95" customHeight="1">
      <c r="B19" s="24"/>
      <c r="C19" s="373" t="str">
        <f>IF(AND($C$12&gt;=0,$C$12&lt;200),"Very Poor",IF(AND($C$12&gt;=200,$C$12&lt;400),"Poor",IF(AND($C$12&gt;=400,$C$12&lt;600),"Fair",IF(AND($C$12&gt;=600,$C$12&lt;800),"Good",IF(AND($C$12&gt;=800,$C$12&lt;=1000),"Excellent","N/A")))))</f>
        <v>Fair</v>
      </c>
      <c r="D19" s="373"/>
      <c r="E19" s="373"/>
      <c r="F19" s="373"/>
      <c r="G19" s="288"/>
      <c r="H19" s="374" t="s">
        <v>12</v>
      </c>
      <c r="I19" s="374"/>
      <c r="J19" s="375" t="str">
        <f>Program</f>
        <v>Codename One</v>
      </c>
      <c r="K19" s="375"/>
      <c r="L19" s="291"/>
      <c r="M19" s="376" t="s">
        <v>13</v>
      </c>
      <c r="N19" s="376"/>
      <c r="O19" s="292"/>
      <c r="P19" s="305">
        <f>Directories</f>
        <v>350</v>
      </c>
      <c r="Q19" s="291"/>
      <c r="R19" s="377" t="s">
        <v>14</v>
      </c>
      <c r="S19" s="377"/>
      <c r="T19" s="378" t="str">
        <f>Languages</f>
        <v>Java</v>
      </c>
      <c r="U19" s="378"/>
      <c r="V19" s="15"/>
    </row>
    <row r="20" spans="2:22" ht="15.95" customHeight="1">
      <c r="B20" s="22"/>
      <c r="C20" s="373"/>
      <c r="D20" s="373"/>
      <c r="E20" s="373"/>
      <c r="F20" s="373"/>
      <c r="G20" s="288"/>
      <c r="H20" s="369" t="s">
        <v>15</v>
      </c>
      <c r="I20" s="369"/>
      <c r="J20" s="372" t="str">
        <f>ProprietorLicense</f>
        <v>GPL v2.0</v>
      </c>
      <c r="K20" s="372"/>
      <c r="L20" s="291"/>
      <c r="M20" s="371" t="s">
        <v>16</v>
      </c>
      <c r="N20" s="371"/>
      <c r="O20" s="293"/>
      <c r="P20" s="304">
        <f>Files</f>
        <v>1885</v>
      </c>
      <c r="Q20" s="291"/>
      <c r="R20" s="371" t="s">
        <v>17</v>
      </c>
      <c r="S20" s="371"/>
      <c r="T20" s="372">
        <f>LinesOfCode</f>
        <v>394821</v>
      </c>
      <c r="U20" s="372"/>
      <c r="V20" s="15"/>
    </row>
    <row r="21" spans="2:22" ht="15.95" customHeight="1">
      <c r="B21" s="22"/>
      <c r="C21" s="373"/>
      <c r="D21" s="373"/>
      <c r="E21" s="373"/>
      <c r="F21" s="373"/>
      <c r="G21" s="288"/>
      <c r="H21" s="369" t="s">
        <v>18</v>
      </c>
      <c r="I21" s="369"/>
      <c r="J21" s="372" t="str">
        <f>Distribution</f>
        <v>Development Tool</v>
      </c>
      <c r="K21" s="372"/>
      <c r="L21" s="291"/>
      <c r="M21" s="371" t="s">
        <v>19</v>
      </c>
      <c r="N21" s="371"/>
      <c r="O21" s="293"/>
      <c r="P21" s="304">
        <f>DuplicatedFiles</f>
        <v>561</v>
      </c>
      <c r="Q21" s="291"/>
      <c r="R21" s="371" t="s">
        <v>20</v>
      </c>
      <c r="S21" s="371"/>
      <c r="T21" s="372">
        <f>CommentLines</f>
        <v>116847</v>
      </c>
      <c r="U21" s="372"/>
      <c r="V21" s="15"/>
    </row>
    <row r="22" spans="2:22" ht="15.95" customHeight="1">
      <c r="B22" s="22"/>
      <c r="C22" s="373"/>
      <c r="D22" s="373"/>
      <c r="E22" s="373"/>
      <c r="F22" s="373"/>
      <c r="G22" s="288"/>
      <c r="H22" s="369" t="s">
        <v>21</v>
      </c>
      <c r="I22" s="369"/>
      <c r="J22" s="372" t="str">
        <f>Vendor</f>
        <v>Codename One LTD</v>
      </c>
      <c r="K22" s="372"/>
      <c r="L22" s="291"/>
      <c r="M22" s="371" t="s">
        <v>22</v>
      </c>
      <c r="N22" s="371"/>
      <c r="O22" s="293"/>
      <c r="P22" s="304">
        <f>Classes</f>
        <v>3084</v>
      </c>
      <c r="Q22" s="291"/>
      <c r="R22" s="371" t="s">
        <v>23</v>
      </c>
      <c r="S22" s="371"/>
      <c r="T22" s="372">
        <f>BlankLines</f>
        <v>157503</v>
      </c>
      <c r="U22" s="372"/>
      <c r="V22" s="15"/>
    </row>
    <row r="23" spans="2:22" ht="15.95" customHeight="1">
      <c r="B23" s="22"/>
      <c r="C23" s="373"/>
      <c r="D23" s="373"/>
      <c r="E23" s="373"/>
      <c r="F23" s="373"/>
      <c r="G23" s="288"/>
      <c r="H23" s="369" t="s">
        <v>24</v>
      </c>
      <c r="I23" s="369"/>
      <c r="J23" s="372">
        <f>NumberOfDevelopers</f>
        <v>31</v>
      </c>
      <c r="K23" s="372"/>
      <c r="L23" s="291"/>
      <c r="M23" s="371" t="s">
        <v>25</v>
      </c>
      <c r="N23" s="371"/>
      <c r="O23" s="293"/>
      <c r="P23" s="304">
        <f>Statements</f>
        <v>206331</v>
      </c>
      <c r="Q23" s="291"/>
      <c r="R23" s="371" t="s">
        <v>26</v>
      </c>
      <c r="S23" s="371"/>
      <c r="T23" s="372">
        <f>DuplicatedLines</f>
        <v>121981</v>
      </c>
      <c r="U23" s="372"/>
      <c r="V23" s="15"/>
    </row>
    <row r="24" spans="2:22" ht="15.95" customHeight="1">
      <c r="B24" s="22"/>
      <c r="C24" s="373"/>
      <c r="D24" s="373"/>
      <c r="E24" s="373"/>
      <c r="F24" s="373"/>
      <c r="G24" s="288"/>
      <c r="H24" s="369" t="s">
        <v>208</v>
      </c>
      <c r="I24" s="369"/>
      <c r="J24" s="379" t="str">
        <f>ApplicationAge</f>
        <v>8 Years</v>
      </c>
      <c r="K24" s="379"/>
      <c r="L24" s="291"/>
      <c r="M24" s="371" t="s">
        <v>27</v>
      </c>
      <c r="N24" s="371"/>
      <c r="O24" s="293"/>
      <c r="P24" s="304">
        <f>Functions</f>
        <v>36242</v>
      </c>
      <c r="Q24" s="291"/>
      <c r="R24" s="371" t="s">
        <v>28</v>
      </c>
      <c r="S24" s="371"/>
      <c r="T24" s="372">
        <f>T25-T23</f>
        <v>547190</v>
      </c>
      <c r="U24" s="372"/>
      <c r="V24" s="15"/>
    </row>
    <row r="25" spans="2:22" ht="15.95" customHeight="1">
      <c r="B25" s="24"/>
      <c r="C25" s="368"/>
      <c r="D25" s="368"/>
      <c r="E25" s="368"/>
      <c r="F25" s="368"/>
      <c r="G25" s="288"/>
      <c r="H25" s="369" t="s">
        <v>29</v>
      </c>
      <c r="I25" s="369"/>
      <c r="J25" s="370" t="str">
        <f>ApplicationType</f>
        <v>Development Tool</v>
      </c>
      <c r="K25" s="370"/>
      <c r="L25" s="291"/>
      <c r="M25" s="371" t="s">
        <v>30</v>
      </c>
      <c r="N25" s="371"/>
      <c r="O25" s="292"/>
      <c r="P25" s="305">
        <f>DuplicatedBlocks</f>
        <v>3617</v>
      </c>
      <c r="Q25" s="291"/>
      <c r="R25" s="369" t="s">
        <v>31</v>
      </c>
      <c r="S25" s="369"/>
      <c r="T25" s="372">
        <f>Lines</f>
        <v>669171</v>
      </c>
      <c r="U25" s="372"/>
      <c r="V25" s="15"/>
    </row>
    <row r="26" spans="2:22" ht="15.95" customHeight="1">
      <c r="B26" s="22"/>
      <c r="C26" s="368"/>
      <c r="D26" s="368"/>
      <c r="E26" s="368"/>
      <c r="F26" s="368"/>
      <c r="G26" s="267"/>
      <c r="H26" s="261"/>
      <c r="I26" s="261"/>
      <c r="J26" s="261"/>
      <c r="K26" s="261"/>
      <c r="L26" s="261"/>
      <c r="M26" s="261"/>
      <c r="N26" s="261"/>
      <c r="O26" s="261"/>
      <c r="P26" s="261"/>
      <c r="Q26" s="261"/>
      <c r="R26" s="261"/>
      <c r="S26" s="261"/>
      <c r="T26" s="261"/>
      <c r="U26" s="261"/>
      <c r="V26" s="15"/>
    </row>
    <row r="27" spans="2:22" ht="20.25" customHeight="1">
      <c r="B27" s="22"/>
      <c r="C27" s="387" t="s">
        <v>119</v>
      </c>
      <c r="D27" s="387"/>
      <c r="E27" s="387"/>
      <c r="F27" s="241"/>
      <c r="G27" s="387" t="s">
        <v>259</v>
      </c>
      <c r="H27" s="387"/>
      <c r="I27" s="387"/>
      <c r="J27" s="261"/>
      <c r="K27" s="387" t="s">
        <v>124</v>
      </c>
      <c r="L27" s="387"/>
      <c r="M27" s="387"/>
      <c r="N27" s="261"/>
      <c r="O27" s="387" t="s">
        <v>179</v>
      </c>
      <c r="P27" s="387"/>
      <c r="Q27" s="387"/>
      <c r="R27" s="261"/>
      <c r="S27" s="387" t="s">
        <v>117</v>
      </c>
      <c r="T27" s="387"/>
      <c r="U27" s="387"/>
      <c r="V27" s="15"/>
    </row>
    <row r="28" spans="2:22" ht="9.9499999999999993" customHeight="1">
      <c r="B28" s="22"/>
      <c r="C28" s="294"/>
      <c r="D28" s="294"/>
      <c r="E28" s="294"/>
      <c r="F28" s="241"/>
      <c r="G28" s="294"/>
      <c r="H28" s="294"/>
      <c r="I28" s="294"/>
      <c r="J28" s="261"/>
      <c r="K28" s="294"/>
      <c r="L28" s="294"/>
      <c r="M28" s="294"/>
      <c r="N28" s="261"/>
      <c r="O28" s="294"/>
      <c r="P28" s="294"/>
      <c r="Q28" s="294"/>
      <c r="R28" s="261"/>
      <c r="S28" s="294"/>
      <c r="T28" s="294"/>
      <c r="U28" s="294"/>
      <c r="V28" s="15"/>
    </row>
    <row r="29" spans="2:22" ht="15.95" customHeight="1">
      <c r="B29" s="22"/>
      <c r="C29" s="388">
        <f>SecurityRawScore</f>
        <v>659.21192793542696</v>
      </c>
      <c r="D29" s="388"/>
      <c r="E29" s="388"/>
      <c r="F29" s="241"/>
      <c r="G29" s="390">
        <f>ArchitecturalHealthRawScore</f>
        <v>362.99225435777817</v>
      </c>
      <c r="H29" s="390"/>
      <c r="I29" s="390"/>
      <c r="J29" s="295"/>
      <c r="K29" s="390">
        <f>CodeQualityRawScore</f>
        <v>372.87436693078814</v>
      </c>
      <c r="L29" s="390"/>
      <c r="M29" s="390"/>
      <c r="N29" s="295"/>
      <c r="O29" s="390">
        <f>EconomicHealthRawScore</f>
        <v>450.30489408190499</v>
      </c>
      <c r="P29" s="390"/>
      <c r="Q29" s="390"/>
      <c r="R29" s="295"/>
      <c r="S29" s="390">
        <f>OpenSourceRawScore</f>
        <v>767.0291777188329</v>
      </c>
      <c r="T29" s="390"/>
      <c r="U29" s="390"/>
      <c r="V29" s="15"/>
    </row>
    <row r="30" spans="2:22" ht="15.95" customHeight="1">
      <c r="B30" s="22"/>
      <c r="C30" s="388"/>
      <c r="D30" s="388"/>
      <c r="E30" s="388"/>
      <c r="F30" s="241"/>
      <c r="G30" s="390"/>
      <c r="H30" s="390"/>
      <c r="I30" s="390"/>
      <c r="J30" s="295"/>
      <c r="K30" s="390"/>
      <c r="L30" s="390"/>
      <c r="M30" s="390"/>
      <c r="N30" s="295"/>
      <c r="O30" s="390"/>
      <c r="P30" s="390"/>
      <c r="Q30" s="390"/>
      <c r="R30" s="295"/>
      <c r="S30" s="390"/>
      <c r="T30" s="390"/>
      <c r="U30" s="390"/>
      <c r="V30" s="15"/>
    </row>
    <row r="31" spans="2:22" ht="15.95" customHeight="1">
      <c r="B31" s="22"/>
      <c r="C31" s="388"/>
      <c r="D31" s="388"/>
      <c r="E31" s="388"/>
      <c r="F31" s="241"/>
      <c r="G31" s="390"/>
      <c r="H31" s="390"/>
      <c r="I31" s="390"/>
      <c r="J31" s="295"/>
      <c r="K31" s="390"/>
      <c r="L31" s="390"/>
      <c r="M31" s="390"/>
      <c r="N31" s="295"/>
      <c r="O31" s="390"/>
      <c r="P31" s="390"/>
      <c r="Q31" s="390"/>
      <c r="R31" s="295"/>
      <c r="S31" s="390"/>
      <c r="T31" s="390"/>
      <c r="U31" s="390"/>
      <c r="V31" s="15"/>
    </row>
    <row r="32" spans="2:22" ht="15.95" customHeight="1">
      <c r="B32" s="22"/>
      <c r="C32" s="389" t="str">
        <f>IF(AND(C$29&gt;=0,C$29&lt;200),"Very Poor",IF(AND(C$29&gt;=200,C$29&lt;400),"Poor",IF(AND(C$29&gt;=400,C$29&lt;600),"Fair",IF(AND(C$29&gt;=600,C$29&lt;800),"Good",IF(AND(C$29&gt;=800,C$29&lt;=1000),"Excellent","N/A")))))</f>
        <v>Good</v>
      </c>
      <c r="D32" s="389"/>
      <c r="E32" s="389"/>
      <c r="F32" s="241"/>
      <c r="G32" s="389" t="str">
        <f>IF(AND(G$29&gt;=0,G$29&lt;200),"Very Poor",IF(AND(G$29&gt;=200,G$29&lt;400),"Poor",IF(AND(G$29&gt;=400,G$29&lt;600),"Fair",IF(AND(G$29&gt;=600,G$29&lt;800),"Good",IF(AND(G$29&gt;=800,G$29&lt;=1000),"Excellent","N/A")))))</f>
        <v>Poor</v>
      </c>
      <c r="H32" s="389"/>
      <c r="I32" s="389"/>
      <c r="J32" s="295"/>
      <c r="K32" s="389" t="str">
        <f>IF(AND(K$29&gt;=0,K$29&lt;200),"Very Poor",IF(AND(K$29&gt;=200,K$29&lt;400),"Poor",IF(AND(K$29&gt;=400,K$29&lt;600),"Fair",IF(AND(K$29&gt;=600,K$29&lt;800),"Good",IF(AND(K$29&gt;=800,K$29&lt;=1000),"Excellent","N/A")))))</f>
        <v>Poor</v>
      </c>
      <c r="L32" s="389"/>
      <c r="M32" s="389"/>
      <c r="N32" s="295"/>
      <c r="O32" s="389" t="str">
        <f>IF(AND(O$29&gt;=0,O$29&lt;200),"Very Poor",IF(AND(O$29&gt;=200,O$29&lt;400),"Poor",IF(AND(O$29&gt;=400,O$29&lt;600),"Fair",IF(AND(O$29&gt;=600,O$29&lt;800),"Good",IF(AND(O$29&gt;=800,O$29&lt;=1000),"Excellent","N/A")))))</f>
        <v>Fair</v>
      </c>
      <c r="P32" s="389"/>
      <c r="Q32" s="389"/>
      <c r="R32" s="295"/>
      <c r="S32" s="389" t="str">
        <f>IF(AND(S$29&gt;=0,S$29&lt;200),"Very Poor",IF(AND(S$29&gt;=200,S$29&lt;400),"Poor",IF(AND(S$29&gt;=400,S$29&lt;600),"Fair",IF(AND(S$29&gt;=600,S$29&lt;800),"Good",IF(AND(S$29&gt;=800,S$29&lt;=1000),"Excellent","N/A")))))</f>
        <v>Good</v>
      </c>
      <c r="T32" s="389"/>
      <c r="U32" s="389"/>
      <c r="V32" s="15"/>
    </row>
    <row r="33" spans="1:120" ht="15.95" customHeight="1">
      <c r="B33" s="22"/>
      <c r="C33" s="389"/>
      <c r="D33" s="389"/>
      <c r="E33" s="389"/>
      <c r="F33" s="241"/>
      <c r="G33" s="389"/>
      <c r="H33" s="389"/>
      <c r="I33" s="389"/>
      <c r="J33" s="295"/>
      <c r="K33" s="389"/>
      <c r="L33" s="389"/>
      <c r="M33" s="389"/>
      <c r="N33" s="295"/>
      <c r="O33" s="389"/>
      <c r="P33" s="389"/>
      <c r="Q33" s="389"/>
      <c r="R33" s="295"/>
      <c r="S33" s="389"/>
      <c r="T33" s="389"/>
      <c r="U33" s="389"/>
      <c r="V33" s="15"/>
    </row>
    <row r="34" spans="1:120" ht="15.95" customHeight="1">
      <c r="B34" s="22"/>
      <c r="C34" s="242"/>
      <c r="D34" s="242"/>
      <c r="E34" s="242"/>
      <c r="F34" s="14"/>
      <c r="G34" s="14"/>
      <c r="H34" s="14"/>
      <c r="I34" s="14"/>
      <c r="J34" s="14"/>
      <c r="K34" s="14"/>
      <c r="L34" s="14"/>
      <c r="M34" s="14"/>
      <c r="N34" s="14"/>
      <c r="O34" s="14"/>
      <c r="P34" s="14"/>
      <c r="Q34" s="14"/>
      <c r="R34" s="14"/>
      <c r="S34" s="14"/>
      <c r="T34" s="14"/>
      <c r="U34" s="14"/>
      <c r="V34" s="15"/>
    </row>
    <row r="35" spans="1:120" ht="15.95" customHeight="1">
      <c r="B35" s="22"/>
      <c r="C35" s="14"/>
      <c r="D35" s="14"/>
      <c r="E35" s="14"/>
      <c r="F35" s="14"/>
      <c r="G35" s="14"/>
      <c r="H35" s="14"/>
      <c r="I35" s="14"/>
      <c r="J35" s="14"/>
      <c r="K35" s="14"/>
      <c r="L35" s="14"/>
      <c r="M35" s="14"/>
      <c r="N35" s="14"/>
      <c r="O35" s="14"/>
      <c r="P35" s="14"/>
      <c r="Q35" s="14"/>
      <c r="R35" s="14"/>
      <c r="S35" s="14"/>
      <c r="T35" s="14"/>
      <c r="U35" s="14"/>
      <c r="V35" s="15"/>
    </row>
    <row r="36" spans="1:120" ht="36.950000000000003" customHeight="1">
      <c r="B36" s="358" t="s">
        <v>119</v>
      </c>
      <c r="C36" s="358"/>
      <c r="D36" s="358"/>
      <c r="E36" s="358"/>
      <c r="F36" s="358"/>
      <c r="G36" s="358"/>
      <c r="H36" s="358"/>
      <c r="I36" s="358"/>
      <c r="J36" s="358"/>
      <c r="K36" s="358"/>
      <c r="L36" s="358"/>
      <c r="M36" s="358"/>
      <c r="N36" s="358"/>
      <c r="O36" s="358"/>
      <c r="P36" s="358"/>
      <c r="Q36" s="358"/>
      <c r="R36" s="358"/>
      <c r="S36" s="358"/>
      <c r="T36" s="358"/>
      <c r="U36" s="358"/>
      <c r="V36" s="358"/>
    </row>
    <row r="37" spans="1:120" ht="15.95" customHeight="1">
      <c r="B37" s="22"/>
      <c r="C37" s="14"/>
      <c r="D37" s="14"/>
      <c r="E37" s="14"/>
      <c r="F37" s="14"/>
      <c r="G37" s="14"/>
      <c r="H37" s="14"/>
      <c r="I37" s="14"/>
      <c r="J37" s="14"/>
      <c r="K37" s="14"/>
      <c r="L37" s="14"/>
      <c r="M37" s="14"/>
      <c r="N37" s="14"/>
      <c r="O37" s="14"/>
      <c r="P37" s="14"/>
      <c r="Q37" s="14"/>
      <c r="R37" s="14"/>
      <c r="S37" s="14"/>
      <c r="T37" s="14"/>
      <c r="U37" s="14"/>
      <c r="V37" s="15"/>
    </row>
    <row r="38" spans="1:120" s="28" customFormat="1" ht="24.95" customHeight="1">
      <c r="A38" s="25"/>
      <c r="B38" s="26"/>
      <c r="C38" s="360" t="s">
        <v>275</v>
      </c>
      <c r="D38" s="360"/>
      <c r="E38" s="360"/>
      <c r="F38" s="360"/>
      <c r="G38" s="360"/>
      <c r="H38" s="360"/>
      <c r="I38" s="360"/>
      <c r="J38" s="360"/>
      <c r="K38" s="360"/>
      <c r="L38" s="14"/>
      <c r="M38" s="360" t="s">
        <v>277</v>
      </c>
      <c r="N38" s="360"/>
      <c r="O38" s="360"/>
      <c r="P38" s="360"/>
      <c r="Q38" s="360"/>
      <c r="R38" s="360"/>
      <c r="S38" s="360"/>
      <c r="T38" s="360"/>
      <c r="U38" s="360"/>
      <c r="V38" s="27"/>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row>
    <row r="39" spans="1:120" ht="15.95" customHeight="1">
      <c r="B39" s="22"/>
      <c r="C39" s="14"/>
      <c r="D39" s="14"/>
      <c r="E39" s="14"/>
      <c r="F39" s="14"/>
      <c r="G39" s="14"/>
      <c r="H39" s="14"/>
      <c r="I39" s="14"/>
      <c r="J39" s="14"/>
      <c r="K39" s="14"/>
      <c r="L39" s="14"/>
      <c r="M39" s="14"/>
      <c r="N39" s="14"/>
      <c r="O39" s="14"/>
      <c r="P39" s="14"/>
      <c r="Q39" s="14"/>
      <c r="R39" s="14"/>
      <c r="S39" s="14"/>
      <c r="T39" s="14"/>
      <c r="U39" s="14"/>
      <c r="V39" s="15"/>
    </row>
    <row r="40" spans="1:120" ht="15.95" customHeight="1">
      <c r="B40" s="22"/>
      <c r="C40" s="29"/>
      <c r="D40" s="29"/>
      <c r="E40" s="30" t="s">
        <v>35</v>
      </c>
      <c r="F40" s="40" t="s">
        <v>36</v>
      </c>
      <c r="G40" s="14"/>
      <c r="H40" s="14"/>
      <c r="I40" s="14"/>
      <c r="J40" s="14"/>
      <c r="K40" s="14"/>
      <c r="L40" s="14"/>
      <c r="M40" s="245"/>
      <c r="N40" s="246" t="s">
        <v>37</v>
      </c>
      <c r="O40" s="246" t="s">
        <v>38</v>
      </c>
      <c r="P40" s="246" t="s">
        <v>39</v>
      </c>
      <c r="Q40" s="246" t="s">
        <v>40</v>
      </c>
      <c r="R40" s="246" t="s">
        <v>41</v>
      </c>
      <c r="S40" s="31"/>
      <c r="T40" s="31"/>
      <c r="U40" s="31"/>
      <c r="V40" s="15"/>
    </row>
    <row r="41" spans="1:120" ht="15.95" customHeight="1">
      <c r="B41" s="22"/>
      <c r="C41" s="32" t="s">
        <v>38</v>
      </c>
      <c r="D41" s="33"/>
      <c r="E41" s="34">
        <f>COUNTIF(OWASP_TOP_10_Critical,"&gt;0")</f>
        <v>1</v>
      </c>
      <c r="F41" s="34">
        <f>SUM(OWASP_TOP_10_Critical)</f>
        <v>2</v>
      </c>
      <c r="G41" s="14"/>
      <c r="H41" s="14"/>
      <c r="I41" s="14"/>
      <c r="J41" s="14"/>
      <c r="K41" s="14"/>
      <c r="L41" s="14"/>
      <c r="M41" s="247" t="s">
        <v>42</v>
      </c>
      <c r="N41" s="248">
        <f>'Fortify-DISA STIG'!B2</f>
        <v>8</v>
      </c>
      <c r="O41" s="249">
        <f>'Fortify-DISA STIG'!C2</f>
        <v>1</v>
      </c>
      <c r="P41" s="249">
        <f>'Fortify-DISA STIG'!D2</f>
        <v>624</v>
      </c>
      <c r="Q41" s="249">
        <f>'Fortify-DISA STIG'!E2</f>
        <v>0</v>
      </c>
      <c r="R41" s="249">
        <f>'Fortify-DISA STIG'!F2</f>
        <v>537</v>
      </c>
      <c r="S41" s="31"/>
      <c r="T41" s="31"/>
      <c r="U41" s="31"/>
      <c r="V41" s="15"/>
    </row>
    <row r="42" spans="1:120" ht="15.95" customHeight="1">
      <c r="B42" s="22"/>
      <c r="C42" s="35" t="s">
        <v>39</v>
      </c>
      <c r="D42" s="36"/>
      <c r="E42" s="244">
        <f>COUNTIF(OWASP_TOP_10_High,"&gt;0")</f>
        <v>4</v>
      </c>
      <c r="F42" s="34">
        <f>SUM(OWASP_TOP_10_High)</f>
        <v>60</v>
      </c>
      <c r="G42" s="14"/>
      <c r="H42" s="14"/>
      <c r="I42" s="14"/>
      <c r="J42" s="14"/>
      <c r="K42" s="14"/>
      <c r="L42" s="14"/>
      <c r="M42" s="250" t="s">
        <v>43</v>
      </c>
      <c r="N42" s="248">
        <f>'Fortify-DISA STIG'!B3</f>
        <v>24</v>
      </c>
      <c r="O42" s="249">
        <f>'Fortify-DISA STIG'!C3</f>
        <v>1</v>
      </c>
      <c r="P42" s="249">
        <f>'Fortify-DISA STIG'!D3</f>
        <v>1456</v>
      </c>
      <c r="Q42" s="249">
        <f>'Fortify-DISA STIG'!E3</f>
        <v>0</v>
      </c>
      <c r="R42" s="249">
        <f>'Fortify-DISA STIG'!F3</f>
        <v>6103</v>
      </c>
      <c r="S42" s="31"/>
      <c r="T42" s="31"/>
      <c r="U42" s="31"/>
      <c r="V42" s="15"/>
    </row>
    <row r="43" spans="1:120" ht="15.95" customHeight="1">
      <c r="B43" s="22"/>
      <c r="C43" s="35" t="s">
        <v>40</v>
      </c>
      <c r="D43" s="36"/>
      <c r="E43" s="34">
        <f>COUNTIF(OWASP_TOP_10_Medium,"&gt;0")</f>
        <v>0</v>
      </c>
      <c r="F43" s="34">
        <f>SUM(OWASP_TOP_10_Medium)</f>
        <v>0</v>
      </c>
      <c r="G43" s="14"/>
      <c r="H43" s="14"/>
      <c r="I43" s="14"/>
      <c r="J43" s="14"/>
      <c r="K43" s="14"/>
      <c r="L43" s="14"/>
      <c r="M43" s="250" t="s">
        <v>44</v>
      </c>
      <c r="N43" s="248">
        <f>'Fortify-DISA STIG'!B4</f>
        <v>0</v>
      </c>
      <c r="O43" s="249">
        <f>'Fortify-DISA STIG'!C4</f>
        <v>0</v>
      </c>
      <c r="P43" s="249">
        <f>'Fortify-DISA STIG'!D4</f>
        <v>0</v>
      </c>
      <c r="Q43" s="249">
        <f>'Fortify-DISA STIG'!E4</f>
        <v>0</v>
      </c>
      <c r="R43" s="249">
        <f>'Fortify-DISA STIG'!F4</f>
        <v>0</v>
      </c>
      <c r="S43" s="31"/>
      <c r="T43" s="31"/>
      <c r="U43" s="31"/>
      <c r="V43" s="15"/>
    </row>
    <row r="44" spans="1:120" ht="15.95" customHeight="1">
      <c r="B44" s="22"/>
      <c r="C44" s="35" t="s">
        <v>41</v>
      </c>
      <c r="D44" s="36"/>
      <c r="E44" s="34">
        <f>COUNTIF(OWASP_TOP_10_Low,"&gt;0")</f>
        <v>4</v>
      </c>
      <c r="F44" s="34">
        <f>SUM(OWASP_TOP_10_Low)</f>
        <v>457</v>
      </c>
      <c r="G44" s="14"/>
      <c r="H44" s="14"/>
      <c r="I44" s="14"/>
      <c r="J44" s="14"/>
      <c r="K44" s="14"/>
      <c r="L44" s="14"/>
      <c r="M44" s="251" t="s">
        <v>31</v>
      </c>
      <c r="N44" s="252">
        <f>SUM(N41:N43)</f>
        <v>32</v>
      </c>
      <c r="O44" s="252">
        <f>SUM(O41:O43)</f>
        <v>2</v>
      </c>
      <c r="P44" s="252">
        <f>SUM(P41:P43)</f>
        <v>2080</v>
      </c>
      <c r="Q44" s="252">
        <f>SUM(Q41:Q43)</f>
        <v>0</v>
      </c>
      <c r="R44" s="252">
        <f>SUM(R41:R43)</f>
        <v>6640</v>
      </c>
      <c r="T44" s="31"/>
      <c r="U44" s="31"/>
      <c r="V44" s="15"/>
    </row>
    <row r="45" spans="1:120" ht="15.95" customHeight="1">
      <c r="B45" s="22"/>
      <c r="C45" s="14"/>
      <c r="D45" s="14"/>
      <c r="E45" s="14"/>
      <c r="F45" s="14"/>
      <c r="G45" s="14"/>
      <c r="H45" s="14"/>
      <c r="I45" s="14"/>
      <c r="J45" s="14"/>
      <c r="K45" s="14"/>
      <c r="L45" s="14"/>
      <c r="M45" s="14"/>
      <c r="N45" s="14"/>
      <c r="O45" s="14"/>
      <c r="P45" s="14"/>
      <c r="Q45" s="14"/>
      <c r="R45" s="14"/>
      <c r="S45" s="14"/>
      <c r="T45" s="14"/>
      <c r="U45" s="14"/>
      <c r="V45" s="15"/>
    </row>
    <row r="46" spans="1:120" ht="15.95" customHeight="1">
      <c r="B46" s="22"/>
      <c r="C46" s="14"/>
      <c r="D46" s="14"/>
      <c r="E46" s="14"/>
      <c r="F46" s="14"/>
      <c r="G46" s="14"/>
      <c r="H46" s="14"/>
      <c r="I46" s="14"/>
      <c r="J46" s="14"/>
      <c r="K46" s="14"/>
      <c r="L46" s="14"/>
      <c r="M46" s="14"/>
      <c r="N46" s="14"/>
      <c r="O46" s="14"/>
      <c r="P46" s="14"/>
      <c r="Q46" s="14"/>
      <c r="R46" s="14"/>
      <c r="S46" s="14"/>
      <c r="T46" s="14"/>
      <c r="U46" s="14"/>
      <c r="V46" s="15"/>
    </row>
    <row r="47" spans="1:120" ht="36.950000000000003" customHeight="1">
      <c r="B47" s="358" t="s">
        <v>260</v>
      </c>
      <c r="C47" s="358"/>
      <c r="D47" s="358"/>
      <c r="E47" s="358"/>
      <c r="F47" s="358"/>
      <c r="G47" s="358"/>
      <c r="H47" s="358"/>
      <c r="I47" s="358"/>
      <c r="J47" s="358"/>
      <c r="K47" s="358"/>
      <c r="L47" s="358"/>
      <c r="M47" s="358"/>
      <c r="N47" s="358"/>
      <c r="O47" s="358"/>
      <c r="P47" s="358"/>
      <c r="Q47" s="358"/>
      <c r="R47" s="358"/>
      <c r="S47" s="358"/>
      <c r="T47" s="358"/>
      <c r="U47" s="358"/>
      <c r="V47" s="358"/>
    </row>
    <row r="48" spans="1:120" s="43" customFormat="1" ht="15.95" customHeight="1">
      <c r="A48" s="38"/>
      <c r="B48" s="39"/>
      <c r="C48" s="41"/>
      <c r="D48" s="41"/>
      <c r="E48" s="41"/>
      <c r="F48" s="41"/>
      <c r="G48" s="41"/>
      <c r="H48" s="41"/>
      <c r="I48" s="37"/>
      <c r="J48" s="37"/>
      <c r="K48" s="37"/>
      <c r="L48" s="37"/>
      <c r="M48" s="1"/>
      <c r="N48" s="1"/>
      <c r="O48" s="1"/>
      <c r="P48" s="1"/>
      <c r="Q48" s="37"/>
      <c r="R48" s="37"/>
      <c r="S48" s="47"/>
      <c r="T48" s="37"/>
      <c r="U48" s="37"/>
      <c r="V48" s="42"/>
      <c r="W48" s="38"/>
      <c r="X48" s="1"/>
      <c r="Y48" s="1"/>
      <c r="Z48" s="1"/>
      <c r="AA48" s="1"/>
      <c r="AB48" s="1"/>
      <c r="AC48" s="1"/>
      <c r="AD48" s="1"/>
      <c r="AE48" s="1"/>
      <c r="AF48" s="1"/>
      <c r="AG48" s="1"/>
      <c r="AH48" s="1"/>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row>
    <row r="49" spans="1:120" ht="36.75" customHeight="1">
      <c r="B49" s="22"/>
      <c r="C49" s="363" t="s">
        <v>62</v>
      </c>
      <c r="D49" s="363"/>
      <c r="E49" s="363"/>
      <c r="F49" s="261"/>
      <c r="G49" s="363" t="s">
        <v>63</v>
      </c>
      <c r="H49" s="363"/>
      <c r="I49" s="363"/>
      <c r="J49" s="261"/>
      <c r="K49" s="363" t="s">
        <v>64</v>
      </c>
      <c r="L49" s="363"/>
      <c r="M49" s="363"/>
      <c r="N49" s="267"/>
      <c r="O49" s="363" t="s">
        <v>65</v>
      </c>
      <c r="P49" s="363"/>
      <c r="Q49" s="363"/>
      <c r="R49" s="267"/>
      <c r="S49" s="364" t="s">
        <v>66</v>
      </c>
      <c r="T49" s="364"/>
      <c r="U49" s="364"/>
      <c r="V49" s="15"/>
    </row>
    <row r="50" spans="1:120" ht="15.95" customHeight="1">
      <c r="B50" s="22"/>
      <c r="C50" s="261"/>
      <c r="D50" s="261"/>
      <c r="E50" s="261"/>
      <c r="F50" s="261"/>
      <c r="G50" s="261"/>
      <c r="H50" s="261"/>
      <c r="I50" s="261"/>
      <c r="J50" s="261"/>
      <c r="K50" s="261"/>
      <c r="L50" s="261"/>
      <c r="M50" s="261"/>
      <c r="N50" s="267"/>
      <c r="O50" s="261"/>
      <c r="P50" s="261"/>
      <c r="Q50" s="261"/>
      <c r="R50" s="267"/>
      <c r="S50" s="261"/>
      <c r="T50" s="261"/>
      <c r="U50" s="261"/>
      <c r="V50" s="15"/>
    </row>
    <row r="51" spans="1:120" ht="15.95" customHeight="1">
      <c r="B51" s="22"/>
      <c r="C51" s="365">
        <f>CriticalCores</f>
        <v>1</v>
      </c>
      <c r="D51" s="365"/>
      <c r="E51" s="365"/>
      <c r="F51" s="261"/>
      <c r="G51" s="366">
        <f>EmergingCores</f>
        <v>2</v>
      </c>
      <c r="H51" s="366"/>
      <c r="I51" s="366"/>
      <c r="J51" s="261"/>
      <c r="K51" s="366">
        <f>LargestCoreFiles</f>
        <v>176</v>
      </c>
      <c r="L51" s="366"/>
      <c r="M51" s="366"/>
      <c r="N51" s="268"/>
      <c r="O51" s="367" cm="1">
        <f t="array" ref="O51">LOCInsideACorePercentage</f>
        <v>0.31853591981720664</v>
      </c>
      <c r="P51" s="367"/>
      <c r="Q51" s="367"/>
      <c r="R51" s="267"/>
      <c r="S51" s="367">
        <f>IF(SingleChangeImpact&gt;0,SingleChangeImpact/Files, 0)</f>
        <v>0.48912466843501329</v>
      </c>
      <c r="T51" s="367"/>
      <c r="U51" s="367"/>
      <c r="V51" s="15"/>
    </row>
    <row r="52" spans="1:120" s="43" customFormat="1" ht="15.95" customHeight="1">
      <c r="A52" s="38"/>
      <c r="B52" s="39"/>
      <c r="C52" s="365"/>
      <c r="D52" s="365"/>
      <c r="E52" s="365"/>
      <c r="F52" s="261"/>
      <c r="G52" s="366"/>
      <c r="H52" s="366"/>
      <c r="I52" s="366"/>
      <c r="J52" s="261"/>
      <c r="K52" s="366"/>
      <c r="L52" s="366"/>
      <c r="M52" s="366"/>
      <c r="N52" s="267"/>
      <c r="O52" s="367"/>
      <c r="P52" s="367"/>
      <c r="Q52" s="367"/>
      <c r="R52" s="267"/>
      <c r="S52" s="367"/>
      <c r="T52" s="367"/>
      <c r="U52" s="367"/>
      <c r="V52" s="42"/>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row>
    <row r="53" spans="1:120" s="43" customFormat="1" ht="15.95" customHeight="1">
      <c r="A53" s="38"/>
      <c r="B53" s="39"/>
      <c r="C53" s="365"/>
      <c r="D53" s="365"/>
      <c r="E53" s="365"/>
      <c r="F53" s="261"/>
      <c r="G53" s="366"/>
      <c r="H53" s="366"/>
      <c r="I53" s="366"/>
      <c r="J53" s="261"/>
      <c r="K53" s="366"/>
      <c r="L53" s="366"/>
      <c r="M53" s="366"/>
      <c r="N53" s="267"/>
      <c r="O53" s="367"/>
      <c r="P53" s="367"/>
      <c r="Q53" s="367"/>
      <c r="R53" s="269"/>
      <c r="S53" s="367"/>
      <c r="T53" s="367"/>
      <c r="U53" s="367"/>
      <c r="V53" s="42"/>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row>
    <row r="54" spans="1:120" s="43" customFormat="1" ht="15.95" customHeight="1">
      <c r="A54" s="38"/>
      <c r="B54" s="39"/>
      <c r="C54" s="355" t="str">
        <f>IF(C51=0, "Excellent", IF(C51=1, "Good", IF(C51=2, "Fair", IF(C51=3, "Poor", "Very Poor" ))))</f>
        <v>Good</v>
      </c>
      <c r="D54" s="356"/>
      <c r="E54" s="357"/>
      <c r="F54" s="261"/>
      <c r="G54" s="355" t="str">
        <f>IF(G51=0, "Excellent", IF(G51=1, "Good", IF(G51=2, "Fair", IF(G51=3, "Poor", "Very Poor" ))))</f>
        <v>Fair</v>
      </c>
      <c r="H54" s="356"/>
      <c r="I54" s="357"/>
      <c r="J54" s="261"/>
      <c r="K54" s="355" t="str">
        <f>IF(AND(K51&gt;=0,K51&lt;=35),"Excellent",IF(AND(K51&gt;35,K51&lt;=100),"Good",IF(AND(K51&gt;100,K51&lt;=150),"Fair",IF(AND(K51&gt;150,K51&lt;=300),"Poor","Very Poor"))))</f>
        <v>Poor</v>
      </c>
      <c r="L54" s="356"/>
      <c r="M54" s="357"/>
      <c r="N54" s="267"/>
      <c r="O54" s="355" t="str">
        <f>IF(AND(O51&gt;=0,O51&lt;=0.05),"Excellent",IF(AND(O51&gt;0.05,O51&lt;=0.1),"Good",IF(AND(O51&gt;0.1,O51&lt;=0.15),"Fair",IF(AND(O51&gt;0.15,O51&lt;=0.2),"Poor","Very Poor"))))</f>
        <v>Very Poor</v>
      </c>
      <c r="P54" s="356"/>
      <c r="Q54" s="357"/>
      <c r="R54" s="267"/>
      <c r="S54" s="355" t="str">
        <f>IF(AND(S51&gt;=0,S51&lt;=0.05),"Excellent",IF(AND(S51&gt;0.05,S51&lt;=0.1),"Good",IF(AND(S51&gt;0.1,S51&lt;=0.15),"Fair",IF(AND(S51&gt;0.15,S51&lt;=0.2),"Poor","Very Poor"))))</f>
        <v>Very Poor</v>
      </c>
      <c r="T54" s="356"/>
      <c r="U54" s="357"/>
      <c r="V54" s="42"/>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row>
    <row r="55" spans="1:120" s="43" customFormat="1" ht="15.95" customHeight="1">
      <c r="A55" s="38"/>
      <c r="B55" s="39"/>
      <c r="C55" s="37"/>
      <c r="D55" s="37"/>
      <c r="E55" s="37"/>
      <c r="F55" s="37"/>
      <c r="G55" s="37"/>
      <c r="H55" s="37"/>
      <c r="I55" s="37"/>
      <c r="J55" s="37"/>
      <c r="K55" s="37"/>
      <c r="L55" s="37"/>
      <c r="M55" s="1"/>
      <c r="N55" s="1"/>
      <c r="O55" s="1"/>
      <c r="P55" s="1"/>
      <c r="Q55" s="1"/>
      <c r="R55" s="1"/>
      <c r="S55" s="1"/>
      <c r="T55" s="1"/>
      <c r="U55" s="1"/>
      <c r="V55" s="42"/>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row>
    <row r="56" spans="1:120" s="43" customFormat="1" ht="15.95" customHeight="1">
      <c r="A56" s="38"/>
      <c r="B56" s="39"/>
      <c r="C56" s="37"/>
      <c r="D56" s="37"/>
      <c r="E56" s="37"/>
      <c r="F56" s="37"/>
      <c r="G56" s="37"/>
      <c r="H56" s="37"/>
      <c r="I56" s="37"/>
      <c r="J56" s="37"/>
      <c r="K56" s="37"/>
      <c r="L56" s="37"/>
      <c r="M56" s="14"/>
      <c r="N56" s="14"/>
      <c r="O56" s="14"/>
      <c r="P56" s="14"/>
      <c r="Q56" s="14"/>
      <c r="R56" s="1"/>
      <c r="S56" s="1"/>
      <c r="T56" s="1"/>
      <c r="U56" s="1"/>
      <c r="V56" s="42"/>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row>
    <row r="57" spans="1:120" s="43" customFormat="1" ht="15.95" customHeight="1">
      <c r="A57" s="38"/>
      <c r="B57" s="39"/>
      <c r="C57" s="37"/>
      <c r="D57" s="37"/>
      <c r="E57" s="37"/>
      <c r="F57" s="37"/>
      <c r="G57" s="37"/>
      <c r="H57" s="37"/>
      <c r="I57" s="37"/>
      <c r="J57" s="37"/>
      <c r="K57" s="37"/>
      <c r="L57" s="37"/>
      <c r="M57" s="37"/>
      <c r="N57" s="37"/>
      <c r="O57" s="37"/>
      <c r="P57" s="37"/>
      <c r="Q57" s="37"/>
      <c r="R57" s="37"/>
      <c r="S57" s="37"/>
      <c r="T57" s="37"/>
      <c r="U57" s="37"/>
      <c r="V57" s="42"/>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DI57" s="38"/>
      <c r="DJ57" s="38"/>
      <c r="DK57" s="38"/>
      <c r="DL57" s="38"/>
      <c r="DM57" s="38"/>
      <c r="DN57" s="38"/>
      <c r="DO57" s="38"/>
      <c r="DP57" s="38"/>
    </row>
    <row r="58" spans="1:120" ht="36.950000000000003" customHeight="1">
      <c r="B58" s="358" t="s">
        <v>124</v>
      </c>
      <c r="C58" s="358"/>
      <c r="D58" s="358"/>
      <c r="E58" s="358"/>
      <c r="F58" s="358"/>
      <c r="G58" s="358"/>
      <c r="H58" s="358"/>
      <c r="I58" s="358"/>
      <c r="J58" s="358"/>
      <c r="K58" s="358"/>
      <c r="L58" s="358"/>
      <c r="M58" s="358"/>
      <c r="N58" s="358"/>
      <c r="O58" s="358"/>
      <c r="P58" s="358"/>
      <c r="Q58" s="358"/>
      <c r="R58" s="358"/>
      <c r="S58" s="358"/>
      <c r="T58" s="358"/>
      <c r="U58" s="358"/>
      <c r="V58" s="358"/>
    </row>
    <row r="59" spans="1:120" ht="15.95" customHeight="1">
      <c r="B59" s="22"/>
      <c r="C59" s="14"/>
      <c r="D59" s="14"/>
      <c r="E59" s="14"/>
      <c r="F59" s="14"/>
      <c r="G59" s="14"/>
      <c r="H59" s="14"/>
      <c r="I59" s="14"/>
      <c r="J59" s="14"/>
      <c r="K59" s="14"/>
      <c r="L59" s="14"/>
      <c r="M59" s="14"/>
      <c r="N59" s="14"/>
      <c r="O59" s="14"/>
      <c r="P59" s="14"/>
      <c r="Q59" s="14"/>
      <c r="R59" s="14"/>
      <c r="S59" s="14"/>
      <c r="T59" s="14"/>
      <c r="U59" s="14"/>
      <c r="V59" s="15"/>
    </row>
    <row r="60" spans="1:120" s="28" customFormat="1" ht="24.95" customHeight="1">
      <c r="A60" s="25"/>
      <c r="B60" s="26"/>
      <c r="C60" s="360" t="s">
        <v>45</v>
      </c>
      <c r="D60" s="360"/>
      <c r="E60" s="360"/>
      <c r="F60" s="360"/>
      <c r="G60" s="360"/>
      <c r="H60" s="360"/>
      <c r="I60" s="360"/>
      <c r="J60" s="360"/>
      <c r="K60" s="360"/>
      <c r="L60" s="360"/>
      <c r="M60" s="360"/>
      <c r="N60" s="360"/>
      <c r="O60" s="360"/>
      <c r="P60" s="360"/>
      <c r="Q60" s="360"/>
      <c r="R60" s="360"/>
      <c r="S60" s="360"/>
      <c r="T60" s="360"/>
      <c r="U60" s="360"/>
      <c r="V60" s="27"/>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row>
    <row r="61" spans="1:120" ht="15.95" customHeight="1">
      <c r="B61" s="22"/>
      <c r="C61" s="37"/>
      <c r="D61" s="37"/>
      <c r="E61" s="37"/>
      <c r="F61" s="37"/>
      <c r="G61" s="37"/>
      <c r="H61" s="338"/>
      <c r="I61" s="37"/>
      <c r="J61" s="37"/>
      <c r="K61" s="37"/>
      <c r="L61" s="37"/>
      <c r="M61" s="37"/>
      <c r="N61" s="14"/>
      <c r="O61" s="14"/>
      <c r="P61" s="14"/>
      <c r="Q61" s="14"/>
      <c r="R61" s="14"/>
      <c r="S61" s="14"/>
      <c r="T61" s="14"/>
      <c r="U61" s="14"/>
      <c r="V61" s="15"/>
    </row>
    <row r="62" spans="1:120" s="43" customFormat="1" ht="15.95" customHeight="1">
      <c r="A62" s="38"/>
      <c r="B62" s="39"/>
      <c r="C62" s="253"/>
      <c r="D62" s="253"/>
      <c r="E62" s="253"/>
      <c r="F62" s="254" t="s">
        <v>46</v>
      </c>
      <c r="G62" s="254" t="s">
        <v>38</v>
      </c>
      <c r="H62" s="254" t="s">
        <v>47</v>
      </c>
      <c r="I62" s="254" t="s">
        <v>48</v>
      </c>
      <c r="J62" s="254" t="s">
        <v>49</v>
      </c>
      <c r="K62" s="255" t="s">
        <v>31</v>
      </c>
      <c r="L62" s="41"/>
      <c r="M62" s="41"/>
      <c r="N62" s="41"/>
      <c r="O62" s="41"/>
      <c r="P62" s="41"/>
      <c r="Q62" s="41"/>
      <c r="R62" s="41"/>
      <c r="S62" s="37"/>
      <c r="T62" s="37"/>
      <c r="U62" s="37"/>
      <c r="V62" s="42"/>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c r="BO62" s="38"/>
      <c r="BP62" s="38"/>
      <c r="BQ62" s="38"/>
      <c r="BR62" s="38"/>
      <c r="BS62" s="38"/>
      <c r="BT62" s="38"/>
      <c r="BU62" s="38"/>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DI62" s="38"/>
      <c r="DJ62" s="38"/>
      <c r="DK62" s="38"/>
      <c r="DL62" s="38"/>
      <c r="DM62" s="38"/>
      <c r="DN62" s="38"/>
      <c r="DO62" s="38"/>
      <c r="DP62" s="38"/>
    </row>
    <row r="63" spans="1:120" s="43" customFormat="1" ht="15.95" customHeight="1">
      <c r="A63" s="38"/>
      <c r="B63" s="39"/>
      <c r="C63" s="354" t="s">
        <v>50</v>
      </c>
      <c r="D63" s="354"/>
      <c r="E63" s="354"/>
      <c r="F63" s="256">
        <f>BugBlocker</f>
        <v>98</v>
      </c>
      <c r="G63" s="256">
        <f>BugCritical</f>
        <v>34</v>
      </c>
      <c r="H63" s="256">
        <f>BugMajor</f>
        <v>509</v>
      </c>
      <c r="I63" s="256">
        <f>BugMinor</f>
        <v>203</v>
      </c>
      <c r="J63" s="256">
        <f>BugInfo</f>
        <v>0</v>
      </c>
      <c r="K63" s="257">
        <f>SUM(F63:J63)</f>
        <v>844</v>
      </c>
      <c r="L63" s="41"/>
      <c r="M63" s="41"/>
      <c r="N63" s="41"/>
      <c r="O63" s="41"/>
      <c r="P63" s="41"/>
      <c r="Q63" s="41"/>
      <c r="R63" s="41"/>
      <c r="S63" s="37"/>
      <c r="T63" s="37"/>
      <c r="U63" s="37"/>
      <c r="V63" s="42"/>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DI63" s="38"/>
      <c r="DJ63" s="38"/>
      <c r="DK63" s="38"/>
      <c r="DL63" s="38"/>
      <c r="DM63" s="38"/>
      <c r="DN63" s="38"/>
      <c r="DO63" s="38"/>
      <c r="DP63" s="38"/>
    </row>
    <row r="64" spans="1:120" s="43" customFormat="1" ht="15.95" customHeight="1">
      <c r="A64" s="38"/>
      <c r="B64" s="39"/>
      <c r="C64" s="354" t="s">
        <v>51</v>
      </c>
      <c r="D64" s="354"/>
      <c r="E64" s="354"/>
      <c r="F64" s="258">
        <f>VulnerabilityBlocker</f>
        <v>0</v>
      </c>
      <c r="G64" s="258">
        <f>VulnerabilityCritical</f>
        <v>2</v>
      </c>
      <c r="H64" s="258">
        <f>VulnerabilityMajor</f>
        <v>0</v>
      </c>
      <c r="I64" s="258">
        <f>VulnerabilityMinor</f>
        <v>810</v>
      </c>
      <c r="J64" s="258">
        <f>VulnerabilityInfo</f>
        <v>0</v>
      </c>
      <c r="K64" s="257">
        <f>SUM(F64:J64)</f>
        <v>812</v>
      </c>
      <c r="L64" s="41"/>
      <c r="M64" s="41"/>
      <c r="N64" s="41"/>
      <c r="O64" s="41"/>
      <c r="P64" s="41"/>
      <c r="Q64" s="41"/>
      <c r="R64" s="41"/>
      <c r="S64" s="37"/>
      <c r="T64" s="37"/>
      <c r="U64" s="37"/>
      <c r="V64" s="42"/>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DI64" s="38"/>
      <c r="DJ64" s="38"/>
      <c r="DK64" s="38"/>
      <c r="DL64" s="38"/>
      <c r="DM64" s="38"/>
      <c r="DN64" s="38"/>
      <c r="DO64" s="38"/>
      <c r="DP64" s="38"/>
    </row>
    <row r="65" spans="1:120" s="43" customFormat="1" ht="15.95" customHeight="1">
      <c r="A65" s="38"/>
      <c r="B65" s="39"/>
      <c r="C65" s="354" t="s">
        <v>52</v>
      </c>
      <c r="D65" s="354"/>
      <c r="E65" s="354"/>
      <c r="F65" s="258">
        <f>CodeSmellBlocker</f>
        <v>211</v>
      </c>
      <c r="G65" s="258">
        <f>CodeSmellCitical</f>
        <v>4479</v>
      </c>
      <c r="H65" s="258">
        <f>CodeSmellMajor</f>
        <v>11194</v>
      </c>
      <c r="I65" s="258">
        <f>CodeSmellMinor</f>
        <v>10228</v>
      </c>
      <c r="J65" s="258">
        <f>CodeSmellInfo</f>
        <v>1034</v>
      </c>
      <c r="K65" s="257">
        <f>SUM(F65:J65)</f>
        <v>27146</v>
      </c>
      <c r="L65" s="41"/>
      <c r="M65" s="41"/>
      <c r="N65" s="41"/>
      <c r="O65" s="41"/>
      <c r="P65" s="41"/>
      <c r="Q65" s="41"/>
      <c r="R65" s="41"/>
      <c r="S65" s="37"/>
      <c r="T65" s="37"/>
      <c r="U65" s="37"/>
      <c r="V65" s="42"/>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row>
    <row r="66" spans="1:120" s="43" customFormat="1" ht="15.95" customHeight="1">
      <c r="A66" s="38"/>
      <c r="B66" s="39"/>
      <c r="C66" s="354" t="s">
        <v>31</v>
      </c>
      <c r="D66" s="354"/>
      <c r="E66" s="354"/>
      <c r="F66" s="259">
        <f>SUM(F63:F65)</f>
        <v>309</v>
      </c>
      <c r="G66" s="259">
        <f>SUM(G63:G65)</f>
        <v>4515</v>
      </c>
      <c r="H66" s="259">
        <f>SUM(H63:H65)</f>
        <v>11703</v>
      </c>
      <c r="I66" s="259">
        <f>SUM(I63:I65)</f>
        <v>11241</v>
      </c>
      <c r="J66" s="259">
        <f>SUM(J63:J65)</f>
        <v>1034</v>
      </c>
      <c r="K66" s="257">
        <f>SUM(F66:J66)</f>
        <v>28802</v>
      </c>
      <c r="L66" s="41"/>
      <c r="M66" s="41"/>
      <c r="N66" s="41"/>
      <c r="O66" s="41"/>
      <c r="P66" s="41"/>
      <c r="Q66" s="41"/>
      <c r="R66" s="41"/>
      <c r="S66" s="37"/>
      <c r="T66" s="37"/>
      <c r="U66" s="37"/>
      <c r="V66" s="42"/>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38"/>
      <c r="CM66" s="38"/>
      <c r="CN66" s="38"/>
      <c r="CO66" s="38"/>
      <c r="CP66" s="38"/>
      <c r="CQ66" s="38"/>
      <c r="CR66" s="38"/>
      <c r="CS66" s="38"/>
      <c r="CT66" s="38"/>
      <c r="CU66" s="38"/>
      <c r="CV66" s="38"/>
      <c r="CW66" s="38"/>
      <c r="CX66" s="38"/>
      <c r="CY66" s="38"/>
      <c r="CZ66" s="38"/>
      <c r="DA66" s="38"/>
      <c r="DB66" s="38"/>
      <c r="DC66" s="38"/>
      <c r="DD66" s="38"/>
      <c r="DE66" s="38"/>
      <c r="DF66" s="38"/>
      <c r="DG66" s="38"/>
      <c r="DH66" s="38"/>
      <c r="DI66" s="38"/>
      <c r="DJ66" s="38"/>
      <c r="DK66" s="38"/>
      <c r="DL66" s="38"/>
      <c r="DM66" s="38"/>
      <c r="DN66" s="38"/>
      <c r="DO66" s="38"/>
      <c r="DP66" s="38"/>
    </row>
    <row r="67" spans="1:120" s="43" customFormat="1" ht="15.95" customHeight="1">
      <c r="A67" s="38"/>
      <c r="B67" s="39"/>
      <c r="C67" s="37"/>
      <c r="D67" s="37"/>
      <c r="E67" s="37"/>
      <c r="F67" s="37"/>
      <c r="G67" s="37"/>
      <c r="H67" s="37"/>
      <c r="I67" s="37"/>
      <c r="J67" s="37"/>
      <c r="K67" s="37"/>
      <c r="L67" s="37"/>
      <c r="M67" s="37"/>
      <c r="N67" s="37"/>
      <c r="O67" s="37"/>
      <c r="P67" s="37"/>
      <c r="Q67" s="37"/>
      <c r="R67" s="37"/>
      <c r="S67" s="37"/>
      <c r="T67" s="37"/>
      <c r="U67" s="37"/>
      <c r="V67" s="42"/>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c r="BP67" s="38"/>
      <c r="BQ67" s="38"/>
      <c r="BR67" s="38"/>
      <c r="BS67" s="38"/>
      <c r="BT67" s="38"/>
      <c r="BU67" s="38"/>
      <c r="BV67" s="38"/>
      <c r="BW67" s="38"/>
      <c r="BX67" s="38"/>
      <c r="BY67" s="38"/>
      <c r="BZ67" s="38"/>
      <c r="CA67" s="38"/>
      <c r="CB67" s="38"/>
      <c r="CC67" s="38"/>
      <c r="CD67" s="38"/>
      <c r="CE67" s="38"/>
      <c r="CF67" s="38"/>
      <c r="CG67" s="38"/>
      <c r="CH67" s="38"/>
      <c r="CI67" s="38"/>
      <c r="CJ67" s="38"/>
      <c r="CK67" s="38"/>
      <c r="CL67" s="38"/>
      <c r="CM67" s="38"/>
      <c r="CN67" s="38"/>
      <c r="CO67" s="38"/>
      <c r="CP67" s="38"/>
      <c r="CQ67" s="38"/>
      <c r="CR67" s="38"/>
      <c r="CS67" s="38"/>
      <c r="CT67" s="38"/>
      <c r="CU67" s="38"/>
      <c r="CV67" s="38"/>
      <c r="CW67" s="38"/>
      <c r="CX67" s="38"/>
      <c r="CY67" s="38"/>
      <c r="CZ67" s="38"/>
      <c r="DA67" s="38"/>
      <c r="DB67" s="38"/>
      <c r="DC67" s="38"/>
      <c r="DD67" s="38"/>
      <c r="DE67" s="38"/>
      <c r="DF67" s="38"/>
      <c r="DG67" s="38"/>
      <c r="DH67" s="38"/>
      <c r="DI67" s="38"/>
      <c r="DJ67" s="38"/>
      <c r="DK67" s="38"/>
      <c r="DL67" s="38"/>
      <c r="DM67" s="38"/>
      <c r="DN67" s="38"/>
      <c r="DO67" s="38"/>
      <c r="DP67" s="38"/>
    </row>
    <row r="68" spans="1:120" s="43" customFormat="1" ht="15.95" customHeight="1">
      <c r="A68" s="38"/>
      <c r="B68" s="39"/>
      <c r="C68" s="37"/>
      <c r="D68" s="37"/>
      <c r="E68" s="37"/>
      <c r="F68" s="37"/>
      <c r="G68" s="37"/>
      <c r="H68" s="37"/>
      <c r="I68" s="37"/>
      <c r="J68" s="37"/>
      <c r="K68" s="37"/>
      <c r="L68" s="37"/>
      <c r="M68" s="37"/>
      <c r="N68" s="37"/>
      <c r="O68" s="37"/>
      <c r="P68" s="37"/>
      <c r="Q68" s="37"/>
      <c r="R68" s="37"/>
      <c r="S68" s="37"/>
      <c r="T68" s="37"/>
      <c r="U68" s="37"/>
      <c r="V68" s="42"/>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row>
    <row r="69" spans="1:120" ht="15.95" customHeight="1">
      <c r="B69" s="22"/>
      <c r="C69" s="44"/>
      <c r="D69" s="14"/>
      <c r="E69" s="14"/>
      <c r="F69" s="14"/>
      <c r="G69" s="14"/>
      <c r="H69" s="14"/>
      <c r="I69" s="14"/>
      <c r="J69" s="14"/>
      <c r="K69" s="14"/>
      <c r="L69" s="14"/>
      <c r="M69" s="14"/>
      <c r="N69" s="14"/>
      <c r="O69" s="14"/>
      <c r="P69" s="14"/>
      <c r="Q69" s="14"/>
      <c r="R69" s="14"/>
      <c r="S69" s="14"/>
      <c r="T69" s="14"/>
      <c r="U69" s="14"/>
      <c r="V69" s="15"/>
    </row>
    <row r="70" spans="1:120" s="28" customFormat="1" ht="24.95" customHeight="1">
      <c r="A70" s="25"/>
      <c r="B70" s="26"/>
      <c r="C70" s="360" t="s">
        <v>53</v>
      </c>
      <c r="D70" s="360"/>
      <c r="E70" s="360"/>
      <c r="F70" s="360"/>
      <c r="G70" s="360"/>
      <c r="H70" s="360"/>
      <c r="I70" s="360"/>
      <c r="J70" s="360"/>
      <c r="K70" s="360"/>
      <c r="L70" s="45"/>
      <c r="M70" s="360" t="s">
        <v>54</v>
      </c>
      <c r="N70" s="360"/>
      <c r="O70" s="360"/>
      <c r="P70" s="360"/>
      <c r="Q70" s="360"/>
      <c r="R70" s="360"/>
      <c r="S70" s="360"/>
      <c r="T70" s="360"/>
      <c r="U70" s="360"/>
      <c r="V70" s="27"/>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row>
    <row r="71" spans="1:120" ht="15.95" customHeight="1">
      <c r="B71" s="22"/>
      <c r="C71" s="46"/>
      <c r="D71" s="46"/>
      <c r="E71" s="46"/>
      <c r="F71" s="46"/>
      <c r="G71" s="46"/>
      <c r="H71" s="46"/>
      <c r="I71" s="14"/>
      <c r="J71" s="14"/>
      <c r="K71" s="14"/>
      <c r="L71" s="14"/>
      <c r="M71" s="14"/>
      <c r="N71" s="14"/>
      <c r="O71" s="14"/>
      <c r="P71" s="14"/>
      <c r="Q71" s="14"/>
      <c r="R71" s="14"/>
      <c r="S71" s="14"/>
      <c r="T71" s="14"/>
      <c r="U71" s="14"/>
      <c r="V71" s="15"/>
    </row>
    <row r="72" spans="1:120" s="43" customFormat="1" ht="15.95" customHeight="1">
      <c r="A72" s="38"/>
      <c r="B72" s="39"/>
      <c r="C72" s="253"/>
      <c r="D72" s="253"/>
      <c r="E72" s="260"/>
      <c r="F72" s="361" t="s">
        <v>55</v>
      </c>
      <c r="G72" s="361"/>
      <c r="H72" s="361"/>
      <c r="I72" s="361" t="s">
        <v>31</v>
      </c>
      <c r="J72" s="361"/>
      <c r="K72" s="361"/>
      <c r="L72" s="261"/>
      <c r="M72" s="253"/>
      <c r="N72" s="253"/>
      <c r="O72" s="253"/>
      <c r="P72" s="260" t="s">
        <v>31</v>
      </c>
      <c r="Q72" s="260" t="s">
        <v>56</v>
      </c>
      <c r="R72" s="47"/>
      <c r="S72" s="47"/>
      <c r="T72" s="37"/>
      <c r="U72" s="37"/>
      <c r="V72" s="42"/>
      <c r="W72" s="38"/>
      <c r="X72" s="1"/>
      <c r="Y72" s="1"/>
      <c r="Z72" s="1"/>
      <c r="AA72" s="1"/>
      <c r="AB72" s="1"/>
      <c r="AC72" s="1"/>
      <c r="AD72" s="1"/>
      <c r="AE72" s="1"/>
      <c r="AF72" s="1"/>
      <c r="AG72" s="1"/>
      <c r="AH72" s="1"/>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row>
    <row r="73" spans="1:120" s="43" customFormat="1" ht="15.95" customHeight="1">
      <c r="A73" s="38"/>
      <c r="B73" s="39"/>
      <c r="C73" s="354" t="s">
        <v>57</v>
      </c>
      <c r="D73" s="354"/>
      <c r="E73" s="354"/>
      <c r="F73" s="362">
        <f>CyclomaticAverage</f>
        <v>50.192042440318303</v>
      </c>
      <c r="G73" s="362"/>
      <c r="H73" s="362"/>
      <c r="I73" s="362">
        <f>Cyclomatic</f>
        <v>94612</v>
      </c>
      <c r="J73" s="362"/>
      <c r="K73" s="362"/>
      <c r="L73" s="261"/>
      <c r="M73" s="262" t="s">
        <v>58</v>
      </c>
      <c r="N73" s="262"/>
      <c r="O73" s="262"/>
      <c r="P73" s="256">
        <f>HignComplexityFiles</f>
        <v>108</v>
      </c>
      <c r="Q73" s="299">
        <f>IF(HignComplexityFiles&gt;0,HignComplexityFiles/Files,0)</f>
        <v>5.7294429708222815E-2</v>
      </c>
      <c r="R73" s="47"/>
      <c r="S73" s="47"/>
      <c r="T73" s="37"/>
      <c r="U73" s="37"/>
      <c r="V73" s="42"/>
      <c r="W73" s="38"/>
      <c r="X73" s="1"/>
      <c r="Y73" s="1"/>
      <c r="Z73" s="1"/>
      <c r="AA73" s="1"/>
      <c r="AB73" s="1"/>
      <c r="AC73" s="1"/>
      <c r="AD73" s="1"/>
      <c r="AE73" s="1"/>
      <c r="AF73" s="1"/>
      <c r="AG73" s="1"/>
      <c r="AH73" s="1"/>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row>
    <row r="74" spans="1:120" s="43" customFormat="1" ht="15.95" customHeight="1">
      <c r="A74" s="38"/>
      <c r="B74" s="39"/>
      <c r="C74" s="348" t="s">
        <v>302</v>
      </c>
      <c r="D74" s="348"/>
      <c r="E74" s="348"/>
      <c r="F74" s="507">
        <f>CognitiveAverage</f>
        <v>51.768700265251987</v>
      </c>
      <c r="G74" s="507"/>
      <c r="H74" s="507"/>
      <c r="I74" s="507">
        <f>Cognitive</f>
        <v>97584</v>
      </c>
      <c r="J74" s="507"/>
      <c r="K74" s="507"/>
      <c r="L74" s="261"/>
      <c r="M74" s="263" t="s">
        <v>59</v>
      </c>
      <c r="N74" s="263"/>
      <c r="O74" s="263"/>
      <c r="P74" s="258">
        <f>MediumComplexityFiles</f>
        <v>157</v>
      </c>
      <c r="Q74" s="299">
        <f>IF(MediumComplexityFiles&gt;0,MediumComplexityFiles/Files,0)</f>
        <v>8.3289124668435008E-2</v>
      </c>
      <c r="R74" s="47"/>
      <c r="S74" s="47"/>
      <c r="T74" s="37"/>
      <c r="U74" s="37"/>
      <c r="V74" s="42"/>
      <c r="W74" s="38"/>
      <c r="X74" s="1"/>
      <c r="Y74" s="1"/>
      <c r="Z74" s="1"/>
      <c r="AA74" s="1"/>
      <c r="AB74" s="1"/>
      <c r="AC74" s="1"/>
      <c r="AD74" s="1"/>
      <c r="AE74" s="1"/>
      <c r="AF74" s="1"/>
      <c r="AG74" s="1"/>
      <c r="AH74" s="1"/>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row>
    <row r="75" spans="1:120" s="43" customFormat="1" ht="15.95" customHeight="1">
      <c r="A75" s="38"/>
      <c r="B75" s="39"/>
      <c r="C75" s="264"/>
      <c r="D75" s="264"/>
      <c r="E75" s="264"/>
      <c r="F75" s="264"/>
      <c r="G75" s="264"/>
      <c r="H75" s="41"/>
      <c r="I75" s="37"/>
      <c r="J75" s="37"/>
      <c r="K75" s="37"/>
      <c r="L75" s="261"/>
      <c r="M75" s="263" t="s">
        <v>60</v>
      </c>
      <c r="N75" s="263"/>
      <c r="O75" s="263"/>
      <c r="P75" s="265">
        <f>LowComplexityFiles</f>
        <v>1620</v>
      </c>
      <c r="Q75" s="299">
        <f>IF(LowComplexityFiles&gt;0,LowComplexityFiles/Files,0)</f>
        <v>0.85941644562334218</v>
      </c>
      <c r="R75" s="47"/>
      <c r="S75" s="38"/>
      <c r="T75" s="38"/>
      <c r="U75" s="38"/>
      <c r="V75" s="42"/>
      <c r="W75" s="38"/>
      <c r="X75" s="1"/>
      <c r="Y75" s="1"/>
      <c r="Z75" s="1"/>
      <c r="AA75" s="1"/>
      <c r="AB75" s="1"/>
      <c r="AC75" s="1"/>
      <c r="AD75" s="1"/>
      <c r="AE75" s="1"/>
      <c r="AF75" s="1"/>
      <c r="AG75" s="1"/>
      <c r="AH75" s="1"/>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row>
    <row r="76" spans="1:120" s="43" customFormat="1" ht="15.95" customHeight="1">
      <c r="A76" s="38"/>
      <c r="B76" s="39"/>
      <c r="C76" s="41"/>
      <c r="D76" s="41"/>
      <c r="E76" s="41"/>
      <c r="F76" s="41"/>
      <c r="G76" s="41"/>
      <c r="H76" s="41"/>
      <c r="I76" s="37"/>
      <c r="J76" s="37"/>
      <c r="K76" s="37"/>
      <c r="L76" s="14"/>
      <c r="M76" s="266" t="s">
        <v>61</v>
      </c>
      <c r="N76" s="47"/>
      <c r="O76" s="47"/>
      <c r="P76" s="47"/>
      <c r="Q76" s="48"/>
      <c r="R76" s="47"/>
      <c r="S76" s="37"/>
      <c r="T76" s="37"/>
      <c r="U76" s="37"/>
      <c r="V76" s="42"/>
      <c r="W76" s="38"/>
      <c r="X76" s="1"/>
      <c r="Y76" s="1"/>
      <c r="Z76" s="1"/>
      <c r="AA76" s="1"/>
      <c r="AB76" s="1"/>
      <c r="AC76" s="1"/>
      <c r="AD76" s="1"/>
      <c r="AE76" s="1"/>
      <c r="AF76" s="1"/>
      <c r="AG76" s="1"/>
      <c r="AH76" s="1"/>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row>
    <row r="77" spans="1:120" s="43" customFormat="1" ht="15.95" customHeight="1">
      <c r="A77" s="38"/>
      <c r="B77" s="39"/>
      <c r="C77" s="41"/>
      <c r="D77" s="41"/>
      <c r="E77" s="41"/>
      <c r="F77" s="41"/>
      <c r="G77" s="41"/>
      <c r="H77" s="41"/>
      <c r="I77" s="37"/>
      <c r="J77" s="37"/>
      <c r="K77" s="37"/>
      <c r="L77" s="37"/>
      <c r="M77" s="37"/>
      <c r="N77" s="37"/>
      <c r="O77" s="37"/>
      <c r="P77" s="37"/>
      <c r="Q77" s="37"/>
      <c r="R77" s="37"/>
      <c r="S77" s="47"/>
      <c r="T77" s="37"/>
      <c r="U77" s="37"/>
      <c r="V77" s="42"/>
      <c r="W77" s="38"/>
      <c r="X77" s="1"/>
      <c r="Y77" s="1"/>
      <c r="Z77" s="1"/>
      <c r="AA77" s="1"/>
      <c r="AB77" s="1"/>
      <c r="AC77" s="1"/>
      <c r="AD77" s="1"/>
      <c r="AE77" s="1"/>
      <c r="AF77" s="1"/>
      <c r="AG77" s="1"/>
      <c r="AH77" s="1"/>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row>
    <row r="78" spans="1:120" ht="36.950000000000003" customHeight="1">
      <c r="B78" s="358" t="s">
        <v>179</v>
      </c>
      <c r="C78" s="358"/>
      <c r="D78" s="358"/>
      <c r="E78" s="358"/>
      <c r="F78" s="358"/>
      <c r="G78" s="358"/>
      <c r="H78" s="358"/>
      <c r="I78" s="358"/>
      <c r="J78" s="358"/>
      <c r="K78" s="358"/>
      <c r="L78" s="358"/>
      <c r="M78" s="358"/>
      <c r="N78" s="358"/>
      <c r="O78" s="358"/>
      <c r="P78" s="358"/>
      <c r="Q78" s="358"/>
      <c r="R78" s="358"/>
      <c r="S78" s="358"/>
      <c r="T78" s="358"/>
      <c r="U78" s="358"/>
      <c r="V78" s="358"/>
    </row>
    <row r="79" spans="1:120" s="43" customFormat="1" ht="15.95" customHeight="1">
      <c r="A79" s="38"/>
      <c r="B79" s="39"/>
      <c r="C79" s="41"/>
      <c r="D79" s="41"/>
      <c r="E79" s="41"/>
      <c r="F79" s="41"/>
      <c r="G79" s="41"/>
      <c r="H79" s="41"/>
      <c r="I79" s="37"/>
      <c r="J79" s="37"/>
      <c r="K79" s="37"/>
      <c r="L79" s="37"/>
      <c r="M79" s="37"/>
      <c r="N79" s="37"/>
      <c r="O79" s="37"/>
      <c r="P79" s="37"/>
      <c r="Q79" s="37"/>
      <c r="R79" s="37"/>
      <c r="S79" s="47"/>
      <c r="T79" s="37"/>
      <c r="U79" s="37"/>
      <c r="V79" s="42"/>
      <c r="W79" s="38"/>
      <c r="X79" s="1"/>
      <c r="Y79" s="1"/>
      <c r="Z79" s="1"/>
      <c r="AA79" s="1"/>
      <c r="AB79" s="1"/>
      <c r="AC79" s="1"/>
      <c r="AD79" s="1"/>
      <c r="AE79" s="1"/>
      <c r="AF79" s="1"/>
      <c r="AG79" s="1"/>
      <c r="AH79" s="1"/>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row>
    <row r="80" spans="1:120" ht="35.25" customHeight="1">
      <c r="B80" s="22"/>
      <c r="C80" s="359" t="s">
        <v>71</v>
      </c>
      <c r="D80" s="359"/>
      <c r="E80" s="359"/>
      <c r="F80" s="359"/>
      <c r="G80" s="37"/>
      <c r="H80" s="359" t="s">
        <v>72</v>
      </c>
      <c r="I80" s="359"/>
      <c r="J80" s="359"/>
      <c r="K80" s="359"/>
      <c r="L80" s="37"/>
      <c r="M80" s="359" t="s">
        <v>73</v>
      </c>
      <c r="N80" s="359"/>
      <c r="O80" s="359"/>
      <c r="P80" s="359"/>
      <c r="Q80" s="14"/>
      <c r="R80" s="359" t="s">
        <v>287</v>
      </c>
      <c r="S80" s="359"/>
      <c r="T80" s="359"/>
      <c r="U80" s="359"/>
      <c r="V80" s="15"/>
    </row>
    <row r="81" spans="1:120" s="49" customFormat="1" ht="9" customHeight="1">
      <c r="B81" s="50"/>
      <c r="C81" s="51"/>
      <c r="D81" s="52" t="str">
        <f>J19</f>
        <v>Codename One</v>
      </c>
      <c r="E81" s="53" t="s">
        <v>74</v>
      </c>
      <c r="F81" s="54"/>
      <c r="G81" s="54"/>
      <c r="H81" s="54"/>
      <c r="I81" s="52" t="str">
        <f>J19</f>
        <v>Codename One</v>
      </c>
      <c r="J81" s="53" t="s">
        <v>74</v>
      </c>
      <c r="K81" s="54"/>
      <c r="L81" s="54"/>
      <c r="M81" s="54"/>
      <c r="N81" s="52" t="str">
        <f>J19</f>
        <v>Codename One</v>
      </c>
      <c r="O81" s="53" t="s">
        <v>74</v>
      </c>
      <c r="P81" s="54"/>
      <c r="Q81" s="54"/>
      <c r="R81" s="54"/>
      <c r="S81" s="334" t="str">
        <f>J19</f>
        <v>Codename One</v>
      </c>
      <c r="T81" s="53" t="s">
        <v>74</v>
      </c>
      <c r="U81" s="54"/>
      <c r="V81" s="55"/>
    </row>
    <row r="82" spans="1:120" s="62" customFormat="1" ht="9" customHeight="1">
      <c r="A82" s="56"/>
      <c r="B82" s="57"/>
      <c r="C82" s="56"/>
      <c r="D82" s="58">
        <f>FeatureCost</f>
        <v>20589</v>
      </c>
      <c r="E82" s="58">
        <f>FeatureCostBenchmark</f>
        <v>8314</v>
      </c>
      <c r="F82" s="59"/>
      <c r="G82" s="59"/>
      <c r="H82" s="59"/>
      <c r="I82" s="58">
        <f>Waste</f>
        <v>783348</v>
      </c>
      <c r="J82" s="58">
        <f>WastePredicted</f>
        <v>463505</v>
      </c>
      <c r="K82" s="59"/>
      <c r="L82" s="59"/>
      <c r="M82" s="59"/>
      <c r="N82" s="60">
        <f>FeatureDays</f>
        <v>25</v>
      </c>
      <c r="O82" s="60">
        <f>FeatureDaysBenchmark</f>
        <v>13</v>
      </c>
      <c r="P82" s="59"/>
      <c r="Q82" s="59"/>
      <c r="R82" s="59"/>
      <c r="S82" s="335">
        <f>BugsAddedExposed</f>
        <v>0.21</v>
      </c>
      <c r="T82" s="335">
        <f>BugsAddedExposedBenchmark</f>
        <v>0.06</v>
      </c>
      <c r="U82" s="59"/>
      <c r="V82" s="61"/>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row>
    <row r="83" spans="1:120" s="43" customFormat="1" ht="15.95" customHeight="1">
      <c r="A83" s="38"/>
      <c r="B83" s="39"/>
      <c r="C83" s="37"/>
      <c r="D83" s="37"/>
      <c r="E83" s="37"/>
      <c r="F83" s="37"/>
      <c r="G83" s="37"/>
      <c r="H83" s="37"/>
      <c r="I83" s="37"/>
      <c r="J83" s="37"/>
      <c r="K83" s="37"/>
      <c r="L83" s="37"/>
      <c r="M83" s="37"/>
      <c r="N83" s="37"/>
      <c r="O83" s="37"/>
      <c r="P83" s="37"/>
      <c r="Q83" s="37"/>
      <c r="R83" s="37"/>
      <c r="S83" s="37"/>
      <c r="T83" s="37"/>
      <c r="U83" s="37"/>
      <c r="V83" s="42"/>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row>
    <row r="84" spans="1:120" s="43" customFormat="1" ht="15.95" customHeight="1">
      <c r="A84" s="38"/>
      <c r="B84" s="39"/>
      <c r="C84" s="37"/>
      <c r="D84" s="37"/>
      <c r="E84" s="37"/>
      <c r="F84" s="37"/>
      <c r="G84" s="37"/>
      <c r="H84" s="37"/>
      <c r="I84" s="37"/>
      <c r="J84" s="37"/>
      <c r="K84" s="37"/>
      <c r="L84" s="37"/>
      <c r="M84" s="37"/>
      <c r="N84" s="37"/>
      <c r="O84" s="37"/>
      <c r="P84" s="37"/>
      <c r="Q84" s="37"/>
      <c r="R84" s="37"/>
      <c r="S84" s="37"/>
      <c r="T84" s="37"/>
      <c r="U84" s="37"/>
      <c r="V84" s="42"/>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row>
    <row r="85" spans="1:120" s="43" customFormat="1" ht="15.95" customHeight="1">
      <c r="A85" s="38"/>
      <c r="B85" s="39"/>
      <c r="C85" s="37"/>
      <c r="D85" s="37"/>
      <c r="E85" s="37"/>
      <c r="F85" s="37"/>
      <c r="G85" s="37"/>
      <c r="H85" s="37"/>
      <c r="I85" s="37"/>
      <c r="J85" s="37"/>
      <c r="K85" s="37"/>
      <c r="L85" s="37"/>
      <c r="M85" s="37"/>
      <c r="N85" s="37"/>
      <c r="O85" s="37"/>
      <c r="P85" s="37"/>
      <c r="Q85" s="37"/>
      <c r="R85" s="37"/>
      <c r="S85" s="37"/>
      <c r="T85" s="37"/>
      <c r="U85" s="37"/>
      <c r="V85" s="42"/>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row>
    <row r="86" spans="1:120" s="43" customFormat="1" ht="17.25" customHeight="1">
      <c r="A86" s="38"/>
      <c r="B86" s="39"/>
      <c r="C86" s="37"/>
      <c r="D86" s="37"/>
      <c r="E86" s="37"/>
      <c r="F86" s="37"/>
      <c r="G86" s="37"/>
      <c r="H86" s="37"/>
      <c r="I86" s="37"/>
      <c r="J86" s="37"/>
      <c r="K86" s="37"/>
      <c r="L86" s="37"/>
      <c r="M86" s="37"/>
      <c r="N86" s="37"/>
      <c r="O86" s="37"/>
      <c r="P86" s="37"/>
      <c r="Q86" s="37"/>
      <c r="R86" s="37"/>
      <c r="S86" s="37"/>
      <c r="T86" s="37"/>
      <c r="U86" s="37"/>
      <c r="V86" s="42"/>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row>
    <row r="87" spans="1:120" s="43" customFormat="1" ht="15.95" customHeight="1">
      <c r="A87" s="38"/>
      <c r="B87" s="39"/>
      <c r="C87" s="37"/>
      <c r="D87" s="37"/>
      <c r="E87" s="37"/>
      <c r="F87" s="37"/>
      <c r="G87" s="37"/>
      <c r="H87" s="37"/>
      <c r="I87" s="37"/>
      <c r="J87" s="37"/>
      <c r="K87" s="37"/>
      <c r="L87" s="37"/>
      <c r="M87" s="37"/>
      <c r="N87" s="37"/>
      <c r="O87" s="37"/>
      <c r="P87" s="37"/>
      <c r="Q87" s="37"/>
      <c r="R87" s="37"/>
      <c r="S87" s="37"/>
      <c r="T87" s="37"/>
      <c r="U87" s="37"/>
      <c r="V87" s="42"/>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row>
    <row r="88" spans="1:120" s="43" customFormat="1" ht="15.95" customHeight="1">
      <c r="A88" s="38"/>
      <c r="B88" s="39"/>
      <c r="C88" s="37"/>
      <c r="D88" s="37"/>
      <c r="E88" s="37"/>
      <c r="F88" s="37"/>
      <c r="G88" s="37"/>
      <c r="H88" s="37"/>
      <c r="I88" s="37"/>
      <c r="J88" s="37"/>
      <c r="K88" s="37"/>
      <c r="L88" s="37"/>
      <c r="M88" s="37"/>
      <c r="N88" s="37"/>
      <c r="O88" s="37"/>
      <c r="P88" s="37"/>
      <c r="Q88" s="37"/>
      <c r="R88" s="37"/>
      <c r="S88" s="37"/>
      <c r="T88" s="37"/>
      <c r="U88" s="37"/>
      <c r="V88" s="42"/>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row>
    <row r="89" spans="1:120" s="43" customFormat="1" ht="17.25" customHeight="1">
      <c r="A89" s="38"/>
      <c r="B89" s="39"/>
      <c r="C89" s="37"/>
      <c r="D89" s="37"/>
      <c r="E89" s="37"/>
      <c r="F89" s="37"/>
      <c r="G89" s="37"/>
      <c r="H89" s="37"/>
      <c r="I89" s="37"/>
      <c r="J89" s="37"/>
      <c r="K89" s="37"/>
      <c r="L89" s="37"/>
      <c r="M89" s="37"/>
      <c r="N89" s="37"/>
      <c r="O89" s="37"/>
      <c r="P89" s="37"/>
      <c r="Q89" s="37"/>
      <c r="R89" s="37"/>
      <c r="S89" s="37"/>
      <c r="T89" s="37"/>
      <c r="U89" s="37"/>
      <c r="V89" s="42"/>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row>
    <row r="90" spans="1:120" s="43" customFormat="1" ht="15.95" customHeight="1">
      <c r="A90" s="38"/>
      <c r="B90" s="39"/>
      <c r="C90" s="37"/>
      <c r="D90" s="37"/>
      <c r="E90" s="37"/>
      <c r="F90" s="37"/>
      <c r="G90" s="37"/>
      <c r="H90" s="37"/>
      <c r="I90" s="37"/>
      <c r="J90" s="37"/>
      <c r="K90" s="37"/>
      <c r="L90" s="37"/>
      <c r="M90" s="37"/>
      <c r="N90" s="37"/>
      <c r="O90" s="37"/>
      <c r="P90" s="37"/>
      <c r="Q90" s="37"/>
      <c r="R90" s="37"/>
      <c r="S90" s="37"/>
      <c r="T90" s="37"/>
      <c r="U90" s="37"/>
      <c r="V90" s="42"/>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row>
    <row r="91" spans="1:120" s="67" customFormat="1" ht="15.95" customHeight="1">
      <c r="A91" s="63"/>
      <c r="B91" s="64"/>
      <c r="C91" s="65"/>
      <c r="D91" s="270">
        <f>IF(D82&gt;0,D82/E82,0)</f>
        <v>2.4764253067115707</v>
      </c>
      <c r="E91" s="271" t="s">
        <v>75</v>
      </c>
      <c r="F91" s="272"/>
      <c r="G91" s="272"/>
      <c r="H91" s="272"/>
      <c r="I91" s="273">
        <f>I82-J82</f>
        <v>319843</v>
      </c>
      <c r="J91" s="274" t="s">
        <v>76</v>
      </c>
      <c r="K91" s="272"/>
      <c r="L91" s="272"/>
      <c r="M91" s="272"/>
      <c r="N91" s="270">
        <f>IF(N82&gt;0,N82/O82,0)</f>
        <v>1.9230769230769231</v>
      </c>
      <c r="O91" s="271" t="s">
        <v>75</v>
      </c>
      <c r="P91" s="272"/>
      <c r="Q91" s="272"/>
      <c r="R91" s="272"/>
      <c r="S91" s="270">
        <f>IF(S82&gt;0,S82/T82,0)</f>
        <v>3.5</v>
      </c>
      <c r="T91" s="271" t="s">
        <v>75</v>
      </c>
      <c r="U91" s="65"/>
      <c r="V91" s="66"/>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c r="CJ91" s="63"/>
      <c r="CK91" s="63"/>
      <c r="CL91" s="63"/>
      <c r="CM91" s="63"/>
      <c r="CN91" s="63"/>
      <c r="CO91" s="63"/>
      <c r="CP91" s="63"/>
      <c r="CQ91" s="63"/>
      <c r="CR91" s="63"/>
      <c r="CS91" s="63"/>
      <c r="CT91" s="63"/>
      <c r="CU91" s="63"/>
      <c r="CV91" s="63"/>
      <c r="CW91" s="63"/>
      <c r="CX91" s="63"/>
      <c r="CY91" s="63"/>
      <c r="CZ91" s="63"/>
      <c r="DA91" s="63"/>
      <c r="DB91" s="63"/>
      <c r="DC91" s="63"/>
      <c r="DD91" s="63"/>
      <c r="DE91" s="63"/>
      <c r="DF91" s="63"/>
      <c r="DG91" s="63"/>
      <c r="DH91" s="63"/>
      <c r="DI91" s="63"/>
      <c r="DJ91" s="63"/>
      <c r="DK91" s="63"/>
      <c r="DL91" s="63"/>
      <c r="DM91" s="63"/>
      <c r="DN91" s="63"/>
      <c r="DO91" s="63"/>
      <c r="DP91" s="63"/>
    </row>
    <row r="92" spans="1:120" s="43" customFormat="1" ht="15.95" customHeight="1">
      <c r="A92" s="38"/>
      <c r="B92" s="39"/>
      <c r="C92" s="37"/>
      <c r="D92" s="37"/>
      <c r="E92" s="37"/>
      <c r="F92" s="37"/>
      <c r="G92" s="37"/>
      <c r="H92" s="37"/>
      <c r="I92" s="37"/>
      <c r="J92" s="37"/>
      <c r="K92" s="37"/>
      <c r="L92" s="37"/>
      <c r="M92" s="37"/>
      <c r="N92" s="37"/>
      <c r="O92" s="37"/>
      <c r="P92" s="37"/>
      <c r="Q92" s="37"/>
      <c r="R92" s="37"/>
      <c r="S92" s="37"/>
      <c r="T92" s="37"/>
      <c r="U92" s="37"/>
      <c r="V92" s="42"/>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row>
    <row r="93" spans="1:120" s="43" customFormat="1" ht="15.95" customHeight="1">
      <c r="A93" s="38"/>
      <c r="B93" s="39"/>
      <c r="C93" s="37"/>
      <c r="D93" s="37"/>
      <c r="E93" s="37"/>
      <c r="F93" s="37"/>
      <c r="G93" s="37"/>
      <c r="H93" s="37"/>
      <c r="I93" s="37"/>
      <c r="J93" s="37"/>
      <c r="K93" s="37"/>
      <c r="L93" s="37"/>
      <c r="M93" s="37"/>
      <c r="N93" s="37"/>
      <c r="O93" s="37"/>
      <c r="P93" s="37"/>
      <c r="Q93" s="37"/>
      <c r="R93" s="37"/>
      <c r="S93" s="37"/>
      <c r="T93" s="37"/>
      <c r="U93" s="37"/>
      <c r="V93" s="42"/>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row>
    <row r="94" spans="1:120" ht="36.950000000000003" customHeight="1">
      <c r="B94" s="358" t="s">
        <v>117</v>
      </c>
      <c r="C94" s="358"/>
      <c r="D94" s="358"/>
      <c r="E94" s="358"/>
      <c r="F94" s="358"/>
      <c r="G94" s="358"/>
      <c r="H94" s="358"/>
      <c r="I94" s="358"/>
      <c r="J94" s="358"/>
      <c r="K94" s="358"/>
      <c r="L94" s="358"/>
      <c r="M94" s="358"/>
      <c r="N94" s="358"/>
      <c r="O94" s="358"/>
      <c r="P94" s="358"/>
      <c r="Q94" s="358"/>
      <c r="R94" s="358"/>
      <c r="S94" s="358"/>
      <c r="T94" s="358"/>
      <c r="U94" s="358"/>
      <c r="V94" s="358"/>
    </row>
    <row r="95" spans="1:120" s="43" customFormat="1" ht="15.95" customHeight="1">
      <c r="A95" s="38"/>
      <c r="B95" s="39"/>
      <c r="C95" s="41"/>
      <c r="D95" s="41"/>
      <c r="E95" s="41"/>
      <c r="F95" s="41"/>
      <c r="G95" s="41"/>
      <c r="H95" s="41"/>
      <c r="I95" s="37"/>
      <c r="J95" s="37"/>
      <c r="K95" s="37"/>
      <c r="L95" s="37"/>
      <c r="M95" s="37"/>
      <c r="N95" s="37"/>
      <c r="O95" s="37"/>
      <c r="P95" s="37"/>
      <c r="Q95" s="37"/>
      <c r="R95" s="37"/>
      <c r="S95" s="47"/>
      <c r="T95" s="37"/>
      <c r="U95" s="37"/>
      <c r="V95" s="42"/>
      <c r="W95" s="38"/>
      <c r="X95" s="1"/>
      <c r="Y95" s="1"/>
      <c r="Z95" s="1"/>
      <c r="AA95" s="1"/>
      <c r="AB95" s="1"/>
      <c r="AC95" s="1"/>
      <c r="AD95" s="1"/>
      <c r="AE95" s="1"/>
      <c r="AF95" s="1"/>
      <c r="AG95" s="1"/>
      <c r="AH95" s="1"/>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row>
    <row r="96" spans="1:120" ht="24.95" customHeight="1">
      <c r="B96" s="22"/>
      <c r="C96" s="360" t="s">
        <v>77</v>
      </c>
      <c r="D96" s="360"/>
      <c r="E96" s="360"/>
      <c r="F96" s="360"/>
      <c r="G96" s="360"/>
      <c r="H96" s="360"/>
      <c r="I96" s="360"/>
      <c r="J96" s="360"/>
      <c r="K96" s="360"/>
      <c r="L96" s="360"/>
      <c r="M96" s="360"/>
      <c r="N96" s="360"/>
      <c r="O96" s="360"/>
      <c r="P96" s="360"/>
      <c r="Q96" s="360"/>
      <c r="R96" s="360"/>
      <c r="S96" s="360"/>
      <c r="T96" s="360"/>
      <c r="U96" s="360"/>
      <c r="V96" s="15"/>
      <c r="X96" s="38"/>
      <c r="Y96" s="38"/>
      <c r="Z96" s="38"/>
      <c r="AA96" s="38"/>
    </row>
    <row r="97" spans="1:120" ht="15.95" customHeight="1">
      <c r="B97" s="22"/>
      <c r="C97" s="41"/>
      <c r="D97" s="41"/>
      <c r="E97" s="41"/>
      <c r="F97" s="41"/>
      <c r="G97" s="41"/>
      <c r="H97" s="41"/>
      <c r="I97" s="41"/>
      <c r="J97" s="37"/>
      <c r="K97" s="37"/>
      <c r="L97" s="37"/>
      <c r="M97" s="37"/>
      <c r="N97" s="14"/>
      <c r="O97" s="14"/>
      <c r="P97" s="14"/>
      <c r="Q97" s="14"/>
      <c r="R97" s="14"/>
      <c r="S97" s="14"/>
      <c r="T97" s="14"/>
      <c r="U97" s="14"/>
      <c r="V97" s="15"/>
      <c r="X97" s="38"/>
      <c r="Y97" s="38"/>
      <c r="Z97" s="38"/>
      <c r="AA97" s="38"/>
    </row>
    <row r="98" spans="1:120" s="43" customFormat="1" ht="15.95" customHeight="1">
      <c r="A98" s="38"/>
      <c r="B98" s="39"/>
      <c r="C98" s="41"/>
      <c r="D98" s="41"/>
      <c r="E98" s="41"/>
      <c r="F98" s="41"/>
      <c r="G98" s="41"/>
      <c r="H98" s="41"/>
      <c r="I98" s="41"/>
      <c r="J98" s="41"/>
      <c r="K98" s="41"/>
      <c r="L98" s="41"/>
      <c r="M98" s="41"/>
      <c r="N98" s="41"/>
      <c r="O98" s="41"/>
      <c r="P98" s="41"/>
      <c r="Q98" s="41"/>
      <c r="R98" s="41"/>
      <c r="S98" s="37"/>
      <c r="T98" s="37"/>
      <c r="U98" s="37"/>
      <c r="V98" s="42"/>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row>
    <row r="99" spans="1:120" s="43" customFormat="1" ht="15.95" customHeight="1">
      <c r="A99" s="38"/>
      <c r="B99" s="39"/>
      <c r="C99" s="253"/>
      <c r="D99" s="253"/>
      <c r="E99" s="254" t="s">
        <v>38</v>
      </c>
      <c r="F99" s="254" t="s">
        <v>39</v>
      </c>
      <c r="G99" s="254" t="s">
        <v>40</v>
      </c>
      <c r="H99" s="254" t="s">
        <v>41</v>
      </c>
      <c r="I99" s="254" t="s">
        <v>31</v>
      </c>
      <c r="J99" s="41"/>
      <c r="K99" s="41"/>
      <c r="L99" s="41"/>
      <c r="M99" s="41"/>
      <c r="N99" s="41"/>
      <c r="O99" s="41"/>
      <c r="P99" s="41"/>
      <c r="Q99" s="41"/>
      <c r="R99" s="41"/>
      <c r="S99" s="37"/>
      <c r="T99" s="37"/>
      <c r="U99" s="37"/>
      <c r="V99" s="42"/>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row>
    <row r="100" spans="1:120" s="43" customFormat="1" ht="15.95" customHeight="1">
      <c r="A100" s="38"/>
      <c r="B100" s="39"/>
      <c r="C100" s="275" t="s">
        <v>51</v>
      </c>
      <c r="D100" s="262"/>
      <c r="E100" s="276">
        <f>CriticalVulnerabilities</f>
        <v>0</v>
      </c>
      <c r="F100" s="276">
        <f>HighVulnerabilities</f>
        <v>0</v>
      </c>
      <c r="G100" s="276">
        <f>MediumVulnerabilities</f>
        <v>2</v>
      </c>
      <c r="H100" s="276">
        <f>LowVulnerabilities</f>
        <v>0</v>
      </c>
      <c r="I100" s="256">
        <f>SUM(E100:H100)</f>
        <v>2</v>
      </c>
      <c r="J100" s="41"/>
      <c r="K100" s="41"/>
      <c r="L100" s="41"/>
      <c r="M100" s="41"/>
      <c r="N100" s="41"/>
      <c r="O100" s="41"/>
      <c r="P100" s="41"/>
      <c r="Q100" s="41"/>
      <c r="R100" s="41"/>
      <c r="S100" s="37"/>
      <c r="T100" s="37"/>
      <c r="U100" s="37"/>
      <c r="V100" s="42"/>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row>
    <row r="101" spans="1:120" s="43" customFormat="1" ht="15.95" customHeight="1">
      <c r="A101" s="38"/>
      <c r="B101" s="39"/>
      <c r="C101" s="277" t="s">
        <v>78</v>
      </c>
      <c r="D101" s="263"/>
      <c r="E101" s="278">
        <f>IFERROR(CriticalVulnerabilities/TotalVulnerabilities, 0)</f>
        <v>0</v>
      </c>
      <c r="F101" s="278">
        <f>IFERROR(HighVulnerabilities/TotalVulnerabilities,0)</f>
        <v>0</v>
      </c>
      <c r="G101" s="278">
        <f>IFERROR(MediumVulnerabilities/TotalVulnerabilities,0)</f>
        <v>1</v>
      </c>
      <c r="H101" s="278">
        <f>IFERROR(LowVulnerabilities/TotalVulnerabilities,0)</f>
        <v>0</v>
      </c>
      <c r="I101" s="279">
        <f>SUM(E101:H101)</f>
        <v>1</v>
      </c>
      <c r="J101" s="41"/>
      <c r="K101" s="41"/>
      <c r="L101" s="41"/>
      <c r="M101" s="41"/>
      <c r="N101" s="41"/>
      <c r="O101" s="41"/>
      <c r="P101" s="41"/>
      <c r="Q101" s="41"/>
      <c r="R101" s="41"/>
      <c r="S101" s="37"/>
      <c r="T101" s="37"/>
      <c r="U101" s="37"/>
      <c r="V101" s="42"/>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row>
    <row r="102" spans="1:120" s="43" customFormat="1" ht="15.95" customHeight="1">
      <c r="A102" s="38"/>
      <c r="B102" s="39"/>
      <c r="C102" s="277" t="s">
        <v>79</v>
      </c>
      <c r="D102" s="263"/>
      <c r="E102" s="280">
        <f>CriticalComponents</f>
        <v>0</v>
      </c>
      <c r="F102" s="280">
        <f>HighComponents</f>
        <v>0</v>
      </c>
      <c r="G102" s="280">
        <f>MediumComponents</f>
        <v>1</v>
      </c>
      <c r="H102" s="280">
        <f>LowComponents</f>
        <v>0</v>
      </c>
      <c r="I102" s="258">
        <f>SUM(E102:H102)</f>
        <v>1</v>
      </c>
      <c r="J102" s="41"/>
      <c r="K102" s="41"/>
      <c r="L102" s="41"/>
      <c r="M102" s="41"/>
      <c r="N102" s="41"/>
      <c r="O102" s="41"/>
      <c r="P102" s="41"/>
      <c r="Q102" s="41"/>
      <c r="R102" s="41"/>
      <c r="S102" s="37"/>
      <c r="T102" s="37"/>
      <c r="U102" s="37"/>
      <c r="V102" s="42"/>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row>
    <row r="103" spans="1:120" s="43" customFormat="1" ht="15.95" customHeight="1">
      <c r="A103" s="38"/>
      <c r="B103" s="39"/>
      <c r="C103" s="277" t="s">
        <v>16</v>
      </c>
      <c r="D103" s="263"/>
      <c r="E103" s="280">
        <f>CriticalFiles</f>
        <v>0</v>
      </c>
      <c r="F103" s="280">
        <f>HighFiles</f>
        <v>0</v>
      </c>
      <c r="G103" s="280">
        <f>MediumFiles</f>
        <v>1</v>
      </c>
      <c r="H103" s="280">
        <f>LowFiles</f>
        <v>0</v>
      </c>
      <c r="I103" s="258">
        <f>SUM(E103:H103)</f>
        <v>1</v>
      </c>
      <c r="J103" s="41"/>
      <c r="K103" s="41"/>
      <c r="L103" s="41"/>
      <c r="M103" s="41"/>
      <c r="N103" s="41"/>
      <c r="O103" s="41"/>
      <c r="P103" s="41"/>
      <c r="Q103" s="41"/>
      <c r="R103" s="41"/>
      <c r="S103" s="37"/>
      <c r="T103" s="37"/>
      <c r="U103" s="37"/>
      <c r="V103" s="42"/>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row>
    <row r="104" spans="1:120" s="43" customFormat="1" ht="15.95" customHeight="1">
      <c r="A104" s="38"/>
      <c r="B104" s="39"/>
      <c r="C104" s="68"/>
      <c r="D104" s="41"/>
      <c r="E104" s="69"/>
      <c r="F104" s="69"/>
      <c r="G104" s="69"/>
      <c r="H104" s="69"/>
      <c r="I104" s="69"/>
      <c r="J104" s="70"/>
      <c r="K104" s="41"/>
      <c r="L104" s="41"/>
      <c r="M104" s="41"/>
      <c r="N104" s="41"/>
      <c r="O104" s="41"/>
      <c r="P104" s="41"/>
      <c r="Q104" s="41"/>
      <c r="R104" s="41"/>
      <c r="S104" s="37"/>
      <c r="T104" s="37"/>
      <c r="U104" s="37"/>
      <c r="V104" s="42"/>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row>
    <row r="105" spans="1:120" s="43" customFormat="1" ht="15.95" customHeight="1">
      <c r="A105" s="38"/>
      <c r="B105" s="39"/>
      <c r="C105" s="68"/>
      <c r="D105" s="41"/>
      <c r="E105" s="69"/>
      <c r="F105" s="69"/>
      <c r="G105" s="69"/>
      <c r="H105" s="69"/>
      <c r="I105" s="69"/>
      <c r="J105" s="70"/>
      <c r="K105" s="41"/>
      <c r="L105" s="41"/>
      <c r="M105" s="41"/>
      <c r="N105" s="41"/>
      <c r="O105" s="41"/>
      <c r="P105" s="41"/>
      <c r="Q105" s="41"/>
      <c r="R105" s="41"/>
      <c r="S105" s="37"/>
      <c r="T105" s="37"/>
      <c r="U105" s="37"/>
      <c r="V105" s="42"/>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row>
    <row r="106" spans="1:120" s="43" customFormat="1" ht="15.95" customHeight="1">
      <c r="A106" s="38"/>
      <c r="B106" s="39"/>
      <c r="C106" s="68"/>
      <c r="D106" s="41"/>
      <c r="E106" s="69"/>
      <c r="F106" s="69"/>
      <c r="G106" s="69"/>
      <c r="H106" s="69"/>
      <c r="I106" s="69"/>
      <c r="J106" s="70"/>
      <c r="K106" s="41"/>
      <c r="L106" s="41"/>
      <c r="M106" s="41"/>
      <c r="N106" s="41"/>
      <c r="O106" s="41"/>
      <c r="P106" s="41"/>
      <c r="Q106" s="41"/>
      <c r="R106" s="41"/>
      <c r="S106" s="37"/>
      <c r="T106" s="37"/>
      <c r="U106" s="37"/>
      <c r="V106" s="42"/>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row>
    <row r="107" spans="1:120" s="28" customFormat="1" ht="24.95" customHeight="1">
      <c r="A107" s="25"/>
      <c r="B107" s="26"/>
      <c r="C107" s="360" t="s">
        <v>80</v>
      </c>
      <c r="D107" s="360"/>
      <c r="E107" s="360"/>
      <c r="F107" s="360"/>
      <c r="G107" s="360"/>
      <c r="H107" s="360"/>
      <c r="I107" s="360"/>
      <c r="J107" s="360"/>
      <c r="K107" s="360"/>
      <c r="L107" s="360"/>
      <c r="M107" s="360"/>
      <c r="N107" s="360"/>
      <c r="O107" s="360"/>
      <c r="P107" s="360"/>
      <c r="Q107" s="360"/>
      <c r="R107" s="360"/>
      <c r="S107" s="360"/>
      <c r="T107" s="360"/>
      <c r="U107" s="360"/>
      <c r="V107" s="27"/>
      <c r="W107" s="25"/>
      <c r="X107" s="63"/>
      <c r="Y107" s="63"/>
      <c r="Z107" s="63"/>
      <c r="AA107" s="63"/>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row>
    <row r="108" spans="1:120" ht="15.95" customHeight="1">
      <c r="B108" s="22"/>
      <c r="C108" s="41"/>
      <c r="D108" s="41"/>
      <c r="E108" s="41"/>
      <c r="F108" s="41"/>
      <c r="G108" s="41"/>
      <c r="H108" s="41"/>
      <c r="I108" s="41"/>
      <c r="J108" s="37"/>
      <c r="K108" s="37"/>
      <c r="L108" s="37"/>
      <c r="M108" s="37"/>
      <c r="N108" s="14"/>
      <c r="O108" s="14"/>
      <c r="P108" s="14"/>
      <c r="Q108" s="14"/>
      <c r="R108" s="14"/>
      <c r="S108" s="14"/>
      <c r="T108" s="14"/>
      <c r="U108" s="14"/>
      <c r="V108" s="15"/>
      <c r="X108" s="38"/>
      <c r="Y108" s="38"/>
      <c r="Z108" s="38"/>
      <c r="AA108" s="38"/>
    </row>
    <row r="109" spans="1:120" s="43" customFormat="1" ht="15.95" customHeight="1">
      <c r="A109" s="38"/>
      <c r="B109" s="39"/>
      <c r="C109" s="352" t="s">
        <v>15</v>
      </c>
      <c r="D109" s="352"/>
      <c r="E109" s="352"/>
      <c r="F109" s="352"/>
      <c r="G109" s="352"/>
      <c r="H109" s="353" t="s">
        <v>79</v>
      </c>
      <c r="I109" s="353"/>
      <c r="J109" s="281" t="s">
        <v>276</v>
      </c>
      <c r="K109" s="282" t="s">
        <v>56</v>
      </c>
      <c r="L109" s="41"/>
      <c r="M109" s="41"/>
      <c r="N109" s="41"/>
      <c r="O109" s="41"/>
      <c r="P109" s="41"/>
      <c r="Q109" s="41"/>
      <c r="R109" s="41"/>
      <c r="S109" s="37"/>
      <c r="T109" s="37"/>
      <c r="U109" s="37"/>
      <c r="V109" s="42"/>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row>
    <row r="110" spans="1:120" s="43" customFormat="1" ht="15.95" customHeight="1">
      <c r="A110" s="38"/>
      <c r="B110" s="39"/>
      <c r="C110" s="354" t="str">
        <f>License_1</f>
        <v>GNU General Public License v2.0 only</v>
      </c>
      <c r="D110" s="354"/>
      <c r="E110" s="354"/>
      <c r="F110" s="354"/>
      <c r="G110" s="354"/>
      <c r="H110" s="349">
        <f>License_1_Components</f>
        <v>1</v>
      </c>
      <c r="I110" s="349"/>
      <c r="J110" s="256">
        <f>License_1_Files</f>
        <v>2350</v>
      </c>
      <c r="K110" s="299">
        <f>IF(J110&gt;0,J110/J115,0)</f>
        <v>0.92084639498432597</v>
      </c>
      <c r="L110" s="41"/>
      <c r="M110" s="41"/>
      <c r="N110" s="41"/>
      <c r="O110" s="41"/>
      <c r="P110" s="41"/>
      <c r="Q110" s="41"/>
      <c r="R110" s="41"/>
      <c r="S110" s="37"/>
      <c r="T110" s="37"/>
      <c r="U110" s="37"/>
      <c r="V110" s="42"/>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row>
    <row r="111" spans="1:120" s="43" customFormat="1" ht="15.95" customHeight="1">
      <c r="A111" s="38"/>
      <c r="B111" s="39"/>
      <c r="C111" s="348" t="str">
        <f>License_2</f>
        <v>Apache License 2.0</v>
      </c>
      <c r="D111" s="348"/>
      <c r="E111" s="348"/>
      <c r="F111" s="348"/>
      <c r="G111" s="348"/>
      <c r="H111" s="349">
        <f>License_2_Components</f>
        <v>1</v>
      </c>
      <c r="I111" s="349"/>
      <c r="J111" s="256">
        <f>License_2_Files</f>
        <v>144</v>
      </c>
      <c r="K111" s="299">
        <f>IF(J111&gt;0,J111/J115,0)</f>
        <v>5.6426332288401257E-2</v>
      </c>
      <c r="L111" s="41"/>
      <c r="M111" s="41"/>
      <c r="N111" s="41"/>
      <c r="O111" s="41"/>
      <c r="P111" s="41"/>
      <c r="Q111" s="41"/>
      <c r="R111" s="41"/>
      <c r="S111" s="37"/>
      <c r="T111" s="37"/>
      <c r="U111" s="37"/>
      <c r="V111" s="42"/>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row>
    <row r="112" spans="1:120" s="43" customFormat="1" ht="15.95" customHeight="1">
      <c r="A112" s="38"/>
      <c r="B112" s="39"/>
      <c r="C112" s="348" t="str">
        <f>License_3</f>
        <v>BSD 2-clause 'Simplified' License</v>
      </c>
      <c r="D112" s="348"/>
      <c r="E112" s="348"/>
      <c r="F112" s="348"/>
      <c r="G112" s="348"/>
      <c r="H112" s="349">
        <f>License_3_Components</f>
        <v>1</v>
      </c>
      <c r="I112" s="349"/>
      <c r="J112" s="256">
        <f>License_3_Files</f>
        <v>34</v>
      </c>
      <c r="K112" s="299">
        <f>IF(J112&gt;0,J112/J115,0)</f>
        <v>1.3322884012539185E-2</v>
      </c>
      <c r="L112" s="41"/>
      <c r="M112" s="41"/>
      <c r="N112" s="41"/>
      <c r="O112" s="41"/>
      <c r="P112" s="41"/>
      <c r="Q112" s="41"/>
      <c r="R112" s="41"/>
      <c r="S112" s="37"/>
      <c r="T112" s="37"/>
      <c r="U112" s="37"/>
      <c r="V112" s="42"/>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row>
    <row r="113" spans="1:120" s="43" customFormat="1" ht="15.95" customHeight="1">
      <c r="A113" s="38"/>
      <c r="B113" s="39"/>
      <c r="C113" s="348" t="str">
        <f>License_4</f>
        <v>BSD 3-clause Clear License</v>
      </c>
      <c r="D113" s="348"/>
      <c r="E113" s="348"/>
      <c r="F113" s="348"/>
      <c r="G113" s="348"/>
      <c r="H113" s="349">
        <f>License_4_Components</f>
        <v>1</v>
      </c>
      <c r="I113" s="349"/>
      <c r="J113" s="256">
        <f>License_4_Files</f>
        <v>23</v>
      </c>
      <c r="K113" s="299">
        <f>IF(J113&gt;0,J113/J115,0)</f>
        <v>9.0125391849529782E-3</v>
      </c>
      <c r="L113" s="41"/>
      <c r="M113" s="41"/>
      <c r="N113" s="41"/>
      <c r="O113" s="41"/>
      <c r="P113" s="41"/>
      <c r="Q113" s="41"/>
      <c r="R113" s="41"/>
      <c r="S113" s="37"/>
      <c r="T113" s="37"/>
      <c r="U113" s="37"/>
      <c r="V113" s="42"/>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row>
    <row r="114" spans="1:120" s="43" customFormat="1" ht="15.95" customHeight="1">
      <c r="A114" s="38"/>
      <c r="B114" s="39"/>
      <c r="C114" s="348" t="str">
        <f>License_5</f>
        <v>MIT License</v>
      </c>
      <c r="D114" s="348"/>
      <c r="E114" s="348"/>
      <c r="F114" s="348"/>
      <c r="G114" s="348"/>
      <c r="H114" s="349">
        <f>License_5_Components</f>
        <v>1</v>
      </c>
      <c r="I114" s="349"/>
      <c r="J114" s="256">
        <f>License_5_Files</f>
        <v>1</v>
      </c>
      <c r="K114" s="299">
        <f>IF(J114&gt;0,J114/J115,0)</f>
        <v>3.9184952978056425E-4</v>
      </c>
      <c r="L114" s="41"/>
      <c r="M114" s="41"/>
      <c r="N114" s="41"/>
      <c r="O114" s="41"/>
      <c r="P114" s="41"/>
      <c r="Q114" s="41"/>
      <c r="R114" s="41"/>
      <c r="S114" s="37"/>
      <c r="T114" s="37"/>
      <c r="U114" s="37"/>
      <c r="V114" s="42"/>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row>
    <row r="115" spans="1:120" s="43" customFormat="1" ht="15.95" customHeight="1">
      <c r="A115" s="38"/>
      <c r="B115" s="39"/>
      <c r="C115" s="350" t="s">
        <v>31</v>
      </c>
      <c r="D115" s="350"/>
      <c r="E115" s="350"/>
      <c r="F115" s="350"/>
      <c r="G115" s="350"/>
      <c r="H115" s="351">
        <f>SUM(H110:I114)</f>
        <v>5</v>
      </c>
      <c r="I115" s="351"/>
      <c r="J115" s="259">
        <f>SUM(J110:J114)</f>
        <v>2552</v>
      </c>
      <c r="K115" s="300">
        <f>SUM(K110:K114)</f>
        <v>0.99999999999999989</v>
      </c>
      <c r="L115" s="41"/>
      <c r="M115" s="41"/>
      <c r="N115" s="41"/>
      <c r="O115" s="41"/>
      <c r="P115" s="41"/>
      <c r="Q115" s="41"/>
      <c r="R115" s="41"/>
      <c r="S115" s="37"/>
      <c r="T115" s="37"/>
      <c r="U115" s="37"/>
      <c r="V115" s="42"/>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row>
    <row r="116" spans="1:120" s="43" customFormat="1" ht="15.95" customHeight="1">
      <c r="A116" s="38"/>
      <c r="B116" s="39"/>
      <c r="C116" s="68"/>
      <c r="D116" s="41"/>
      <c r="E116" s="69"/>
      <c r="F116" s="69"/>
      <c r="G116" s="69"/>
      <c r="H116" s="69"/>
      <c r="I116" s="69"/>
      <c r="J116" s="70"/>
      <c r="K116" s="41"/>
      <c r="L116" s="41"/>
      <c r="M116" s="41"/>
      <c r="N116" s="41"/>
      <c r="O116" s="41"/>
      <c r="P116" s="41"/>
      <c r="Q116" s="41"/>
      <c r="R116" s="41"/>
      <c r="S116" s="37"/>
      <c r="T116" s="37"/>
      <c r="U116" s="37"/>
      <c r="V116" s="42"/>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row>
    <row r="117" spans="1:120" s="43" customFormat="1" ht="15.95" customHeight="1">
      <c r="A117" s="38"/>
      <c r="B117" s="39"/>
      <c r="C117" s="41"/>
      <c r="D117" s="41"/>
      <c r="E117" s="41"/>
      <c r="F117" s="41"/>
      <c r="G117" s="41"/>
      <c r="H117" s="41"/>
      <c r="I117" s="37"/>
      <c r="J117" s="37"/>
      <c r="K117" s="37"/>
      <c r="L117" s="37"/>
      <c r="M117" s="37"/>
      <c r="N117" s="37"/>
      <c r="O117" s="37"/>
      <c r="P117" s="37"/>
      <c r="Q117" s="37"/>
      <c r="R117" s="37"/>
      <c r="S117" s="47"/>
      <c r="T117" s="37"/>
      <c r="U117" s="37"/>
      <c r="V117" s="42"/>
      <c r="W117" s="38"/>
      <c r="X117" s="1"/>
      <c r="Y117" s="1"/>
      <c r="Z117" s="1"/>
      <c r="AA117" s="1"/>
      <c r="AB117" s="1"/>
      <c r="AC117" s="1"/>
      <c r="AD117" s="1"/>
      <c r="AE117" s="1"/>
      <c r="AF117" s="1"/>
      <c r="AG117" s="1"/>
      <c r="AH117" s="1"/>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row>
    <row r="118" spans="1:120" ht="16.5">
      <c r="A118" s="38"/>
      <c r="B118" s="71"/>
      <c r="C118" s="283" t="s">
        <v>83</v>
      </c>
      <c r="D118" s="72"/>
      <c r="E118" s="72"/>
      <c r="F118" s="72"/>
      <c r="G118" s="72"/>
      <c r="H118" s="72"/>
      <c r="I118" s="72"/>
      <c r="J118" s="72"/>
      <c r="K118" s="72"/>
      <c r="L118" s="72"/>
      <c r="M118" s="72"/>
      <c r="N118" s="72"/>
      <c r="O118" s="72"/>
      <c r="P118" s="72"/>
      <c r="Q118" s="72"/>
      <c r="R118" s="72"/>
      <c r="S118" s="72"/>
      <c r="T118" s="72"/>
      <c r="U118" s="284" t="s">
        <v>278</v>
      </c>
      <c r="V118" s="73"/>
    </row>
    <row r="119" spans="1:120" ht="16.5">
      <c r="A119" s="38"/>
      <c r="C119" s="1"/>
      <c r="D119" s="1"/>
      <c r="E119" s="1"/>
      <c r="F119" s="1"/>
      <c r="G119" s="1"/>
      <c r="H119" s="1"/>
      <c r="I119" s="1"/>
      <c r="J119" s="1"/>
      <c r="K119" s="1"/>
      <c r="L119" s="1"/>
      <c r="M119" s="1"/>
      <c r="N119" s="1"/>
      <c r="O119" s="1"/>
      <c r="P119" s="1"/>
      <c r="Q119" s="1"/>
      <c r="R119" s="1"/>
      <c r="S119" s="1"/>
      <c r="T119" s="1"/>
      <c r="U119" s="1"/>
      <c r="V119" s="1"/>
    </row>
    <row r="120" spans="1:120" ht="16.5">
      <c r="A120" s="38"/>
      <c r="C120" s="1"/>
      <c r="D120" s="1"/>
      <c r="E120" s="1"/>
      <c r="F120" s="1"/>
      <c r="G120" s="1"/>
      <c r="H120" s="1"/>
      <c r="I120" s="1"/>
      <c r="J120" s="1"/>
      <c r="K120" s="1"/>
      <c r="L120" s="1"/>
      <c r="M120" s="1"/>
      <c r="N120" s="1"/>
      <c r="O120" s="1"/>
      <c r="P120" s="1"/>
      <c r="Q120" s="1"/>
      <c r="R120" s="1"/>
      <c r="S120" s="1"/>
      <c r="T120" s="1"/>
      <c r="U120" s="1"/>
      <c r="V120" s="1"/>
    </row>
    <row r="121" spans="1:120">
      <c r="C121" s="1"/>
      <c r="D121" s="1"/>
      <c r="E121" s="1"/>
      <c r="F121" s="1"/>
      <c r="G121" s="1"/>
      <c r="H121" s="1"/>
      <c r="I121" s="1"/>
      <c r="J121" s="1"/>
      <c r="K121" s="1"/>
      <c r="L121" s="1"/>
      <c r="M121" s="1"/>
      <c r="N121" s="1"/>
      <c r="O121" s="1"/>
      <c r="P121" s="1"/>
      <c r="Q121" s="1"/>
      <c r="R121" s="1"/>
      <c r="S121" s="1"/>
      <c r="T121" s="1"/>
      <c r="U121" s="1"/>
      <c r="V121" s="1"/>
    </row>
    <row r="122" spans="1:120">
      <c r="C122" s="1"/>
      <c r="D122" s="1"/>
      <c r="E122" s="1"/>
      <c r="F122" s="1"/>
      <c r="G122" s="1"/>
      <c r="H122" s="1"/>
      <c r="I122" s="1"/>
      <c r="J122" s="1"/>
      <c r="K122" s="1"/>
      <c r="L122" s="1"/>
      <c r="M122" s="1"/>
      <c r="N122" s="1"/>
      <c r="O122" s="1"/>
      <c r="P122" s="1"/>
      <c r="Q122" s="1"/>
      <c r="R122" s="1"/>
      <c r="S122" s="1"/>
      <c r="T122" s="1"/>
      <c r="U122" s="1"/>
      <c r="V122" s="1"/>
    </row>
    <row r="123" spans="1:120">
      <c r="C123" s="1"/>
      <c r="D123" s="1"/>
      <c r="E123" s="1"/>
      <c r="F123" s="1"/>
      <c r="G123" s="1"/>
      <c r="H123" s="1"/>
      <c r="I123" s="1"/>
      <c r="J123" s="1"/>
      <c r="K123" s="1"/>
      <c r="L123" s="1"/>
      <c r="M123" s="1"/>
      <c r="N123" s="1"/>
      <c r="O123" s="1"/>
      <c r="P123" s="1"/>
      <c r="Q123" s="1"/>
      <c r="R123" s="1"/>
      <c r="S123" s="1"/>
      <c r="T123" s="1"/>
      <c r="U123" s="1"/>
      <c r="V123" s="1"/>
    </row>
    <row r="124" spans="1:120">
      <c r="C124" s="1"/>
      <c r="D124" s="1"/>
      <c r="E124" s="1"/>
      <c r="F124" s="1"/>
      <c r="G124" s="1"/>
      <c r="H124" s="1"/>
      <c r="I124" s="1"/>
      <c r="J124" s="1"/>
      <c r="K124" s="1"/>
      <c r="L124" s="1"/>
      <c r="M124" s="1"/>
      <c r="N124" s="1"/>
      <c r="O124" s="1"/>
      <c r="P124" s="1"/>
      <c r="Q124" s="1"/>
      <c r="R124" s="1"/>
      <c r="S124" s="1"/>
      <c r="T124" s="1"/>
      <c r="U124" s="1"/>
      <c r="V124" s="1"/>
    </row>
    <row r="125" spans="1:120">
      <c r="C125" s="1"/>
      <c r="D125" s="1"/>
      <c r="E125" s="1"/>
      <c r="F125" s="1"/>
      <c r="G125" s="1"/>
      <c r="H125" s="1"/>
      <c r="I125" s="1"/>
      <c r="J125" s="1"/>
      <c r="K125" s="1"/>
      <c r="L125" s="1"/>
      <c r="M125" s="1"/>
      <c r="N125" s="1"/>
      <c r="O125" s="1"/>
      <c r="P125" s="1"/>
      <c r="Q125" s="1"/>
      <c r="R125" s="1"/>
      <c r="S125" s="1"/>
      <c r="T125" s="1"/>
      <c r="U125" s="1"/>
      <c r="V125" s="1"/>
    </row>
    <row r="126" spans="1:120">
      <c r="C126" s="1"/>
      <c r="D126" s="1"/>
      <c r="E126" s="1"/>
      <c r="F126" s="1"/>
      <c r="G126" s="1"/>
      <c r="H126" s="1"/>
      <c r="I126" s="1"/>
      <c r="J126" s="1"/>
      <c r="K126" s="1"/>
      <c r="L126" s="1"/>
      <c r="M126" s="1"/>
      <c r="N126" s="1"/>
      <c r="O126" s="1"/>
      <c r="P126" s="1"/>
      <c r="Q126" s="1"/>
      <c r="R126" s="1"/>
      <c r="S126" s="1"/>
      <c r="T126" s="1"/>
      <c r="U126" s="1"/>
      <c r="V126" s="1"/>
    </row>
    <row r="127" spans="1:120">
      <c r="C127" s="1"/>
      <c r="D127" s="1"/>
      <c r="E127" s="1"/>
      <c r="F127" s="1"/>
      <c r="G127" s="1"/>
      <c r="H127" s="1"/>
      <c r="I127" s="1"/>
      <c r="J127" s="1"/>
      <c r="K127" s="1"/>
      <c r="L127" s="1"/>
      <c r="M127" s="1"/>
      <c r="N127" s="1"/>
      <c r="O127" s="1"/>
      <c r="P127" s="1"/>
      <c r="Q127" s="1"/>
      <c r="R127" s="1"/>
      <c r="S127" s="1"/>
      <c r="T127" s="1"/>
      <c r="U127" s="1"/>
      <c r="V127" s="1"/>
    </row>
    <row r="128" spans="1:120">
      <c r="C128" s="1"/>
      <c r="D128" s="1"/>
      <c r="E128" s="1"/>
      <c r="F128" s="1"/>
      <c r="G128" s="1"/>
      <c r="H128" s="1"/>
      <c r="I128" s="1"/>
      <c r="J128" s="1"/>
      <c r="K128" s="1"/>
      <c r="L128" s="1"/>
      <c r="M128" s="1"/>
      <c r="N128" s="1"/>
      <c r="O128" s="1"/>
      <c r="P128" s="1"/>
      <c r="Q128" s="1"/>
      <c r="R128" s="1"/>
      <c r="S128" s="1"/>
      <c r="T128" s="1"/>
      <c r="U128" s="1"/>
      <c r="V128" s="1"/>
    </row>
    <row r="129" spans="3:22">
      <c r="C129" s="1"/>
      <c r="D129" s="1"/>
      <c r="E129" s="1"/>
      <c r="F129" s="1"/>
      <c r="G129" s="1"/>
      <c r="H129" s="1"/>
      <c r="I129" s="1"/>
      <c r="J129" s="1"/>
      <c r="K129" s="1"/>
      <c r="L129" s="1"/>
      <c r="M129" s="1"/>
      <c r="N129" s="1"/>
      <c r="O129" s="1"/>
      <c r="P129" s="1"/>
      <c r="Q129" s="1"/>
      <c r="R129" s="1"/>
      <c r="S129" s="1"/>
      <c r="T129" s="1"/>
      <c r="U129" s="1"/>
      <c r="V129" s="1"/>
    </row>
    <row r="130" spans="3:22">
      <c r="C130" s="1"/>
      <c r="D130" s="1"/>
      <c r="E130" s="1"/>
      <c r="F130" s="1"/>
      <c r="G130" s="1"/>
      <c r="H130" s="1"/>
      <c r="I130" s="1"/>
      <c r="J130" s="1"/>
      <c r="K130" s="1"/>
      <c r="L130" s="1"/>
      <c r="M130" s="1"/>
      <c r="N130" s="1"/>
      <c r="O130" s="1"/>
      <c r="P130" s="1"/>
      <c r="Q130" s="1"/>
      <c r="R130" s="1"/>
      <c r="S130" s="1"/>
      <c r="T130" s="1"/>
      <c r="U130" s="1"/>
      <c r="V130" s="1"/>
    </row>
    <row r="131" spans="3:22">
      <c r="C131" s="1"/>
      <c r="D131" s="1"/>
      <c r="E131" s="1"/>
      <c r="F131" s="1"/>
      <c r="G131" s="1"/>
      <c r="H131" s="1"/>
      <c r="I131" s="1"/>
      <c r="J131" s="1"/>
      <c r="K131" s="1"/>
      <c r="L131" s="1"/>
      <c r="M131" s="1"/>
      <c r="N131" s="1"/>
      <c r="O131" s="1"/>
      <c r="P131" s="1"/>
      <c r="Q131" s="1"/>
      <c r="R131" s="1"/>
      <c r="S131" s="1"/>
      <c r="T131" s="1"/>
      <c r="U131" s="1"/>
      <c r="V131" s="1"/>
    </row>
    <row r="132" spans="3:22">
      <c r="C132" s="1"/>
      <c r="D132" s="1"/>
      <c r="E132" s="1"/>
      <c r="F132" s="1"/>
      <c r="G132" s="1"/>
      <c r="H132" s="1"/>
      <c r="I132" s="1"/>
      <c r="J132" s="1"/>
      <c r="K132" s="1"/>
      <c r="L132" s="1"/>
      <c r="M132" s="1"/>
      <c r="N132" s="1"/>
      <c r="O132" s="1"/>
      <c r="P132" s="1"/>
      <c r="Q132" s="1"/>
      <c r="R132" s="1"/>
      <c r="S132" s="1"/>
      <c r="T132" s="1"/>
      <c r="U132" s="1"/>
      <c r="V132" s="1"/>
    </row>
    <row r="133" spans="3:22">
      <c r="C133" s="1"/>
      <c r="D133" s="1"/>
      <c r="E133" s="1"/>
      <c r="F133" s="1"/>
      <c r="G133" s="1"/>
      <c r="H133" s="1"/>
      <c r="I133" s="1"/>
      <c r="J133" s="1"/>
      <c r="K133" s="1"/>
      <c r="L133" s="1"/>
      <c r="M133" s="1"/>
      <c r="N133" s="1"/>
      <c r="O133" s="1"/>
      <c r="P133" s="1"/>
      <c r="Q133" s="1"/>
      <c r="R133" s="1"/>
      <c r="S133" s="1"/>
      <c r="T133" s="1"/>
      <c r="U133" s="1"/>
      <c r="V133" s="1"/>
    </row>
    <row r="134" spans="3:22">
      <c r="C134" s="1"/>
      <c r="D134" s="1"/>
      <c r="E134" s="1"/>
      <c r="F134" s="1"/>
      <c r="G134" s="1"/>
      <c r="H134" s="1"/>
      <c r="I134" s="1"/>
      <c r="J134" s="1"/>
      <c r="K134" s="1"/>
      <c r="L134" s="1"/>
      <c r="M134" s="1"/>
      <c r="N134" s="1"/>
      <c r="O134" s="1"/>
      <c r="P134" s="1"/>
      <c r="Q134" s="1"/>
      <c r="R134" s="1"/>
      <c r="S134" s="1"/>
      <c r="T134" s="1"/>
      <c r="U134" s="1"/>
      <c r="V134" s="1"/>
    </row>
    <row r="135" spans="3:22">
      <c r="C135" s="1"/>
      <c r="D135" s="1"/>
      <c r="E135" s="1"/>
      <c r="F135" s="1"/>
      <c r="G135" s="1"/>
      <c r="H135" s="1"/>
      <c r="I135" s="1"/>
      <c r="J135" s="1"/>
      <c r="K135" s="1"/>
      <c r="L135" s="1"/>
      <c r="M135" s="1"/>
      <c r="N135" s="1"/>
      <c r="O135" s="1"/>
      <c r="P135" s="1"/>
      <c r="Q135" s="1"/>
      <c r="R135" s="1"/>
      <c r="S135" s="1"/>
      <c r="T135" s="1"/>
      <c r="U135" s="1"/>
      <c r="V135" s="1"/>
    </row>
    <row r="136" spans="3:22">
      <c r="C136" s="1"/>
      <c r="D136" s="1"/>
      <c r="E136" s="1"/>
      <c r="F136" s="1"/>
      <c r="G136" s="1"/>
      <c r="H136" s="1"/>
      <c r="I136" s="1"/>
      <c r="J136" s="1"/>
      <c r="K136" s="1"/>
      <c r="L136" s="1"/>
      <c r="M136" s="1"/>
      <c r="N136" s="1"/>
      <c r="O136" s="1"/>
      <c r="P136" s="1"/>
      <c r="Q136" s="1"/>
      <c r="R136" s="1"/>
      <c r="S136" s="1"/>
      <c r="T136" s="1"/>
      <c r="U136" s="1"/>
      <c r="V136" s="1"/>
    </row>
    <row r="137" spans="3:22">
      <c r="C137" s="1"/>
      <c r="D137" s="1"/>
      <c r="E137" s="1"/>
      <c r="F137" s="1"/>
      <c r="G137" s="1"/>
      <c r="H137" s="1"/>
      <c r="I137" s="1"/>
      <c r="J137" s="1"/>
      <c r="K137" s="1"/>
      <c r="L137" s="1"/>
      <c r="M137" s="1"/>
      <c r="N137" s="1"/>
      <c r="O137" s="1"/>
      <c r="P137" s="1"/>
      <c r="Q137" s="1"/>
      <c r="R137" s="1"/>
      <c r="S137" s="1"/>
      <c r="T137" s="1"/>
      <c r="U137" s="1"/>
      <c r="V137" s="1"/>
    </row>
    <row r="138" spans="3:22">
      <c r="C138" s="1"/>
      <c r="D138" s="1"/>
      <c r="E138" s="1"/>
      <c r="F138" s="1"/>
      <c r="G138" s="1"/>
      <c r="H138" s="1"/>
      <c r="I138" s="1"/>
      <c r="J138" s="1"/>
      <c r="K138" s="1"/>
      <c r="L138" s="1"/>
      <c r="M138" s="1"/>
      <c r="N138" s="1"/>
      <c r="O138" s="1"/>
      <c r="P138" s="1"/>
      <c r="Q138" s="1"/>
      <c r="R138" s="1"/>
      <c r="S138" s="1"/>
      <c r="T138" s="1"/>
      <c r="U138" s="1"/>
      <c r="V138" s="1"/>
    </row>
    <row r="139" spans="3:22">
      <c r="C139" s="1"/>
      <c r="D139" s="1"/>
      <c r="E139" s="1"/>
      <c r="F139" s="1"/>
      <c r="G139" s="1"/>
      <c r="H139" s="1"/>
      <c r="I139" s="1"/>
      <c r="J139" s="1"/>
      <c r="K139" s="1"/>
      <c r="L139" s="1"/>
      <c r="M139" s="1"/>
      <c r="N139" s="1"/>
      <c r="O139" s="1"/>
      <c r="P139" s="1"/>
      <c r="Q139" s="1"/>
      <c r="R139" s="1"/>
      <c r="S139" s="1"/>
      <c r="T139" s="1"/>
      <c r="U139" s="1"/>
      <c r="V139" s="1"/>
    </row>
    <row r="140" spans="3:22">
      <c r="C140" s="1"/>
      <c r="D140" s="1"/>
      <c r="E140" s="1"/>
      <c r="F140" s="1"/>
      <c r="G140" s="1"/>
      <c r="H140" s="1"/>
      <c r="I140" s="1"/>
      <c r="J140" s="1"/>
      <c r="K140" s="1"/>
      <c r="L140" s="1"/>
      <c r="M140" s="1"/>
      <c r="N140" s="1"/>
      <c r="O140" s="1"/>
      <c r="P140" s="1"/>
      <c r="Q140" s="1"/>
      <c r="R140" s="1"/>
      <c r="S140" s="1"/>
      <c r="T140" s="1"/>
      <c r="U140" s="1"/>
      <c r="V140" s="1"/>
    </row>
    <row r="141" spans="3:22">
      <c r="C141" s="1"/>
      <c r="D141" s="1"/>
      <c r="E141" s="1"/>
      <c r="F141" s="1"/>
      <c r="G141" s="1"/>
      <c r="H141" s="1"/>
      <c r="I141" s="1"/>
      <c r="J141" s="1"/>
      <c r="K141" s="1"/>
      <c r="L141" s="1"/>
      <c r="M141" s="1"/>
      <c r="N141" s="1"/>
      <c r="O141" s="1"/>
      <c r="P141" s="1"/>
      <c r="Q141" s="1"/>
      <c r="R141" s="1"/>
      <c r="S141" s="1"/>
      <c r="T141" s="1"/>
      <c r="U141" s="1"/>
      <c r="V141" s="1"/>
    </row>
    <row r="142" spans="3:22">
      <c r="C142" s="1"/>
      <c r="D142" s="1"/>
      <c r="E142" s="1"/>
      <c r="F142" s="1"/>
      <c r="G142" s="1"/>
      <c r="H142" s="1"/>
      <c r="I142" s="1"/>
      <c r="J142" s="1"/>
      <c r="K142" s="1"/>
      <c r="L142" s="1"/>
      <c r="M142" s="1"/>
      <c r="N142" s="1"/>
      <c r="O142" s="1"/>
      <c r="P142" s="1"/>
      <c r="Q142" s="1"/>
      <c r="R142" s="1"/>
      <c r="S142" s="1"/>
      <c r="T142" s="1"/>
      <c r="U142" s="1"/>
      <c r="V142" s="1"/>
    </row>
    <row r="143" spans="3:22">
      <c r="C143" s="1"/>
      <c r="D143" s="1"/>
      <c r="E143" s="1"/>
      <c r="F143" s="1"/>
      <c r="G143" s="1"/>
      <c r="H143" s="1"/>
      <c r="I143" s="1"/>
      <c r="J143" s="1"/>
      <c r="K143" s="1"/>
      <c r="L143" s="1"/>
      <c r="M143" s="1"/>
      <c r="N143" s="1"/>
      <c r="O143" s="1"/>
      <c r="P143" s="1"/>
      <c r="Q143" s="1"/>
      <c r="R143" s="1"/>
      <c r="S143" s="1"/>
      <c r="T143" s="1"/>
      <c r="U143" s="1"/>
      <c r="V143" s="1"/>
    </row>
    <row r="144" spans="3:22">
      <c r="C144" s="1"/>
      <c r="D144" s="1"/>
      <c r="E144" s="1"/>
      <c r="F144" s="1"/>
      <c r="G144" s="1"/>
      <c r="H144" s="1"/>
      <c r="I144" s="1"/>
      <c r="J144" s="1"/>
      <c r="K144" s="1"/>
      <c r="L144" s="1"/>
      <c r="M144" s="1"/>
      <c r="N144" s="1"/>
      <c r="O144" s="1"/>
      <c r="P144" s="1"/>
      <c r="Q144" s="1"/>
      <c r="R144" s="1"/>
      <c r="S144" s="1"/>
      <c r="T144" s="1"/>
      <c r="U144" s="1"/>
      <c r="V144" s="1"/>
    </row>
    <row r="145" spans="3:22">
      <c r="C145" s="1"/>
      <c r="D145" s="1"/>
      <c r="E145" s="1"/>
      <c r="F145" s="1"/>
      <c r="G145" s="1"/>
      <c r="H145" s="1"/>
      <c r="I145" s="1"/>
      <c r="J145" s="1"/>
      <c r="K145" s="1"/>
      <c r="L145" s="1"/>
      <c r="M145" s="1"/>
      <c r="N145" s="1"/>
      <c r="O145" s="1"/>
      <c r="P145" s="1"/>
      <c r="Q145" s="1"/>
      <c r="R145" s="1"/>
      <c r="S145" s="1"/>
      <c r="T145" s="1"/>
      <c r="U145" s="1"/>
      <c r="V145" s="1"/>
    </row>
    <row r="146" spans="3:22">
      <c r="C146" s="1"/>
      <c r="D146" s="1"/>
      <c r="E146" s="1"/>
      <c r="F146" s="1"/>
      <c r="G146" s="1"/>
      <c r="H146" s="1"/>
      <c r="I146" s="1"/>
      <c r="J146" s="1"/>
      <c r="K146" s="1"/>
      <c r="L146" s="1"/>
      <c r="M146" s="1"/>
      <c r="N146" s="1"/>
      <c r="O146" s="1"/>
      <c r="P146" s="1"/>
      <c r="Q146" s="1"/>
      <c r="R146" s="1"/>
      <c r="S146" s="1"/>
      <c r="T146" s="1"/>
      <c r="U146" s="1"/>
      <c r="V146" s="1"/>
    </row>
    <row r="147" spans="3:22">
      <c r="C147" s="1"/>
      <c r="D147" s="1"/>
      <c r="E147" s="1"/>
      <c r="F147" s="1"/>
      <c r="G147" s="1"/>
      <c r="H147" s="1"/>
      <c r="I147" s="1"/>
      <c r="J147" s="1"/>
      <c r="K147" s="1"/>
      <c r="L147" s="1"/>
      <c r="M147" s="1"/>
      <c r="N147" s="1"/>
      <c r="O147" s="1"/>
      <c r="P147" s="1"/>
      <c r="Q147" s="1"/>
      <c r="R147" s="1"/>
      <c r="S147" s="1"/>
      <c r="T147" s="1"/>
      <c r="U147" s="1"/>
      <c r="V147" s="1"/>
    </row>
    <row r="148" spans="3:22">
      <c r="C148" s="1"/>
      <c r="D148" s="1"/>
      <c r="E148" s="1"/>
      <c r="F148" s="1"/>
      <c r="G148" s="1"/>
      <c r="H148" s="1"/>
      <c r="I148" s="1"/>
      <c r="J148" s="1"/>
      <c r="K148" s="1"/>
      <c r="L148" s="1"/>
      <c r="M148" s="1"/>
      <c r="N148" s="1"/>
      <c r="O148" s="1"/>
      <c r="P148" s="1"/>
      <c r="Q148" s="1"/>
      <c r="R148" s="1"/>
      <c r="S148" s="1"/>
      <c r="T148" s="1"/>
      <c r="U148" s="1"/>
      <c r="V148" s="1"/>
    </row>
    <row r="149" spans="3:22">
      <c r="C149" s="1"/>
      <c r="D149" s="1"/>
      <c r="E149" s="1"/>
      <c r="F149" s="1"/>
      <c r="G149" s="1"/>
      <c r="H149" s="1"/>
      <c r="I149" s="1"/>
      <c r="J149" s="1"/>
      <c r="K149" s="1"/>
      <c r="L149" s="1"/>
      <c r="M149" s="1"/>
      <c r="N149" s="1"/>
      <c r="O149" s="1"/>
      <c r="P149" s="1"/>
      <c r="Q149" s="1"/>
      <c r="R149" s="1"/>
      <c r="S149" s="1"/>
      <c r="T149" s="1"/>
      <c r="U149" s="1"/>
      <c r="V149" s="1"/>
    </row>
    <row r="150" spans="3:22">
      <c r="C150" s="1"/>
      <c r="D150" s="1"/>
      <c r="E150" s="1"/>
      <c r="F150" s="1"/>
      <c r="G150" s="1"/>
      <c r="H150" s="1"/>
      <c r="I150" s="1"/>
      <c r="J150" s="1"/>
      <c r="K150" s="1"/>
      <c r="L150" s="1"/>
      <c r="M150" s="1"/>
      <c r="N150" s="1"/>
      <c r="O150" s="1"/>
      <c r="P150" s="1"/>
      <c r="Q150" s="1"/>
      <c r="R150" s="1"/>
      <c r="S150" s="1"/>
      <c r="T150" s="1"/>
      <c r="U150" s="1"/>
      <c r="V150" s="1"/>
    </row>
    <row r="151" spans="3:22">
      <c r="C151" s="1"/>
      <c r="D151" s="1"/>
      <c r="E151" s="1"/>
      <c r="F151" s="1"/>
      <c r="G151" s="1"/>
      <c r="H151" s="1"/>
      <c r="I151" s="1"/>
      <c r="J151" s="1"/>
      <c r="K151" s="1"/>
      <c r="L151" s="1"/>
      <c r="M151" s="1"/>
      <c r="N151" s="1"/>
      <c r="O151" s="1"/>
      <c r="P151" s="1"/>
      <c r="Q151" s="1"/>
      <c r="R151" s="1"/>
      <c r="S151" s="1"/>
      <c r="T151" s="1"/>
      <c r="U151" s="1"/>
      <c r="V151" s="1"/>
    </row>
    <row r="152" spans="3:22">
      <c r="C152" s="1"/>
      <c r="D152" s="1"/>
      <c r="E152" s="1"/>
      <c r="F152" s="1"/>
      <c r="G152" s="1"/>
      <c r="H152" s="1"/>
      <c r="I152" s="1"/>
      <c r="J152" s="1"/>
      <c r="K152" s="1"/>
      <c r="L152" s="1"/>
      <c r="M152" s="1"/>
      <c r="N152" s="1"/>
      <c r="O152" s="1"/>
      <c r="P152" s="1"/>
      <c r="Q152" s="1"/>
      <c r="R152" s="1"/>
      <c r="S152" s="1"/>
      <c r="T152" s="1"/>
      <c r="U152" s="1"/>
      <c r="V152" s="1"/>
    </row>
    <row r="153" spans="3:22">
      <c r="C153" s="1"/>
      <c r="D153" s="1"/>
      <c r="E153" s="1"/>
      <c r="F153" s="1"/>
      <c r="G153" s="1"/>
      <c r="H153" s="1"/>
      <c r="I153" s="1"/>
      <c r="J153" s="1"/>
      <c r="K153" s="1"/>
      <c r="L153" s="1"/>
      <c r="M153" s="1"/>
      <c r="N153" s="1"/>
      <c r="O153" s="1"/>
      <c r="P153" s="1"/>
      <c r="Q153" s="1"/>
      <c r="R153" s="1"/>
      <c r="S153" s="1"/>
      <c r="T153" s="1"/>
      <c r="U153" s="1"/>
      <c r="V153" s="1"/>
    </row>
    <row r="154" spans="3:22">
      <c r="C154" s="1"/>
      <c r="D154" s="1"/>
      <c r="E154" s="1"/>
      <c r="F154" s="1"/>
      <c r="G154" s="1"/>
      <c r="H154" s="1"/>
      <c r="I154" s="1"/>
      <c r="J154" s="1"/>
      <c r="K154" s="1"/>
      <c r="L154" s="1"/>
      <c r="M154" s="1"/>
      <c r="N154" s="1"/>
      <c r="O154" s="1"/>
      <c r="P154" s="1"/>
      <c r="Q154" s="1"/>
      <c r="R154" s="1"/>
      <c r="S154" s="1"/>
      <c r="T154" s="1"/>
      <c r="U154" s="1"/>
      <c r="V154" s="1"/>
    </row>
    <row r="155" spans="3:22">
      <c r="C155" s="1"/>
      <c r="D155" s="1"/>
      <c r="E155" s="1"/>
      <c r="F155" s="1"/>
      <c r="G155" s="1"/>
      <c r="H155" s="1"/>
      <c r="I155" s="1"/>
      <c r="J155" s="1"/>
      <c r="K155" s="1"/>
      <c r="L155" s="1"/>
      <c r="M155" s="1"/>
      <c r="N155" s="1"/>
      <c r="O155" s="1"/>
      <c r="P155" s="1"/>
      <c r="Q155" s="1"/>
      <c r="R155" s="1"/>
      <c r="S155" s="1"/>
      <c r="T155" s="1"/>
      <c r="U155" s="1"/>
      <c r="V155" s="1"/>
    </row>
    <row r="156" spans="3:22">
      <c r="C156" s="1"/>
      <c r="D156" s="1"/>
      <c r="E156" s="1"/>
      <c r="F156" s="1"/>
      <c r="G156" s="1"/>
      <c r="H156" s="1"/>
      <c r="I156" s="1"/>
      <c r="J156" s="1"/>
      <c r="K156" s="1"/>
      <c r="L156" s="1"/>
      <c r="M156" s="1"/>
      <c r="N156" s="1"/>
      <c r="O156" s="1"/>
      <c r="P156" s="1"/>
      <c r="Q156" s="1"/>
      <c r="R156" s="1"/>
      <c r="S156" s="1"/>
      <c r="T156" s="1"/>
      <c r="U156" s="1"/>
      <c r="V156" s="1"/>
    </row>
    <row r="157" spans="3:22">
      <c r="C157" s="1"/>
      <c r="D157" s="1"/>
      <c r="E157" s="1"/>
      <c r="F157" s="1"/>
      <c r="G157" s="1"/>
      <c r="H157" s="1"/>
      <c r="I157" s="1"/>
      <c r="J157" s="1"/>
      <c r="K157" s="1"/>
      <c r="L157" s="1"/>
      <c r="M157" s="1"/>
      <c r="N157" s="1"/>
      <c r="O157" s="1"/>
      <c r="P157" s="1"/>
      <c r="Q157" s="1"/>
      <c r="R157" s="1"/>
      <c r="S157" s="1"/>
      <c r="T157" s="1"/>
      <c r="U157" s="1"/>
      <c r="V157" s="1"/>
    </row>
    <row r="158" spans="3:22">
      <c r="C158" s="1"/>
      <c r="D158" s="1"/>
      <c r="E158" s="1"/>
      <c r="F158" s="1"/>
      <c r="G158" s="1"/>
      <c r="H158" s="1"/>
      <c r="I158" s="1"/>
      <c r="J158" s="1"/>
      <c r="K158" s="1"/>
      <c r="L158" s="1"/>
      <c r="M158" s="1"/>
      <c r="N158" s="1"/>
      <c r="O158" s="1"/>
      <c r="P158" s="1"/>
      <c r="Q158" s="1"/>
      <c r="R158" s="1"/>
      <c r="S158" s="1"/>
      <c r="T158" s="1"/>
      <c r="U158" s="1"/>
      <c r="V158" s="1"/>
    </row>
    <row r="159" spans="3:22">
      <c r="C159" s="1"/>
      <c r="D159" s="1"/>
      <c r="E159" s="1"/>
      <c r="F159" s="1"/>
      <c r="G159" s="1"/>
      <c r="H159" s="1"/>
      <c r="I159" s="1"/>
      <c r="J159" s="1"/>
      <c r="K159" s="1"/>
      <c r="L159" s="1"/>
      <c r="M159" s="1"/>
      <c r="N159" s="1"/>
      <c r="O159" s="1"/>
      <c r="P159" s="1"/>
      <c r="Q159" s="1"/>
      <c r="R159" s="1"/>
      <c r="S159" s="1"/>
      <c r="T159" s="1"/>
      <c r="U159" s="1"/>
      <c r="V159" s="1"/>
    </row>
    <row r="160" spans="3:22">
      <c r="C160" s="1"/>
      <c r="D160" s="1"/>
      <c r="E160" s="1"/>
      <c r="F160" s="1"/>
      <c r="G160" s="1"/>
      <c r="H160" s="1"/>
      <c r="I160" s="1"/>
      <c r="J160" s="1"/>
      <c r="K160" s="1"/>
      <c r="L160" s="1"/>
      <c r="M160" s="1"/>
      <c r="N160" s="1"/>
      <c r="O160" s="1"/>
      <c r="P160" s="1"/>
      <c r="Q160" s="1"/>
      <c r="R160" s="1"/>
      <c r="S160" s="1"/>
      <c r="T160" s="1"/>
      <c r="U160" s="1"/>
      <c r="V160" s="1"/>
    </row>
    <row r="161" spans="3:22">
      <c r="C161" s="1"/>
      <c r="D161" s="1"/>
      <c r="E161" s="1"/>
      <c r="F161" s="1"/>
      <c r="G161" s="1"/>
      <c r="H161" s="1"/>
      <c r="I161" s="1"/>
      <c r="J161" s="1"/>
      <c r="K161" s="1"/>
      <c r="L161" s="1"/>
      <c r="M161" s="1"/>
      <c r="N161" s="1"/>
      <c r="O161" s="1"/>
      <c r="P161" s="1"/>
      <c r="Q161" s="1"/>
      <c r="R161" s="1"/>
      <c r="S161" s="1"/>
      <c r="T161" s="1"/>
      <c r="U161" s="1"/>
      <c r="V161" s="1"/>
    </row>
    <row r="162" spans="3:22">
      <c r="C162" s="1"/>
      <c r="D162" s="1"/>
      <c r="E162" s="1"/>
      <c r="F162" s="1"/>
      <c r="G162" s="1"/>
      <c r="H162" s="1"/>
      <c r="I162" s="1"/>
      <c r="J162" s="1"/>
      <c r="K162" s="1"/>
      <c r="L162" s="1"/>
      <c r="M162" s="1"/>
      <c r="N162" s="1"/>
      <c r="O162" s="1"/>
      <c r="P162" s="1"/>
      <c r="Q162" s="1"/>
      <c r="R162" s="1"/>
      <c r="S162" s="1"/>
      <c r="T162" s="1"/>
      <c r="U162" s="1"/>
      <c r="V162" s="1"/>
    </row>
    <row r="163" spans="3:22">
      <c r="C163" s="1"/>
      <c r="D163" s="1"/>
      <c r="E163" s="1"/>
      <c r="F163" s="1"/>
      <c r="G163" s="1"/>
      <c r="H163" s="1"/>
      <c r="I163" s="1"/>
      <c r="J163" s="1"/>
      <c r="K163" s="1"/>
      <c r="L163" s="1"/>
      <c r="M163" s="1"/>
      <c r="N163" s="1"/>
      <c r="O163" s="1"/>
      <c r="P163" s="1"/>
      <c r="Q163" s="1"/>
      <c r="R163" s="1"/>
      <c r="S163" s="1"/>
      <c r="T163" s="1"/>
      <c r="U163" s="1"/>
      <c r="V163" s="1"/>
    </row>
    <row r="164" spans="3:22">
      <c r="C164" s="1"/>
      <c r="D164" s="1"/>
      <c r="E164" s="1"/>
      <c r="F164" s="1"/>
      <c r="G164" s="1"/>
      <c r="H164" s="1"/>
      <c r="I164" s="1"/>
      <c r="J164" s="1"/>
      <c r="K164" s="1"/>
      <c r="L164" s="1"/>
      <c r="M164" s="1"/>
      <c r="N164" s="1"/>
      <c r="O164" s="1"/>
      <c r="P164" s="1"/>
      <c r="Q164" s="1"/>
      <c r="R164" s="1"/>
      <c r="S164" s="1"/>
      <c r="T164" s="1"/>
      <c r="U164" s="1"/>
      <c r="V164" s="1"/>
    </row>
    <row r="165" spans="3:22">
      <c r="C165" s="1"/>
      <c r="D165" s="1"/>
      <c r="E165" s="1"/>
      <c r="F165" s="1"/>
      <c r="G165" s="1"/>
      <c r="H165" s="1"/>
      <c r="I165" s="1"/>
      <c r="J165" s="1"/>
      <c r="K165" s="1"/>
      <c r="L165" s="1"/>
      <c r="M165" s="1"/>
      <c r="N165" s="1"/>
      <c r="O165" s="1"/>
      <c r="P165" s="1"/>
      <c r="Q165" s="1"/>
      <c r="R165" s="1"/>
      <c r="S165" s="1"/>
      <c r="T165" s="1"/>
      <c r="U165" s="1"/>
      <c r="V165" s="1"/>
    </row>
    <row r="166" spans="3:22">
      <c r="C166" s="1"/>
      <c r="D166" s="1"/>
      <c r="E166" s="1"/>
      <c r="F166" s="1"/>
      <c r="G166" s="1"/>
      <c r="H166" s="1"/>
      <c r="I166" s="1"/>
      <c r="J166" s="1"/>
      <c r="K166" s="1"/>
      <c r="L166" s="1"/>
      <c r="M166" s="1"/>
      <c r="N166" s="1"/>
      <c r="O166" s="1"/>
      <c r="P166" s="1"/>
      <c r="Q166" s="1"/>
      <c r="R166" s="1"/>
      <c r="S166" s="1"/>
      <c r="T166" s="1"/>
      <c r="U166" s="1"/>
      <c r="V166" s="1"/>
    </row>
    <row r="167" spans="3:22">
      <c r="C167" s="1"/>
      <c r="D167" s="1"/>
      <c r="E167" s="1"/>
      <c r="F167" s="1"/>
      <c r="G167" s="1"/>
      <c r="H167" s="1"/>
      <c r="I167" s="1"/>
      <c r="J167" s="1"/>
      <c r="K167" s="1"/>
      <c r="L167" s="1"/>
      <c r="M167" s="1"/>
      <c r="N167" s="1"/>
      <c r="O167" s="1"/>
      <c r="P167" s="1"/>
      <c r="Q167" s="1"/>
      <c r="R167" s="1"/>
      <c r="S167" s="1"/>
      <c r="T167" s="1"/>
      <c r="U167" s="1"/>
      <c r="V167" s="1"/>
    </row>
    <row r="168" spans="3:22">
      <c r="C168" s="1"/>
      <c r="D168" s="1"/>
      <c r="E168" s="1"/>
      <c r="F168" s="1"/>
      <c r="G168" s="1"/>
      <c r="H168" s="1"/>
      <c r="I168" s="1"/>
      <c r="J168" s="1"/>
      <c r="K168" s="1"/>
      <c r="L168" s="1"/>
      <c r="M168" s="1"/>
      <c r="N168" s="1"/>
      <c r="O168" s="1"/>
      <c r="P168" s="1"/>
      <c r="Q168" s="1"/>
      <c r="R168" s="1"/>
      <c r="S168" s="1"/>
      <c r="T168" s="1"/>
      <c r="U168" s="1"/>
      <c r="V168" s="1"/>
    </row>
    <row r="169" spans="3:22">
      <c r="C169" s="1"/>
      <c r="D169" s="1"/>
      <c r="E169" s="1"/>
      <c r="F169" s="1"/>
      <c r="G169" s="1"/>
      <c r="H169" s="1"/>
      <c r="I169" s="1"/>
      <c r="J169" s="1"/>
      <c r="K169" s="1"/>
      <c r="L169" s="1"/>
      <c r="M169" s="1"/>
      <c r="N169" s="1"/>
      <c r="O169" s="1"/>
      <c r="P169" s="1"/>
      <c r="Q169" s="1"/>
      <c r="R169" s="1"/>
      <c r="S169" s="1"/>
      <c r="T169" s="1"/>
      <c r="U169" s="1"/>
      <c r="V169" s="1"/>
    </row>
    <row r="170" spans="3:22">
      <c r="C170" s="1"/>
      <c r="D170" s="1"/>
      <c r="E170" s="1"/>
      <c r="F170" s="1"/>
      <c r="G170" s="1"/>
      <c r="H170" s="1"/>
      <c r="I170" s="1"/>
      <c r="J170" s="1"/>
      <c r="K170" s="1"/>
      <c r="L170" s="1"/>
      <c r="M170" s="1"/>
      <c r="N170" s="1"/>
      <c r="O170" s="1"/>
      <c r="P170" s="1"/>
      <c r="Q170" s="1"/>
      <c r="R170" s="1"/>
      <c r="S170" s="1"/>
      <c r="T170" s="1"/>
      <c r="U170" s="1"/>
      <c r="V170" s="1"/>
    </row>
    <row r="171" spans="3:22">
      <c r="C171" s="1"/>
      <c r="D171" s="1"/>
      <c r="E171" s="1"/>
      <c r="F171" s="1"/>
      <c r="G171" s="1"/>
      <c r="H171" s="1"/>
      <c r="I171" s="1"/>
      <c r="J171" s="1"/>
      <c r="K171" s="1"/>
      <c r="L171" s="1"/>
      <c r="M171" s="1"/>
      <c r="N171" s="1"/>
      <c r="O171" s="1"/>
      <c r="P171" s="1"/>
      <c r="Q171" s="1"/>
      <c r="R171" s="1"/>
      <c r="S171" s="1"/>
      <c r="T171" s="1"/>
      <c r="U171" s="1"/>
      <c r="V171" s="1"/>
    </row>
    <row r="172" spans="3:22">
      <c r="C172" s="1"/>
      <c r="D172" s="1"/>
      <c r="E172" s="1"/>
      <c r="F172" s="1"/>
      <c r="G172" s="1"/>
      <c r="H172" s="1"/>
      <c r="I172" s="1"/>
      <c r="J172" s="1"/>
      <c r="K172" s="1"/>
      <c r="L172" s="1"/>
      <c r="M172" s="1"/>
      <c r="N172" s="1"/>
      <c r="O172" s="1"/>
      <c r="P172" s="1"/>
      <c r="Q172" s="1"/>
      <c r="R172" s="1"/>
      <c r="S172" s="1"/>
      <c r="T172" s="1"/>
      <c r="U172" s="1"/>
      <c r="V172" s="1"/>
    </row>
    <row r="173" spans="3:22">
      <c r="C173" s="1"/>
      <c r="D173" s="1"/>
      <c r="E173" s="1"/>
      <c r="F173" s="1"/>
      <c r="G173" s="1"/>
      <c r="H173" s="1"/>
      <c r="I173" s="1"/>
      <c r="J173" s="1"/>
      <c r="K173" s="1"/>
      <c r="L173" s="1"/>
      <c r="M173" s="1"/>
      <c r="N173" s="1"/>
      <c r="O173" s="1"/>
      <c r="P173" s="1"/>
      <c r="Q173" s="1"/>
      <c r="R173" s="1"/>
      <c r="S173" s="1"/>
      <c r="T173" s="1"/>
      <c r="U173" s="1"/>
      <c r="V173" s="1"/>
    </row>
    <row r="174" spans="3:22">
      <c r="C174" s="1"/>
      <c r="D174" s="1"/>
      <c r="E174" s="1"/>
      <c r="F174" s="1"/>
      <c r="G174" s="1"/>
      <c r="H174" s="1"/>
      <c r="I174" s="1"/>
      <c r="J174" s="1"/>
      <c r="K174" s="1"/>
      <c r="L174" s="1"/>
      <c r="M174" s="1"/>
      <c r="N174" s="1"/>
      <c r="O174" s="1"/>
      <c r="P174" s="1"/>
      <c r="Q174" s="1"/>
      <c r="R174" s="1"/>
      <c r="S174" s="1"/>
      <c r="T174" s="1"/>
      <c r="U174" s="1"/>
      <c r="V174" s="1"/>
    </row>
    <row r="175" spans="3:22">
      <c r="C175" s="1"/>
      <c r="D175" s="1"/>
      <c r="E175" s="1"/>
      <c r="F175" s="1"/>
      <c r="G175" s="1"/>
      <c r="H175" s="1"/>
      <c r="I175" s="1"/>
      <c r="J175" s="1"/>
      <c r="K175" s="1"/>
      <c r="L175" s="1"/>
      <c r="M175" s="1"/>
      <c r="N175" s="1"/>
      <c r="O175" s="1"/>
      <c r="P175" s="1"/>
      <c r="Q175" s="1"/>
      <c r="R175" s="1"/>
      <c r="S175" s="1"/>
      <c r="T175" s="1"/>
      <c r="U175" s="1"/>
      <c r="V175" s="1"/>
    </row>
    <row r="176" spans="3:22">
      <c r="C176" s="1"/>
      <c r="D176" s="1"/>
      <c r="E176" s="1"/>
      <c r="F176" s="1"/>
      <c r="G176" s="1"/>
      <c r="H176" s="1"/>
      <c r="I176" s="1"/>
      <c r="J176" s="1"/>
      <c r="K176" s="1"/>
      <c r="L176" s="1"/>
      <c r="M176" s="1"/>
      <c r="N176" s="1"/>
      <c r="O176" s="1"/>
      <c r="P176" s="1"/>
      <c r="Q176" s="1"/>
      <c r="R176" s="1"/>
      <c r="S176" s="1"/>
      <c r="T176" s="1"/>
      <c r="U176" s="1"/>
      <c r="V176" s="1"/>
    </row>
    <row r="177" spans="3:22">
      <c r="C177" s="1"/>
      <c r="D177" s="1"/>
      <c r="E177" s="1"/>
      <c r="F177" s="1"/>
      <c r="G177" s="1"/>
      <c r="H177" s="1"/>
      <c r="I177" s="1"/>
      <c r="J177" s="1"/>
      <c r="K177" s="1"/>
      <c r="L177" s="1"/>
      <c r="M177" s="1"/>
      <c r="N177" s="1"/>
      <c r="O177" s="1"/>
      <c r="P177" s="1"/>
      <c r="Q177" s="1"/>
      <c r="R177" s="1"/>
      <c r="S177" s="1"/>
      <c r="T177" s="1"/>
      <c r="U177" s="1"/>
      <c r="V177" s="1"/>
    </row>
    <row r="178" spans="3:22">
      <c r="C178" s="1"/>
      <c r="D178" s="1"/>
      <c r="E178" s="1"/>
      <c r="F178" s="1"/>
      <c r="G178" s="1"/>
      <c r="H178" s="1"/>
      <c r="I178" s="1"/>
      <c r="J178" s="1"/>
      <c r="K178" s="1"/>
      <c r="L178" s="1"/>
      <c r="M178" s="1"/>
      <c r="N178" s="1"/>
      <c r="O178" s="1"/>
      <c r="P178" s="1"/>
      <c r="Q178" s="1"/>
      <c r="R178" s="1"/>
      <c r="S178" s="1"/>
      <c r="T178" s="1"/>
      <c r="U178" s="1"/>
      <c r="V178" s="1"/>
    </row>
    <row r="179" spans="3:22">
      <c r="C179" s="1"/>
      <c r="D179" s="1"/>
      <c r="E179" s="1"/>
      <c r="F179" s="1"/>
      <c r="G179" s="1"/>
      <c r="H179" s="1"/>
      <c r="I179" s="1"/>
      <c r="J179" s="1"/>
      <c r="K179" s="1"/>
      <c r="L179" s="1"/>
      <c r="M179" s="1"/>
      <c r="N179" s="1"/>
      <c r="O179" s="1"/>
      <c r="P179" s="1"/>
      <c r="Q179" s="1"/>
      <c r="R179" s="1"/>
      <c r="S179" s="1"/>
      <c r="T179" s="1"/>
      <c r="U179" s="1"/>
      <c r="V179" s="1"/>
    </row>
    <row r="180" spans="3:22">
      <c r="C180" s="1"/>
      <c r="D180" s="1"/>
      <c r="E180" s="1"/>
      <c r="F180" s="1"/>
      <c r="G180" s="1"/>
      <c r="H180" s="1"/>
      <c r="I180" s="1"/>
      <c r="J180" s="1"/>
      <c r="K180" s="1"/>
      <c r="L180" s="1"/>
      <c r="M180" s="1"/>
      <c r="N180" s="1"/>
      <c r="O180" s="1"/>
      <c r="P180" s="1"/>
      <c r="Q180" s="1"/>
      <c r="R180" s="1"/>
      <c r="S180" s="1"/>
      <c r="T180" s="1"/>
      <c r="U180" s="1"/>
      <c r="V180" s="1"/>
    </row>
    <row r="181" spans="3:22">
      <c r="C181" s="1"/>
      <c r="D181" s="1"/>
      <c r="E181" s="1"/>
      <c r="F181" s="1"/>
      <c r="G181" s="1"/>
      <c r="H181" s="1"/>
      <c r="I181" s="1"/>
      <c r="J181" s="1"/>
      <c r="K181" s="1"/>
      <c r="L181" s="1"/>
      <c r="M181" s="1"/>
      <c r="N181" s="1"/>
      <c r="O181" s="1"/>
      <c r="P181" s="1"/>
      <c r="Q181" s="1"/>
      <c r="R181" s="1"/>
      <c r="S181" s="1"/>
      <c r="T181" s="1"/>
      <c r="U181" s="1"/>
      <c r="V181" s="1"/>
    </row>
    <row r="182" spans="3:22">
      <c r="C182" s="1"/>
      <c r="D182" s="1"/>
      <c r="E182" s="1"/>
      <c r="F182" s="1"/>
      <c r="G182" s="1"/>
      <c r="H182" s="1"/>
      <c r="I182" s="1"/>
      <c r="J182" s="1"/>
      <c r="K182" s="1"/>
      <c r="L182" s="1"/>
      <c r="M182" s="1"/>
      <c r="N182" s="1"/>
      <c r="O182" s="1"/>
      <c r="P182" s="1"/>
      <c r="Q182" s="1"/>
      <c r="R182" s="1"/>
      <c r="S182" s="1"/>
      <c r="T182" s="1"/>
      <c r="U182" s="1"/>
      <c r="V182" s="1"/>
    </row>
    <row r="183" spans="3:22">
      <c r="C183" s="1"/>
      <c r="D183" s="1"/>
      <c r="E183" s="1"/>
      <c r="F183" s="1"/>
      <c r="G183" s="1"/>
      <c r="H183" s="1"/>
      <c r="I183" s="1"/>
      <c r="J183" s="1"/>
      <c r="K183" s="1"/>
      <c r="L183" s="1"/>
      <c r="M183" s="1"/>
      <c r="N183" s="1"/>
      <c r="O183" s="1"/>
      <c r="P183" s="1"/>
      <c r="Q183" s="1"/>
      <c r="R183" s="1"/>
      <c r="S183" s="1"/>
      <c r="T183" s="1"/>
      <c r="U183" s="1"/>
      <c r="V183" s="1"/>
    </row>
    <row r="184" spans="3:22">
      <c r="C184" s="1"/>
      <c r="D184" s="1"/>
      <c r="E184" s="1"/>
      <c r="F184" s="1"/>
      <c r="G184" s="1"/>
      <c r="H184" s="1"/>
      <c r="I184" s="1"/>
      <c r="J184" s="1"/>
      <c r="K184" s="1"/>
      <c r="L184" s="1"/>
      <c r="M184" s="1"/>
      <c r="N184" s="1"/>
      <c r="O184" s="1"/>
      <c r="P184" s="1"/>
      <c r="Q184" s="1"/>
      <c r="R184" s="1"/>
      <c r="S184" s="1"/>
      <c r="T184" s="1"/>
      <c r="U184" s="1"/>
      <c r="V184" s="1"/>
    </row>
    <row r="185" spans="3:22">
      <c r="C185" s="1"/>
      <c r="D185" s="1"/>
      <c r="E185" s="1"/>
      <c r="F185" s="1"/>
      <c r="G185" s="1"/>
      <c r="H185" s="1"/>
      <c r="I185" s="1"/>
      <c r="J185" s="1"/>
      <c r="K185" s="1"/>
      <c r="L185" s="1"/>
      <c r="M185" s="1"/>
      <c r="N185" s="1"/>
      <c r="O185" s="1"/>
      <c r="P185" s="1"/>
      <c r="Q185" s="1"/>
      <c r="R185" s="1"/>
      <c r="S185" s="1"/>
      <c r="T185" s="1"/>
      <c r="U185" s="1"/>
      <c r="V185" s="1"/>
    </row>
    <row r="186" spans="3:22">
      <c r="C186" s="1"/>
      <c r="D186" s="1"/>
      <c r="E186" s="1"/>
      <c r="F186" s="1"/>
      <c r="G186" s="1"/>
      <c r="H186" s="1"/>
      <c r="I186" s="1"/>
      <c r="J186" s="1"/>
      <c r="K186" s="1"/>
      <c r="L186" s="1"/>
      <c r="M186" s="1"/>
      <c r="N186" s="1"/>
      <c r="O186" s="1"/>
      <c r="P186" s="1"/>
      <c r="Q186" s="1"/>
      <c r="R186" s="1"/>
      <c r="S186" s="1"/>
      <c r="T186" s="1"/>
      <c r="U186" s="1"/>
      <c r="V186" s="1"/>
    </row>
    <row r="187" spans="3:22">
      <c r="C187" s="1"/>
      <c r="D187" s="1"/>
      <c r="E187" s="1"/>
      <c r="F187" s="1"/>
      <c r="G187" s="1"/>
      <c r="H187" s="1"/>
      <c r="I187" s="1"/>
      <c r="J187" s="1"/>
      <c r="K187" s="1"/>
      <c r="L187" s="1"/>
      <c r="M187" s="1"/>
      <c r="N187" s="1"/>
      <c r="O187" s="1"/>
      <c r="P187" s="1"/>
      <c r="Q187" s="1"/>
      <c r="R187" s="1"/>
      <c r="S187" s="1"/>
      <c r="T187" s="1"/>
      <c r="U187" s="1"/>
      <c r="V187" s="1"/>
    </row>
    <row r="188" spans="3:22">
      <c r="C188" s="1"/>
      <c r="D188" s="1"/>
      <c r="E188" s="1"/>
      <c r="F188" s="1"/>
      <c r="G188" s="1"/>
      <c r="H188" s="1"/>
      <c r="I188" s="1"/>
      <c r="J188" s="1"/>
      <c r="K188" s="1"/>
      <c r="L188" s="1"/>
      <c r="M188" s="1"/>
      <c r="N188" s="1"/>
      <c r="O188" s="1"/>
      <c r="P188" s="1"/>
      <c r="Q188" s="1"/>
      <c r="R188" s="1"/>
      <c r="S188" s="1"/>
      <c r="T188" s="1"/>
      <c r="U188" s="1"/>
      <c r="V188" s="1"/>
    </row>
    <row r="189" spans="3:22">
      <c r="C189" s="1"/>
      <c r="D189" s="1"/>
      <c r="E189" s="1"/>
      <c r="F189" s="1"/>
      <c r="G189" s="1"/>
      <c r="H189" s="1"/>
      <c r="I189" s="1"/>
      <c r="J189" s="1"/>
      <c r="K189" s="1"/>
      <c r="L189" s="1"/>
      <c r="M189" s="1"/>
      <c r="N189" s="1"/>
      <c r="O189" s="1"/>
      <c r="P189" s="1"/>
      <c r="Q189" s="1"/>
      <c r="R189" s="1"/>
      <c r="S189" s="1"/>
      <c r="T189" s="1"/>
      <c r="U189" s="1"/>
      <c r="V189" s="1"/>
    </row>
    <row r="190" spans="3:22">
      <c r="C190" s="1"/>
      <c r="D190" s="1"/>
      <c r="E190" s="1"/>
      <c r="F190" s="1"/>
      <c r="G190" s="1"/>
      <c r="H190" s="1"/>
      <c r="I190" s="1"/>
      <c r="J190" s="1"/>
      <c r="K190" s="1"/>
      <c r="L190" s="1"/>
      <c r="M190" s="1"/>
      <c r="N190" s="1"/>
      <c r="O190" s="1"/>
      <c r="P190" s="1"/>
      <c r="Q190" s="1"/>
      <c r="R190" s="1"/>
      <c r="S190" s="1"/>
      <c r="T190" s="1"/>
      <c r="U190" s="1"/>
      <c r="V190" s="1"/>
    </row>
    <row r="191" spans="3:22">
      <c r="C191" s="1"/>
      <c r="D191" s="1"/>
      <c r="E191" s="1"/>
      <c r="F191" s="1"/>
      <c r="G191" s="1"/>
      <c r="H191" s="1"/>
      <c r="I191" s="1"/>
      <c r="J191" s="1"/>
      <c r="K191" s="1"/>
      <c r="L191" s="1"/>
      <c r="M191" s="1"/>
      <c r="N191" s="1"/>
      <c r="O191" s="1"/>
      <c r="P191" s="1"/>
      <c r="Q191" s="1"/>
      <c r="R191" s="1"/>
      <c r="S191" s="1"/>
      <c r="T191" s="1"/>
      <c r="U191" s="1"/>
      <c r="V191" s="1"/>
    </row>
    <row r="192" spans="3:22">
      <c r="C192" s="1"/>
      <c r="D192" s="1"/>
      <c r="E192" s="1"/>
      <c r="F192" s="1"/>
      <c r="G192" s="1"/>
      <c r="H192" s="1"/>
      <c r="I192" s="1"/>
      <c r="J192" s="1"/>
      <c r="K192" s="1"/>
      <c r="L192" s="1"/>
      <c r="M192" s="1"/>
      <c r="N192" s="1"/>
      <c r="O192" s="1"/>
      <c r="P192" s="1"/>
      <c r="Q192" s="1"/>
      <c r="R192" s="1"/>
      <c r="S192" s="1"/>
      <c r="T192" s="1"/>
      <c r="U192" s="1"/>
      <c r="V192" s="1"/>
    </row>
    <row r="193" spans="3:22">
      <c r="C193" s="1"/>
      <c r="D193" s="1"/>
      <c r="E193" s="1"/>
      <c r="F193" s="1"/>
      <c r="G193" s="1"/>
      <c r="H193" s="1"/>
      <c r="I193" s="1"/>
      <c r="J193" s="1"/>
      <c r="K193" s="1"/>
      <c r="L193" s="1"/>
      <c r="M193" s="1"/>
      <c r="N193" s="1"/>
      <c r="O193" s="1"/>
      <c r="P193" s="1"/>
      <c r="Q193" s="1"/>
      <c r="R193" s="1"/>
      <c r="S193" s="1"/>
      <c r="T193" s="1"/>
      <c r="U193" s="1"/>
      <c r="V193" s="1"/>
    </row>
    <row r="194" spans="3:22">
      <c r="C194" s="1"/>
      <c r="D194" s="1"/>
      <c r="E194" s="1"/>
      <c r="F194" s="1"/>
      <c r="G194" s="1"/>
      <c r="H194" s="1"/>
      <c r="I194" s="1"/>
      <c r="J194" s="1"/>
      <c r="K194" s="1"/>
      <c r="L194" s="1"/>
      <c r="M194" s="1"/>
      <c r="N194" s="1"/>
      <c r="O194" s="1"/>
      <c r="P194" s="1"/>
      <c r="Q194" s="1"/>
      <c r="R194" s="1"/>
      <c r="S194" s="1"/>
      <c r="T194" s="1"/>
      <c r="U194" s="1"/>
      <c r="V194" s="1"/>
    </row>
    <row r="195" spans="3:22">
      <c r="C195" s="1"/>
      <c r="D195" s="1"/>
      <c r="E195" s="1"/>
      <c r="F195" s="1"/>
      <c r="G195" s="1"/>
      <c r="H195" s="1"/>
      <c r="I195" s="1"/>
      <c r="J195" s="1"/>
      <c r="K195" s="1"/>
      <c r="L195" s="1"/>
      <c r="M195" s="1"/>
      <c r="N195" s="1"/>
      <c r="O195" s="1"/>
      <c r="P195" s="1"/>
      <c r="Q195" s="1"/>
      <c r="R195" s="1"/>
      <c r="S195" s="1"/>
      <c r="T195" s="1"/>
      <c r="U195" s="1"/>
      <c r="V195" s="1"/>
    </row>
    <row r="196" spans="3:22">
      <c r="C196" s="1"/>
      <c r="D196" s="1"/>
      <c r="E196" s="1"/>
      <c r="F196" s="1"/>
      <c r="G196" s="1"/>
      <c r="H196" s="1"/>
      <c r="I196" s="1"/>
      <c r="J196" s="1"/>
      <c r="K196" s="1"/>
      <c r="L196" s="1"/>
      <c r="M196" s="1"/>
      <c r="N196" s="1"/>
      <c r="O196" s="1"/>
      <c r="P196" s="1"/>
      <c r="Q196" s="1"/>
      <c r="R196" s="1"/>
      <c r="S196" s="1"/>
      <c r="T196" s="1"/>
      <c r="U196" s="1"/>
      <c r="V196" s="1"/>
    </row>
    <row r="197" spans="3:22">
      <c r="C197" s="1"/>
      <c r="D197" s="1"/>
      <c r="E197" s="1"/>
      <c r="F197" s="1"/>
      <c r="G197" s="1"/>
      <c r="H197" s="1"/>
      <c r="I197" s="1"/>
      <c r="J197" s="1"/>
      <c r="K197" s="1"/>
      <c r="L197" s="1"/>
      <c r="M197" s="1"/>
      <c r="N197" s="1"/>
      <c r="O197" s="1"/>
      <c r="P197" s="1"/>
      <c r="Q197" s="1"/>
      <c r="R197" s="1"/>
      <c r="S197" s="1"/>
      <c r="T197" s="1"/>
      <c r="U197" s="1"/>
      <c r="V197" s="1"/>
    </row>
    <row r="198" spans="3:22">
      <c r="C198" s="1"/>
      <c r="D198" s="1"/>
      <c r="E198" s="1"/>
      <c r="F198" s="1"/>
      <c r="G198" s="1"/>
      <c r="H198" s="1"/>
      <c r="I198" s="1"/>
      <c r="J198" s="1"/>
      <c r="K198" s="1"/>
      <c r="L198" s="1"/>
      <c r="M198" s="1"/>
      <c r="N198" s="1"/>
      <c r="O198" s="1"/>
      <c r="P198" s="1"/>
      <c r="Q198" s="1"/>
      <c r="R198" s="1"/>
      <c r="S198" s="1"/>
      <c r="T198" s="1"/>
      <c r="U198" s="1"/>
      <c r="V198" s="1"/>
    </row>
    <row r="199" spans="3:22">
      <c r="C199" s="1"/>
      <c r="D199" s="1"/>
      <c r="E199" s="1"/>
      <c r="F199" s="1"/>
      <c r="G199" s="1"/>
      <c r="H199" s="1"/>
      <c r="I199" s="1"/>
      <c r="J199" s="1"/>
      <c r="K199" s="1"/>
      <c r="L199" s="1"/>
      <c r="M199" s="1"/>
      <c r="N199" s="1"/>
      <c r="O199" s="1"/>
      <c r="P199" s="1"/>
      <c r="Q199" s="1"/>
      <c r="R199" s="1"/>
      <c r="S199" s="1"/>
      <c r="T199" s="1"/>
      <c r="U199" s="1"/>
      <c r="V199" s="1"/>
    </row>
    <row r="200" spans="3:22">
      <c r="C200" s="1"/>
      <c r="D200" s="1"/>
      <c r="E200" s="1"/>
      <c r="F200" s="1"/>
      <c r="G200" s="1"/>
      <c r="H200" s="1"/>
      <c r="I200" s="1"/>
      <c r="J200" s="1"/>
      <c r="K200" s="1"/>
      <c r="L200" s="1"/>
      <c r="M200" s="1"/>
      <c r="N200" s="1"/>
      <c r="O200" s="1"/>
      <c r="P200" s="1"/>
      <c r="Q200" s="1"/>
      <c r="R200" s="1"/>
      <c r="S200" s="1"/>
      <c r="T200" s="1"/>
      <c r="U200" s="1"/>
      <c r="V200" s="1"/>
    </row>
    <row r="201" spans="3:22">
      <c r="C201" s="1"/>
      <c r="D201" s="1"/>
      <c r="E201" s="1"/>
      <c r="F201" s="1"/>
      <c r="G201" s="1"/>
      <c r="H201" s="1"/>
      <c r="I201" s="1"/>
      <c r="J201" s="1"/>
      <c r="K201" s="1"/>
      <c r="L201" s="1"/>
      <c r="M201" s="1"/>
      <c r="N201" s="1"/>
      <c r="O201" s="1"/>
      <c r="P201" s="1"/>
      <c r="Q201" s="1"/>
      <c r="R201" s="1"/>
      <c r="S201" s="1"/>
      <c r="T201" s="1"/>
      <c r="U201" s="1"/>
      <c r="V201" s="1"/>
    </row>
    <row r="202" spans="3:22">
      <c r="C202" s="1"/>
      <c r="D202" s="1"/>
      <c r="E202" s="1"/>
      <c r="F202" s="1"/>
      <c r="G202" s="1"/>
      <c r="H202" s="1"/>
      <c r="I202" s="1"/>
      <c r="J202" s="1"/>
      <c r="K202" s="1"/>
      <c r="L202" s="1"/>
      <c r="M202" s="1"/>
      <c r="N202" s="1"/>
      <c r="O202" s="1"/>
      <c r="P202" s="1"/>
      <c r="Q202" s="1"/>
      <c r="R202" s="1"/>
      <c r="S202" s="1"/>
      <c r="T202" s="1"/>
      <c r="U202" s="1"/>
      <c r="V202" s="1"/>
    </row>
    <row r="203" spans="3:22">
      <c r="C203" s="1"/>
      <c r="D203" s="1"/>
      <c r="E203" s="1"/>
      <c r="F203" s="1"/>
      <c r="G203" s="1"/>
      <c r="H203" s="1"/>
      <c r="I203" s="1"/>
      <c r="J203" s="1"/>
      <c r="K203" s="1"/>
      <c r="L203" s="1"/>
      <c r="M203" s="1"/>
      <c r="N203" s="1"/>
      <c r="O203" s="1"/>
      <c r="P203" s="1"/>
      <c r="Q203" s="1"/>
      <c r="R203" s="1"/>
      <c r="S203" s="1"/>
      <c r="T203" s="1"/>
      <c r="U203" s="1"/>
      <c r="V203" s="1"/>
    </row>
    <row r="204" spans="3:22">
      <c r="C204" s="1"/>
      <c r="D204" s="1"/>
      <c r="E204" s="1"/>
      <c r="F204" s="1"/>
      <c r="G204" s="1"/>
      <c r="H204" s="1"/>
      <c r="I204" s="1"/>
      <c r="J204" s="1"/>
      <c r="K204" s="1"/>
      <c r="L204" s="1"/>
      <c r="M204" s="1"/>
      <c r="N204" s="1"/>
      <c r="O204" s="1"/>
      <c r="P204" s="1"/>
      <c r="Q204" s="1"/>
      <c r="R204" s="1"/>
      <c r="S204" s="1"/>
      <c r="T204" s="1"/>
      <c r="U204" s="1"/>
      <c r="V204" s="1"/>
    </row>
    <row r="205" spans="3:22">
      <c r="C205" s="1"/>
      <c r="D205" s="1"/>
      <c r="E205" s="1"/>
      <c r="F205" s="1"/>
      <c r="G205" s="1"/>
      <c r="H205" s="1"/>
      <c r="I205" s="1"/>
      <c r="J205" s="1"/>
      <c r="K205" s="1"/>
      <c r="L205" s="1"/>
      <c r="M205" s="1"/>
      <c r="N205" s="1"/>
      <c r="O205" s="1"/>
      <c r="P205" s="1"/>
      <c r="Q205" s="1"/>
      <c r="R205" s="1"/>
      <c r="S205" s="1"/>
      <c r="T205" s="1"/>
      <c r="U205" s="1"/>
      <c r="V205" s="1"/>
    </row>
    <row r="206" spans="3:22">
      <c r="C206" s="1"/>
      <c r="D206" s="1"/>
      <c r="E206" s="1"/>
      <c r="F206" s="1"/>
      <c r="G206" s="1"/>
      <c r="H206" s="1"/>
      <c r="I206" s="1"/>
      <c r="J206" s="1"/>
      <c r="K206" s="1"/>
      <c r="L206" s="1"/>
      <c r="M206" s="1"/>
      <c r="N206" s="1"/>
      <c r="O206" s="1"/>
      <c r="P206" s="1"/>
      <c r="Q206" s="1"/>
      <c r="R206" s="1"/>
      <c r="S206" s="1"/>
      <c r="T206" s="1"/>
      <c r="U206" s="1"/>
      <c r="V206" s="1"/>
    </row>
    <row r="207" spans="3:22">
      <c r="C207" s="1"/>
      <c r="D207" s="1"/>
      <c r="E207" s="1"/>
      <c r="F207" s="1"/>
      <c r="G207" s="1"/>
      <c r="H207" s="1"/>
      <c r="I207" s="1"/>
      <c r="J207" s="1"/>
      <c r="K207" s="1"/>
      <c r="L207" s="1"/>
      <c r="M207" s="1"/>
      <c r="N207" s="1"/>
      <c r="O207" s="1"/>
      <c r="P207" s="1"/>
      <c r="Q207" s="1"/>
      <c r="R207" s="1"/>
      <c r="S207" s="1"/>
      <c r="T207" s="1"/>
      <c r="U207" s="1"/>
      <c r="V207" s="1"/>
    </row>
    <row r="208" spans="3:22">
      <c r="C208" s="1"/>
      <c r="D208" s="1"/>
      <c r="E208" s="1"/>
      <c r="F208" s="1"/>
      <c r="G208" s="1"/>
      <c r="H208" s="1"/>
      <c r="I208" s="1"/>
      <c r="J208" s="1"/>
      <c r="K208" s="1"/>
      <c r="L208" s="1"/>
      <c r="M208" s="1"/>
      <c r="N208" s="1"/>
      <c r="O208" s="1"/>
      <c r="P208" s="1"/>
      <c r="Q208" s="1"/>
      <c r="R208" s="1"/>
      <c r="S208" s="1"/>
      <c r="T208" s="1"/>
      <c r="U208" s="1"/>
      <c r="V208" s="1"/>
    </row>
    <row r="209" spans="3:22">
      <c r="C209" s="1"/>
      <c r="D209" s="1"/>
      <c r="E209" s="1"/>
      <c r="F209" s="1"/>
      <c r="G209" s="1"/>
      <c r="H209" s="1"/>
      <c r="I209" s="1"/>
      <c r="J209" s="1"/>
      <c r="K209" s="1"/>
      <c r="L209" s="1"/>
      <c r="M209" s="1"/>
      <c r="N209" s="1"/>
      <c r="O209" s="1"/>
      <c r="P209" s="1"/>
      <c r="Q209" s="1"/>
      <c r="R209" s="1"/>
      <c r="S209" s="1"/>
      <c r="T209" s="1"/>
      <c r="U209" s="1"/>
      <c r="V209" s="1"/>
    </row>
    <row r="210" spans="3:22">
      <c r="C210" s="1"/>
      <c r="D210" s="1"/>
      <c r="E210" s="1"/>
      <c r="F210" s="1"/>
      <c r="G210" s="1"/>
      <c r="H210" s="1"/>
      <c r="I210" s="1"/>
      <c r="J210" s="1"/>
      <c r="K210" s="1"/>
      <c r="L210" s="1"/>
      <c r="M210" s="1"/>
      <c r="N210" s="1"/>
      <c r="O210" s="1"/>
      <c r="P210" s="1"/>
      <c r="Q210" s="1"/>
      <c r="R210" s="1"/>
      <c r="S210" s="1"/>
      <c r="T210" s="1"/>
      <c r="U210" s="1"/>
      <c r="V210" s="1"/>
    </row>
    <row r="211" spans="3:22">
      <c r="C211" s="1"/>
      <c r="D211" s="1"/>
      <c r="E211" s="1"/>
      <c r="F211" s="1"/>
      <c r="G211" s="1"/>
      <c r="H211" s="1"/>
      <c r="I211" s="1"/>
      <c r="J211" s="1"/>
      <c r="K211" s="1"/>
      <c r="L211" s="1"/>
      <c r="M211" s="1"/>
      <c r="N211" s="1"/>
      <c r="O211" s="1"/>
      <c r="P211" s="1"/>
      <c r="Q211" s="1"/>
      <c r="R211" s="1"/>
      <c r="S211" s="1"/>
      <c r="T211" s="1"/>
      <c r="U211" s="1"/>
      <c r="V211" s="1"/>
    </row>
    <row r="212" spans="3:22">
      <c r="C212" s="1"/>
      <c r="D212" s="1"/>
      <c r="E212" s="1"/>
      <c r="F212" s="1"/>
      <c r="G212" s="1"/>
      <c r="H212" s="1"/>
      <c r="I212" s="1"/>
      <c r="J212" s="1"/>
      <c r="K212" s="1"/>
      <c r="L212" s="1"/>
      <c r="M212" s="1"/>
      <c r="N212" s="1"/>
      <c r="O212" s="1"/>
      <c r="P212" s="1"/>
      <c r="Q212" s="1"/>
      <c r="R212" s="1"/>
      <c r="S212" s="1"/>
      <c r="T212" s="1"/>
      <c r="U212" s="1"/>
      <c r="V212" s="1"/>
    </row>
    <row r="213" spans="3:22">
      <c r="C213" s="1"/>
      <c r="D213" s="1"/>
      <c r="E213" s="1"/>
      <c r="F213" s="1"/>
      <c r="G213" s="1"/>
      <c r="H213" s="1"/>
      <c r="I213" s="1"/>
      <c r="J213" s="1"/>
      <c r="K213" s="1"/>
      <c r="L213" s="1"/>
      <c r="M213" s="1"/>
      <c r="N213" s="1"/>
      <c r="O213" s="1"/>
      <c r="P213" s="1"/>
      <c r="Q213" s="1"/>
      <c r="R213" s="1"/>
      <c r="S213" s="1"/>
      <c r="T213" s="1"/>
      <c r="U213" s="1"/>
      <c r="V213" s="1"/>
    </row>
    <row r="214" spans="3:22">
      <c r="C214" s="1"/>
      <c r="D214" s="1"/>
      <c r="E214" s="1"/>
      <c r="F214" s="1"/>
      <c r="G214" s="1"/>
      <c r="H214" s="1"/>
      <c r="I214" s="1"/>
      <c r="J214" s="1"/>
      <c r="K214" s="1"/>
      <c r="L214" s="1"/>
      <c r="M214" s="1"/>
      <c r="N214" s="1"/>
      <c r="O214" s="1"/>
      <c r="P214" s="1"/>
      <c r="Q214" s="1"/>
      <c r="R214" s="1"/>
      <c r="S214" s="1"/>
      <c r="T214" s="1"/>
      <c r="U214" s="1"/>
      <c r="V214" s="1"/>
    </row>
    <row r="215" spans="3:22">
      <c r="C215" s="1"/>
      <c r="D215" s="1"/>
      <c r="E215" s="1"/>
      <c r="F215" s="1"/>
      <c r="G215" s="1"/>
      <c r="H215" s="1"/>
      <c r="I215" s="1"/>
      <c r="J215" s="1"/>
      <c r="K215" s="1"/>
      <c r="L215" s="1"/>
      <c r="M215" s="1"/>
      <c r="N215" s="1"/>
      <c r="O215" s="1"/>
      <c r="P215" s="1"/>
      <c r="Q215" s="1"/>
      <c r="R215" s="1"/>
      <c r="S215" s="1"/>
      <c r="T215" s="1"/>
      <c r="U215" s="1"/>
      <c r="V215" s="1"/>
    </row>
    <row r="216" spans="3:22">
      <c r="C216" s="1"/>
      <c r="D216" s="1"/>
      <c r="E216" s="1"/>
      <c r="F216" s="1"/>
      <c r="G216" s="1"/>
      <c r="H216" s="1"/>
      <c r="I216" s="1"/>
      <c r="J216" s="1"/>
      <c r="K216" s="1"/>
      <c r="L216" s="1"/>
      <c r="M216" s="1"/>
      <c r="N216" s="1"/>
      <c r="O216" s="1"/>
      <c r="P216" s="1"/>
      <c r="Q216" s="1"/>
      <c r="R216" s="1"/>
      <c r="S216" s="1"/>
      <c r="T216" s="1"/>
      <c r="U216" s="1"/>
      <c r="V216" s="1"/>
    </row>
    <row r="217" spans="3:22">
      <c r="C217" s="1"/>
      <c r="D217" s="1"/>
      <c r="E217" s="1"/>
      <c r="F217" s="1"/>
      <c r="G217" s="1"/>
      <c r="H217" s="1"/>
      <c r="I217" s="1"/>
      <c r="J217" s="1"/>
      <c r="K217" s="1"/>
      <c r="L217" s="1"/>
      <c r="M217" s="1"/>
      <c r="N217" s="1"/>
      <c r="O217" s="1"/>
      <c r="P217" s="1"/>
      <c r="Q217" s="1"/>
      <c r="R217" s="1"/>
      <c r="S217" s="1"/>
      <c r="T217" s="1"/>
      <c r="U217" s="1"/>
      <c r="V217" s="1"/>
    </row>
    <row r="218" spans="3:22">
      <c r="C218" s="1"/>
      <c r="D218" s="1"/>
      <c r="E218" s="1"/>
      <c r="F218" s="1"/>
      <c r="G218" s="1"/>
      <c r="H218" s="1"/>
      <c r="I218" s="1"/>
      <c r="J218" s="1"/>
      <c r="K218" s="1"/>
      <c r="L218" s="1"/>
      <c r="M218" s="1"/>
      <c r="N218" s="1"/>
      <c r="O218" s="1"/>
      <c r="P218" s="1"/>
      <c r="Q218" s="1"/>
      <c r="R218" s="1"/>
      <c r="S218" s="1"/>
      <c r="T218" s="1"/>
      <c r="U218" s="1"/>
      <c r="V218" s="1"/>
    </row>
    <row r="219" spans="3:22">
      <c r="C219" s="1"/>
      <c r="D219" s="1"/>
      <c r="E219" s="1"/>
      <c r="F219" s="1"/>
      <c r="G219" s="1"/>
      <c r="H219" s="1"/>
      <c r="I219" s="1"/>
      <c r="J219" s="1"/>
      <c r="K219" s="1"/>
      <c r="L219" s="1"/>
      <c r="M219" s="1"/>
      <c r="N219" s="1"/>
      <c r="O219" s="1"/>
      <c r="P219" s="1"/>
      <c r="Q219" s="1"/>
      <c r="R219" s="1"/>
      <c r="S219" s="1"/>
      <c r="T219" s="1"/>
      <c r="U219" s="1"/>
      <c r="V219" s="1"/>
    </row>
    <row r="220" spans="3:22">
      <c r="C220" s="1"/>
      <c r="D220" s="1"/>
      <c r="E220" s="1"/>
      <c r="F220" s="1"/>
      <c r="G220" s="1"/>
      <c r="H220" s="1"/>
      <c r="I220" s="1"/>
      <c r="J220" s="1"/>
      <c r="K220" s="1"/>
      <c r="L220" s="1"/>
      <c r="M220" s="1"/>
      <c r="N220" s="1"/>
      <c r="O220" s="1"/>
      <c r="P220" s="1"/>
      <c r="Q220" s="1"/>
      <c r="R220" s="1"/>
      <c r="S220" s="1"/>
      <c r="T220" s="1"/>
      <c r="U220" s="1"/>
      <c r="V220" s="1"/>
    </row>
    <row r="221" spans="3:22">
      <c r="C221" s="1"/>
      <c r="D221" s="1"/>
      <c r="E221" s="1"/>
      <c r="F221" s="1"/>
      <c r="G221" s="1"/>
      <c r="H221" s="1"/>
      <c r="I221" s="1"/>
      <c r="J221" s="1"/>
      <c r="K221" s="1"/>
      <c r="L221" s="1"/>
      <c r="M221" s="1"/>
      <c r="N221" s="1"/>
      <c r="O221" s="1"/>
      <c r="P221" s="1"/>
      <c r="Q221" s="1"/>
      <c r="R221" s="1"/>
      <c r="S221" s="1"/>
      <c r="T221" s="1"/>
      <c r="U221" s="1"/>
      <c r="V221" s="1"/>
    </row>
    <row r="222" spans="3:22">
      <c r="C222" s="1"/>
      <c r="D222" s="1"/>
      <c r="E222" s="1"/>
      <c r="F222" s="1"/>
      <c r="G222" s="1"/>
      <c r="H222" s="1"/>
      <c r="I222" s="1"/>
      <c r="J222" s="1"/>
      <c r="K222" s="1"/>
      <c r="L222" s="1"/>
      <c r="M222" s="1"/>
      <c r="N222" s="1"/>
      <c r="O222" s="1"/>
      <c r="P222" s="1"/>
      <c r="Q222" s="1"/>
      <c r="R222" s="1"/>
      <c r="S222" s="1"/>
      <c r="T222" s="1"/>
      <c r="U222" s="1"/>
      <c r="V222" s="1"/>
    </row>
    <row r="223" spans="3:22">
      <c r="C223" s="1"/>
      <c r="D223" s="1"/>
      <c r="E223" s="1"/>
      <c r="F223" s="1"/>
      <c r="G223" s="1"/>
      <c r="H223" s="1"/>
      <c r="I223" s="1"/>
      <c r="J223" s="1"/>
      <c r="K223" s="1"/>
      <c r="L223" s="1"/>
      <c r="M223" s="1"/>
      <c r="N223" s="1"/>
      <c r="O223" s="1"/>
      <c r="P223" s="1"/>
      <c r="Q223" s="1"/>
      <c r="R223" s="1"/>
      <c r="S223" s="1"/>
      <c r="T223" s="1"/>
      <c r="U223" s="1"/>
      <c r="V223" s="1"/>
    </row>
    <row r="224" spans="3:22">
      <c r="C224" s="1"/>
      <c r="D224" s="1"/>
      <c r="E224" s="1"/>
      <c r="F224" s="1"/>
      <c r="G224" s="1"/>
      <c r="H224" s="1"/>
      <c r="I224" s="1"/>
      <c r="J224" s="1"/>
      <c r="K224" s="1"/>
      <c r="L224" s="1"/>
      <c r="M224" s="1"/>
      <c r="N224" s="1"/>
      <c r="O224" s="1"/>
      <c r="P224" s="1"/>
      <c r="Q224" s="1"/>
      <c r="R224" s="1"/>
      <c r="S224" s="1"/>
      <c r="T224" s="1"/>
      <c r="U224" s="1"/>
      <c r="V224" s="1"/>
    </row>
    <row r="225" spans="3:22">
      <c r="C225" s="1"/>
      <c r="D225" s="1"/>
      <c r="E225" s="1"/>
      <c r="F225" s="1"/>
      <c r="G225" s="1"/>
      <c r="H225" s="1"/>
      <c r="I225" s="1"/>
      <c r="J225" s="1"/>
      <c r="K225" s="1"/>
      <c r="L225" s="1"/>
      <c r="M225" s="1"/>
      <c r="N225" s="1"/>
      <c r="O225" s="1"/>
      <c r="P225" s="1"/>
      <c r="Q225" s="1"/>
      <c r="R225" s="1"/>
      <c r="S225" s="1"/>
      <c r="T225" s="1"/>
      <c r="U225" s="1"/>
      <c r="V225" s="1"/>
    </row>
    <row r="226" spans="3:22">
      <c r="C226" s="1"/>
      <c r="D226" s="1"/>
      <c r="E226" s="1"/>
      <c r="F226" s="1"/>
      <c r="G226" s="1"/>
      <c r="H226" s="1"/>
      <c r="I226" s="1"/>
      <c r="J226" s="1"/>
      <c r="K226" s="1"/>
      <c r="L226" s="1"/>
      <c r="M226" s="1"/>
      <c r="N226" s="1"/>
      <c r="O226" s="1"/>
      <c r="P226" s="1"/>
      <c r="Q226" s="1"/>
      <c r="R226" s="1"/>
      <c r="S226" s="1"/>
      <c r="T226" s="1"/>
      <c r="U226" s="1"/>
      <c r="V226" s="1"/>
    </row>
    <row r="227" spans="3:22">
      <c r="C227" s="1"/>
      <c r="D227" s="1"/>
      <c r="E227" s="1"/>
      <c r="F227" s="1"/>
      <c r="G227" s="1"/>
      <c r="H227" s="1"/>
      <c r="I227" s="1"/>
      <c r="J227" s="1"/>
      <c r="K227" s="1"/>
      <c r="L227" s="1"/>
      <c r="M227" s="1"/>
      <c r="N227" s="1"/>
      <c r="O227" s="1"/>
      <c r="P227" s="1"/>
      <c r="Q227" s="1"/>
      <c r="R227" s="1"/>
      <c r="S227" s="1"/>
      <c r="T227" s="1"/>
      <c r="U227" s="1"/>
      <c r="V227" s="1"/>
    </row>
    <row r="228" spans="3:22">
      <c r="C228" s="1"/>
      <c r="D228" s="1"/>
      <c r="E228" s="1"/>
      <c r="F228" s="1"/>
      <c r="G228" s="1"/>
      <c r="H228" s="1"/>
      <c r="I228" s="1"/>
      <c r="J228" s="1"/>
      <c r="K228" s="1"/>
      <c r="L228" s="1"/>
      <c r="M228" s="1"/>
      <c r="N228" s="1"/>
      <c r="O228" s="1"/>
      <c r="P228" s="1"/>
      <c r="Q228" s="1"/>
      <c r="R228" s="1"/>
      <c r="S228" s="1"/>
      <c r="T228" s="1"/>
      <c r="U228" s="1"/>
      <c r="V228" s="1"/>
    </row>
    <row r="229" spans="3:22">
      <c r="C229" s="1"/>
      <c r="D229" s="1"/>
      <c r="E229" s="1"/>
      <c r="F229" s="1"/>
      <c r="G229" s="1"/>
      <c r="H229" s="1"/>
      <c r="I229" s="1"/>
      <c r="J229" s="1"/>
      <c r="K229" s="1"/>
      <c r="L229" s="1"/>
      <c r="M229" s="1"/>
      <c r="N229" s="1"/>
      <c r="O229" s="1"/>
      <c r="P229" s="1"/>
      <c r="Q229" s="1"/>
      <c r="R229" s="1"/>
      <c r="S229" s="1"/>
      <c r="T229" s="1"/>
      <c r="U229" s="1"/>
      <c r="V229" s="1"/>
    </row>
    <row r="230" spans="3:22">
      <c r="C230" s="1"/>
      <c r="D230" s="1"/>
      <c r="E230" s="1"/>
      <c r="F230" s="1"/>
      <c r="G230" s="1"/>
      <c r="H230" s="1"/>
      <c r="I230" s="1"/>
      <c r="J230" s="1"/>
      <c r="K230" s="1"/>
      <c r="L230" s="1"/>
      <c r="M230" s="1"/>
      <c r="N230" s="1"/>
      <c r="O230" s="1"/>
      <c r="P230" s="1"/>
      <c r="Q230" s="1"/>
      <c r="R230" s="1"/>
      <c r="S230" s="1"/>
      <c r="T230" s="1"/>
      <c r="U230" s="1"/>
      <c r="V230" s="1"/>
    </row>
    <row r="231" spans="3:22">
      <c r="C231" s="1"/>
      <c r="D231" s="1"/>
      <c r="E231" s="1"/>
      <c r="F231" s="1"/>
      <c r="G231" s="1"/>
      <c r="H231" s="1"/>
      <c r="I231" s="1"/>
      <c r="J231" s="1"/>
      <c r="K231" s="1"/>
      <c r="L231" s="1"/>
      <c r="M231" s="1"/>
      <c r="N231" s="1"/>
      <c r="O231" s="1"/>
      <c r="P231" s="1"/>
      <c r="Q231" s="1"/>
      <c r="R231" s="1"/>
      <c r="S231" s="1"/>
      <c r="T231" s="1"/>
      <c r="U231" s="1"/>
      <c r="V231" s="1"/>
    </row>
    <row r="232" spans="3:22">
      <c r="C232" s="1"/>
      <c r="D232" s="1"/>
      <c r="E232" s="1"/>
      <c r="F232" s="1"/>
      <c r="G232" s="1"/>
      <c r="H232" s="1"/>
      <c r="I232" s="1"/>
      <c r="J232" s="1"/>
      <c r="K232" s="1"/>
      <c r="L232" s="1"/>
      <c r="M232" s="1"/>
      <c r="N232" s="1"/>
      <c r="O232" s="1"/>
      <c r="P232" s="1"/>
      <c r="Q232" s="1"/>
      <c r="R232" s="1"/>
      <c r="S232" s="1"/>
      <c r="T232" s="1"/>
      <c r="U232" s="1"/>
      <c r="V232" s="1"/>
    </row>
    <row r="233" spans="3:22">
      <c r="C233" s="1"/>
      <c r="D233" s="1"/>
      <c r="E233" s="1"/>
      <c r="F233" s="1"/>
      <c r="G233" s="1"/>
      <c r="H233" s="1"/>
      <c r="I233" s="1"/>
      <c r="J233" s="1"/>
      <c r="K233" s="1"/>
      <c r="L233" s="1"/>
      <c r="M233" s="1"/>
      <c r="N233" s="1"/>
      <c r="O233" s="1"/>
      <c r="P233" s="1"/>
      <c r="Q233" s="1"/>
      <c r="R233" s="1"/>
      <c r="S233" s="1"/>
      <c r="T233" s="1"/>
      <c r="U233" s="1"/>
      <c r="V233" s="1"/>
    </row>
    <row r="234" spans="3:22">
      <c r="C234" s="1"/>
      <c r="D234" s="1"/>
      <c r="E234" s="1"/>
      <c r="F234" s="1"/>
      <c r="G234" s="1"/>
      <c r="H234" s="1"/>
      <c r="I234" s="1"/>
      <c r="J234" s="1"/>
      <c r="K234" s="1"/>
      <c r="L234" s="1"/>
      <c r="M234" s="1"/>
      <c r="N234" s="1"/>
      <c r="O234" s="1"/>
      <c r="P234" s="1"/>
      <c r="Q234" s="1"/>
      <c r="R234" s="1"/>
      <c r="S234" s="1"/>
      <c r="T234" s="1"/>
      <c r="U234" s="1"/>
      <c r="V234" s="1"/>
    </row>
    <row r="235" spans="3:22">
      <c r="C235" s="1"/>
      <c r="D235" s="1"/>
      <c r="E235" s="1"/>
      <c r="F235" s="1"/>
      <c r="G235" s="1"/>
      <c r="H235" s="1"/>
      <c r="I235" s="1"/>
      <c r="J235" s="1"/>
      <c r="K235" s="1"/>
      <c r="L235" s="1"/>
      <c r="M235" s="1"/>
      <c r="N235" s="1"/>
      <c r="O235" s="1"/>
      <c r="P235" s="1"/>
      <c r="Q235" s="1"/>
      <c r="R235" s="1"/>
      <c r="S235" s="1"/>
      <c r="T235" s="1"/>
      <c r="U235" s="1"/>
      <c r="V235" s="1"/>
    </row>
    <row r="236" spans="3:22">
      <c r="C236" s="1"/>
      <c r="D236" s="1"/>
      <c r="E236" s="1"/>
      <c r="F236" s="1"/>
      <c r="G236" s="1"/>
      <c r="H236" s="1"/>
      <c r="I236" s="1"/>
      <c r="J236" s="1"/>
      <c r="K236" s="1"/>
      <c r="L236" s="1"/>
      <c r="M236" s="1"/>
      <c r="N236" s="1"/>
      <c r="O236" s="1"/>
      <c r="P236" s="1"/>
      <c r="Q236" s="1"/>
      <c r="R236" s="1"/>
      <c r="S236" s="1"/>
      <c r="T236" s="1"/>
      <c r="U236" s="1"/>
      <c r="V236" s="1"/>
    </row>
    <row r="237" spans="3:22">
      <c r="C237" s="1"/>
      <c r="D237" s="1"/>
      <c r="E237" s="1"/>
      <c r="F237" s="1"/>
      <c r="G237" s="1"/>
      <c r="H237" s="1"/>
      <c r="I237" s="1"/>
      <c r="J237" s="1"/>
      <c r="K237" s="1"/>
      <c r="L237" s="1"/>
      <c r="M237" s="1"/>
      <c r="N237" s="1"/>
      <c r="O237" s="1"/>
      <c r="P237" s="1"/>
      <c r="Q237" s="1"/>
      <c r="R237" s="1"/>
      <c r="S237" s="1"/>
      <c r="T237" s="1"/>
      <c r="U237" s="1"/>
      <c r="V237" s="1"/>
    </row>
    <row r="238" spans="3:22">
      <c r="C238" s="1"/>
      <c r="D238" s="1"/>
      <c r="E238" s="1"/>
      <c r="F238" s="1"/>
      <c r="G238" s="1"/>
      <c r="H238" s="1"/>
      <c r="I238" s="1"/>
      <c r="J238" s="1"/>
      <c r="K238" s="1"/>
      <c r="L238" s="1"/>
      <c r="M238" s="1"/>
      <c r="N238" s="1"/>
      <c r="O238" s="1"/>
      <c r="P238" s="1"/>
      <c r="Q238" s="1"/>
      <c r="R238" s="1"/>
      <c r="S238" s="1"/>
      <c r="T238" s="1"/>
      <c r="U238" s="1"/>
      <c r="V238" s="1"/>
    </row>
    <row r="239" spans="3:22">
      <c r="C239" s="1"/>
      <c r="D239" s="1"/>
      <c r="E239" s="1"/>
      <c r="F239" s="1"/>
      <c r="G239" s="1"/>
      <c r="H239" s="1"/>
      <c r="I239" s="1"/>
      <c r="J239" s="1"/>
      <c r="K239" s="1"/>
      <c r="L239" s="1"/>
      <c r="M239" s="1"/>
      <c r="N239" s="1"/>
      <c r="O239" s="1"/>
      <c r="P239" s="1"/>
      <c r="Q239" s="1"/>
      <c r="R239" s="1"/>
      <c r="S239" s="1"/>
      <c r="T239" s="1"/>
      <c r="U239" s="1"/>
      <c r="V239" s="1"/>
    </row>
    <row r="240" spans="3:22">
      <c r="C240" s="1"/>
      <c r="D240" s="1"/>
      <c r="E240" s="1"/>
      <c r="F240" s="1"/>
      <c r="G240" s="1"/>
      <c r="H240" s="1"/>
      <c r="I240" s="1"/>
      <c r="J240" s="1"/>
      <c r="K240" s="1"/>
      <c r="L240" s="1"/>
      <c r="M240" s="1"/>
      <c r="N240" s="1"/>
      <c r="O240" s="1"/>
      <c r="P240" s="1"/>
      <c r="Q240" s="1"/>
      <c r="R240" s="1"/>
      <c r="S240" s="1"/>
      <c r="T240" s="1"/>
      <c r="U240" s="1"/>
      <c r="V240" s="1"/>
    </row>
    <row r="241" spans="3:22">
      <c r="C241" s="1"/>
      <c r="D241" s="1"/>
      <c r="E241" s="1"/>
      <c r="F241" s="1"/>
      <c r="G241" s="1"/>
      <c r="H241" s="1"/>
      <c r="I241" s="1"/>
      <c r="J241" s="1"/>
      <c r="K241" s="1"/>
      <c r="L241" s="1"/>
      <c r="M241" s="1"/>
      <c r="N241" s="1"/>
      <c r="O241" s="1"/>
      <c r="P241" s="1"/>
      <c r="Q241" s="1"/>
      <c r="R241" s="1"/>
      <c r="S241" s="1"/>
      <c r="T241" s="1"/>
      <c r="U241" s="1"/>
      <c r="V241" s="1"/>
    </row>
    <row r="242" spans="3:22">
      <c r="C242" s="1"/>
      <c r="D242" s="1"/>
      <c r="E242" s="1"/>
      <c r="F242" s="1"/>
      <c r="G242" s="1"/>
      <c r="H242" s="1"/>
      <c r="I242" s="1"/>
      <c r="J242" s="1"/>
      <c r="K242" s="1"/>
      <c r="L242" s="1"/>
      <c r="M242" s="1"/>
      <c r="N242" s="1"/>
      <c r="O242" s="1"/>
      <c r="P242" s="1"/>
      <c r="Q242" s="1"/>
      <c r="R242" s="1"/>
      <c r="S242" s="1"/>
      <c r="T242" s="1"/>
      <c r="U242" s="1"/>
      <c r="V242" s="1"/>
    </row>
    <row r="243" spans="3:22">
      <c r="C243" s="1"/>
      <c r="D243" s="1"/>
      <c r="E243" s="1"/>
      <c r="F243" s="1"/>
      <c r="G243" s="1"/>
      <c r="H243" s="1"/>
      <c r="I243" s="1"/>
      <c r="J243" s="1"/>
      <c r="K243" s="1"/>
      <c r="L243" s="1"/>
      <c r="M243" s="1"/>
      <c r="N243" s="1"/>
      <c r="O243" s="1"/>
      <c r="P243" s="1"/>
      <c r="Q243" s="1"/>
      <c r="R243" s="1"/>
      <c r="S243" s="1"/>
      <c r="T243" s="1"/>
      <c r="U243" s="1"/>
      <c r="V243" s="1"/>
    </row>
    <row r="244" spans="3:22">
      <c r="C244" s="1"/>
      <c r="D244" s="1"/>
      <c r="E244" s="1"/>
      <c r="F244" s="1"/>
      <c r="G244" s="1"/>
      <c r="H244" s="1"/>
      <c r="I244" s="1"/>
      <c r="J244" s="1"/>
      <c r="K244" s="1"/>
      <c r="L244" s="1"/>
      <c r="M244" s="1"/>
      <c r="N244" s="1"/>
      <c r="O244" s="1"/>
      <c r="P244" s="1"/>
      <c r="Q244" s="1"/>
      <c r="R244" s="1"/>
      <c r="S244" s="1"/>
      <c r="T244" s="1"/>
      <c r="U244" s="1"/>
      <c r="V244" s="1"/>
    </row>
    <row r="245" spans="3:22">
      <c r="C245" s="1"/>
      <c r="D245" s="1"/>
      <c r="E245" s="1"/>
      <c r="F245" s="1"/>
      <c r="G245" s="1"/>
      <c r="H245" s="1"/>
      <c r="I245" s="1"/>
      <c r="J245" s="1"/>
      <c r="K245" s="1"/>
      <c r="L245" s="1"/>
      <c r="M245" s="1"/>
      <c r="N245" s="1"/>
      <c r="O245" s="1"/>
      <c r="P245" s="1"/>
      <c r="Q245" s="1"/>
      <c r="R245" s="1"/>
      <c r="S245" s="1"/>
      <c r="T245" s="1"/>
      <c r="U245" s="1"/>
      <c r="V245" s="1"/>
    </row>
    <row r="246" spans="3:22">
      <c r="C246" s="1"/>
      <c r="D246" s="1"/>
      <c r="E246" s="1"/>
      <c r="F246" s="1"/>
      <c r="G246" s="1"/>
      <c r="H246" s="1"/>
      <c r="I246" s="1"/>
      <c r="J246" s="1"/>
      <c r="K246" s="1"/>
      <c r="L246" s="1"/>
      <c r="M246" s="1"/>
      <c r="N246" s="1"/>
      <c r="O246" s="1"/>
      <c r="P246" s="1"/>
      <c r="Q246" s="1"/>
      <c r="R246" s="1"/>
      <c r="S246" s="1"/>
      <c r="T246" s="1"/>
      <c r="U246" s="1"/>
      <c r="V246" s="1"/>
    </row>
    <row r="247" spans="3:22">
      <c r="C247" s="1"/>
      <c r="D247" s="1"/>
      <c r="E247" s="1"/>
      <c r="F247" s="1"/>
      <c r="G247" s="1"/>
      <c r="H247" s="1"/>
      <c r="I247" s="1"/>
      <c r="J247" s="1"/>
      <c r="K247" s="1"/>
      <c r="L247" s="1"/>
      <c r="M247" s="1"/>
      <c r="N247" s="1"/>
      <c r="O247" s="1"/>
      <c r="P247" s="1"/>
      <c r="Q247" s="1"/>
      <c r="R247" s="1"/>
      <c r="S247" s="1"/>
      <c r="T247" s="1"/>
      <c r="U247" s="1"/>
      <c r="V247" s="1"/>
    </row>
    <row r="248" spans="3:22">
      <c r="C248" s="1"/>
      <c r="D248" s="1"/>
      <c r="E248" s="1"/>
      <c r="F248" s="1"/>
      <c r="G248" s="1"/>
      <c r="H248" s="1"/>
      <c r="I248" s="1"/>
      <c r="J248" s="1"/>
      <c r="K248" s="1"/>
      <c r="L248" s="1"/>
      <c r="M248" s="1"/>
      <c r="N248" s="1"/>
      <c r="O248" s="1"/>
      <c r="P248" s="1"/>
      <c r="Q248" s="1"/>
      <c r="R248" s="1"/>
      <c r="S248" s="1"/>
      <c r="T248" s="1"/>
      <c r="U248" s="1"/>
      <c r="V248" s="1"/>
    </row>
    <row r="249" spans="3:22">
      <c r="C249" s="1"/>
      <c r="D249" s="1"/>
      <c r="E249" s="1"/>
      <c r="F249" s="1"/>
      <c r="G249" s="1"/>
      <c r="H249" s="1"/>
      <c r="I249" s="1"/>
      <c r="J249" s="1"/>
      <c r="K249" s="1"/>
      <c r="L249" s="1"/>
      <c r="M249" s="1"/>
      <c r="N249" s="1"/>
      <c r="O249" s="1"/>
      <c r="P249" s="1"/>
      <c r="Q249" s="1"/>
      <c r="R249" s="1"/>
      <c r="S249" s="1"/>
      <c r="T249" s="1"/>
      <c r="U249" s="1"/>
      <c r="V249" s="1"/>
    </row>
    <row r="250" spans="3:22">
      <c r="C250" s="1"/>
      <c r="D250" s="1"/>
      <c r="E250" s="1"/>
      <c r="F250" s="1"/>
      <c r="G250" s="1"/>
      <c r="H250" s="1"/>
      <c r="I250" s="1"/>
      <c r="J250" s="1"/>
      <c r="K250" s="1"/>
      <c r="L250" s="1"/>
      <c r="M250" s="1"/>
      <c r="N250" s="1"/>
      <c r="O250" s="1"/>
      <c r="P250" s="1"/>
      <c r="Q250" s="1"/>
      <c r="R250" s="1"/>
      <c r="S250" s="1"/>
      <c r="T250" s="1"/>
      <c r="U250" s="1"/>
      <c r="V250" s="1"/>
    </row>
    <row r="251" spans="3:22">
      <c r="C251" s="1"/>
      <c r="D251" s="1"/>
      <c r="E251" s="1"/>
      <c r="F251" s="1"/>
      <c r="G251" s="1"/>
      <c r="H251" s="1"/>
      <c r="I251" s="1"/>
      <c r="J251" s="1"/>
      <c r="K251" s="1"/>
      <c r="L251" s="1"/>
      <c r="M251" s="1"/>
      <c r="N251" s="1"/>
      <c r="O251" s="1"/>
      <c r="P251" s="1"/>
      <c r="Q251" s="1"/>
      <c r="R251" s="1"/>
      <c r="S251" s="1"/>
      <c r="T251" s="1"/>
      <c r="U251" s="1"/>
      <c r="V251" s="1"/>
    </row>
    <row r="252" spans="3:22">
      <c r="C252" s="1"/>
      <c r="D252" s="1"/>
      <c r="E252" s="1"/>
      <c r="F252" s="1"/>
      <c r="G252" s="1"/>
      <c r="H252" s="1"/>
      <c r="I252" s="1"/>
      <c r="J252" s="1"/>
      <c r="K252" s="1"/>
      <c r="L252" s="1"/>
      <c r="M252" s="1"/>
      <c r="N252" s="1"/>
      <c r="O252" s="1"/>
      <c r="P252" s="1"/>
      <c r="Q252" s="1"/>
      <c r="R252" s="1"/>
      <c r="S252" s="1"/>
      <c r="T252" s="1"/>
      <c r="U252" s="1"/>
      <c r="V252" s="1"/>
    </row>
    <row r="253" spans="3:22">
      <c r="C253" s="1"/>
      <c r="D253" s="1"/>
      <c r="E253" s="1"/>
      <c r="F253" s="1"/>
      <c r="G253" s="1"/>
      <c r="H253" s="1"/>
      <c r="I253" s="1"/>
      <c r="J253" s="1"/>
      <c r="K253" s="1"/>
      <c r="L253" s="1"/>
      <c r="M253" s="1"/>
      <c r="N253" s="1"/>
      <c r="O253" s="1"/>
      <c r="P253" s="1"/>
      <c r="Q253" s="1"/>
      <c r="R253" s="1"/>
      <c r="S253" s="1"/>
      <c r="T253" s="1"/>
      <c r="U253" s="1"/>
      <c r="V253" s="1"/>
    </row>
    <row r="254" spans="3:22">
      <c r="C254" s="1"/>
      <c r="D254" s="1"/>
      <c r="E254" s="1"/>
      <c r="F254" s="1"/>
      <c r="G254" s="1"/>
      <c r="H254" s="1"/>
      <c r="I254" s="1"/>
      <c r="J254" s="1"/>
      <c r="K254" s="1"/>
      <c r="L254" s="1"/>
      <c r="M254" s="1"/>
      <c r="N254" s="1"/>
      <c r="O254" s="1"/>
      <c r="P254" s="1"/>
      <c r="Q254" s="1"/>
      <c r="R254" s="1"/>
      <c r="S254" s="1"/>
      <c r="T254" s="1"/>
      <c r="U254" s="1"/>
      <c r="V254" s="1"/>
    </row>
    <row r="255" spans="3:22">
      <c r="C255" s="1"/>
      <c r="D255" s="1"/>
      <c r="E255" s="1"/>
      <c r="F255" s="1"/>
      <c r="G255" s="1"/>
      <c r="H255" s="1"/>
      <c r="I255" s="1"/>
      <c r="J255" s="1"/>
      <c r="K255" s="1"/>
      <c r="L255" s="1"/>
      <c r="M255" s="1"/>
      <c r="N255" s="1"/>
      <c r="O255" s="1"/>
      <c r="P255" s="1"/>
      <c r="Q255" s="1"/>
      <c r="R255" s="1"/>
      <c r="S255" s="1"/>
      <c r="T255" s="1"/>
      <c r="U255" s="1"/>
      <c r="V255" s="1"/>
    </row>
    <row r="256" spans="3:22">
      <c r="C256" s="1"/>
      <c r="D256" s="1"/>
      <c r="E256" s="1"/>
      <c r="F256" s="1"/>
      <c r="G256" s="1"/>
      <c r="H256" s="1"/>
      <c r="I256" s="1"/>
      <c r="J256" s="1"/>
      <c r="K256" s="1"/>
      <c r="L256" s="1"/>
      <c r="M256" s="1"/>
      <c r="N256" s="1"/>
      <c r="O256" s="1"/>
      <c r="P256" s="1"/>
      <c r="Q256" s="1"/>
      <c r="R256" s="1"/>
      <c r="S256" s="1"/>
      <c r="T256" s="1"/>
      <c r="U256" s="1"/>
      <c r="V256" s="1"/>
    </row>
    <row r="257" spans="3:22">
      <c r="C257" s="1"/>
      <c r="D257" s="1"/>
      <c r="E257" s="1"/>
      <c r="F257" s="1"/>
      <c r="G257" s="1"/>
      <c r="H257" s="1"/>
      <c r="I257" s="1"/>
      <c r="J257" s="1"/>
      <c r="K257" s="1"/>
      <c r="L257" s="1"/>
      <c r="M257" s="1"/>
      <c r="N257" s="1"/>
      <c r="O257" s="1"/>
      <c r="P257" s="1"/>
      <c r="Q257" s="1"/>
      <c r="R257" s="1"/>
      <c r="S257" s="1"/>
      <c r="T257" s="1"/>
      <c r="U257" s="1"/>
      <c r="V257" s="1"/>
    </row>
    <row r="258" spans="3:22">
      <c r="C258" s="1"/>
      <c r="D258" s="1"/>
      <c r="E258" s="1"/>
      <c r="F258" s="1"/>
      <c r="G258" s="1"/>
      <c r="H258" s="1"/>
      <c r="I258" s="1"/>
      <c r="J258" s="1"/>
      <c r="K258" s="1"/>
      <c r="L258" s="1"/>
      <c r="M258" s="1"/>
      <c r="N258" s="1"/>
      <c r="O258" s="1"/>
      <c r="P258" s="1"/>
      <c r="Q258" s="1"/>
      <c r="R258" s="1"/>
      <c r="S258" s="1"/>
      <c r="T258" s="1"/>
      <c r="U258" s="1"/>
      <c r="V258" s="1"/>
    </row>
    <row r="259" spans="3:22">
      <c r="C259" s="1"/>
      <c r="D259" s="1"/>
      <c r="E259" s="1"/>
      <c r="F259" s="1"/>
      <c r="G259" s="1"/>
      <c r="H259" s="1"/>
      <c r="I259" s="1"/>
      <c r="J259" s="1"/>
      <c r="K259" s="1"/>
      <c r="L259" s="1"/>
      <c r="M259" s="1"/>
      <c r="N259" s="1"/>
      <c r="O259" s="1"/>
      <c r="P259" s="1"/>
      <c r="Q259" s="1"/>
      <c r="R259" s="1"/>
      <c r="S259" s="1"/>
      <c r="T259" s="1"/>
      <c r="U259" s="1"/>
      <c r="V259" s="1"/>
    </row>
    <row r="260" spans="3:22">
      <c r="C260" s="1"/>
      <c r="D260" s="1"/>
      <c r="E260" s="1"/>
      <c r="F260" s="1"/>
      <c r="G260" s="1"/>
      <c r="H260" s="1"/>
      <c r="I260" s="1"/>
      <c r="J260" s="1"/>
      <c r="K260" s="1"/>
      <c r="L260" s="1"/>
      <c r="M260" s="1"/>
      <c r="N260" s="1"/>
      <c r="O260" s="1"/>
      <c r="P260" s="1"/>
      <c r="Q260" s="1"/>
      <c r="R260" s="1"/>
      <c r="S260" s="1"/>
      <c r="T260" s="1"/>
      <c r="U260" s="1"/>
      <c r="V260" s="1"/>
    </row>
    <row r="261" spans="3:22">
      <c r="C261" s="1"/>
      <c r="D261" s="1"/>
      <c r="E261" s="1"/>
      <c r="F261" s="1"/>
      <c r="G261" s="1"/>
      <c r="H261" s="1"/>
      <c r="I261" s="1"/>
      <c r="J261" s="1"/>
      <c r="K261" s="1"/>
      <c r="L261" s="1"/>
      <c r="M261" s="1"/>
      <c r="N261" s="1"/>
      <c r="O261" s="1"/>
      <c r="P261" s="1"/>
      <c r="Q261" s="1"/>
      <c r="R261" s="1"/>
      <c r="S261" s="1"/>
      <c r="T261" s="1"/>
      <c r="U261" s="1"/>
      <c r="V261" s="1"/>
    </row>
    <row r="262" spans="3:22">
      <c r="C262" s="1"/>
      <c r="D262" s="1"/>
      <c r="E262" s="1"/>
      <c r="F262" s="1"/>
      <c r="G262" s="1"/>
      <c r="H262" s="1"/>
      <c r="I262" s="1"/>
      <c r="J262" s="1"/>
      <c r="K262" s="1"/>
      <c r="L262" s="1"/>
      <c r="M262" s="1"/>
      <c r="N262" s="1"/>
      <c r="O262" s="1"/>
      <c r="P262" s="1"/>
      <c r="Q262" s="1"/>
      <c r="R262" s="1"/>
      <c r="S262" s="1"/>
      <c r="T262" s="1"/>
      <c r="U262" s="1"/>
      <c r="V262" s="1"/>
    </row>
    <row r="263" spans="3:22">
      <c r="C263" s="1"/>
      <c r="D263" s="1"/>
      <c r="E263" s="1"/>
      <c r="F263" s="1"/>
      <c r="G263" s="1"/>
      <c r="H263" s="1"/>
      <c r="I263" s="1"/>
      <c r="J263" s="1"/>
      <c r="K263" s="1"/>
      <c r="L263" s="1"/>
      <c r="M263" s="1"/>
      <c r="N263" s="1"/>
      <c r="O263" s="1"/>
      <c r="P263" s="1"/>
      <c r="Q263" s="1"/>
      <c r="R263" s="1"/>
      <c r="S263" s="1"/>
      <c r="T263" s="1"/>
      <c r="U263" s="1"/>
      <c r="V263" s="1"/>
    </row>
    <row r="264" spans="3:22">
      <c r="C264" s="1"/>
      <c r="D264" s="1"/>
      <c r="E264" s="1"/>
      <c r="F264" s="1"/>
      <c r="G264" s="1"/>
      <c r="H264" s="1"/>
      <c r="I264" s="1"/>
      <c r="J264" s="1"/>
      <c r="K264" s="1"/>
      <c r="L264" s="1"/>
      <c r="M264" s="1"/>
      <c r="N264" s="1"/>
      <c r="O264" s="1"/>
      <c r="P264" s="1"/>
      <c r="Q264" s="1"/>
      <c r="R264" s="1"/>
      <c r="S264" s="1"/>
      <c r="T264" s="1"/>
      <c r="U264" s="1"/>
      <c r="V264" s="1"/>
    </row>
    <row r="265" spans="3:22">
      <c r="C265" s="1"/>
      <c r="D265" s="1"/>
      <c r="E265" s="1"/>
      <c r="F265" s="1"/>
      <c r="G265" s="1"/>
      <c r="H265" s="1"/>
      <c r="I265" s="1"/>
      <c r="J265" s="1"/>
      <c r="K265" s="1"/>
      <c r="L265" s="1"/>
      <c r="M265" s="1"/>
      <c r="N265" s="1"/>
      <c r="O265" s="1"/>
      <c r="P265" s="1"/>
      <c r="Q265" s="1"/>
      <c r="R265" s="1"/>
      <c r="S265" s="1"/>
      <c r="T265" s="1"/>
      <c r="U265" s="1"/>
      <c r="V265" s="1"/>
    </row>
    <row r="266" spans="3:22">
      <c r="C266" s="1"/>
      <c r="D266" s="1"/>
      <c r="E266" s="1"/>
      <c r="F266" s="1"/>
      <c r="G266" s="1"/>
      <c r="H266" s="1"/>
      <c r="I266" s="1"/>
      <c r="J266" s="1"/>
      <c r="K266" s="1"/>
      <c r="L266" s="1"/>
      <c r="M266" s="1"/>
      <c r="N266" s="1"/>
      <c r="O266" s="1"/>
      <c r="P266" s="1"/>
      <c r="Q266" s="1"/>
      <c r="R266" s="1"/>
      <c r="S266" s="1"/>
      <c r="T266" s="1"/>
      <c r="U266" s="1"/>
      <c r="V266" s="1"/>
    </row>
    <row r="267" spans="3:22">
      <c r="C267" s="1"/>
      <c r="D267" s="1"/>
      <c r="E267" s="1"/>
      <c r="F267" s="1"/>
      <c r="G267" s="1"/>
      <c r="H267" s="1"/>
      <c r="I267" s="1"/>
      <c r="J267" s="1"/>
      <c r="K267" s="1"/>
      <c r="L267" s="1"/>
      <c r="M267" s="1"/>
      <c r="N267" s="1"/>
      <c r="O267" s="1"/>
      <c r="P267" s="1"/>
      <c r="Q267" s="1"/>
      <c r="R267" s="1"/>
      <c r="S267" s="1"/>
      <c r="T267" s="1"/>
      <c r="U267" s="1"/>
      <c r="V267" s="1"/>
    </row>
    <row r="268" spans="3:22">
      <c r="C268" s="1"/>
      <c r="D268" s="1"/>
      <c r="E268" s="1"/>
      <c r="F268" s="1"/>
      <c r="G268" s="1"/>
      <c r="H268" s="1"/>
      <c r="I268" s="1"/>
      <c r="J268" s="1"/>
      <c r="K268" s="1"/>
      <c r="L268" s="1"/>
      <c r="M268" s="1"/>
      <c r="N268" s="1"/>
      <c r="O268" s="1"/>
      <c r="P268" s="1"/>
      <c r="Q268" s="1"/>
      <c r="R268" s="1"/>
      <c r="S268" s="1"/>
      <c r="T268" s="1"/>
      <c r="U268" s="1"/>
      <c r="V268" s="1"/>
    </row>
    <row r="269" spans="3:22">
      <c r="C269" s="1"/>
      <c r="D269" s="1"/>
      <c r="E269" s="1"/>
      <c r="F269" s="1"/>
      <c r="G269" s="1"/>
      <c r="H269" s="1"/>
      <c r="I269" s="1"/>
      <c r="J269" s="1"/>
      <c r="K269" s="1"/>
      <c r="L269" s="1"/>
      <c r="M269" s="1"/>
      <c r="N269" s="1"/>
      <c r="O269" s="1"/>
      <c r="P269" s="1"/>
      <c r="Q269" s="1"/>
      <c r="R269" s="1"/>
      <c r="S269" s="1"/>
      <c r="T269" s="1"/>
      <c r="U269" s="1"/>
      <c r="V269" s="1"/>
    </row>
    <row r="270" spans="3:22">
      <c r="C270" s="1"/>
      <c r="D270" s="1"/>
      <c r="E270" s="1"/>
      <c r="F270" s="1"/>
      <c r="G270" s="1"/>
      <c r="H270" s="1"/>
      <c r="I270" s="1"/>
      <c r="J270" s="1"/>
      <c r="K270" s="1"/>
      <c r="L270" s="1"/>
      <c r="M270" s="1"/>
      <c r="N270" s="1"/>
      <c r="O270" s="1"/>
      <c r="P270" s="1"/>
      <c r="Q270" s="1"/>
      <c r="R270" s="1"/>
      <c r="S270" s="1"/>
      <c r="T270" s="1"/>
      <c r="U270" s="1"/>
      <c r="V270" s="1"/>
    </row>
    <row r="271" spans="3:22">
      <c r="C271" s="1"/>
      <c r="D271" s="1"/>
      <c r="E271" s="1"/>
      <c r="F271" s="1"/>
      <c r="G271" s="1"/>
      <c r="H271" s="1"/>
      <c r="I271" s="1"/>
      <c r="J271" s="1"/>
      <c r="K271" s="1"/>
      <c r="L271" s="1"/>
      <c r="M271" s="1"/>
      <c r="N271" s="1"/>
      <c r="O271" s="1"/>
      <c r="P271" s="1"/>
      <c r="Q271" s="1"/>
      <c r="R271" s="1"/>
      <c r="S271" s="1"/>
      <c r="T271" s="1"/>
      <c r="U271" s="1"/>
      <c r="V271" s="1"/>
    </row>
    <row r="272" spans="3:22">
      <c r="C272" s="1"/>
      <c r="D272" s="1"/>
      <c r="E272" s="1"/>
      <c r="F272" s="1"/>
      <c r="G272" s="1"/>
      <c r="H272" s="1"/>
      <c r="I272" s="1"/>
      <c r="J272" s="1"/>
      <c r="K272" s="1"/>
      <c r="L272" s="1"/>
      <c r="M272" s="1"/>
      <c r="N272" s="1"/>
      <c r="O272" s="1"/>
      <c r="P272" s="1"/>
      <c r="Q272" s="1"/>
      <c r="R272" s="1"/>
      <c r="S272" s="1"/>
      <c r="T272" s="1"/>
      <c r="U272" s="1"/>
      <c r="V272" s="1"/>
    </row>
    <row r="273" spans="3:22">
      <c r="C273" s="1"/>
      <c r="D273" s="1"/>
      <c r="E273" s="1"/>
      <c r="F273" s="1"/>
      <c r="G273" s="1"/>
      <c r="H273" s="1"/>
      <c r="I273" s="1"/>
      <c r="J273" s="1"/>
      <c r="K273" s="1"/>
      <c r="L273" s="1"/>
      <c r="M273" s="1"/>
      <c r="N273" s="1"/>
      <c r="O273" s="1"/>
      <c r="P273" s="1"/>
      <c r="Q273" s="1"/>
      <c r="R273" s="1"/>
      <c r="S273" s="1"/>
      <c r="T273" s="1"/>
      <c r="U273" s="1"/>
      <c r="V273" s="1"/>
    </row>
    <row r="274" spans="3:22">
      <c r="C274" s="1"/>
      <c r="D274" s="1"/>
      <c r="E274" s="1"/>
      <c r="F274" s="1"/>
      <c r="G274" s="1"/>
      <c r="H274" s="1"/>
      <c r="I274" s="1"/>
      <c r="J274" s="1"/>
      <c r="K274" s="1"/>
      <c r="L274" s="1"/>
      <c r="M274" s="1"/>
      <c r="N274" s="1"/>
      <c r="O274" s="1"/>
      <c r="P274" s="1"/>
      <c r="Q274" s="1"/>
      <c r="R274" s="1"/>
      <c r="S274" s="1"/>
      <c r="T274" s="1"/>
      <c r="U274" s="1"/>
      <c r="V274" s="1"/>
    </row>
  </sheetData>
  <mergeCells count="129">
    <mergeCell ref="K27:M27"/>
    <mergeCell ref="K29:M31"/>
    <mergeCell ref="K32:M33"/>
    <mergeCell ref="O27:Q27"/>
    <mergeCell ref="O29:Q31"/>
    <mergeCell ref="O32:Q33"/>
    <mergeCell ref="S27:U27"/>
    <mergeCell ref="S29:U31"/>
    <mergeCell ref="S32:U33"/>
    <mergeCell ref="C27:E27"/>
    <mergeCell ref="C29:E31"/>
    <mergeCell ref="G27:I27"/>
    <mergeCell ref="C32:E33"/>
    <mergeCell ref="G29:I31"/>
    <mergeCell ref="G32:I33"/>
    <mergeCell ref="G1:Q7"/>
    <mergeCell ref="R3:S3"/>
    <mergeCell ref="T3:U3"/>
    <mergeCell ref="R4:S4"/>
    <mergeCell ref="T4:U4"/>
    <mergeCell ref="R5:S5"/>
    <mergeCell ref="T5:U5"/>
    <mergeCell ref="B8:V8"/>
    <mergeCell ref="C10:F10"/>
    <mergeCell ref="H10:U10"/>
    <mergeCell ref="J23:K23"/>
    <mergeCell ref="M23:N23"/>
    <mergeCell ref="C12:F18"/>
    <mergeCell ref="H12:K12"/>
    <mergeCell ref="M12:P12"/>
    <mergeCell ref="R12:U12"/>
    <mergeCell ref="H13:K15"/>
    <mergeCell ref="M13:P15"/>
    <mergeCell ref="T23:U23"/>
    <mergeCell ref="H24:I24"/>
    <mergeCell ref="J24:K24"/>
    <mergeCell ref="M24:N24"/>
    <mergeCell ref="R24:S24"/>
    <mergeCell ref="T24:U24"/>
    <mergeCell ref="R13:U15"/>
    <mergeCell ref="H17:K17"/>
    <mergeCell ref="M17:P17"/>
    <mergeCell ref="R17:U17"/>
    <mergeCell ref="H21:I21"/>
    <mergeCell ref="J21:K21"/>
    <mergeCell ref="M21:N21"/>
    <mergeCell ref="R21:S21"/>
    <mergeCell ref="T21:U21"/>
    <mergeCell ref="C25:F26"/>
    <mergeCell ref="H25:I25"/>
    <mergeCell ref="J25:K25"/>
    <mergeCell ref="M25:N25"/>
    <mergeCell ref="R25:S25"/>
    <mergeCell ref="T25:U25"/>
    <mergeCell ref="C19:F24"/>
    <mergeCell ref="H19:I19"/>
    <mergeCell ref="J19:K19"/>
    <mergeCell ref="M19:N19"/>
    <mergeCell ref="R19:S19"/>
    <mergeCell ref="T19:U19"/>
    <mergeCell ref="H20:I20"/>
    <mergeCell ref="J20:K20"/>
    <mergeCell ref="M20:N20"/>
    <mergeCell ref="R20:S20"/>
    <mergeCell ref="T20:U20"/>
    <mergeCell ref="H23:I23"/>
    <mergeCell ref="H22:I22"/>
    <mergeCell ref="J22:K22"/>
    <mergeCell ref="M22:N22"/>
    <mergeCell ref="R22:S22"/>
    <mergeCell ref="T22:U22"/>
    <mergeCell ref="R23:S23"/>
    <mergeCell ref="B36:V36"/>
    <mergeCell ref="C38:K38"/>
    <mergeCell ref="M38:U38"/>
    <mergeCell ref="B58:V58"/>
    <mergeCell ref="C60:U60"/>
    <mergeCell ref="C63:E63"/>
    <mergeCell ref="C64:E64"/>
    <mergeCell ref="C65:E65"/>
    <mergeCell ref="C66:E66"/>
    <mergeCell ref="B47:V47"/>
    <mergeCell ref="C49:E49"/>
    <mergeCell ref="G49:I49"/>
    <mergeCell ref="K49:M49"/>
    <mergeCell ref="O49:Q49"/>
    <mergeCell ref="S49:U49"/>
    <mergeCell ref="C51:E53"/>
    <mergeCell ref="G51:I53"/>
    <mergeCell ref="K51:M53"/>
    <mergeCell ref="O51:Q53"/>
    <mergeCell ref="S51:U53"/>
    <mergeCell ref="C54:E54"/>
    <mergeCell ref="G54:I54"/>
    <mergeCell ref="K54:M54"/>
    <mergeCell ref="O54:Q54"/>
    <mergeCell ref="S54:U54"/>
    <mergeCell ref="B78:V78"/>
    <mergeCell ref="C80:F80"/>
    <mergeCell ref="H80:K80"/>
    <mergeCell ref="M80:P80"/>
    <mergeCell ref="R80:U80"/>
    <mergeCell ref="B94:V94"/>
    <mergeCell ref="C96:U96"/>
    <mergeCell ref="C107:U107"/>
    <mergeCell ref="C70:K70"/>
    <mergeCell ref="M70:U70"/>
    <mergeCell ref="F72:H72"/>
    <mergeCell ref="I72:K72"/>
    <mergeCell ref="C73:E73"/>
    <mergeCell ref="F73:H73"/>
    <mergeCell ref="I73:K73"/>
    <mergeCell ref="C74:E74"/>
    <mergeCell ref="F74:H74"/>
    <mergeCell ref="I74:K74"/>
    <mergeCell ref="C114:G114"/>
    <mergeCell ref="H114:I114"/>
    <mergeCell ref="C115:G115"/>
    <mergeCell ref="H115:I115"/>
    <mergeCell ref="C109:G109"/>
    <mergeCell ref="H109:I109"/>
    <mergeCell ref="C110:G110"/>
    <mergeCell ref="H110:I110"/>
    <mergeCell ref="C111:G111"/>
    <mergeCell ref="H111:I111"/>
    <mergeCell ref="C112:G112"/>
    <mergeCell ref="H112:I112"/>
    <mergeCell ref="C113:G113"/>
    <mergeCell ref="H113:I113"/>
  </mergeCells>
  <conditionalFormatting sqref="C19 C12">
    <cfRule type="expression" dxfId="112" priority="176">
      <formula>AND($C$12&gt;=0,$C$12&lt;200)</formula>
    </cfRule>
    <cfRule type="expression" dxfId="111" priority="177">
      <formula>AND($C$12&gt;=200,$C$12&lt;400)</formula>
    </cfRule>
    <cfRule type="expression" dxfId="110" priority="178">
      <formula>AND($C$12&gt;=400,$C$12&lt;600)</formula>
    </cfRule>
    <cfRule type="expression" dxfId="109" priority="179">
      <formula>AND($C$12&gt;=600,$C$12&lt;800)</formula>
    </cfRule>
    <cfRule type="expression" dxfId="108" priority="180">
      <formula>AND($C$12&gt;=800,$C$12&lt;=1000)</formula>
    </cfRule>
  </conditionalFormatting>
  <conditionalFormatting sqref="C42">
    <cfRule type="cellIs" dxfId="107" priority="181" operator="equal">
      <formula>"Pass"</formula>
    </cfRule>
    <cfRule type="cellIs" dxfId="106" priority="182" operator="equal">
      <formula>"Fail"</formula>
    </cfRule>
  </conditionalFormatting>
  <conditionalFormatting sqref="M42">
    <cfRule type="cellIs" dxfId="105" priority="183" operator="equal">
      <formula>"Pass"</formula>
    </cfRule>
    <cfRule type="cellIs" dxfId="104" priority="184" operator="equal">
      <formula>"Fail"</formula>
    </cfRule>
  </conditionalFormatting>
  <conditionalFormatting sqref="C54:E54">
    <cfRule type="cellIs" dxfId="103" priority="170" operator="equal">
      <formula>"Very Poor"</formula>
    </cfRule>
    <cfRule type="cellIs" dxfId="102" priority="171" operator="equal">
      <formula>"Poor"</formula>
    </cfRule>
    <cfRule type="cellIs" dxfId="101" priority="172" operator="equal">
      <formula>"Fair"</formula>
    </cfRule>
    <cfRule type="cellIs" dxfId="100" priority="173" operator="equal">
      <formula>"Good"</formula>
    </cfRule>
    <cfRule type="cellIs" dxfId="99" priority="174" operator="equal">
      <formula>"Excellent"</formula>
    </cfRule>
  </conditionalFormatting>
  <conditionalFormatting sqref="G54:I54">
    <cfRule type="cellIs" dxfId="98" priority="165" operator="equal">
      <formula>"Very Poor"</formula>
    </cfRule>
    <cfRule type="cellIs" dxfId="97" priority="166" operator="equal">
      <formula>"Poor"</formula>
    </cfRule>
    <cfRule type="cellIs" dxfId="96" priority="167" operator="equal">
      <formula>"Fair"</formula>
    </cfRule>
    <cfRule type="cellIs" dxfId="95" priority="168" operator="equal">
      <formula>"Good"</formula>
    </cfRule>
    <cfRule type="cellIs" dxfId="94" priority="169" operator="equal">
      <formula>"Excellent"</formula>
    </cfRule>
  </conditionalFormatting>
  <conditionalFormatting sqref="K54:M54">
    <cfRule type="cellIs" dxfId="93" priority="160" operator="equal">
      <formula>"Very Poor"</formula>
    </cfRule>
    <cfRule type="cellIs" dxfId="92" priority="161" operator="equal">
      <formula>"Poor"</formula>
    </cfRule>
    <cfRule type="cellIs" dxfId="91" priority="162" operator="equal">
      <formula>"Fair"</formula>
    </cfRule>
    <cfRule type="cellIs" dxfId="90" priority="163" operator="equal">
      <formula>"Good"</formula>
    </cfRule>
    <cfRule type="cellIs" dxfId="89" priority="164" operator="equal">
      <formula>"Excellent"</formula>
    </cfRule>
  </conditionalFormatting>
  <conditionalFormatting sqref="O54:Q54">
    <cfRule type="cellIs" dxfId="88" priority="155" operator="equal">
      <formula>"Very Poor"</formula>
    </cfRule>
    <cfRule type="cellIs" dxfId="87" priority="156" operator="equal">
      <formula>"Poor"</formula>
    </cfRule>
    <cfRule type="cellIs" dxfId="86" priority="157" operator="equal">
      <formula>"Fair"</formula>
    </cfRule>
    <cfRule type="cellIs" dxfId="85" priority="158" operator="equal">
      <formula>"Good"</formula>
    </cfRule>
    <cfRule type="cellIs" dxfId="84" priority="159" operator="equal">
      <formula>"Excellent"</formula>
    </cfRule>
  </conditionalFormatting>
  <conditionalFormatting sqref="S54:U54">
    <cfRule type="cellIs" dxfId="83" priority="150" operator="equal">
      <formula>"Very Poor"</formula>
    </cfRule>
    <cfRule type="cellIs" dxfId="82" priority="151" operator="equal">
      <formula>"Poor"</formula>
    </cfRule>
    <cfRule type="cellIs" dxfId="81" priority="152" operator="equal">
      <formula>"Fair"</formula>
    </cfRule>
    <cfRule type="cellIs" dxfId="80" priority="153" operator="equal">
      <formula>"Good"</formula>
    </cfRule>
    <cfRule type="cellIs" dxfId="79" priority="154" operator="equal">
      <formula>"Excellent"</formula>
    </cfRule>
  </conditionalFormatting>
  <conditionalFormatting sqref="C29:C30">
    <cfRule type="expression" dxfId="78" priority="145">
      <formula>AND(C$29&gt;=800,C$29&lt;=1000)</formula>
    </cfRule>
    <cfRule type="expression" dxfId="77" priority="146">
      <formula>AND(C$29&gt;=600,C$29&lt;800)</formula>
    </cfRule>
    <cfRule type="expression" dxfId="76" priority="147">
      <formula>AND(C$29&gt;=400,C$29&lt;600)</formula>
    </cfRule>
    <cfRule type="expression" dxfId="75" priority="148">
      <formula>AND(C$29&gt;=200,C$29&lt;400)</formula>
    </cfRule>
    <cfRule type="expression" dxfId="74" priority="149">
      <formula>AND(C$29&gt;=0,C$29&lt;200)</formula>
    </cfRule>
  </conditionalFormatting>
  <conditionalFormatting sqref="C32">
    <cfRule type="expression" dxfId="73" priority="138">
      <formula>AND(C$29&gt;=800,C$29&lt;=1000)</formula>
    </cfRule>
    <cfRule type="expression" dxfId="72" priority="139">
      <formula>AND(C$29&gt;=600,C$29&lt;800)</formula>
    </cfRule>
    <cfRule type="expression" dxfId="71" priority="140">
      <formula>AND(C$29&gt;=400,C$29&lt;600)</formula>
    </cfRule>
    <cfRule type="expression" dxfId="70" priority="141">
      <formula>AND(C$29&gt;=200,C$29&lt;400)</formula>
    </cfRule>
    <cfRule type="expression" dxfId="69" priority="142">
      <formula>AND(C$29&gt;=0,C$29&lt;200)</formula>
    </cfRule>
  </conditionalFormatting>
  <conditionalFormatting sqref="G29:G30">
    <cfRule type="expression" dxfId="68" priority="68">
      <formula>AND(G$29&gt;=800,G$29&lt;=1000)</formula>
    </cfRule>
    <cfRule type="expression" dxfId="67" priority="69">
      <formula>AND(G$29&gt;=600,G$29&lt;800)</formula>
    </cfRule>
    <cfRule type="expression" dxfId="66" priority="70">
      <formula>AND(G$29&gt;=400,G$29&lt;600)</formula>
    </cfRule>
    <cfRule type="expression" dxfId="65" priority="71">
      <formula>AND(G$29&gt;=200,G$29&lt;400)</formula>
    </cfRule>
    <cfRule type="expression" dxfId="64" priority="72">
      <formula>AND(G$29&gt;=0,G$29&lt;200)</formula>
    </cfRule>
  </conditionalFormatting>
  <conditionalFormatting sqref="S29:S30">
    <cfRule type="expression" dxfId="63" priority="26">
      <formula>AND(S$29&gt;=800,S$29&lt;=1000)</formula>
    </cfRule>
    <cfRule type="expression" dxfId="62" priority="27">
      <formula>AND(S$29&gt;=600,S$29&lt;800)</formula>
    </cfRule>
    <cfRule type="expression" dxfId="61" priority="28">
      <formula>AND(S$29&gt;=400,S$29&lt;600)</formula>
    </cfRule>
    <cfRule type="expression" dxfId="60" priority="29">
      <formula>AND(S$29&gt;=200,S$29&lt;400)</formula>
    </cfRule>
    <cfRule type="expression" dxfId="59" priority="30">
      <formula>AND(S$29&gt;=0,S$29&lt;200)</formula>
    </cfRule>
  </conditionalFormatting>
  <conditionalFormatting sqref="K29:K30">
    <cfRule type="expression" dxfId="58" priority="46">
      <formula>AND(K$29&gt;=800,K$29&lt;=1000)</formula>
    </cfRule>
    <cfRule type="expression" dxfId="57" priority="47">
      <formula>AND(K$29&gt;=600,K$29&lt;800)</formula>
    </cfRule>
    <cfRule type="expression" dxfId="56" priority="48">
      <formula>AND(K$29&gt;=400,K$29&lt;600)</formula>
    </cfRule>
    <cfRule type="expression" dxfId="55" priority="49">
      <formula>AND(K$29&gt;=200,K$29&lt;400)</formula>
    </cfRule>
    <cfRule type="expression" dxfId="54" priority="50">
      <formula>AND(K$29&gt;=0,K$29&lt;200)</formula>
    </cfRule>
  </conditionalFormatting>
  <conditionalFormatting sqref="O29:O30">
    <cfRule type="expression" dxfId="53" priority="36">
      <formula>AND(O$29&gt;=800,O$29&lt;=1000)</formula>
    </cfRule>
    <cfRule type="expression" dxfId="52" priority="37">
      <formula>AND(O$29&gt;=600,O$29&lt;800)</formula>
    </cfRule>
    <cfRule type="expression" dxfId="51" priority="38">
      <formula>AND(O$29&gt;=400,O$29&lt;600)</formula>
    </cfRule>
    <cfRule type="expression" dxfId="50" priority="39">
      <formula>AND(O$29&gt;=200,O$29&lt;400)</formula>
    </cfRule>
    <cfRule type="expression" dxfId="49" priority="40">
      <formula>AND(O$29&gt;=0,O$29&lt;200)</formula>
    </cfRule>
  </conditionalFormatting>
  <conditionalFormatting sqref="G32">
    <cfRule type="expression" dxfId="48" priority="16">
      <formula>AND(G$29&gt;=800,G$29&lt;=1000)</formula>
    </cfRule>
    <cfRule type="expression" dxfId="47" priority="17">
      <formula>AND(G$29&gt;=600,G$29&lt;800)</formula>
    </cfRule>
    <cfRule type="expression" dxfId="46" priority="18">
      <formula>AND(G$29&gt;=400,G$29&lt;600)</formula>
    </cfRule>
    <cfRule type="expression" dxfId="45" priority="19">
      <formula>AND(G$29&gt;=200,G$29&lt;400)</formula>
    </cfRule>
    <cfRule type="expression" dxfId="44" priority="20">
      <formula>AND(G$29&gt;=0,G$29&lt;200)</formula>
    </cfRule>
  </conditionalFormatting>
  <conditionalFormatting sqref="K32">
    <cfRule type="expression" dxfId="43" priority="11">
      <formula>AND(K$29&gt;=800,K$29&lt;=1000)</formula>
    </cfRule>
    <cfRule type="expression" dxfId="42" priority="12">
      <formula>AND(K$29&gt;=600,K$29&lt;800)</formula>
    </cfRule>
    <cfRule type="expression" dxfId="41" priority="13">
      <formula>AND(K$29&gt;=400,K$29&lt;600)</formula>
    </cfRule>
    <cfRule type="expression" dxfId="40" priority="14">
      <formula>AND(K$29&gt;=200,K$29&lt;400)</formula>
    </cfRule>
    <cfRule type="expression" dxfId="39" priority="15">
      <formula>AND(K$29&gt;=0,K$29&lt;200)</formula>
    </cfRule>
  </conditionalFormatting>
  <conditionalFormatting sqref="O32">
    <cfRule type="expression" dxfId="38" priority="6">
      <formula>AND(O$29&gt;=800,O$29&lt;=1000)</formula>
    </cfRule>
    <cfRule type="expression" dxfId="37" priority="7">
      <formula>AND(O$29&gt;=600,O$29&lt;800)</formula>
    </cfRule>
    <cfRule type="expression" dxfId="36" priority="8">
      <formula>AND(O$29&gt;=400,O$29&lt;600)</formula>
    </cfRule>
    <cfRule type="expression" dxfId="35" priority="9">
      <formula>AND(O$29&gt;=200,O$29&lt;400)</formula>
    </cfRule>
    <cfRule type="expression" dxfId="34" priority="10">
      <formula>AND(O$29&gt;=0,O$29&lt;200)</formula>
    </cfRule>
  </conditionalFormatting>
  <conditionalFormatting sqref="S32">
    <cfRule type="expression" dxfId="33" priority="1">
      <formula>AND(S$29&gt;=800,S$29&lt;=1000)</formula>
    </cfRule>
    <cfRule type="expression" dxfId="32" priority="2">
      <formula>AND(S$29&gt;=600,S$29&lt;800)</formula>
    </cfRule>
    <cfRule type="expression" dxfId="31" priority="3">
      <formula>AND(S$29&gt;=400,S$29&lt;600)</formula>
    </cfRule>
    <cfRule type="expression" dxfId="30" priority="4">
      <formula>AND(S$29&gt;=200,S$29&lt;400)</formula>
    </cfRule>
    <cfRule type="expression" dxfId="29" priority="5">
      <formula>AND(S$29&gt;=0,S$29&lt;200)</formula>
    </cfRule>
  </conditionalFormatting>
  <printOptions horizontalCentered="1"/>
  <pageMargins left="0.1" right="0.1" top="0.05" bottom="0" header="0" footer="0"/>
  <pageSetup scale="60" firstPageNumber="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AMJ57"/>
  <sheetViews>
    <sheetView showGridLines="0" zoomScaleNormal="100" workbookViewId="0">
      <selection activeCell="C3" sqref="C3:R3"/>
    </sheetView>
  </sheetViews>
  <sheetFormatPr defaultColWidth="9" defaultRowHeight="15"/>
  <cols>
    <col min="1" max="2" width="2.42578125" style="74" customWidth="1" collapsed="1"/>
    <col min="3" max="18" width="9" style="74" collapsed="1"/>
    <col min="19" max="20" width="2.42578125" style="74" customWidth="1" collapsed="1"/>
    <col min="21" max="1024" width="9" style="74" collapsed="1"/>
  </cols>
  <sheetData>
    <row r="2" spans="2:19">
      <c r="B2" s="75"/>
      <c r="C2" s="76"/>
      <c r="D2" s="76"/>
      <c r="E2" s="76"/>
      <c r="F2" s="76"/>
      <c r="G2" s="76"/>
      <c r="H2" s="76"/>
      <c r="I2" s="76"/>
      <c r="J2" s="76"/>
      <c r="K2" s="76"/>
      <c r="L2" s="76"/>
      <c r="M2" s="76"/>
      <c r="N2" s="76"/>
      <c r="O2" s="76"/>
      <c r="P2" s="76"/>
      <c r="Q2" s="76"/>
      <c r="R2" s="76"/>
      <c r="S2" s="77"/>
    </row>
    <row r="3" spans="2:19" ht="46.5">
      <c r="B3" s="78"/>
      <c r="C3" s="406" t="s">
        <v>84</v>
      </c>
      <c r="D3" s="406"/>
      <c r="E3" s="406"/>
      <c r="F3" s="406"/>
      <c r="G3" s="406"/>
      <c r="H3" s="406"/>
      <c r="I3" s="406"/>
      <c r="J3" s="406"/>
      <c r="K3" s="406"/>
      <c r="L3" s="406"/>
      <c r="M3" s="406"/>
      <c r="N3" s="406"/>
      <c r="O3" s="406"/>
      <c r="P3" s="406"/>
      <c r="Q3" s="406"/>
      <c r="R3" s="406"/>
      <c r="S3" s="79"/>
    </row>
    <row r="4" spans="2:19" ht="31.5">
      <c r="B4" s="78"/>
      <c r="C4" s="407" t="s">
        <v>85</v>
      </c>
      <c r="D4" s="407"/>
      <c r="E4" s="407"/>
      <c r="F4" s="407"/>
      <c r="G4" s="407"/>
      <c r="H4" s="407"/>
      <c r="I4" s="407"/>
      <c r="J4" s="407"/>
      <c r="K4" s="407"/>
      <c r="L4" s="407"/>
      <c r="M4" s="407"/>
      <c r="N4" s="407"/>
      <c r="O4" s="407"/>
      <c r="P4" s="407"/>
      <c r="Q4" s="407"/>
      <c r="R4" s="407"/>
      <c r="S4" s="79"/>
    </row>
    <row r="5" spans="2:19">
      <c r="B5" s="78"/>
      <c r="S5" s="79"/>
    </row>
    <row r="6" spans="2:19" ht="26.25">
      <c r="B6" s="78"/>
      <c r="C6" s="403" t="s">
        <v>86</v>
      </c>
      <c r="D6" s="403"/>
      <c r="E6" s="403"/>
      <c r="F6" s="403"/>
      <c r="G6" s="403"/>
      <c r="H6" s="403"/>
      <c r="I6" s="403"/>
      <c r="J6" s="403"/>
      <c r="K6" s="403"/>
      <c r="L6" s="403"/>
      <c r="M6" s="403"/>
      <c r="N6" s="403"/>
      <c r="O6" s="403"/>
      <c r="P6" s="403"/>
      <c r="Q6" s="403"/>
      <c r="R6" s="403"/>
      <c r="S6" s="79"/>
    </row>
    <row r="7" spans="2:19">
      <c r="B7" s="78"/>
      <c r="C7" s="408" t="s">
        <v>264</v>
      </c>
      <c r="D7" s="408"/>
      <c r="E7" s="408"/>
      <c r="F7" s="408"/>
      <c r="G7" s="408"/>
      <c r="H7" s="408"/>
      <c r="I7" s="408"/>
      <c r="J7" s="408"/>
      <c r="K7" s="408"/>
      <c r="L7" s="408"/>
      <c r="M7" s="408"/>
      <c r="N7" s="408"/>
      <c r="S7" s="79"/>
    </row>
    <row r="8" spans="2:19">
      <c r="B8" s="78"/>
      <c r="C8" s="80" t="s">
        <v>87</v>
      </c>
      <c r="D8" s="80"/>
      <c r="E8" s="80"/>
      <c r="F8" s="80"/>
      <c r="G8" s="81"/>
      <c r="H8" s="81"/>
      <c r="I8" s="81"/>
      <c r="J8" s="81"/>
      <c r="K8" s="81"/>
      <c r="L8" s="81"/>
      <c r="M8" s="81"/>
      <c r="N8" s="81"/>
      <c r="O8" s="82"/>
      <c r="P8" s="82"/>
      <c r="Q8" s="82"/>
      <c r="R8" s="82"/>
      <c r="S8" s="79"/>
    </row>
    <row r="9" spans="2:19">
      <c r="B9" s="78"/>
      <c r="S9" s="79"/>
    </row>
    <row r="10" spans="2:19">
      <c r="B10" s="78"/>
      <c r="S10" s="79"/>
    </row>
    <row r="11" spans="2:19" ht="26.25">
      <c r="B11" s="78"/>
      <c r="C11" s="403" t="s">
        <v>88</v>
      </c>
      <c r="D11" s="403"/>
      <c r="E11" s="403"/>
      <c r="F11" s="403"/>
      <c r="G11" s="403"/>
      <c r="H11" s="403"/>
      <c r="I11" s="403"/>
      <c r="J11" s="403"/>
      <c r="K11" s="403"/>
      <c r="L11" s="403"/>
      <c r="M11" s="403"/>
      <c r="N11" s="403"/>
      <c r="O11" s="403"/>
      <c r="P11" s="403"/>
      <c r="Q11" s="403"/>
      <c r="R11" s="403"/>
      <c r="S11" s="79"/>
    </row>
    <row r="12" spans="2:19">
      <c r="B12" s="78"/>
      <c r="C12" s="74" t="s">
        <v>89</v>
      </c>
      <c r="S12" s="79"/>
    </row>
    <row r="13" spans="2:19">
      <c r="B13" s="78"/>
      <c r="C13" s="80" t="s">
        <v>90</v>
      </c>
      <c r="S13" s="79"/>
    </row>
    <row r="14" spans="2:19">
      <c r="B14" s="78"/>
      <c r="S14" s="79"/>
    </row>
    <row r="15" spans="2:19">
      <c r="B15" s="78"/>
      <c r="S15" s="79"/>
    </row>
    <row r="16" spans="2:19" ht="26.25">
      <c r="B16" s="78"/>
      <c r="C16" s="403" t="s">
        <v>91</v>
      </c>
      <c r="D16" s="403"/>
      <c r="E16" s="403"/>
      <c r="F16" s="403"/>
      <c r="G16" s="403"/>
      <c r="H16" s="403"/>
      <c r="I16" s="403"/>
      <c r="J16" s="403"/>
      <c r="K16" s="403"/>
      <c r="L16" s="403"/>
      <c r="M16" s="403"/>
      <c r="N16" s="403"/>
      <c r="O16" s="403"/>
      <c r="P16" s="403"/>
      <c r="Q16" s="403"/>
      <c r="R16" s="403"/>
      <c r="S16" s="79"/>
    </row>
    <row r="17" spans="2:19" ht="125.25" customHeight="1">
      <c r="B17" s="78"/>
      <c r="C17" s="402" t="s">
        <v>92</v>
      </c>
      <c r="D17" s="402"/>
      <c r="E17" s="402"/>
      <c r="F17" s="402"/>
      <c r="G17" s="402"/>
      <c r="H17" s="402"/>
      <c r="I17" s="402"/>
      <c r="J17" s="402"/>
      <c r="K17" s="402"/>
      <c r="L17" s="402"/>
      <c r="M17" s="402"/>
      <c r="N17" s="402"/>
      <c r="O17" s="402"/>
      <c r="P17" s="402"/>
      <c r="Q17" s="402"/>
      <c r="R17" s="402"/>
      <c r="S17" s="79"/>
    </row>
    <row r="18" spans="2:19">
      <c r="B18" s="78"/>
      <c r="S18" s="79"/>
    </row>
    <row r="19" spans="2:19">
      <c r="B19" s="78"/>
      <c r="S19" s="79"/>
    </row>
    <row r="20" spans="2:19" ht="26.25">
      <c r="B20" s="78"/>
      <c r="C20" s="403" t="s">
        <v>265</v>
      </c>
      <c r="D20" s="403"/>
      <c r="E20" s="403"/>
      <c r="F20" s="403"/>
      <c r="G20" s="403"/>
      <c r="H20" s="403"/>
      <c r="I20" s="403"/>
      <c r="J20" s="403"/>
      <c r="K20" s="403"/>
      <c r="L20" s="403"/>
      <c r="M20" s="403"/>
      <c r="N20" s="403"/>
      <c r="O20" s="403"/>
      <c r="P20" s="403"/>
      <c r="Q20" s="403"/>
      <c r="R20" s="403"/>
      <c r="S20" s="79"/>
    </row>
    <row r="21" spans="2:19" ht="18.75">
      <c r="B21" s="78"/>
      <c r="C21" s="404" t="s">
        <v>93</v>
      </c>
      <c r="D21" s="404"/>
      <c r="E21" s="404"/>
      <c r="F21" s="404"/>
      <c r="G21" s="404"/>
      <c r="H21" s="404"/>
      <c r="I21" s="404"/>
      <c r="J21" s="404"/>
      <c r="K21" s="404"/>
      <c r="L21" s="404"/>
      <c r="M21" s="404"/>
      <c r="N21" s="404"/>
      <c r="O21" s="404"/>
      <c r="P21" s="404"/>
      <c r="Q21" s="404"/>
      <c r="R21" s="404"/>
      <c r="S21" s="79"/>
    </row>
    <row r="22" spans="2:19" ht="31.35" customHeight="1">
      <c r="B22" s="78"/>
      <c r="C22" s="405" t="s">
        <v>94</v>
      </c>
      <c r="D22" s="405"/>
      <c r="E22" s="405"/>
      <c r="F22" s="405"/>
      <c r="G22" s="405"/>
      <c r="H22" s="405"/>
      <c r="I22" s="405"/>
      <c r="J22" s="405"/>
      <c r="K22" s="405"/>
      <c r="L22" s="405"/>
      <c r="M22" s="405"/>
      <c r="N22" s="405"/>
      <c r="O22" s="405"/>
      <c r="P22" s="405"/>
      <c r="Q22" s="405"/>
      <c r="R22" s="405"/>
      <c r="S22" s="79"/>
    </row>
    <row r="23" spans="2:19">
      <c r="B23" s="78"/>
      <c r="S23" s="79"/>
    </row>
    <row r="24" spans="2:19" ht="18.75">
      <c r="B24" s="78"/>
      <c r="C24" s="404" t="s">
        <v>95</v>
      </c>
      <c r="D24" s="404"/>
      <c r="E24" s="404"/>
      <c r="F24" s="404"/>
      <c r="G24" s="404"/>
      <c r="H24" s="404"/>
      <c r="I24" s="404"/>
      <c r="J24" s="404"/>
      <c r="K24" s="404"/>
      <c r="L24" s="404"/>
      <c r="M24" s="404"/>
      <c r="N24" s="404"/>
      <c r="O24" s="404"/>
      <c r="P24" s="404"/>
      <c r="Q24" s="404"/>
      <c r="R24" s="404"/>
      <c r="S24" s="79"/>
    </row>
    <row r="25" spans="2:19" ht="31.35" customHeight="1">
      <c r="B25" s="78"/>
      <c r="C25" s="405" t="s">
        <v>261</v>
      </c>
      <c r="D25" s="405"/>
      <c r="E25" s="405"/>
      <c r="F25" s="405"/>
      <c r="G25" s="405"/>
      <c r="H25" s="405"/>
      <c r="I25" s="405"/>
      <c r="J25" s="405"/>
      <c r="K25" s="405"/>
      <c r="L25" s="405"/>
      <c r="M25" s="405"/>
      <c r="N25" s="405"/>
      <c r="O25" s="405"/>
      <c r="P25" s="405"/>
      <c r="Q25" s="405"/>
      <c r="R25" s="405"/>
      <c r="S25" s="79"/>
    </row>
    <row r="26" spans="2:19">
      <c r="B26" s="78"/>
      <c r="S26" s="79"/>
    </row>
    <row r="27" spans="2:19" ht="18.75">
      <c r="B27" s="78"/>
      <c r="C27" s="404" t="s">
        <v>96</v>
      </c>
      <c r="D27" s="404"/>
      <c r="E27" s="404"/>
      <c r="F27" s="404"/>
      <c r="G27" s="404"/>
      <c r="H27" s="404"/>
      <c r="I27" s="404"/>
      <c r="J27" s="404"/>
      <c r="K27" s="404"/>
      <c r="L27" s="404"/>
      <c r="M27" s="404"/>
      <c r="N27" s="404"/>
      <c r="O27" s="404"/>
      <c r="P27" s="404"/>
      <c r="Q27" s="404"/>
      <c r="R27" s="404"/>
      <c r="S27" s="79"/>
    </row>
    <row r="28" spans="2:19">
      <c r="B28" s="78"/>
      <c r="C28" s="83" t="s">
        <v>97</v>
      </c>
      <c r="D28" s="83" t="s">
        <v>98</v>
      </c>
      <c r="S28" s="79"/>
    </row>
    <row r="29" spans="2:19">
      <c r="B29" s="78"/>
      <c r="C29" s="84" t="s">
        <v>70</v>
      </c>
      <c r="D29" s="85" t="s">
        <v>99</v>
      </c>
      <c r="S29" s="79"/>
    </row>
    <row r="30" spans="2:19">
      <c r="B30" s="78"/>
      <c r="C30" s="84" t="s">
        <v>100</v>
      </c>
      <c r="D30" s="85" t="s">
        <v>101</v>
      </c>
      <c r="S30" s="79"/>
    </row>
    <row r="31" spans="2:19">
      <c r="B31" s="78"/>
      <c r="C31" s="84" t="s">
        <v>69</v>
      </c>
      <c r="D31" s="85" t="s">
        <v>102</v>
      </c>
      <c r="S31" s="79"/>
    </row>
    <row r="32" spans="2:19">
      <c r="B32" s="78"/>
      <c r="C32" s="84" t="s">
        <v>68</v>
      </c>
      <c r="D32" s="85" t="s">
        <v>103</v>
      </c>
      <c r="S32" s="79"/>
    </row>
    <row r="33" spans="2:19">
      <c r="B33" s="78"/>
      <c r="C33" s="84" t="s">
        <v>67</v>
      </c>
      <c r="D33" s="85" t="s">
        <v>104</v>
      </c>
      <c r="S33" s="79"/>
    </row>
    <row r="34" spans="2:19">
      <c r="B34" s="78"/>
      <c r="E34" s="86"/>
      <c r="F34" s="86"/>
      <c r="S34" s="79"/>
    </row>
    <row r="35" spans="2:19" ht="18.75">
      <c r="B35" s="78"/>
      <c r="C35" s="404" t="s">
        <v>4</v>
      </c>
      <c r="D35" s="404"/>
      <c r="E35" s="404"/>
      <c r="F35" s="404"/>
      <c r="G35" s="404"/>
      <c r="H35" s="404"/>
      <c r="I35" s="404"/>
      <c r="J35" s="404"/>
      <c r="K35" s="404"/>
      <c r="L35" s="404"/>
      <c r="M35" s="404"/>
      <c r="N35" s="404"/>
      <c r="O35" s="404"/>
      <c r="P35" s="404"/>
      <c r="Q35" s="404"/>
      <c r="R35" s="404"/>
      <c r="S35" s="79"/>
    </row>
    <row r="36" spans="2:19" s="87" customFormat="1" ht="31.35" customHeight="1">
      <c r="B36" s="88"/>
      <c r="C36" s="399" t="s">
        <v>266</v>
      </c>
      <c r="D36" s="399"/>
      <c r="E36" s="399"/>
      <c r="F36" s="399"/>
      <c r="G36" s="399"/>
      <c r="H36" s="399"/>
      <c r="I36" s="399"/>
      <c r="J36" s="399"/>
      <c r="K36" s="399"/>
      <c r="L36" s="399"/>
      <c r="M36" s="399"/>
      <c r="N36" s="399"/>
      <c r="O36" s="399"/>
      <c r="P36" s="399"/>
      <c r="Q36" s="399"/>
      <c r="R36" s="399"/>
      <c r="S36" s="89"/>
    </row>
    <row r="37" spans="2:19">
      <c r="B37" s="78"/>
      <c r="S37" s="79"/>
    </row>
    <row r="38" spans="2:19">
      <c r="B38" s="78"/>
      <c r="S38" s="79"/>
    </row>
    <row r="39" spans="2:19" ht="26.25">
      <c r="B39" s="78"/>
      <c r="C39" s="403" t="s">
        <v>262</v>
      </c>
      <c r="D39" s="403"/>
      <c r="E39" s="403"/>
      <c r="F39" s="403"/>
      <c r="G39" s="403"/>
      <c r="H39" s="403"/>
      <c r="I39" s="403"/>
      <c r="J39" s="403"/>
      <c r="K39" s="403"/>
      <c r="L39" s="403"/>
      <c r="M39" s="403"/>
      <c r="N39" s="403"/>
      <c r="O39" s="403"/>
      <c r="P39" s="403"/>
      <c r="Q39" s="403"/>
      <c r="R39" s="403"/>
      <c r="S39" s="79"/>
    </row>
    <row r="40" spans="2:19" ht="115.5" customHeight="1">
      <c r="B40" s="78"/>
      <c r="C40" s="399" t="s">
        <v>105</v>
      </c>
      <c r="D40" s="399"/>
      <c r="E40" s="399"/>
      <c r="F40" s="399"/>
      <c r="G40" s="399"/>
      <c r="H40" s="399"/>
      <c r="I40" s="399"/>
      <c r="J40" s="399"/>
      <c r="K40" s="399"/>
      <c r="L40" s="399"/>
      <c r="M40" s="399"/>
      <c r="N40" s="399"/>
      <c r="O40" s="399"/>
      <c r="P40" s="399"/>
      <c r="Q40" s="399"/>
      <c r="R40" s="399"/>
      <c r="S40" s="79"/>
    </row>
    <row r="41" spans="2:19">
      <c r="B41" s="78"/>
      <c r="C41" s="90" t="s">
        <v>106</v>
      </c>
      <c r="D41" s="401" t="s">
        <v>107</v>
      </c>
      <c r="E41" s="401"/>
      <c r="F41" s="401"/>
      <c r="G41" s="401"/>
      <c r="H41" s="401"/>
      <c r="I41" s="401"/>
      <c r="J41" s="401"/>
      <c r="K41" s="401"/>
      <c r="L41" s="401"/>
      <c r="M41" s="401"/>
      <c r="N41" s="401"/>
      <c r="O41" s="401"/>
      <c r="P41" s="401"/>
      <c r="Q41" s="401"/>
      <c r="R41" s="401"/>
      <c r="S41" s="79"/>
    </row>
    <row r="42" spans="2:19">
      <c r="B42" s="78"/>
      <c r="C42" s="91"/>
      <c r="D42" s="92"/>
      <c r="E42" s="92"/>
      <c r="F42" s="92"/>
      <c r="G42" s="92"/>
      <c r="H42" s="92"/>
      <c r="I42" s="92"/>
      <c r="J42" s="92"/>
      <c r="K42" s="92"/>
      <c r="L42" s="92"/>
      <c r="M42" s="92"/>
      <c r="N42" s="92"/>
      <c r="O42" s="92"/>
      <c r="P42" s="92"/>
      <c r="Q42" s="92"/>
      <c r="R42" s="92"/>
      <c r="S42" s="79"/>
    </row>
    <row r="43" spans="2:19" ht="18.75">
      <c r="B43" s="78"/>
      <c r="C43" s="400" t="s">
        <v>108</v>
      </c>
      <c r="D43" s="400"/>
      <c r="E43" s="400"/>
      <c r="F43" s="400"/>
      <c r="G43" s="400"/>
      <c r="H43" s="400"/>
      <c r="I43" s="400"/>
      <c r="J43" s="400"/>
      <c r="K43" s="400"/>
      <c r="L43" s="400"/>
      <c r="M43" s="400"/>
      <c r="N43" s="400"/>
      <c r="O43" s="400"/>
      <c r="P43" s="400"/>
      <c r="Q43" s="400"/>
      <c r="R43" s="400"/>
      <c r="S43" s="79"/>
    </row>
    <row r="44" spans="2:19">
      <c r="B44" s="78"/>
      <c r="C44" s="401" t="s">
        <v>268</v>
      </c>
      <c r="D44" s="401"/>
      <c r="E44" s="401"/>
      <c r="F44" s="401"/>
      <c r="G44" s="401"/>
      <c r="H44" s="401"/>
      <c r="I44" s="401"/>
      <c r="J44" s="401"/>
      <c r="K44" s="401"/>
      <c r="L44" s="401"/>
      <c r="M44" s="401"/>
      <c r="N44" s="401"/>
      <c r="O44" s="401"/>
      <c r="P44" s="401"/>
      <c r="Q44" s="401"/>
      <c r="R44" s="401"/>
      <c r="S44" s="79"/>
    </row>
    <row r="45" spans="2:19">
      <c r="B45" s="78"/>
      <c r="S45" s="79"/>
    </row>
    <row r="46" spans="2:19" ht="18.75">
      <c r="B46" s="78"/>
      <c r="C46" s="400" t="s">
        <v>109</v>
      </c>
      <c r="D46" s="400"/>
      <c r="E46" s="400"/>
      <c r="F46" s="400"/>
      <c r="G46" s="400"/>
      <c r="H46" s="400"/>
      <c r="I46" s="400"/>
      <c r="J46" s="400"/>
      <c r="K46" s="400"/>
      <c r="L46" s="400"/>
      <c r="M46" s="400"/>
      <c r="N46" s="400"/>
      <c r="O46" s="400"/>
      <c r="P46" s="400"/>
      <c r="Q46" s="400"/>
      <c r="R46" s="400"/>
      <c r="S46" s="79"/>
    </row>
    <row r="47" spans="2:19">
      <c r="B47" s="78"/>
      <c r="C47" s="401" t="s">
        <v>269</v>
      </c>
      <c r="D47" s="401"/>
      <c r="E47" s="401"/>
      <c r="F47" s="401"/>
      <c r="G47" s="401"/>
      <c r="H47" s="401"/>
      <c r="I47" s="401"/>
      <c r="J47" s="401"/>
      <c r="K47" s="401"/>
      <c r="L47" s="401"/>
      <c r="M47" s="401"/>
      <c r="N47" s="401"/>
      <c r="O47" s="401"/>
      <c r="P47" s="401"/>
      <c r="Q47" s="401"/>
      <c r="R47" s="401"/>
      <c r="S47" s="79"/>
    </row>
    <row r="48" spans="2:19">
      <c r="B48" s="78"/>
      <c r="C48" s="93"/>
      <c r="S48" s="79"/>
    </row>
    <row r="49" spans="2:19" ht="18.75">
      <c r="B49" s="78"/>
      <c r="C49" s="400" t="s">
        <v>110</v>
      </c>
      <c r="D49" s="400"/>
      <c r="E49" s="400"/>
      <c r="F49" s="400"/>
      <c r="G49" s="400"/>
      <c r="H49" s="400"/>
      <c r="I49" s="400"/>
      <c r="J49" s="400"/>
      <c r="K49" s="400"/>
      <c r="L49" s="400"/>
      <c r="M49" s="400"/>
      <c r="N49" s="400"/>
      <c r="O49" s="400"/>
      <c r="P49" s="400"/>
      <c r="Q49" s="400"/>
      <c r="R49" s="400"/>
      <c r="S49" s="79"/>
    </row>
    <row r="50" spans="2:19" s="94" customFormat="1" ht="31.5" customHeight="1">
      <c r="B50" s="95"/>
      <c r="C50" s="402" t="s">
        <v>270</v>
      </c>
      <c r="D50" s="402"/>
      <c r="E50" s="402"/>
      <c r="F50" s="402"/>
      <c r="G50" s="402"/>
      <c r="H50" s="402"/>
      <c r="I50" s="402"/>
      <c r="J50" s="402"/>
      <c r="K50" s="402"/>
      <c r="L50" s="402"/>
      <c r="M50" s="402"/>
      <c r="N50" s="402"/>
      <c r="O50" s="402"/>
      <c r="P50" s="402"/>
      <c r="Q50" s="402"/>
      <c r="R50" s="402"/>
      <c r="S50" s="96"/>
    </row>
    <row r="51" spans="2:19">
      <c r="B51" s="78"/>
      <c r="C51" s="93"/>
      <c r="S51" s="79"/>
    </row>
    <row r="52" spans="2:19" ht="18.75">
      <c r="B52" s="78"/>
      <c r="C52" s="400" t="s">
        <v>179</v>
      </c>
      <c r="D52" s="400"/>
      <c r="E52" s="400"/>
      <c r="F52" s="400"/>
      <c r="G52" s="400"/>
      <c r="H52" s="400"/>
      <c r="I52" s="400"/>
      <c r="J52" s="400"/>
      <c r="K52" s="400"/>
      <c r="L52" s="400"/>
      <c r="M52" s="400"/>
      <c r="N52" s="400"/>
      <c r="O52" s="400"/>
      <c r="P52" s="400"/>
      <c r="Q52" s="400"/>
      <c r="R52" s="400"/>
      <c r="S52" s="79"/>
    </row>
    <row r="53" spans="2:19">
      <c r="B53" s="78"/>
      <c r="C53" s="401" t="s">
        <v>267</v>
      </c>
      <c r="D53" s="401"/>
      <c r="E53" s="401"/>
      <c r="F53" s="401"/>
      <c r="G53" s="401"/>
      <c r="H53" s="401"/>
      <c r="I53" s="401"/>
      <c r="J53" s="401"/>
      <c r="K53" s="401"/>
      <c r="L53" s="401"/>
      <c r="M53" s="401"/>
      <c r="N53" s="401"/>
      <c r="O53" s="401"/>
      <c r="P53" s="401"/>
      <c r="Q53" s="401"/>
      <c r="R53" s="401"/>
      <c r="S53" s="79"/>
    </row>
    <row r="54" spans="2:19">
      <c r="B54" s="78"/>
      <c r="S54" s="79"/>
    </row>
    <row r="55" spans="2:19" ht="18.75">
      <c r="B55" s="78"/>
      <c r="C55" s="400" t="s">
        <v>111</v>
      </c>
      <c r="D55" s="400"/>
      <c r="E55" s="400"/>
      <c r="F55" s="400"/>
      <c r="G55" s="400"/>
      <c r="H55" s="400"/>
      <c r="I55" s="400"/>
      <c r="J55" s="400"/>
      <c r="K55" s="400"/>
      <c r="L55" s="400"/>
      <c r="M55" s="400"/>
      <c r="N55" s="400"/>
      <c r="O55" s="400"/>
      <c r="P55" s="400"/>
      <c r="Q55" s="400"/>
      <c r="R55" s="400"/>
      <c r="S55" s="79"/>
    </row>
    <row r="56" spans="2:19" ht="31.5" customHeight="1">
      <c r="B56" s="78"/>
      <c r="C56" s="399" t="s">
        <v>112</v>
      </c>
      <c r="D56" s="399"/>
      <c r="E56" s="399"/>
      <c r="F56" s="399"/>
      <c r="G56" s="399"/>
      <c r="H56" s="399"/>
      <c r="I56" s="399"/>
      <c r="J56" s="399"/>
      <c r="K56" s="399"/>
      <c r="L56" s="399"/>
      <c r="M56" s="399"/>
      <c r="N56" s="399"/>
      <c r="O56" s="399"/>
      <c r="P56" s="399"/>
      <c r="Q56" s="399"/>
      <c r="R56" s="399"/>
      <c r="S56" s="79"/>
    </row>
    <row r="57" spans="2:19">
      <c r="B57" s="97"/>
      <c r="C57" s="98"/>
      <c r="D57" s="98"/>
      <c r="E57" s="98"/>
      <c r="F57" s="98"/>
      <c r="G57" s="98"/>
      <c r="H57" s="98"/>
      <c r="I57" s="98"/>
      <c r="J57" s="98"/>
      <c r="K57" s="98"/>
      <c r="L57" s="98"/>
      <c r="M57" s="98"/>
      <c r="N57" s="98"/>
      <c r="O57" s="98"/>
      <c r="P57" s="98"/>
      <c r="Q57" s="98"/>
      <c r="R57" s="98"/>
      <c r="S57" s="99"/>
    </row>
  </sheetData>
  <mergeCells count="28">
    <mergeCell ref="C3:R3"/>
    <mergeCell ref="C4:R4"/>
    <mergeCell ref="C6:R6"/>
    <mergeCell ref="C7:N7"/>
    <mergeCell ref="C11:R11"/>
    <mergeCell ref="C16:R16"/>
    <mergeCell ref="C17:R17"/>
    <mergeCell ref="C20:R20"/>
    <mergeCell ref="C21:R21"/>
    <mergeCell ref="C22:R22"/>
    <mergeCell ref="C24:R24"/>
    <mergeCell ref="C25:R25"/>
    <mergeCell ref="C27:R27"/>
    <mergeCell ref="C35:R35"/>
    <mergeCell ref="C36:R36"/>
    <mergeCell ref="C39:R39"/>
    <mergeCell ref="C40:R40"/>
    <mergeCell ref="D41:R41"/>
    <mergeCell ref="C43:R43"/>
    <mergeCell ref="C44:R44"/>
    <mergeCell ref="C56:R56"/>
    <mergeCell ref="C52:R52"/>
    <mergeCell ref="C53:R53"/>
    <mergeCell ref="C46:R46"/>
    <mergeCell ref="C47:R47"/>
    <mergeCell ref="C49:R49"/>
    <mergeCell ref="C50:R50"/>
    <mergeCell ref="C55:R55"/>
  </mergeCells>
  <hyperlinks>
    <hyperlink ref="C8" r:id="rId1" xr:uid="{00000000-0004-0000-0100-000000000000}"/>
    <hyperlink ref="C13" r:id="rId2" xr:uid="{00000000-0004-0000-0100-000001000000}"/>
    <hyperlink ref="C41" location="'Vendor Tool Description'!A1" display="Click here" xr:uid="{00000000-0004-0000-0100-000002000000}"/>
  </hyperlinks>
  <pageMargins left="0" right="0" top="0" bottom="0" header="0" footer="0"/>
  <pageSetup scale="72" firstPageNumber="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
  <sheetViews>
    <sheetView zoomScaleNormal="100" workbookViewId="0">
      <selection activeCell="D18" sqref="D18"/>
    </sheetView>
  </sheetViews>
  <sheetFormatPr defaultColWidth="9.140625" defaultRowHeight="15"/>
  <cols>
    <col min="1" max="1" width="11.85546875" style="74" bestFit="1" customWidth="1" collapsed="1"/>
    <col min="2" max="2" width="12.42578125" style="74" bestFit="1" customWidth="1"/>
    <col min="3" max="3" width="24.42578125" style="100" bestFit="1" customWidth="1" collapsed="1"/>
    <col min="4" max="4" width="43.5703125" style="347" customWidth="1" collapsed="1"/>
    <col min="5" max="1025" width="9.140625" style="74" collapsed="1"/>
  </cols>
  <sheetData>
    <row r="1" spans="1:4" s="102" customFormat="1" ht="20.25" customHeight="1">
      <c r="A1" s="101" t="s">
        <v>113</v>
      </c>
      <c r="B1" s="101" t="s">
        <v>273</v>
      </c>
      <c r="C1" s="101" t="s">
        <v>114</v>
      </c>
      <c r="D1" s="107" t="s">
        <v>115</v>
      </c>
    </row>
    <row r="2" spans="1:4" s="102" customFormat="1" ht="75">
      <c r="A2" s="103" t="s">
        <v>116</v>
      </c>
      <c r="B2" s="303" t="s">
        <v>274</v>
      </c>
      <c r="C2" s="104" t="s">
        <v>117</v>
      </c>
      <c r="D2" s="108" t="s">
        <v>271</v>
      </c>
    </row>
    <row r="3" spans="1:4" s="102" customFormat="1" ht="45">
      <c r="A3" s="103" t="s">
        <v>118</v>
      </c>
      <c r="B3" s="303">
        <v>19.2</v>
      </c>
      <c r="C3" s="104" t="s">
        <v>119</v>
      </c>
      <c r="D3" s="108" t="s">
        <v>120</v>
      </c>
    </row>
    <row r="4" spans="1:4" s="102" customFormat="1" ht="60">
      <c r="A4" s="103" t="s">
        <v>121</v>
      </c>
      <c r="B4" s="303">
        <v>8.81</v>
      </c>
      <c r="C4" s="105" t="s">
        <v>272</v>
      </c>
      <c r="D4" s="108" t="s">
        <v>122</v>
      </c>
    </row>
    <row r="5" spans="1:4" s="102" customFormat="1" ht="75">
      <c r="A5" s="103" t="s">
        <v>123</v>
      </c>
      <c r="B5" s="303">
        <v>8.4</v>
      </c>
      <c r="C5" s="104" t="s">
        <v>124</v>
      </c>
      <c r="D5" s="108" t="s">
        <v>125</v>
      </c>
    </row>
  </sheetData>
  <autoFilter ref="A1:D5" xr:uid="{00000000-0009-0000-0000-000002000000}"/>
  <printOptions horizontalCentered="1"/>
  <pageMargins left="0" right="0" top="0.25" bottom="0" header="0" footer="0"/>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26"/>
  <sheetViews>
    <sheetView zoomScaleNormal="100" workbookViewId="0"/>
  </sheetViews>
  <sheetFormatPr defaultColWidth="9.140625" defaultRowHeight="15"/>
  <cols>
    <col min="1" max="1" width="22.42578125" style="102" customWidth="1" collapsed="1"/>
    <col min="2" max="2" width="69.85546875" style="106" customWidth="1" collapsed="1"/>
    <col min="3" max="1024" width="9.140625" style="74" collapsed="1"/>
  </cols>
  <sheetData>
    <row r="1" spans="1:2" ht="24.95" customHeight="1">
      <c r="A1" s="101" t="s">
        <v>126</v>
      </c>
      <c r="B1" s="107" t="s">
        <v>127</v>
      </c>
    </row>
    <row r="2" spans="1:2" ht="45">
      <c r="A2" s="103" t="s">
        <v>46</v>
      </c>
      <c r="B2" s="108" t="s">
        <v>128</v>
      </c>
    </row>
    <row r="3" spans="1:2" ht="45">
      <c r="A3" s="103" t="s">
        <v>50</v>
      </c>
      <c r="B3" s="108" t="s">
        <v>129</v>
      </c>
    </row>
    <row r="4" spans="1:2" ht="75">
      <c r="A4" s="103" t="s">
        <v>42</v>
      </c>
      <c r="B4" s="108" t="s">
        <v>130</v>
      </c>
    </row>
    <row r="5" spans="1:2" ht="60">
      <c r="A5" s="103" t="s">
        <v>43</v>
      </c>
      <c r="B5" s="108" t="s">
        <v>131</v>
      </c>
    </row>
    <row r="6" spans="1:2" ht="30">
      <c r="A6" s="103" t="s">
        <v>44</v>
      </c>
      <c r="B6" s="108" t="s">
        <v>132</v>
      </c>
    </row>
    <row r="7" spans="1:2" ht="60">
      <c r="A7" s="103" t="s">
        <v>52</v>
      </c>
      <c r="B7" s="108" t="s">
        <v>133</v>
      </c>
    </row>
    <row r="8" spans="1:2">
      <c r="A8" s="103" t="s">
        <v>134</v>
      </c>
      <c r="B8" s="108" t="s">
        <v>135</v>
      </c>
    </row>
    <row r="9" spans="1:2" ht="45">
      <c r="A9" s="103" t="s">
        <v>136</v>
      </c>
      <c r="B9" s="108" t="s">
        <v>137</v>
      </c>
    </row>
    <row r="10" spans="1:2" ht="45">
      <c r="A10" s="103" t="s">
        <v>138</v>
      </c>
      <c r="B10" s="108" t="s">
        <v>139</v>
      </c>
    </row>
    <row r="11" spans="1:2" ht="45">
      <c r="A11" s="103" t="s">
        <v>38</v>
      </c>
      <c r="B11" s="108" t="s">
        <v>140</v>
      </c>
    </row>
    <row r="12" spans="1:2" ht="30">
      <c r="A12" s="103" t="s">
        <v>62</v>
      </c>
      <c r="B12" s="108" t="s">
        <v>141</v>
      </c>
    </row>
    <row r="13" spans="1:2" ht="75">
      <c r="A13" s="103" t="s">
        <v>142</v>
      </c>
      <c r="B13" s="108" t="s">
        <v>143</v>
      </c>
    </row>
    <row r="14" spans="1:2">
      <c r="A14" s="103" t="s">
        <v>144</v>
      </c>
      <c r="B14" s="108" t="s">
        <v>145</v>
      </c>
    </row>
    <row r="15" spans="1:2" ht="30">
      <c r="A15" s="103" t="s">
        <v>63</v>
      </c>
      <c r="B15" s="108" t="s">
        <v>146</v>
      </c>
    </row>
    <row r="16" spans="1:2">
      <c r="A16" s="103" t="s">
        <v>58</v>
      </c>
      <c r="B16" s="108" t="s">
        <v>147</v>
      </c>
    </row>
    <row r="17" spans="1:2">
      <c r="A17" s="103" t="s">
        <v>49</v>
      </c>
      <c r="B17" s="108" t="s">
        <v>148</v>
      </c>
    </row>
    <row r="18" spans="1:2" ht="30">
      <c r="A18" s="103" t="s">
        <v>149</v>
      </c>
      <c r="B18" s="108" t="s">
        <v>150</v>
      </c>
    </row>
    <row r="19" spans="1:2">
      <c r="A19" s="103" t="s">
        <v>60</v>
      </c>
      <c r="B19" s="108" t="s">
        <v>151</v>
      </c>
    </row>
    <row r="20" spans="1:2" ht="30">
      <c r="A20" s="103" t="s">
        <v>47</v>
      </c>
      <c r="B20" s="108" t="s">
        <v>152</v>
      </c>
    </row>
    <row r="21" spans="1:2" ht="30">
      <c r="A21" s="103" t="s">
        <v>48</v>
      </c>
      <c r="B21" s="108" t="s">
        <v>153</v>
      </c>
    </row>
    <row r="22" spans="1:2" ht="60">
      <c r="A22" s="103" t="s">
        <v>33</v>
      </c>
      <c r="B22" s="108" t="s">
        <v>154</v>
      </c>
    </row>
    <row r="23" spans="1:2">
      <c r="A23" s="103" t="s">
        <v>59</v>
      </c>
      <c r="B23" s="108" t="s">
        <v>155</v>
      </c>
    </row>
    <row r="24" spans="1:2" ht="45">
      <c r="A24" s="103" t="s">
        <v>156</v>
      </c>
      <c r="B24" s="108" t="s">
        <v>157</v>
      </c>
    </row>
    <row r="25" spans="1:2">
      <c r="A25" s="103" t="s">
        <v>51</v>
      </c>
      <c r="B25" s="108" t="s">
        <v>158</v>
      </c>
    </row>
    <row r="26" spans="1:2" ht="60">
      <c r="A26" s="103" t="s">
        <v>159</v>
      </c>
      <c r="B26" s="108" t="s">
        <v>160</v>
      </c>
    </row>
  </sheetData>
  <autoFilter ref="A1:B25" xr:uid="{00000000-0009-0000-0000-000003000000}"/>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2:AMJ163"/>
  <sheetViews>
    <sheetView showGridLines="0" zoomScaleNormal="100" workbookViewId="0">
      <selection activeCell="H154" sqref="H154:I154"/>
    </sheetView>
  </sheetViews>
  <sheetFormatPr defaultColWidth="9.140625" defaultRowHeight="18.75"/>
  <cols>
    <col min="1" max="1" width="3" style="74" customWidth="1" collapsed="1"/>
    <col min="2" max="4" width="9.140625" style="74" collapsed="1"/>
    <col min="5" max="5" width="9.140625" style="74" customWidth="1" collapsed="1"/>
    <col min="6" max="9" width="9.140625" style="74" collapsed="1"/>
    <col min="10" max="10" width="10.140625" style="74" bestFit="1" customWidth="1" collapsed="1"/>
    <col min="11" max="11" width="9.140625" style="74" collapsed="1"/>
    <col min="12" max="12" width="11.42578125" style="74" customWidth="1" collapsed="1"/>
    <col min="13" max="16" width="9.140625" style="74" collapsed="1"/>
    <col min="17" max="17" width="9.140625" style="109" collapsed="1"/>
    <col min="18" max="18" width="11.140625" style="109" customWidth="1" collapsed="1"/>
    <col min="19" max="20" width="9.140625" style="109" collapsed="1"/>
    <col min="21" max="21" width="9.42578125" style="109" customWidth="1" collapsed="1"/>
    <col min="22" max="31" width="9.140625" style="109" collapsed="1"/>
    <col min="32" max="1024" width="9.140625" style="74" collapsed="1"/>
  </cols>
  <sheetData>
    <row r="2" spans="2:31" ht="75" customHeight="1">
      <c r="B2" s="485" t="s">
        <v>161</v>
      </c>
      <c r="C2" s="485"/>
      <c r="D2" s="485"/>
      <c r="E2" s="485"/>
      <c r="F2" s="485"/>
      <c r="G2" s="485"/>
      <c r="H2" s="485"/>
      <c r="I2" s="485"/>
      <c r="J2" s="485"/>
      <c r="K2" s="485"/>
      <c r="L2" s="485"/>
      <c r="M2" s="486">
        <f>SUM(SecurityWeightedScore,ArchitecturalHealthWeightedScore,OpenSourceWeightedScore,CodeQualityWeightedScore, EconomicHealthWeightedScore)</f>
        <v>522.48252420494623</v>
      </c>
      <c r="N2" s="486"/>
      <c r="O2" s="486"/>
      <c r="P2" s="486"/>
    </row>
    <row r="3" spans="2:31" ht="15" customHeight="1">
      <c r="B3" s="110"/>
      <c r="C3" s="110"/>
      <c r="D3" s="110"/>
      <c r="E3" s="111"/>
      <c r="F3" s="111"/>
      <c r="G3" s="100"/>
      <c r="H3" s="100"/>
    </row>
    <row r="4" spans="2:31" ht="15" customHeight="1">
      <c r="E4" s="102"/>
    </row>
    <row r="5" spans="2:31" ht="15" customHeight="1" thickBot="1">
      <c r="E5" s="102"/>
    </row>
    <row r="6" spans="2:31" ht="30" customHeight="1" thickBot="1">
      <c r="B6" s="487" t="s">
        <v>32</v>
      </c>
      <c r="C6" s="487"/>
      <c r="D6" s="487"/>
      <c r="E6" s="112"/>
      <c r="F6" s="488" t="s">
        <v>162</v>
      </c>
      <c r="G6" s="488"/>
      <c r="H6" s="488"/>
      <c r="J6" s="489" t="s">
        <v>163</v>
      </c>
      <c r="K6" s="489"/>
      <c r="L6" s="489"/>
      <c r="N6" s="490" t="s">
        <v>124</v>
      </c>
      <c r="O6" s="490"/>
      <c r="P6" s="490"/>
      <c r="R6" s="477" t="s">
        <v>179</v>
      </c>
      <c r="S6" s="477"/>
      <c r="T6" s="477"/>
    </row>
    <row r="7" spans="2:31" ht="15" customHeight="1" thickBot="1">
      <c r="B7" s="113"/>
      <c r="C7" s="113"/>
      <c r="D7" s="113"/>
      <c r="E7" s="102"/>
      <c r="F7" s="102"/>
      <c r="G7" s="100"/>
      <c r="H7" s="100"/>
      <c r="R7" s="74"/>
      <c r="S7" s="74"/>
      <c r="T7" s="74"/>
    </row>
    <row r="8" spans="2:31" s="114" customFormat="1" ht="90" customHeight="1" thickBot="1">
      <c r="B8" s="491">
        <f>SecurityRawScore*SecurityWeight</f>
        <v>131.8423855870854</v>
      </c>
      <c r="C8" s="491"/>
      <c r="D8" s="491"/>
      <c r="E8" s="115"/>
      <c r="F8" s="492">
        <f>ArchitecturalHealthRawScore*ArchitecturalHealthWeight</f>
        <v>72.598450871555642</v>
      </c>
      <c r="G8" s="492"/>
      <c r="H8" s="492"/>
      <c r="I8" s="116"/>
      <c r="J8" s="493">
        <f>OpenSourceRawScore*OpenSourceWeight</f>
        <v>153.40583554376659</v>
      </c>
      <c r="K8" s="493"/>
      <c r="L8" s="493"/>
      <c r="M8" s="116"/>
      <c r="N8" s="494">
        <f>CodeQualityRawScore*CodeQualityWeight</f>
        <v>74.574873386157634</v>
      </c>
      <c r="O8" s="494"/>
      <c r="P8" s="494"/>
      <c r="Q8" s="117"/>
      <c r="R8" s="478">
        <f>EconomicHealthRawScore*EconomicHealthWeight</f>
        <v>90.060978816381009</v>
      </c>
      <c r="S8" s="478"/>
      <c r="T8" s="478"/>
      <c r="U8" s="117"/>
      <c r="V8" s="117"/>
      <c r="W8" s="117"/>
      <c r="X8" s="117"/>
      <c r="Y8" s="117"/>
      <c r="Z8" s="117"/>
      <c r="AA8" s="117"/>
      <c r="AB8" s="117"/>
      <c r="AC8" s="117"/>
      <c r="AD8" s="117"/>
      <c r="AE8" s="117"/>
    </row>
    <row r="9" spans="2:31" ht="30" customHeight="1" thickBot="1">
      <c r="B9" s="462" t="s">
        <v>164</v>
      </c>
      <c r="C9" s="462"/>
      <c r="D9" s="462"/>
      <c r="E9" s="118"/>
      <c r="F9" s="453" t="s">
        <v>164</v>
      </c>
      <c r="G9" s="453"/>
      <c r="H9" s="453"/>
      <c r="J9" s="445" t="s">
        <v>164</v>
      </c>
      <c r="K9" s="445"/>
      <c r="L9" s="445"/>
      <c r="N9" s="430" t="s">
        <v>164</v>
      </c>
      <c r="O9" s="430"/>
      <c r="P9" s="430"/>
      <c r="R9" s="479" t="s">
        <v>164</v>
      </c>
      <c r="S9" s="479"/>
      <c r="T9" s="479"/>
    </row>
    <row r="10" spans="2:31" ht="15" customHeight="1" thickBot="1">
      <c r="B10" s="119"/>
      <c r="C10" s="119"/>
      <c r="D10" s="119"/>
      <c r="E10" s="120"/>
      <c r="F10" s="119"/>
      <c r="G10" s="119"/>
      <c r="H10" s="119"/>
      <c r="I10" s="121"/>
      <c r="J10" s="119"/>
      <c r="K10" s="119"/>
      <c r="L10" s="119"/>
      <c r="M10" s="121"/>
      <c r="N10" s="119"/>
      <c r="O10" s="119"/>
      <c r="P10" s="119"/>
      <c r="Q10" s="122"/>
      <c r="R10" s="119"/>
      <c r="S10" s="119"/>
      <c r="T10" s="119"/>
    </row>
    <row r="11" spans="2:31" s="114" customFormat="1" ht="45.75" customHeight="1" thickBot="1">
      <c r="B11" s="495">
        <f>CalculatedRawScoreSecurity</f>
        <v>659.21192793542696</v>
      </c>
      <c r="C11" s="495"/>
      <c r="D11" s="495"/>
      <c r="E11" s="115"/>
      <c r="F11" s="496">
        <f>ArchitecturalScoreRaw</f>
        <v>362.99225435777817</v>
      </c>
      <c r="G11" s="496"/>
      <c r="H11" s="496"/>
      <c r="I11" s="116"/>
      <c r="J11" s="497">
        <f>CalculatedRawScoreOpenSource</f>
        <v>767.0291777188329</v>
      </c>
      <c r="K11" s="497"/>
      <c r="L11" s="497"/>
      <c r="M11" s="116"/>
      <c r="N11" s="498">
        <f>CalculatedRawScoreCodeQuality</f>
        <v>372.87436693078814</v>
      </c>
      <c r="O11" s="498"/>
      <c r="P11" s="498"/>
      <c r="Q11" s="117"/>
      <c r="R11" s="480">
        <f>EconomicHealthRawScore</f>
        <v>450.30489408190499</v>
      </c>
      <c r="S11" s="480"/>
      <c r="T11" s="480"/>
      <c r="U11" s="117"/>
      <c r="V11" s="117"/>
      <c r="W11" s="117"/>
      <c r="X11" s="117"/>
      <c r="Y11" s="117"/>
      <c r="Z11" s="117"/>
      <c r="AA11" s="117"/>
      <c r="AB11" s="117"/>
      <c r="AC11" s="117"/>
      <c r="AD11" s="117"/>
      <c r="AE11" s="117"/>
    </row>
    <row r="12" spans="2:31" ht="30" customHeight="1" thickBot="1">
      <c r="B12" s="465" t="s">
        <v>165</v>
      </c>
      <c r="C12" s="465"/>
      <c r="D12" s="465"/>
      <c r="E12" s="118"/>
      <c r="F12" s="466" t="s">
        <v>165</v>
      </c>
      <c r="G12" s="466"/>
      <c r="H12" s="466"/>
      <c r="J12" s="467" t="s">
        <v>165</v>
      </c>
      <c r="K12" s="467"/>
      <c r="L12" s="467"/>
      <c r="N12" s="468" t="s">
        <v>165</v>
      </c>
      <c r="O12" s="468"/>
      <c r="P12" s="468"/>
      <c r="R12" s="481" t="s">
        <v>165</v>
      </c>
      <c r="S12" s="481"/>
      <c r="T12" s="481"/>
    </row>
    <row r="13" spans="2:31" ht="15" customHeight="1">
      <c r="B13" s="110"/>
      <c r="C13" s="110"/>
      <c r="D13" s="110"/>
      <c r="E13" s="111"/>
      <c r="F13" s="111"/>
      <c r="G13" s="100"/>
      <c r="H13" s="100"/>
    </row>
    <row r="14" spans="2:31" ht="15" customHeight="1">
      <c r="B14" s="110"/>
      <c r="C14" s="110"/>
      <c r="D14" s="110"/>
      <c r="E14" s="111"/>
      <c r="F14" s="111"/>
      <c r="G14" s="100"/>
      <c r="H14" s="100"/>
    </row>
    <row r="15" spans="2:31" ht="15" customHeight="1">
      <c r="B15" s="110"/>
      <c r="C15" s="110"/>
      <c r="D15" s="110"/>
      <c r="E15" s="469" t="s">
        <v>166</v>
      </c>
      <c r="F15" s="469"/>
      <c r="G15" s="470" t="s">
        <v>167</v>
      </c>
      <c r="H15" s="470"/>
      <c r="I15" s="470"/>
      <c r="J15" s="470" t="s">
        <v>168</v>
      </c>
      <c r="K15" s="470"/>
      <c r="L15" s="470"/>
      <c r="M15" s="470"/>
      <c r="N15" s="470"/>
      <c r="O15" s="470"/>
      <c r="P15" s="470"/>
    </row>
    <row r="16" spans="2:31">
      <c r="B16" s="124"/>
      <c r="C16" s="124"/>
      <c r="D16" s="124"/>
      <c r="E16" s="123" t="s">
        <v>169</v>
      </c>
      <c r="F16" s="125" t="s">
        <v>170</v>
      </c>
      <c r="G16" s="470"/>
      <c r="H16" s="470"/>
      <c r="I16" s="470"/>
      <c r="J16" s="470"/>
      <c r="K16" s="470"/>
      <c r="L16" s="470"/>
      <c r="M16" s="470"/>
      <c r="N16" s="470"/>
      <c r="O16" s="470"/>
      <c r="P16" s="470"/>
    </row>
    <row r="17" spans="2:22" ht="30" customHeight="1">
      <c r="B17" s="471" t="s">
        <v>32</v>
      </c>
      <c r="C17" s="471"/>
      <c r="D17" s="471"/>
      <c r="E17" s="126">
        <v>0.2</v>
      </c>
      <c r="F17" s="127">
        <v>0.2</v>
      </c>
      <c r="G17" s="472">
        <f>SUM(E17:E21)</f>
        <v>1</v>
      </c>
      <c r="H17" s="472"/>
      <c r="I17" s="472"/>
    </row>
    <row r="18" spans="2:22" ht="30" customHeight="1" thickBot="1">
      <c r="B18" s="473" t="s">
        <v>162</v>
      </c>
      <c r="C18" s="473"/>
      <c r="D18" s="473"/>
      <c r="E18" s="126">
        <v>0.2</v>
      </c>
      <c r="F18" s="128">
        <v>0.2</v>
      </c>
      <c r="G18" s="472"/>
      <c r="H18" s="472"/>
      <c r="I18" s="472"/>
    </row>
    <row r="19" spans="2:22" ht="30" customHeight="1" thickBot="1">
      <c r="B19" s="482" t="s">
        <v>179</v>
      </c>
      <c r="C19" s="483"/>
      <c r="D19" s="484"/>
      <c r="E19" s="126">
        <v>0.2</v>
      </c>
      <c r="F19" s="243">
        <v>0.2</v>
      </c>
      <c r="G19" s="472"/>
      <c r="H19" s="472"/>
      <c r="I19" s="472"/>
    </row>
    <row r="20" spans="2:22" ht="30" customHeight="1" thickBot="1">
      <c r="B20" s="474" t="s">
        <v>163</v>
      </c>
      <c r="C20" s="474"/>
      <c r="D20" s="474"/>
      <c r="E20" s="126">
        <v>0.2</v>
      </c>
      <c r="F20" s="129">
        <v>0.2</v>
      </c>
      <c r="G20" s="472"/>
      <c r="H20" s="472"/>
      <c r="I20" s="472"/>
    </row>
    <row r="21" spans="2:22" ht="30" customHeight="1">
      <c r="B21" s="475" t="s">
        <v>124</v>
      </c>
      <c r="C21" s="475"/>
      <c r="D21" s="475"/>
      <c r="E21" s="126">
        <v>0.2</v>
      </c>
      <c r="F21" s="130">
        <v>0.2</v>
      </c>
      <c r="G21" s="472"/>
      <c r="H21" s="472"/>
      <c r="I21" s="472"/>
    </row>
    <row r="22" spans="2:22" ht="30" customHeight="1">
      <c r="B22" s="476" t="s">
        <v>171</v>
      </c>
      <c r="C22" s="476"/>
      <c r="D22" s="476"/>
      <c r="E22" s="131">
        <f>1-SUM(E17:E21)</f>
        <v>0</v>
      </c>
      <c r="F22" s="132">
        <f>1-SUM(F17:F21)</f>
        <v>0</v>
      </c>
      <c r="G22" s="472"/>
      <c r="H22" s="472"/>
      <c r="I22" s="472"/>
    </row>
    <row r="25" spans="2:22" ht="30" customHeight="1">
      <c r="B25" s="462" t="s">
        <v>32</v>
      </c>
      <c r="C25" s="462"/>
      <c r="D25" s="462"/>
      <c r="E25" s="462"/>
      <c r="F25" s="462"/>
      <c r="G25" s="462"/>
      <c r="H25" s="462"/>
      <c r="I25" s="462"/>
      <c r="J25" s="462"/>
      <c r="K25" s="462"/>
      <c r="L25" s="462"/>
      <c r="M25" s="462"/>
      <c r="N25" s="462"/>
      <c r="O25" s="462"/>
      <c r="P25" s="462"/>
    </row>
    <row r="26" spans="2:22">
      <c r="B26" s="133"/>
      <c r="C26" s="124"/>
      <c r="D26" s="124"/>
      <c r="E26" s="124"/>
      <c r="F26" s="124"/>
      <c r="G26" s="124"/>
      <c r="H26" s="124"/>
      <c r="I26" s="124"/>
      <c r="J26" s="124"/>
      <c r="K26" s="124"/>
      <c r="L26" s="124"/>
      <c r="M26" s="124"/>
      <c r="N26" s="124"/>
      <c r="O26" s="124"/>
      <c r="P26" s="134"/>
    </row>
    <row r="27" spans="2:22" ht="33.75">
      <c r="B27" s="135"/>
      <c r="C27" s="431" t="s">
        <v>172</v>
      </c>
      <c r="D27" s="431"/>
      <c r="E27" s="431"/>
      <c r="F27" s="431"/>
      <c r="G27" s="463">
        <f>SUM(PCICalculatedScore,OWASPTopTenCalculatedScore)</f>
        <v>659.21192793542696</v>
      </c>
      <c r="H27" s="463"/>
      <c r="I27" s="463"/>
      <c r="J27" s="463"/>
      <c r="K27" s="463"/>
      <c r="L27" s="463"/>
      <c r="M27" s="463"/>
      <c r="N27" s="463"/>
      <c r="O27" s="463"/>
      <c r="P27" s="136"/>
    </row>
    <row r="28" spans="2:22">
      <c r="B28" s="135"/>
      <c r="P28" s="136"/>
    </row>
    <row r="29" spans="2:22">
      <c r="B29" s="135"/>
      <c r="C29" s="109"/>
      <c r="G29" s="464" t="s">
        <v>173</v>
      </c>
      <c r="H29" s="464"/>
      <c r="I29" s="464"/>
      <c r="J29" s="464" t="s">
        <v>169</v>
      </c>
      <c r="K29" s="464"/>
      <c r="L29" s="464"/>
      <c r="M29" s="464" t="s">
        <v>98</v>
      </c>
      <c r="N29" s="464"/>
      <c r="O29" s="464"/>
      <c r="P29" s="136"/>
    </row>
    <row r="30" spans="2:22">
      <c r="B30" s="135"/>
      <c r="C30" s="454" t="s">
        <v>34</v>
      </c>
      <c r="D30" s="454"/>
      <c r="E30" s="454"/>
      <c r="F30" s="454"/>
      <c r="G30" s="455">
        <f>PCIRawScore</f>
        <v>599.54138958954366</v>
      </c>
      <c r="H30" s="455"/>
      <c r="I30" s="455"/>
      <c r="J30" s="456">
        <v>0.5</v>
      </c>
      <c r="K30" s="456"/>
      <c r="L30" s="456"/>
      <c r="M30" s="457">
        <f>PCIComplianceWeight*PCIRawScore</f>
        <v>299.77069479477183</v>
      </c>
      <c r="N30" s="457"/>
      <c r="O30" s="457"/>
      <c r="P30" s="136"/>
    </row>
    <row r="31" spans="2:22">
      <c r="B31" s="135"/>
      <c r="C31" s="454" t="s">
        <v>174</v>
      </c>
      <c r="D31" s="454"/>
      <c r="E31" s="454"/>
      <c r="F31" s="454"/>
      <c r="G31" s="455">
        <f>OWASPTopTenRawScore</f>
        <v>718.88246628131026</v>
      </c>
      <c r="H31" s="455"/>
      <c r="I31" s="455"/>
      <c r="J31" s="456">
        <v>0.5</v>
      </c>
      <c r="K31" s="456"/>
      <c r="L31" s="456"/>
      <c r="M31" s="457">
        <f>OWASPTopTenWeight*OWASPTopTenRawScore</f>
        <v>359.44123314065513</v>
      </c>
      <c r="N31" s="457"/>
      <c r="O31" s="457"/>
      <c r="P31" s="136"/>
    </row>
    <row r="32" spans="2:22">
      <c r="B32" s="135"/>
      <c r="P32" s="136"/>
      <c r="S32" s="74"/>
      <c r="T32" s="74"/>
      <c r="U32" s="74"/>
      <c r="V32" s="74"/>
    </row>
    <row r="33" spans="2:16">
      <c r="B33" s="135"/>
      <c r="C33" s="450" t="s">
        <v>34</v>
      </c>
      <c r="D33" s="450"/>
      <c r="E33" s="450"/>
      <c r="F33" s="450"/>
      <c r="H33" s="137"/>
      <c r="I33" s="120"/>
      <c r="J33" s="120"/>
      <c r="K33" s="120"/>
      <c r="L33" s="451" t="s">
        <v>257</v>
      </c>
      <c r="M33" s="451"/>
      <c r="N33" s="451"/>
      <c r="O33" s="451"/>
      <c r="P33" s="136"/>
    </row>
    <row r="34" spans="2:16" ht="19.5" thickBot="1">
      <c r="B34" s="135"/>
      <c r="C34" s="138"/>
      <c r="D34" s="139"/>
      <c r="E34" s="139" t="s">
        <v>31</v>
      </c>
      <c r="F34" s="140" t="s">
        <v>175</v>
      </c>
      <c r="G34" s="312" t="s">
        <v>281</v>
      </c>
      <c r="H34" s="313" t="s">
        <v>282</v>
      </c>
      <c r="I34" s="313" t="s">
        <v>169</v>
      </c>
      <c r="J34" s="313" t="s">
        <v>176</v>
      </c>
      <c r="K34" s="313" t="s">
        <v>98</v>
      </c>
      <c r="L34" s="452">
        <f>PCIRawScore</f>
        <v>599.54138958954366</v>
      </c>
      <c r="M34" s="452"/>
      <c r="N34" s="452"/>
      <c r="O34" s="452"/>
      <c r="P34" s="136"/>
    </row>
    <row r="35" spans="2:16" ht="19.5" thickBot="1">
      <c r="B35" s="135"/>
      <c r="C35" s="458" t="s">
        <v>38</v>
      </c>
      <c r="D35" s="458"/>
      <c r="E35" s="142">
        <f>'Fortify-DISA STIG'!C5</f>
        <v>2</v>
      </c>
      <c r="F35" s="143">
        <f>IF(E35&gt;0,E35/'Fortify-DISA STIG'!$G$5,0)</f>
        <v>2.2930520522815867E-4</v>
      </c>
      <c r="G35" s="319">
        <f>F35/0.1</f>
        <v>2.2930520522815865E-3</v>
      </c>
      <c r="H35" s="320">
        <f>J35/2</f>
        <v>200</v>
      </c>
      <c r="I35" s="326">
        <v>0.4</v>
      </c>
      <c r="J35" s="321">
        <f>DefaultPoolSize*I35</f>
        <v>400</v>
      </c>
      <c r="K35" s="322">
        <f>IF(Files=0,0,IF(G35*H35&gt;J35,0,J35-(G35*H35)))</f>
        <v>399.54138958954366</v>
      </c>
      <c r="L35" s="452"/>
      <c r="M35" s="452"/>
      <c r="N35" s="452"/>
      <c r="O35" s="452"/>
      <c r="P35" s="136"/>
    </row>
    <row r="36" spans="2:16" ht="19.5" thickBot="1">
      <c r="B36" s="135"/>
      <c r="C36" s="459" t="s">
        <v>39</v>
      </c>
      <c r="D36" s="459"/>
      <c r="E36" s="142">
        <f>'Fortify-DISA STIG'!D5</f>
        <v>2080</v>
      </c>
      <c r="F36" s="143">
        <f>IF(E36&gt;0,E36/'Fortify-DISA STIG'!$G$5,0)</f>
        <v>0.23847741343728501</v>
      </c>
      <c r="G36" s="319">
        <f t="shared" ref="G36:G38" si="0">F36/0.1</f>
        <v>2.3847741343728499</v>
      </c>
      <c r="H36" s="320">
        <f t="shared" ref="H36:H39" si="1">J36/2</f>
        <v>150</v>
      </c>
      <c r="I36" s="326">
        <v>0.3</v>
      </c>
      <c r="J36" s="321">
        <f>DefaultPoolSize*I36</f>
        <v>300</v>
      </c>
      <c r="K36" s="322">
        <f>IF(Files=0,0,IF(G36*H36&gt;J36,0,J36-(G36*H36)))</f>
        <v>0</v>
      </c>
      <c r="L36" s="452"/>
      <c r="M36" s="452"/>
      <c r="N36" s="452"/>
      <c r="O36" s="452"/>
      <c r="P36" s="136"/>
    </row>
    <row r="37" spans="2:16" ht="19.5" thickBot="1">
      <c r="B37" s="135"/>
      <c r="C37" s="460" t="s">
        <v>40</v>
      </c>
      <c r="D37" s="460"/>
      <c r="E37" s="142">
        <f>'Fortify-DISA STIG'!E5</f>
        <v>0</v>
      </c>
      <c r="F37" s="143">
        <f>IF(E37&gt;0,E37/'Fortify-DISA STIG'!$G$5,0)</f>
        <v>0</v>
      </c>
      <c r="G37" s="319">
        <f t="shared" si="0"/>
        <v>0</v>
      </c>
      <c r="H37" s="320">
        <f t="shared" si="1"/>
        <v>100</v>
      </c>
      <c r="I37" s="326">
        <v>0.2</v>
      </c>
      <c r="J37" s="321">
        <f>DefaultPoolSize*I37</f>
        <v>200</v>
      </c>
      <c r="K37" s="322">
        <f>IF(Files=0,0,IF(G37*H37&gt;J37,0,J37-(G37*H37)))</f>
        <v>200</v>
      </c>
      <c r="L37" s="452"/>
      <c r="M37" s="452"/>
      <c r="N37" s="452"/>
      <c r="O37" s="452"/>
      <c r="P37" s="136"/>
    </row>
    <row r="38" spans="2:16" ht="19.5" thickBot="1">
      <c r="B38" s="135"/>
      <c r="C38" s="461" t="s">
        <v>41</v>
      </c>
      <c r="D38" s="461"/>
      <c r="E38" s="142">
        <f>'Fortify-DISA STIG'!F5</f>
        <v>6640</v>
      </c>
      <c r="F38" s="143">
        <f>IF(E38&gt;0,E38/'Fortify-DISA STIG'!$G$5,0)</f>
        <v>0.76129328135748686</v>
      </c>
      <c r="G38" s="319">
        <f t="shared" si="0"/>
        <v>7.6129328135748686</v>
      </c>
      <c r="H38" s="320">
        <f t="shared" si="1"/>
        <v>50</v>
      </c>
      <c r="I38" s="326">
        <v>0.1</v>
      </c>
      <c r="J38" s="321">
        <f>DefaultPoolSize*I38</f>
        <v>100</v>
      </c>
      <c r="K38" s="322">
        <f>IF(Files=0,0,IF(G38*H38&gt;J38,0,J38-(G38*H38)))</f>
        <v>0</v>
      </c>
      <c r="L38" s="452"/>
      <c r="M38" s="452"/>
      <c r="N38" s="452"/>
      <c r="O38" s="452"/>
      <c r="P38" s="136"/>
    </row>
    <row r="39" spans="2:16" ht="19.5" thickBot="1">
      <c r="B39" s="135"/>
      <c r="C39" s="147" t="s">
        <v>31</v>
      </c>
      <c r="D39" s="148"/>
      <c r="E39" s="331">
        <f>SUM(E35:E38)</f>
        <v>8722</v>
      </c>
      <c r="F39" s="149">
        <f>SUM(F35:F38)</f>
        <v>1</v>
      </c>
      <c r="G39" s="319"/>
      <c r="H39" s="323">
        <f t="shared" si="1"/>
        <v>500</v>
      </c>
      <c r="I39" s="327">
        <f>SUM(I35:I38)</f>
        <v>0.99999999999999989</v>
      </c>
      <c r="J39" s="330">
        <f>SUM(J35:J38)</f>
        <v>1000</v>
      </c>
      <c r="K39" s="322">
        <f>SUM(K35:K38)</f>
        <v>599.54138958954366</v>
      </c>
      <c r="L39" s="452"/>
      <c r="M39" s="452"/>
      <c r="N39" s="452"/>
      <c r="O39" s="452"/>
      <c r="P39" s="136"/>
    </row>
    <row r="40" spans="2:16">
      <c r="B40" s="135"/>
      <c r="G40" s="319"/>
      <c r="H40" s="321"/>
      <c r="I40" s="309"/>
      <c r="J40" s="321"/>
      <c r="K40" s="321"/>
      <c r="L40" s="120"/>
      <c r="P40" s="136"/>
    </row>
    <row r="41" spans="2:16">
      <c r="B41" s="135"/>
      <c r="G41" s="319"/>
      <c r="H41" s="321"/>
      <c r="I41" s="309"/>
      <c r="J41" s="321"/>
      <c r="K41" s="321"/>
      <c r="L41" s="120"/>
      <c r="P41" s="136"/>
    </row>
    <row r="42" spans="2:16">
      <c r="B42" s="135"/>
      <c r="C42" s="450" t="s">
        <v>174</v>
      </c>
      <c r="D42" s="450"/>
      <c r="E42" s="450"/>
      <c r="F42" s="450"/>
      <c r="G42" s="319"/>
      <c r="H42" s="321"/>
      <c r="I42" s="309"/>
      <c r="J42" s="321"/>
      <c r="K42" s="321"/>
      <c r="L42" s="451" t="s">
        <v>258</v>
      </c>
      <c r="M42" s="451"/>
      <c r="N42" s="451"/>
      <c r="O42" s="451"/>
      <c r="P42" s="136"/>
    </row>
    <row r="43" spans="2:16">
      <c r="B43" s="135"/>
      <c r="C43" s="138"/>
      <c r="D43" s="139" t="s">
        <v>35</v>
      </c>
      <c r="E43" s="139" t="s">
        <v>31</v>
      </c>
      <c r="F43" s="140" t="s">
        <v>175</v>
      </c>
      <c r="G43" s="324" t="s">
        <v>281</v>
      </c>
      <c r="H43" s="325" t="s">
        <v>282</v>
      </c>
      <c r="I43" s="328" t="s">
        <v>169</v>
      </c>
      <c r="J43" s="325" t="s">
        <v>176</v>
      </c>
      <c r="K43" s="325" t="s">
        <v>98</v>
      </c>
      <c r="L43" s="452">
        <f>OWASPTopTenRawScore</f>
        <v>718.88246628131026</v>
      </c>
      <c r="M43" s="452"/>
      <c r="N43" s="452"/>
      <c r="O43" s="452"/>
      <c r="P43" s="136"/>
    </row>
    <row r="44" spans="2:16">
      <c r="B44" s="135"/>
      <c r="C44" s="141" t="s">
        <v>38</v>
      </c>
      <c r="D44" s="120">
        <f>COUNTIF(OWASP_TOP_10_Critical,"&gt;0")</f>
        <v>1</v>
      </c>
      <c r="E44" s="120">
        <f>SUM(OWASP_TOP_10_Critical)</f>
        <v>2</v>
      </c>
      <c r="F44" s="143">
        <f>IF(E44&gt;0, E44/OWASPIssueCount,0)</f>
        <v>3.8535645472061657E-3</v>
      </c>
      <c r="G44" s="319">
        <f>F44/0.1</f>
        <v>3.8535645472061654E-2</v>
      </c>
      <c r="H44" s="320">
        <f t="shared" ref="H44:H47" si="2">J44/2</f>
        <v>200</v>
      </c>
      <c r="I44" s="326">
        <v>0.4</v>
      </c>
      <c r="J44" s="321">
        <f>DefaultPoolSize*I44</f>
        <v>400</v>
      </c>
      <c r="K44" s="322">
        <f>IF(Files=0,0,IF(G44*H44&gt;J44,0,J44-(G44*H44)))</f>
        <v>392.29287090558768</v>
      </c>
      <c r="L44" s="452"/>
      <c r="M44" s="452"/>
      <c r="N44" s="452"/>
      <c r="O44" s="452"/>
      <c r="P44" s="136"/>
    </row>
    <row r="45" spans="2:16">
      <c r="B45" s="135"/>
      <c r="C45" s="144" t="s">
        <v>39</v>
      </c>
      <c r="D45" s="120">
        <f>COUNTIF(OWASP_TOP_10_High,"&gt;0")</f>
        <v>4</v>
      </c>
      <c r="E45" s="120">
        <f>SUM(OWASP_TOP_10_High)</f>
        <v>60</v>
      </c>
      <c r="F45" s="143">
        <f>IF(E45&gt;0, E45/OWASPIssueCount,0)</f>
        <v>0.11560693641618497</v>
      </c>
      <c r="G45" s="319">
        <f t="shared" ref="G45:G47" si="3">F45/0.1</f>
        <v>1.1560693641618496</v>
      </c>
      <c r="H45" s="320">
        <f t="shared" si="2"/>
        <v>150</v>
      </c>
      <c r="I45" s="326">
        <v>0.3</v>
      </c>
      <c r="J45" s="321">
        <f>DefaultPoolSize*I45</f>
        <v>300</v>
      </c>
      <c r="K45" s="322">
        <f>IF(Files=0,0,IF(G45*H45&gt;J45,0,J45-(G45*H45)))</f>
        <v>126.58959537572255</v>
      </c>
      <c r="L45" s="452"/>
      <c r="M45" s="452"/>
      <c r="N45" s="452"/>
      <c r="O45" s="452"/>
      <c r="P45" s="136"/>
    </row>
    <row r="46" spans="2:16">
      <c r="B46" s="135"/>
      <c r="C46" s="145" t="s">
        <v>40</v>
      </c>
      <c r="D46" s="120">
        <f>COUNTIF(OWASP_TOP_10_Medium,"&gt;0")</f>
        <v>0</v>
      </c>
      <c r="E46" s="120">
        <f>SUM(OWASP_TOP_10_Medium)</f>
        <v>0</v>
      </c>
      <c r="F46" s="143">
        <f>IF(E46&gt;0, E46/OWASPIssueCount,0)</f>
        <v>0</v>
      </c>
      <c r="G46" s="319">
        <f t="shared" si="3"/>
        <v>0</v>
      </c>
      <c r="H46" s="320">
        <f t="shared" si="2"/>
        <v>100</v>
      </c>
      <c r="I46" s="326">
        <v>0.2</v>
      </c>
      <c r="J46" s="321">
        <f>DefaultPoolSize*I46</f>
        <v>200</v>
      </c>
      <c r="K46" s="322">
        <f>IF(Files=0,0,IF(G46*H46&gt;J46,0,J46-(G46*H46)))</f>
        <v>200</v>
      </c>
      <c r="L46" s="452"/>
      <c r="M46" s="452"/>
      <c r="N46" s="452"/>
      <c r="O46" s="452"/>
      <c r="P46" s="136"/>
    </row>
    <row r="47" spans="2:16" ht="19.5" thickBot="1">
      <c r="B47" s="135"/>
      <c r="C47" s="146" t="s">
        <v>41</v>
      </c>
      <c r="D47" s="120">
        <f>COUNTIF(OWASP_TOP_10_Low,"&gt;0")</f>
        <v>4</v>
      </c>
      <c r="E47" s="120">
        <f>SUM(OWASP_TOP_10_Low)</f>
        <v>457</v>
      </c>
      <c r="F47" s="143">
        <f>IF(E47&gt;0, E47/OWASPIssueCount,0)</f>
        <v>0.88053949903660889</v>
      </c>
      <c r="G47" s="319">
        <f t="shared" si="3"/>
        <v>8.8053949903660875</v>
      </c>
      <c r="H47" s="320">
        <f t="shared" si="2"/>
        <v>50</v>
      </c>
      <c r="I47" s="326">
        <v>0.1</v>
      </c>
      <c r="J47" s="321">
        <f>DefaultPoolSize*I47</f>
        <v>100</v>
      </c>
      <c r="K47" s="322">
        <f>IF(Files=0,0,IF(G47*H47&gt;J47,0,J47-(G47*H47)))</f>
        <v>0</v>
      </c>
      <c r="L47" s="452"/>
      <c r="M47" s="452"/>
      <c r="N47" s="452"/>
      <c r="O47" s="452"/>
      <c r="P47" s="136"/>
    </row>
    <row r="48" spans="2:16" ht="19.5" thickBot="1">
      <c r="B48" s="135"/>
      <c r="C48" s="147" t="s">
        <v>31</v>
      </c>
      <c r="D48" s="148">
        <f>SUM(D44:D47)</f>
        <v>9</v>
      </c>
      <c r="E48" s="148">
        <f>SUM(E44:E47)</f>
        <v>519</v>
      </c>
      <c r="F48" s="149">
        <f>SUM(F44:F47)</f>
        <v>1</v>
      </c>
      <c r="G48" s="319"/>
      <c r="H48" s="322"/>
      <c r="I48" s="324">
        <f>SUM(I44:I47)</f>
        <v>0.99999999999999989</v>
      </c>
      <c r="J48" s="330">
        <f>SUM(J44:J47)</f>
        <v>1000</v>
      </c>
      <c r="K48" s="329">
        <f>SUM(K44:K47)</f>
        <v>718.88246628131026</v>
      </c>
      <c r="L48" s="452"/>
      <c r="M48" s="452"/>
      <c r="N48" s="452"/>
      <c r="O48" s="452"/>
      <c r="P48" s="136"/>
    </row>
    <row r="49" spans="2:16" ht="19.5" thickBot="1">
      <c r="B49" s="151"/>
      <c r="C49" s="152"/>
      <c r="D49" s="152"/>
      <c r="E49" s="152"/>
      <c r="F49" s="152"/>
      <c r="G49" s="152"/>
      <c r="H49" s="152"/>
      <c r="I49" s="152"/>
      <c r="J49" s="152"/>
      <c r="K49" s="152"/>
      <c r="L49" s="152"/>
      <c r="M49" s="152"/>
      <c r="N49" s="152"/>
      <c r="O49" s="152"/>
      <c r="P49" s="153"/>
    </row>
    <row r="51" spans="2:16" ht="30" customHeight="1">
      <c r="B51" s="453" t="s">
        <v>162</v>
      </c>
      <c r="C51" s="453"/>
      <c r="D51" s="453"/>
      <c r="E51" s="453"/>
      <c r="F51" s="453"/>
      <c r="G51" s="453"/>
      <c r="H51" s="453"/>
      <c r="I51" s="453"/>
      <c r="J51" s="453"/>
      <c r="K51" s="453"/>
      <c r="L51" s="453"/>
      <c r="M51" s="453"/>
      <c r="N51" s="453"/>
      <c r="O51" s="453"/>
      <c r="P51" s="453"/>
    </row>
    <row r="52" spans="2:16">
      <c r="B52" s="133"/>
      <c r="C52" s="124"/>
      <c r="D52" s="124"/>
      <c r="E52" s="124"/>
      <c r="F52" s="124"/>
      <c r="G52" s="124"/>
      <c r="H52" s="124"/>
      <c r="I52" s="124"/>
      <c r="J52" s="124"/>
      <c r="K52" s="124"/>
      <c r="L52" s="124"/>
      <c r="M52" s="124"/>
      <c r="N52" s="124"/>
      <c r="O52" s="124"/>
      <c r="P52" s="134"/>
    </row>
    <row r="53" spans="2:16" ht="33.75">
      <c r="B53" s="135"/>
      <c r="C53" s="431" t="s">
        <v>177</v>
      </c>
      <c r="D53" s="431"/>
      <c r="E53" s="431"/>
      <c r="F53" s="431"/>
      <c r="G53" s="431"/>
      <c r="H53" s="432"/>
      <c r="I53" s="432"/>
      <c r="J53" s="432"/>
      <c r="K53" s="432"/>
      <c r="L53" s="432"/>
      <c r="M53" s="432"/>
      <c r="N53" s="432"/>
      <c r="O53" s="432"/>
      <c r="P53" s="136"/>
    </row>
    <row r="54" spans="2:16" ht="19.5" thickBot="1">
      <c r="B54" s="135"/>
      <c r="C54" s="121"/>
      <c r="D54" s="121"/>
      <c r="E54" s="121"/>
      <c r="F54" s="121"/>
      <c r="G54" s="121"/>
      <c r="H54" s="121"/>
      <c r="I54" s="121"/>
      <c r="J54" s="121"/>
      <c r="K54" s="121"/>
      <c r="L54" s="121"/>
      <c r="M54" s="121"/>
      <c r="N54" s="121"/>
      <c r="O54" s="121"/>
      <c r="P54" s="136"/>
    </row>
    <row r="55" spans="2:16" ht="24" thickBot="1">
      <c r="B55" s="135"/>
      <c r="C55" s="449" t="s">
        <v>178</v>
      </c>
      <c r="D55" s="449"/>
      <c r="E55" s="449"/>
      <c r="F55" s="121"/>
      <c r="G55" s="449" t="s">
        <v>180</v>
      </c>
      <c r="H55" s="449"/>
      <c r="I55" s="449"/>
      <c r="K55" s="121"/>
      <c r="L55" s="121"/>
      <c r="M55" s="449" t="s">
        <v>98</v>
      </c>
      <c r="N55" s="449"/>
      <c r="O55" s="449"/>
      <c r="P55" s="136"/>
    </row>
    <row r="56" spans="2:16">
      <c r="B56" s="135"/>
      <c r="C56" s="154" t="s">
        <v>169</v>
      </c>
      <c r="D56" s="425">
        <f>1/3</f>
        <v>0.33333333333333331</v>
      </c>
      <c r="E56" s="425"/>
      <c r="F56" s="121"/>
      <c r="G56" s="154" t="s">
        <v>169</v>
      </c>
      <c r="H56" s="425">
        <f>1/3</f>
        <v>0.33333333333333331</v>
      </c>
      <c r="I56" s="425"/>
      <c r="K56" s="121"/>
      <c r="L56" s="121"/>
      <c r="M56" s="154" t="s">
        <v>169</v>
      </c>
      <c r="N56" s="425">
        <f>SUM(D56,D61,H56)</f>
        <v>1</v>
      </c>
      <c r="O56" s="425"/>
      <c r="P56" s="136"/>
    </row>
    <row r="57" spans="2:16" ht="19.5" thickBot="1">
      <c r="B57" s="135"/>
      <c r="C57" s="155" t="s">
        <v>173</v>
      </c>
      <c r="D57" s="426">
        <f>CoreScoreRaw</f>
        <v>0</v>
      </c>
      <c r="E57" s="426"/>
      <c r="F57" s="121"/>
      <c r="G57" s="155" t="s">
        <v>173</v>
      </c>
      <c r="H57" s="426">
        <f>CoreScoreFilesRaw</f>
        <v>728.45269672855875</v>
      </c>
      <c r="I57" s="426"/>
      <c r="K57" s="121"/>
      <c r="L57" s="121"/>
      <c r="M57" s="155" t="s">
        <v>173</v>
      </c>
      <c r="N57" s="426"/>
      <c r="O57" s="426"/>
      <c r="P57" s="136"/>
    </row>
    <row r="58" spans="2:16" ht="24" thickBot="1">
      <c r="B58" s="135"/>
      <c r="C58" s="156" t="s">
        <v>98</v>
      </c>
      <c r="D58" s="427">
        <f>D57*D56</f>
        <v>0</v>
      </c>
      <c r="E58" s="427"/>
      <c r="F58" s="121"/>
      <c r="G58" s="156" t="s">
        <v>98</v>
      </c>
      <c r="H58" s="427">
        <f>H57*H56</f>
        <v>242.81756557618624</v>
      </c>
      <c r="I58" s="427"/>
      <c r="K58" s="121"/>
      <c r="L58" s="121"/>
      <c r="M58" s="156" t="s">
        <v>98</v>
      </c>
      <c r="N58" s="427">
        <f>SUM(D58,H58,D63)</f>
        <v>362.99225435777817</v>
      </c>
      <c r="O58" s="427"/>
      <c r="P58" s="136"/>
    </row>
    <row r="59" spans="2:16" ht="19.5" thickBot="1">
      <c r="B59" s="135"/>
      <c r="C59" s="121"/>
      <c r="D59" s="121"/>
      <c r="E59" s="121"/>
      <c r="F59" s="121"/>
      <c r="G59" s="121"/>
      <c r="H59" s="121"/>
      <c r="I59" s="121"/>
      <c r="J59" s="121"/>
      <c r="K59" s="121"/>
      <c r="L59" s="121"/>
      <c r="M59" s="121"/>
      <c r="N59" s="121"/>
      <c r="O59" s="121"/>
      <c r="P59" s="136"/>
    </row>
    <row r="60" spans="2:16" ht="24" thickBot="1">
      <c r="B60" s="135"/>
      <c r="C60" s="449" t="s">
        <v>181</v>
      </c>
      <c r="D60" s="449"/>
      <c r="E60" s="449"/>
      <c r="P60" s="136"/>
    </row>
    <row r="61" spans="2:16">
      <c r="B61" s="135"/>
      <c r="C61" s="154" t="s">
        <v>169</v>
      </c>
      <c r="D61" s="425">
        <f>1/3</f>
        <v>0.33333333333333331</v>
      </c>
      <c r="E61" s="425"/>
      <c r="P61" s="136"/>
    </row>
    <row r="62" spans="2:16" ht="19.5" thickBot="1">
      <c r="B62" s="135"/>
      <c r="C62" s="155" t="s">
        <v>173</v>
      </c>
      <c r="D62" s="426">
        <f>CoreScoreLOCRaw</f>
        <v>360.52406634477586</v>
      </c>
      <c r="E62" s="426"/>
      <c r="P62" s="136"/>
    </row>
    <row r="63" spans="2:16" ht="24" thickBot="1">
      <c r="B63" s="135"/>
      <c r="C63" s="156" t="s">
        <v>98</v>
      </c>
      <c r="D63" s="427">
        <f>D62*D61</f>
        <v>120.17468878159195</v>
      </c>
      <c r="E63" s="427"/>
      <c r="P63" s="136"/>
    </row>
    <row r="64" spans="2:16" ht="19.5" thickBot="1">
      <c r="B64" s="135"/>
      <c r="C64" s="121"/>
      <c r="D64" s="121"/>
      <c r="E64" s="121"/>
      <c r="F64" s="121"/>
      <c r="G64" s="121"/>
      <c r="H64" s="121"/>
      <c r="I64" s="121"/>
      <c r="J64" s="121"/>
      <c r="K64" s="121"/>
      <c r="L64" s="121"/>
      <c r="M64" s="121"/>
      <c r="N64" s="121"/>
      <c r="O64" s="121"/>
      <c r="P64" s="136"/>
    </row>
    <row r="65" spans="2:16" ht="19.5" thickBot="1">
      <c r="B65" s="135"/>
      <c r="C65" s="447" t="s">
        <v>178</v>
      </c>
      <c r="D65" s="447"/>
      <c r="E65" s="447"/>
      <c r="F65" s="447"/>
      <c r="G65" s="447"/>
      <c r="H65" s="447"/>
      <c r="I65" s="447"/>
      <c r="J65" s="447"/>
      <c r="K65" s="447"/>
      <c r="L65" s="447"/>
      <c r="M65" s="447"/>
      <c r="N65" s="447"/>
      <c r="O65" s="447"/>
      <c r="P65" s="136"/>
    </row>
    <row r="66" spans="2:16">
      <c r="B66" s="135"/>
      <c r="C66" s="312"/>
      <c r="D66" s="102"/>
      <c r="E66" s="102"/>
      <c r="F66" s="420" t="s">
        <v>35</v>
      </c>
      <c r="G66" s="420"/>
      <c r="H66" s="313" t="s">
        <v>283</v>
      </c>
      <c r="I66" s="182" t="s">
        <v>282</v>
      </c>
      <c r="J66" s="420" t="s">
        <v>169</v>
      </c>
      <c r="K66" s="420"/>
      <c r="L66" s="420" t="s">
        <v>176</v>
      </c>
      <c r="M66" s="420"/>
      <c r="N66" s="420" t="s">
        <v>98</v>
      </c>
      <c r="O66" s="420"/>
      <c r="P66" s="136"/>
    </row>
    <row r="67" spans="2:16">
      <c r="B67" s="135"/>
      <c r="C67" s="423" t="s">
        <v>38</v>
      </c>
      <c r="D67" s="423"/>
      <c r="E67" s="423"/>
      <c r="F67" s="424">
        <f>CriticalCores</f>
        <v>1</v>
      </c>
      <c r="G67" s="424"/>
      <c r="H67" s="100">
        <v>1</v>
      </c>
      <c r="I67" s="315">
        <f>L67/H67</f>
        <v>750</v>
      </c>
      <c r="J67" s="448">
        <v>0.75</v>
      </c>
      <c r="K67" s="448"/>
      <c r="L67" s="411">
        <f>J67*DefaultPoolSize</f>
        <v>750</v>
      </c>
      <c r="M67" s="411"/>
      <c r="N67" s="414">
        <f>IF(Files=0,0,IF(F67*I67&gt;L67,0,L67-(F67*I67)))</f>
        <v>0</v>
      </c>
      <c r="O67" s="414"/>
      <c r="P67" s="136"/>
    </row>
    <row r="68" spans="2:16">
      <c r="B68" s="135"/>
      <c r="C68" s="423" t="s">
        <v>182</v>
      </c>
      <c r="D68" s="423"/>
      <c r="E68" s="423"/>
      <c r="F68" s="424">
        <f>EmergingCores</f>
        <v>2</v>
      </c>
      <c r="G68" s="424"/>
      <c r="H68" s="100">
        <v>2</v>
      </c>
      <c r="I68" s="315">
        <v>125</v>
      </c>
      <c r="J68" s="448">
        <v>0.25</v>
      </c>
      <c r="K68" s="448"/>
      <c r="L68" s="411">
        <f>J68*DefaultPoolSize</f>
        <v>250</v>
      </c>
      <c r="M68" s="411"/>
      <c r="N68" s="414">
        <f>IF(Files=0,0,IF(F68*I68&gt;L68,0,L68-(F68*I68)))</f>
        <v>0</v>
      </c>
      <c r="O68" s="414"/>
      <c r="P68" s="136"/>
    </row>
    <row r="69" spans="2:16">
      <c r="B69" s="135"/>
      <c r="C69" s="409" t="s">
        <v>31</v>
      </c>
      <c r="D69" s="409"/>
      <c r="E69" s="409"/>
      <c r="F69" s="421">
        <f>SUM(F67:G68)</f>
        <v>3</v>
      </c>
      <c r="G69" s="421"/>
      <c r="H69" s="410"/>
      <c r="I69" s="410"/>
      <c r="J69" s="410">
        <f>SUM(J67:J68)</f>
        <v>1</v>
      </c>
      <c r="K69" s="410"/>
      <c r="L69" s="411">
        <f>SUM(L67:L68)</f>
        <v>1000</v>
      </c>
      <c r="M69" s="411"/>
      <c r="N69" s="412">
        <f>SUM(N67:O68)</f>
        <v>0</v>
      </c>
      <c r="O69" s="412"/>
      <c r="P69" s="136"/>
    </row>
    <row r="70" spans="2:16" ht="19.5" thickBot="1">
      <c r="B70" s="135"/>
      <c r="P70" s="136"/>
    </row>
    <row r="71" spans="2:16" ht="19.5" thickBot="1">
      <c r="B71" s="135"/>
      <c r="C71" s="447" t="s">
        <v>180</v>
      </c>
      <c r="D71" s="447"/>
      <c r="E71" s="447"/>
      <c r="F71" s="447"/>
      <c r="G71" s="447"/>
      <c r="H71" s="447"/>
      <c r="I71" s="447"/>
      <c r="J71" s="447"/>
      <c r="K71" s="447"/>
      <c r="L71" s="447"/>
      <c r="M71" s="447"/>
      <c r="N71" s="447"/>
      <c r="O71" s="447"/>
      <c r="P71" s="136"/>
    </row>
    <row r="72" spans="2:16">
      <c r="B72" s="135"/>
      <c r="C72" s="312"/>
      <c r="D72" s="102"/>
      <c r="E72" s="102"/>
      <c r="F72" s="420" t="s">
        <v>35</v>
      </c>
      <c r="G72" s="420"/>
      <c r="H72" s="307" t="s">
        <v>183</v>
      </c>
      <c r="I72" s="307" t="s">
        <v>281</v>
      </c>
      <c r="J72" s="313" t="s">
        <v>282</v>
      </c>
      <c r="K72" s="307" t="s">
        <v>169</v>
      </c>
      <c r="L72" s="420" t="s">
        <v>176</v>
      </c>
      <c r="M72" s="420"/>
      <c r="N72" s="420" t="s">
        <v>98</v>
      </c>
      <c r="O72" s="420"/>
      <c r="P72" s="136"/>
    </row>
    <row r="73" spans="2:16">
      <c r="B73" s="135"/>
      <c r="C73" s="423" t="s">
        <v>38</v>
      </c>
      <c r="D73" s="423"/>
      <c r="E73" s="423"/>
      <c r="F73" s="446">
        <f>CriticalCoresFiles</f>
        <v>176</v>
      </c>
      <c r="G73" s="446"/>
      <c r="H73" s="316">
        <f>IF(F73&gt;0,F73/Files,0)</f>
        <v>9.3368700265251986E-2</v>
      </c>
      <c r="I73" s="309">
        <f>H73/0.1</f>
        <v>0.9336870026525198</v>
      </c>
      <c r="J73" s="310">
        <f>L73/3</f>
        <v>250</v>
      </c>
      <c r="K73" s="317">
        <v>0.75</v>
      </c>
      <c r="L73" s="411">
        <f>K73*DefaultPoolSize</f>
        <v>750</v>
      </c>
      <c r="M73" s="411"/>
      <c r="N73" s="414">
        <f>IF(Files=0,0,IF(I73*J73&gt;L73,0,L73-(I73*J73)))</f>
        <v>516.57824933687004</v>
      </c>
      <c r="O73" s="414"/>
      <c r="P73" s="136"/>
    </row>
    <row r="74" spans="2:16">
      <c r="B74" s="135"/>
      <c r="C74" s="423" t="s">
        <v>182</v>
      </c>
      <c r="D74" s="423"/>
      <c r="E74" s="423"/>
      <c r="F74" s="446">
        <f>EmergingCoresFiles</f>
        <v>88</v>
      </c>
      <c r="G74" s="446"/>
      <c r="H74" s="316">
        <f>IF(F74&gt;0,F74/Files,0)</f>
        <v>4.6684350132625993E-2</v>
      </c>
      <c r="I74" s="309">
        <f>H74/0.1</f>
        <v>0.4668435013262599</v>
      </c>
      <c r="J74" s="310">
        <f>L74/3</f>
        <v>66.666666666666671</v>
      </c>
      <c r="K74" s="317">
        <v>0.2</v>
      </c>
      <c r="L74" s="411">
        <f>K74*DefaultPoolSize</f>
        <v>200</v>
      </c>
      <c r="M74" s="411"/>
      <c r="N74" s="414">
        <f>IF(Files=0,0,IF(I74*J74&gt;L74,0,L74-(I74*J74)))</f>
        <v>168.87709991158266</v>
      </c>
      <c r="O74" s="414"/>
      <c r="P74" s="136"/>
    </row>
    <row r="75" spans="2:16">
      <c r="B75" s="135"/>
      <c r="C75" s="423" t="s">
        <v>184</v>
      </c>
      <c r="D75" s="423"/>
      <c r="E75" s="423"/>
      <c r="F75" s="446">
        <f>Files-SUM(F73:G74)</f>
        <v>1621</v>
      </c>
      <c r="G75" s="446"/>
      <c r="H75" s="316">
        <f>IF(F75&gt;0,F75/Files,0)</f>
        <v>0.85994694960212203</v>
      </c>
      <c r="I75" s="316"/>
      <c r="J75" s="100"/>
      <c r="K75" s="317">
        <v>0.05</v>
      </c>
      <c r="L75" s="411">
        <f>K75*DefaultPoolSize</f>
        <v>50</v>
      </c>
      <c r="M75" s="411"/>
      <c r="N75" s="414">
        <f>IF(Files&lt;=0,0,H75*L75)</f>
        <v>42.9973474801061</v>
      </c>
      <c r="O75" s="414"/>
      <c r="P75" s="136"/>
    </row>
    <row r="76" spans="2:16">
      <c r="B76" s="135"/>
      <c r="C76" s="409" t="s">
        <v>31</v>
      </c>
      <c r="D76" s="409"/>
      <c r="E76" s="409"/>
      <c r="F76" s="421">
        <f>SUM(F73:G75)</f>
        <v>1885</v>
      </c>
      <c r="G76" s="421"/>
      <c r="H76" s="311">
        <f>SUM(I73:I75)</f>
        <v>1.4005305039787797</v>
      </c>
      <c r="I76" s="306"/>
      <c r="J76" s="100"/>
      <c r="K76" s="318">
        <f>SUM(K73:K75)</f>
        <v>1</v>
      </c>
      <c r="L76" s="411">
        <f>SUM(L73:L75)</f>
        <v>1000</v>
      </c>
      <c r="M76" s="411"/>
      <c r="N76" s="412">
        <f>SUM(N73:O75)</f>
        <v>728.45269672855875</v>
      </c>
      <c r="O76" s="412"/>
      <c r="P76" s="136"/>
    </row>
    <row r="77" spans="2:16" ht="19.5" thickBot="1">
      <c r="B77" s="135"/>
      <c r="P77" s="136"/>
    </row>
    <row r="78" spans="2:16" ht="19.5" thickBot="1">
      <c r="B78" s="135"/>
      <c r="C78" s="447" t="s">
        <v>181</v>
      </c>
      <c r="D78" s="447"/>
      <c r="E78" s="447"/>
      <c r="F78" s="447"/>
      <c r="G78" s="447"/>
      <c r="H78" s="447"/>
      <c r="I78" s="447"/>
      <c r="J78" s="447"/>
      <c r="K78" s="447"/>
      <c r="L78" s="447"/>
      <c r="M78" s="447"/>
      <c r="N78" s="447"/>
      <c r="O78" s="447"/>
      <c r="P78" s="136"/>
    </row>
    <row r="79" spans="2:16">
      <c r="B79" s="135"/>
      <c r="C79" s="312"/>
      <c r="D79" s="102"/>
      <c r="E79" s="102"/>
      <c r="F79" s="420" t="s">
        <v>185</v>
      </c>
      <c r="G79" s="420"/>
      <c r="H79" s="420" t="s">
        <v>186</v>
      </c>
      <c r="I79" s="420"/>
      <c r="J79" s="420" t="s">
        <v>169</v>
      </c>
      <c r="K79" s="420"/>
      <c r="L79" s="420" t="s">
        <v>176</v>
      </c>
      <c r="M79" s="420"/>
      <c r="N79" s="420" t="s">
        <v>98</v>
      </c>
      <c r="O79" s="420"/>
      <c r="P79" s="136"/>
    </row>
    <row r="80" spans="2:16">
      <c r="B80" s="135"/>
      <c r="C80" s="423" t="s">
        <v>38</v>
      </c>
      <c r="D80" s="423"/>
      <c r="E80" s="423"/>
      <c r="F80" s="446">
        <f>CriticalCoresLOC</f>
        <v>150086</v>
      </c>
      <c r="G80" s="446"/>
      <c r="H80" s="316">
        <f>IF(F80&gt;0,F80/Lines,0)</f>
        <v>0.22428646788339601</v>
      </c>
      <c r="I80" s="309">
        <f>H80/0.1</f>
        <v>2.2428646788339601</v>
      </c>
      <c r="J80" s="310">
        <f>L80/3</f>
        <v>250</v>
      </c>
      <c r="K80" s="317">
        <v>0.75</v>
      </c>
      <c r="L80" s="411">
        <f>K80*DefaultPoolSize</f>
        <v>750</v>
      </c>
      <c r="M80" s="411"/>
      <c r="N80" s="414">
        <f>IF(Files=0,0,IF(I80*J80&gt;L80,0,L80-(I80*J80)))</f>
        <v>189.28383029150996</v>
      </c>
      <c r="O80" s="414"/>
      <c r="P80" s="136"/>
    </row>
    <row r="81" spans="2:16">
      <c r="B81" s="135"/>
      <c r="C81" s="423" t="s">
        <v>182</v>
      </c>
      <c r="D81" s="423"/>
      <c r="E81" s="423"/>
      <c r="F81" s="446">
        <f>EmergingCoresLOC</f>
        <v>63069</v>
      </c>
      <c r="G81" s="446"/>
      <c r="H81" s="316">
        <f>IF(F81&gt;0,F81/Lines,0)</f>
        <v>9.4249451933810638E-2</v>
      </c>
      <c r="I81" s="309">
        <f>H81/0.1</f>
        <v>0.94249451933810635</v>
      </c>
      <c r="J81" s="310">
        <f>L81/3</f>
        <v>66.666666666666671</v>
      </c>
      <c r="K81" s="317">
        <v>0.2</v>
      </c>
      <c r="L81" s="411">
        <f>K81*DefaultPoolSize</f>
        <v>200</v>
      </c>
      <c r="M81" s="411"/>
      <c r="N81" s="414">
        <f>IF(Files=0,0,IF(I81*J81&gt;L81,0,L81-(I81*J81)))</f>
        <v>137.16703204412624</v>
      </c>
      <c r="O81" s="414"/>
      <c r="P81" s="136"/>
    </row>
    <row r="82" spans="2:16">
      <c r="B82" s="135"/>
      <c r="C82" s="423" t="s">
        <v>184</v>
      </c>
      <c r="D82" s="423"/>
      <c r="E82" s="423"/>
      <c r="F82" s="446">
        <f>Lines-SUM(F80:G81)</f>
        <v>456016</v>
      </c>
      <c r="G82" s="446"/>
      <c r="H82" s="316">
        <f>IF(F82&gt;0,F82/Lines,0)</f>
        <v>0.68146408018279336</v>
      </c>
      <c r="I82" s="316"/>
      <c r="J82" s="100"/>
      <c r="K82" s="317">
        <v>0.05</v>
      </c>
      <c r="L82" s="411">
        <f>K82*DefaultPoolSize</f>
        <v>50</v>
      </c>
      <c r="M82" s="411"/>
      <c r="N82" s="414">
        <f>IF(Files&lt;=0,0,H82*L82)</f>
        <v>34.073204009139666</v>
      </c>
      <c r="O82" s="414"/>
      <c r="P82" s="136"/>
    </row>
    <row r="83" spans="2:16">
      <c r="B83" s="135"/>
      <c r="C83" s="409" t="s">
        <v>31</v>
      </c>
      <c r="D83" s="409"/>
      <c r="E83" s="409"/>
      <c r="F83" s="421">
        <f>SUM(F80:G82)</f>
        <v>669171</v>
      </c>
      <c r="G83" s="421"/>
      <c r="H83" s="410">
        <f>SUM(I80:I82)</f>
        <v>3.1853591981720664</v>
      </c>
      <c r="I83" s="410"/>
      <c r="J83" s="410">
        <f>SUM(K80:K82)</f>
        <v>1</v>
      </c>
      <c r="K83" s="410"/>
      <c r="L83" s="411">
        <f>SUM(L80:L82)</f>
        <v>1000</v>
      </c>
      <c r="M83" s="411"/>
      <c r="N83" s="412">
        <f>SUM(N80:O82)</f>
        <v>360.52406634477586</v>
      </c>
      <c r="O83" s="412"/>
      <c r="P83" s="136"/>
    </row>
    <row r="84" spans="2:16" ht="19.5" thickBot="1">
      <c r="B84" s="151"/>
      <c r="C84" s="152"/>
      <c r="D84" s="152"/>
      <c r="E84" s="152"/>
      <c r="F84" s="152"/>
      <c r="G84" s="152"/>
      <c r="H84" s="152"/>
      <c r="I84" s="152"/>
      <c r="J84" s="152"/>
      <c r="K84" s="152"/>
      <c r="L84" s="152"/>
      <c r="M84" s="152"/>
      <c r="N84" s="152"/>
      <c r="O84" s="152"/>
      <c r="P84" s="153"/>
    </row>
    <row r="85" spans="2:16" ht="19.5" thickBot="1"/>
    <row r="86" spans="2:16" ht="30" customHeight="1" thickBot="1">
      <c r="B86" s="442" t="s">
        <v>179</v>
      </c>
      <c r="C86" s="442"/>
      <c r="D86" s="442"/>
      <c r="E86" s="442"/>
      <c r="F86" s="442"/>
      <c r="G86" s="442"/>
      <c r="H86" s="442"/>
      <c r="I86" s="442"/>
      <c r="J86" s="442"/>
      <c r="K86" s="442"/>
      <c r="L86" s="442"/>
      <c r="M86" s="442"/>
      <c r="N86" s="442"/>
      <c r="O86" s="442"/>
      <c r="P86" s="442"/>
    </row>
    <row r="87" spans="2:16">
      <c r="B87" s="133"/>
      <c r="C87" s="124"/>
      <c r="D87" s="124"/>
      <c r="E87" s="124"/>
      <c r="F87" s="124"/>
      <c r="G87" s="124"/>
      <c r="H87" s="124"/>
      <c r="I87" s="124"/>
      <c r="J87" s="124"/>
      <c r="K87" s="124"/>
      <c r="L87" s="124"/>
      <c r="M87" s="124"/>
      <c r="N87" s="124"/>
      <c r="O87" s="124"/>
      <c r="P87" s="134"/>
    </row>
    <row r="88" spans="2:16" ht="34.5" thickBot="1">
      <c r="B88" s="135"/>
      <c r="C88" s="431" t="s">
        <v>177</v>
      </c>
      <c r="D88" s="431"/>
      <c r="E88" s="431"/>
      <c r="F88" s="431"/>
      <c r="G88" s="431"/>
      <c r="H88" s="432"/>
      <c r="I88" s="432"/>
      <c r="J88" s="432"/>
      <c r="K88" s="432"/>
      <c r="L88" s="432"/>
      <c r="M88" s="432"/>
      <c r="N88" s="432"/>
      <c r="O88" s="432"/>
      <c r="P88" s="136"/>
    </row>
    <row r="89" spans="2:16" ht="19.5" thickBot="1">
      <c r="B89" s="135"/>
      <c r="C89" s="121"/>
      <c r="D89" s="121"/>
      <c r="E89" s="121"/>
      <c r="F89" s="121"/>
      <c r="G89" s="121"/>
      <c r="H89" s="121"/>
      <c r="I89" s="121"/>
      <c r="J89" s="121"/>
      <c r="K89" s="121"/>
      <c r="L89" s="121"/>
      <c r="M89" s="121"/>
      <c r="N89" s="121"/>
      <c r="O89" s="121"/>
      <c r="P89" s="136"/>
    </row>
    <row r="90" spans="2:16" ht="24" thickBot="1">
      <c r="B90" s="135"/>
      <c r="C90" s="443" t="s">
        <v>179</v>
      </c>
      <c r="D90" s="443"/>
      <c r="E90" s="443"/>
      <c r="F90" s="121"/>
      <c r="G90" s="121"/>
      <c r="K90" s="121"/>
      <c r="L90" s="121"/>
      <c r="M90" s="443" t="s">
        <v>98</v>
      </c>
      <c r="N90" s="443"/>
      <c r="O90" s="443"/>
      <c r="P90" s="136"/>
    </row>
    <row r="91" spans="2:16">
      <c r="B91" s="135"/>
      <c r="C91" s="154" t="s">
        <v>169</v>
      </c>
      <c r="D91" s="425">
        <v>1</v>
      </c>
      <c r="E91" s="425"/>
      <c r="F91" s="121"/>
      <c r="G91" s="121"/>
      <c r="K91" s="121"/>
      <c r="L91" s="121"/>
      <c r="M91" s="154" t="s">
        <v>169</v>
      </c>
      <c r="N91" s="425"/>
      <c r="O91" s="425"/>
      <c r="P91" s="136"/>
    </row>
    <row r="92" spans="2:16" ht="19.5" thickBot="1">
      <c r="B92" s="135"/>
      <c r="C92" s="155" t="s">
        <v>173</v>
      </c>
      <c r="D92" s="426">
        <f>EconomicHealthRawScore</f>
        <v>450.30489408190499</v>
      </c>
      <c r="E92" s="426"/>
      <c r="F92" s="121"/>
      <c r="G92" s="121"/>
      <c r="K92" s="121"/>
      <c r="L92" s="121"/>
      <c r="M92" s="155" t="s">
        <v>173</v>
      </c>
      <c r="N92" s="426">
        <f>IssuesScoreRaw</f>
        <v>484.42816471078396</v>
      </c>
      <c r="O92" s="426"/>
      <c r="P92" s="136"/>
    </row>
    <row r="93" spans="2:16" ht="24" thickBot="1">
      <c r="B93" s="135"/>
      <c r="C93" s="156" t="s">
        <v>98</v>
      </c>
      <c r="D93" s="427">
        <f>D92*D91</f>
        <v>450.30489408190499</v>
      </c>
      <c r="E93" s="427"/>
      <c r="F93" s="121"/>
      <c r="G93" s="121"/>
      <c r="K93" s="121"/>
      <c r="L93" s="121"/>
      <c r="M93" s="156" t="s">
        <v>98</v>
      </c>
      <c r="N93" s="427">
        <f>SUM(D93)</f>
        <v>450.30489408190499</v>
      </c>
      <c r="O93" s="427"/>
      <c r="P93" s="136"/>
    </row>
    <row r="94" spans="2:16">
      <c r="B94" s="135"/>
      <c r="C94" s="121"/>
      <c r="D94" s="121"/>
      <c r="E94" s="121"/>
      <c r="F94" s="121"/>
      <c r="G94" s="121"/>
      <c r="H94" s="121"/>
      <c r="I94" s="121"/>
      <c r="J94" s="121"/>
      <c r="K94" s="121"/>
      <c r="L94" s="121"/>
      <c r="M94" s="121"/>
      <c r="N94" s="121"/>
      <c r="O94" s="121"/>
      <c r="P94" s="136"/>
    </row>
    <row r="95" spans="2:16" ht="19.5" thickBot="1">
      <c r="B95" s="135"/>
      <c r="C95" s="121"/>
      <c r="D95" s="121"/>
      <c r="E95" s="121"/>
      <c r="F95" s="121"/>
      <c r="G95" s="121"/>
      <c r="H95" s="121"/>
      <c r="I95" s="121"/>
      <c r="J95" s="121"/>
      <c r="K95" s="121"/>
      <c r="L95" s="121"/>
      <c r="M95" s="121"/>
      <c r="N95" s="121"/>
      <c r="O95" s="121"/>
      <c r="P95" s="136"/>
    </row>
    <row r="96" spans="2:16" ht="19.5" thickBot="1">
      <c r="B96" s="135"/>
      <c r="C96" s="444" t="s">
        <v>179</v>
      </c>
      <c r="D96" s="444"/>
      <c r="E96" s="444"/>
      <c r="F96" s="444"/>
      <c r="G96" s="444"/>
      <c r="H96" s="444"/>
      <c r="I96" s="444"/>
      <c r="J96" s="444"/>
      <c r="K96" s="444"/>
      <c r="L96" s="444"/>
      <c r="M96" s="444"/>
      <c r="N96" s="444"/>
      <c r="O96" s="444"/>
      <c r="P96" s="136"/>
    </row>
    <row r="97" spans="2:31">
      <c r="B97" s="135"/>
      <c r="C97" s="150"/>
      <c r="D97" s="102"/>
      <c r="E97" s="102"/>
      <c r="F97" s="157" t="s">
        <v>187</v>
      </c>
      <c r="G97" s="157" t="s">
        <v>188</v>
      </c>
      <c r="H97" s="157" t="s">
        <v>189</v>
      </c>
      <c r="I97" s="157"/>
      <c r="J97" s="162"/>
      <c r="K97" s="157"/>
      <c r="L97" s="157" t="s">
        <v>169</v>
      </c>
      <c r="M97" s="157" t="s">
        <v>176</v>
      </c>
      <c r="N97" s="162"/>
      <c r="O97" s="157" t="s">
        <v>98</v>
      </c>
      <c r="P97" s="136"/>
    </row>
    <row r="98" spans="2:31">
      <c r="B98" s="135"/>
      <c r="C98" s="163" t="s">
        <v>190</v>
      </c>
      <c r="D98" s="163"/>
      <c r="E98" s="163"/>
      <c r="F98" s="159">
        <f>FeatureCost</f>
        <v>20589</v>
      </c>
      <c r="G98" s="164">
        <f>FeatureCostBenchmark</f>
        <v>8314</v>
      </c>
      <c r="H98" s="165">
        <f>F98-G98</f>
        <v>12275</v>
      </c>
      <c r="I98" s="166"/>
      <c r="J98" s="162">
        <f>IF(F98&gt;G98, G98/F98, 1)</f>
        <v>0.40380785856525331</v>
      </c>
      <c r="K98" s="167"/>
      <c r="L98" s="302">
        <v>0.25</v>
      </c>
      <c r="M98" s="165">
        <f>L98*DefaultPoolSize</f>
        <v>250</v>
      </c>
      <c r="N98" s="162"/>
      <c r="O98" s="301">
        <f>IF(Files&lt;=0,0,(J98)*M98)</f>
        <v>100.95196464131332</v>
      </c>
      <c r="P98" s="136"/>
    </row>
    <row r="99" spans="2:31">
      <c r="B99" s="135"/>
      <c r="C99" s="163" t="s">
        <v>191</v>
      </c>
      <c r="D99" s="163"/>
      <c r="E99" s="163"/>
      <c r="F99" s="165">
        <f>Waste</f>
        <v>783348</v>
      </c>
      <c r="G99" s="164">
        <f>WastePredicted</f>
        <v>463505</v>
      </c>
      <c r="H99" s="165">
        <f>F99-G99</f>
        <v>319843</v>
      </c>
      <c r="I99" s="166">
        <f>1-(H99/1000000)</f>
        <v>0.68015700000000001</v>
      </c>
      <c r="J99" s="162">
        <f t="shared" ref="J99:J101" si="4">IF(F99&gt;G99, G99/F99, 1)</f>
        <v>0.59169743204808078</v>
      </c>
      <c r="K99" s="167"/>
      <c r="L99" s="302">
        <v>0.25</v>
      </c>
      <c r="M99" s="165">
        <f>L99*DefaultPoolSize</f>
        <v>250</v>
      </c>
      <c r="N99" s="162"/>
      <c r="O99" s="301">
        <f>IF(Files&lt;=0,0,(J99)*M99)</f>
        <v>147.92435801202021</v>
      </c>
      <c r="P99" s="136"/>
    </row>
    <row r="100" spans="2:31">
      <c r="B100" s="135"/>
      <c r="C100" s="163" t="s">
        <v>192</v>
      </c>
      <c r="D100" s="163"/>
      <c r="E100" s="163"/>
      <c r="F100" s="165">
        <f>FeatureDays</f>
        <v>25</v>
      </c>
      <c r="G100" s="164">
        <f>FeatureDaysBenchmark</f>
        <v>13</v>
      </c>
      <c r="H100" s="165">
        <f>F100-G100</f>
        <v>12</v>
      </c>
      <c r="I100" s="166"/>
      <c r="J100" s="162">
        <f t="shared" si="4"/>
        <v>0.52</v>
      </c>
      <c r="K100" s="167"/>
      <c r="L100" s="302">
        <v>0.25</v>
      </c>
      <c r="M100" s="165">
        <f>L100*DefaultPoolSize</f>
        <v>250</v>
      </c>
      <c r="N100" s="162"/>
      <c r="O100" s="301">
        <f>IF(Files&lt;=0,0,(J100)*M100)</f>
        <v>130</v>
      </c>
      <c r="P100" s="136"/>
    </row>
    <row r="101" spans="2:31">
      <c r="B101" s="135"/>
      <c r="C101" s="163" t="s">
        <v>263</v>
      </c>
      <c r="D101" s="163"/>
      <c r="E101" s="163"/>
      <c r="F101" s="336">
        <f>BugsAddedExposed</f>
        <v>0.21</v>
      </c>
      <c r="G101" s="337">
        <f>BugsAddedExposedBenchmark</f>
        <v>0.06</v>
      </c>
      <c r="H101" s="332">
        <f>F101-G101</f>
        <v>0.15</v>
      </c>
      <c r="I101" s="166"/>
      <c r="J101" s="162">
        <f t="shared" si="4"/>
        <v>0.2857142857142857</v>
      </c>
      <c r="K101" s="167"/>
      <c r="L101" s="302">
        <v>0.25</v>
      </c>
      <c r="M101" s="165">
        <f>L101*DefaultPoolSize</f>
        <v>250</v>
      </c>
      <c r="N101" s="162"/>
      <c r="O101" s="301">
        <f>IF(Files&lt;=0,0,(J101)*M101)</f>
        <v>71.428571428571431</v>
      </c>
      <c r="P101" s="136"/>
    </row>
    <row r="102" spans="2:31">
      <c r="B102" s="135"/>
      <c r="C102" s="168" t="s">
        <v>31</v>
      </c>
      <c r="D102" s="168"/>
      <c r="E102" s="168"/>
      <c r="F102" s="160">
        <f>SUM(F98:G100)</f>
        <v>1275794</v>
      </c>
      <c r="G102" s="169">
        <f>SUM(G98:G101)</f>
        <v>471832.06</v>
      </c>
      <c r="H102" s="162"/>
      <c r="I102" s="170"/>
      <c r="J102" s="162"/>
      <c r="K102" s="162"/>
      <c r="L102" s="158">
        <f>SUM(L98:L101)</f>
        <v>1</v>
      </c>
      <c r="M102" s="165">
        <f>SUM(M98:M100)</f>
        <v>750</v>
      </c>
      <c r="N102" s="162"/>
      <c r="O102" s="161">
        <f>SUM(O98:O101)</f>
        <v>450.30489408190499</v>
      </c>
      <c r="P102" s="136"/>
    </row>
    <row r="103" spans="2:31" ht="19.5" thickBot="1">
      <c r="B103" s="151"/>
      <c r="C103" s="152"/>
      <c r="D103" s="152"/>
      <c r="E103" s="152"/>
      <c r="F103" s="152"/>
      <c r="G103" s="152"/>
      <c r="H103" s="152"/>
      <c r="I103" s="152"/>
      <c r="J103" s="152"/>
      <c r="K103" s="152"/>
      <c r="L103" s="152"/>
      <c r="M103" s="152"/>
      <c r="N103" s="152"/>
      <c r="O103" s="152"/>
      <c r="P103" s="153"/>
    </row>
    <row r="105" spans="2:31" ht="19.5" thickBot="1"/>
    <row r="106" spans="2:31" s="171" customFormat="1" ht="30" customHeight="1" thickBot="1">
      <c r="B106" s="445" t="s">
        <v>163</v>
      </c>
      <c r="C106" s="445"/>
      <c r="D106" s="445"/>
      <c r="E106" s="445"/>
      <c r="F106" s="445"/>
      <c r="G106" s="445"/>
      <c r="H106" s="445"/>
      <c r="I106" s="445"/>
      <c r="J106" s="445"/>
      <c r="K106" s="445"/>
      <c r="L106" s="445"/>
      <c r="M106" s="445"/>
      <c r="N106" s="445"/>
      <c r="O106" s="445"/>
      <c r="P106" s="445"/>
      <c r="Q106" s="109"/>
      <c r="R106" s="109"/>
      <c r="S106" s="109"/>
      <c r="T106" s="109"/>
      <c r="U106" s="109"/>
      <c r="V106" s="109"/>
      <c r="W106" s="109"/>
      <c r="X106" s="109"/>
      <c r="Y106" s="109"/>
      <c r="Z106" s="109"/>
      <c r="AA106" s="109"/>
      <c r="AB106" s="109"/>
      <c r="AC106" s="109"/>
      <c r="AD106" s="109"/>
      <c r="AE106" s="109"/>
    </row>
    <row r="107" spans="2:31">
      <c r="B107" s="133"/>
      <c r="C107" s="124"/>
      <c r="D107" s="124"/>
      <c r="E107" s="124"/>
      <c r="F107" s="124"/>
      <c r="G107" s="124"/>
      <c r="H107" s="124"/>
      <c r="I107" s="124"/>
      <c r="J107" s="124"/>
      <c r="K107" s="124"/>
      <c r="L107" s="124"/>
      <c r="M107" s="124"/>
      <c r="N107" s="124"/>
      <c r="O107" s="124"/>
      <c r="P107" s="134"/>
    </row>
    <row r="108" spans="2:31" ht="33.75">
      <c r="B108" s="135"/>
      <c r="C108" s="431" t="s">
        <v>193</v>
      </c>
      <c r="D108" s="431"/>
      <c r="E108" s="431"/>
      <c r="F108" s="431"/>
      <c r="G108" s="431"/>
      <c r="H108" s="432">
        <f>N113</f>
        <v>767.0291777188329</v>
      </c>
      <c r="I108" s="432"/>
      <c r="J108" s="432"/>
      <c r="K108" s="432"/>
      <c r="L108" s="432"/>
      <c r="M108" s="432"/>
      <c r="N108" s="432"/>
      <c r="O108" s="432"/>
      <c r="P108" s="136"/>
    </row>
    <row r="109" spans="2:31">
      <c r="B109" s="135"/>
      <c r="C109" s="121"/>
      <c r="D109" s="121"/>
      <c r="E109" s="121"/>
      <c r="F109" s="121"/>
      <c r="G109" s="121"/>
      <c r="H109" s="121"/>
      <c r="I109" s="121"/>
      <c r="J109" s="121"/>
      <c r="K109" s="121"/>
      <c r="L109" s="121"/>
      <c r="M109" s="121"/>
      <c r="N109" s="121"/>
      <c r="O109" s="121"/>
      <c r="P109" s="136"/>
    </row>
    <row r="110" spans="2:31" ht="23.25">
      <c r="B110" s="135"/>
      <c r="C110" s="440" t="s">
        <v>15</v>
      </c>
      <c r="D110" s="440"/>
      <c r="E110" s="440"/>
      <c r="F110" s="121"/>
      <c r="G110" s="121"/>
      <c r="H110" s="440" t="s">
        <v>51</v>
      </c>
      <c r="I110" s="440"/>
      <c r="J110" s="440"/>
      <c r="K110" s="121"/>
      <c r="L110" s="121"/>
      <c r="M110" s="440" t="s">
        <v>98</v>
      </c>
      <c r="N110" s="440"/>
      <c r="O110" s="440"/>
      <c r="P110" s="136"/>
    </row>
    <row r="111" spans="2:31">
      <c r="B111" s="135"/>
      <c r="C111" s="154" t="s">
        <v>169</v>
      </c>
      <c r="D111" s="425">
        <v>0</v>
      </c>
      <c r="E111" s="425"/>
      <c r="F111" s="121"/>
      <c r="G111" s="121"/>
      <c r="H111" s="154" t="s">
        <v>169</v>
      </c>
      <c r="I111" s="425">
        <v>1</v>
      </c>
      <c r="J111" s="425"/>
      <c r="K111" s="121"/>
      <c r="L111" s="121"/>
      <c r="M111" s="154" t="s">
        <v>169</v>
      </c>
      <c r="N111" s="441">
        <f>SUM(D111,I111)</f>
        <v>1</v>
      </c>
      <c r="O111" s="441"/>
      <c r="P111" s="136"/>
    </row>
    <row r="112" spans="2:31">
      <c r="B112" s="135"/>
      <c r="C112" s="155" t="s">
        <v>173</v>
      </c>
      <c r="D112" s="426" t="s">
        <v>206</v>
      </c>
      <c r="E112" s="426"/>
      <c r="F112" s="121"/>
      <c r="G112" s="121"/>
      <c r="H112" s="155" t="s">
        <v>173</v>
      </c>
      <c r="I112" s="426">
        <f>OpenSourceViolationScore</f>
        <v>767.0291777188329</v>
      </c>
      <c r="J112" s="426"/>
      <c r="K112" s="121"/>
      <c r="L112" s="121"/>
      <c r="M112" s="155"/>
      <c r="N112" s="426"/>
      <c r="O112" s="426"/>
      <c r="P112" s="136"/>
    </row>
    <row r="113" spans="2:16" ht="23.25">
      <c r="B113" s="135"/>
      <c r="C113" s="156" t="s">
        <v>98</v>
      </c>
      <c r="D113" s="427" t="s">
        <v>206</v>
      </c>
      <c r="E113" s="427"/>
      <c r="F113" s="121"/>
      <c r="G113" s="121"/>
      <c r="H113" s="156" t="s">
        <v>98</v>
      </c>
      <c r="I113" s="427">
        <f>I112*I111</f>
        <v>767.0291777188329</v>
      </c>
      <c r="J113" s="427"/>
      <c r="K113" s="121"/>
      <c r="L113" s="121"/>
      <c r="M113" s="156" t="s">
        <v>31</v>
      </c>
      <c r="N113" s="427">
        <f>I113</f>
        <v>767.0291777188329</v>
      </c>
      <c r="O113" s="427"/>
      <c r="P113" s="136"/>
    </row>
    <row r="114" spans="2:16">
      <c r="B114" s="135"/>
      <c r="C114" s="121"/>
      <c r="D114" s="121"/>
      <c r="E114" s="121"/>
      <c r="F114" s="121"/>
      <c r="G114" s="121"/>
      <c r="H114" s="121"/>
      <c r="I114" s="121"/>
      <c r="J114" s="121"/>
      <c r="K114" s="121"/>
      <c r="L114" s="121"/>
      <c r="M114" s="121"/>
      <c r="N114" s="121"/>
      <c r="O114" s="121"/>
      <c r="P114" s="136"/>
    </row>
    <row r="115" spans="2:16" ht="19.5" thickBot="1">
      <c r="B115" s="135"/>
      <c r="C115" s="439" t="s">
        <v>51</v>
      </c>
      <c r="D115" s="439"/>
      <c r="E115" s="439"/>
      <c r="F115" s="439"/>
      <c r="G115" s="439"/>
      <c r="H115" s="439"/>
      <c r="I115" s="439"/>
      <c r="J115" s="439"/>
      <c r="K115" s="439"/>
      <c r="L115" s="439"/>
      <c r="M115" s="439"/>
      <c r="N115" s="439"/>
      <c r="O115" s="439"/>
      <c r="P115" s="136"/>
    </row>
    <row r="116" spans="2:16">
      <c r="B116" s="135"/>
      <c r="C116" s="312"/>
      <c r="D116" s="102"/>
      <c r="E116" s="102"/>
      <c r="F116" s="420" t="s">
        <v>16</v>
      </c>
      <c r="G116" s="420"/>
      <c r="H116" s="182" t="s">
        <v>81</v>
      </c>
      <c r="I116" s="307" t="s">
        <v>281</v>
      </c>
      <c r="J116" s="313" t="s">
        <v>282</v>
      </c>
      <c r="K116" s="182" t="s">
        <v>169</v>
      </c>
      <c r="L116" s="420" t="s">
        <v>176</v>
      </c>
      <c r="M116" s="420"/>
      <c r="N116" s="420" t="s">
        <v>98</v>
      </c>
      <c r="O116" s="420"/>
      <c r="P116" s="136"/>
    </row>
    <row r="117" spans="2:16">
      <c r="B117" s="135"/>
      <c r="C117" s="102" t="s">
        <v>38</v>
      </c>
      <c r="D117" s="102"/>
      <c r="E117" s="102"/>
      <c r="F117" s="438">
        <v>33</v>
      </c>
      <c r="G117" s="438"/>
      <c r="H117" s="308">
        <f>IF(F117&gt;0,F117/Files,0)</f>
        <v>1.7506631299734749E-2</v>
      </c>
      <c r="I117" s="309">
        <f>H117/0.1</f>
        <v>0.17506631299734748</v>
      </c>
      <c r="J117" s="310">
        <f>L117/2</f>
        <v>200</v>
      </c>
      <c r="K117" s="314">
        <v>0.4</v>
      </c>
      <c r="L117" s="411">
        <f>K117*DefaultPoolSize</f>
        <v>400</v>
      </c>
      <c r="M117" s="411"/>
      <c r="N117" s="414">
        <f>IF(Files=0,0,IF(I117*J117&gt;L117,0,L117-(I117*J117)))</f>
        <v>364.9867374005305</v>
      </c>
      <c r="O117" s="414"/>
      <c r="P117" s="136"/>
    </row>
    <row r="118" spans="2:16">
      <c r="B118" s="135"/>
      <c r="C118" s="102" t="s">
        <v>39</v>
      </c>
      <c r="D118" s="102"/>
      <c r="E118" s="102"/>
      <c r="F118" s="438">
        <v>198</v>
      </c>
      <c r="G118" s="438"/>
      <c r="H118" s="308">
        <f>IF(F118&gt;0,F118/Files,0)</f>
        <v>0.10503978779840849</v>
      </c>
      <c r="I118" s="309">
        <f t="shared" ref="I118:I120" si="5">H118/0.1</f>
        <v>1.0503978779840848</v>
      </c>
      <c r="J118" s="310">
        <f t="shared" ref="J118:J120" si="6">L118/2</f>
        <v>150</v>
      </c>
      <c r="K118" s="314">
        <v>0.3</v>
      </c>
      <c r="L118" s="411">
        <f>K118*DefaultPoolSize</f>
        <v>300</v>
      </c>
      <c r="M118" s="411"/>
      <c r="N118" s="414">
        <f>IF(Files=0,0,IF(I118*J118&gt;L118,0,L118-(I118*J118)))</f>
        <v>142.44031830238728</v>
      </c>
      <c r="O118" s="414"/>
      <c r="P118" s="136"/>
    </row>
    <row r="119" spans="2:16">
      <c r="B119" s="135"/>
      <c r="C119" s="102" t="s">
        <v>40</v>
      </c>
      <c r="D119" s="102"/>
      <c r="E119" s="102"/>
      <c r="F119" s="438">
        <f>MediumFiles</f>
        <v>1</v>
      </c>
      <c r="G119" s="438"/>
      <c r="H119" s="308">
        <f>IF(F119&gt;0,F119/Files,0)</f>
        <v>5.305039787798408E-4</v>
      </c>
      <c r="I119" s="309">
        <f t="shared" si="5"/>
        <v>5.3050397877984073E-3</v>
      </c>
      <c r="J119" s="310">
        <f t="shared" si="6"/>
        <v>75</v>
      </c>
      <c r="K119" s="314">
        <v>0.15</v>
      </c>
      <c r="L119" s="411">
        <f>K119*DefaultPoolSize</f>
        <v>150</v>
      </c>
      <c r="M119" s="411"/>
      <c r="N119" s="414">
        <f>IF(Files=0,0,IF(I119*J119&gt;L119,0,L119-(I119*J119)))</f>
        <v>149.60212201591511</v>
      </c>
      <c r="O119" s="414"/>
      <c r="P119" s="136"/>
    </row>
    <row r="120" spans="2:16">
      <c r="B120" s="135"/>
      <c r="C120" s="102" t="s">
        <v>41</v>
      </c>
      <c r="D120" s="102"/>
      <c r="E120" s="102"/>
      <c r="F120" s="438">
        <v>116</v>
      </c>
      <c r="G120" s="438"/>
      <c r="H120" s="308">
        <f>IF(F120&gt;0,F120/Files,0)</f>
        <v>6.1538461538461542E-2</v>
      </c>
      <c r="I120" s="309">
        <f t="shared" si="5"/>
        <v>0.61538461538461542</v>
      </c>
      <c r="J120" s="310">
        <f t="shared" si="6"/>
        <v>50</v>
      </c>
      <c r="K120" s="314">
        <v>0.1</v>
      </c>
      <c r="L120" s="411">
        <f>K120*DefaultPoolSize</f>
        <v>100</v>
      </c>
      <c r="M120" s="411"/>
      <c r="N120" s="414">
        <f>IF(Files=0,0,IF(I120*J120&gt;L120,0,L120-(I120*J120)))</f>
        <v>69.230769230769226</v>
      </c>
      <c r="O120" s="414"/>
      <c r="P120" s="136"/>
    </row>
    <row r="121" spans="2:16">
      <c r="B121" s="135"/>
      <c r="C121" s="102" t="s">
        <v>194</v>
      </c>
      <c r="D121" s="102"/>
      <c r="E121" s="102"/>
      <c r="F121" s="438">
        <f>Files-SUM(F117:G120)</f>
        <v>1537</v>
      </c>
      <c r="G121" s="438"/>
      <c r="H121" s="308">
        <f>IF(F121&gt;0,F121/Files,0)</f>
        <v>0.81538461538461537</v>
      </c>
      <c r="I121" s="309"/>
      <c r="K121" s="314">
        <v>0.05</v>
      </c>
      <c r="L121" s="411">
        <f>K121*DefaultPoolSize</f>
        <v>50</v>
      </c>
      <c r="M121" s="411"/>
      <c r="N121" s="414">
        <f>IF(Files&lt;=0,0,H121*L121)</f>
        <v>40.769230769230766</v>
      </c>
      <c r="O121" s="414"/>
      <c r="P121" s="136"/>
    </row>
    <row r="122" spans="2:16">
      <c r="B122" s="135"/>
      <c r="C122" s="409" t="s">
        <v>31</v>
      </c>
      <c r="D122" s="409"/>
      <c r="E122" s="409"/>
      <c r="F122" s="421">
        <f>SUM(F117:G121)</f>
        <v>1885</v>
      </c>
      <c r="G122" s="421"/>
      <c r="H122" s="311">
        <f>SUM(H117:H121)</f>
        <v>1</v>
      </c>
      <c r="I122" s="311"/>
      <c r="J122" s="410">
        <f>SUM(K117:K121)</f>
        <v>1</v>
      </c>
      <c r="K122" s="410"/>
      <c r="L122" s="411">
        <f>SUM(L117:M121)</f>
        <v>1000</v>
      </c>
      <c r="M122" s="411"/>
      <c r="N122" s="412">
        <f>SUM(N117:O121)</f>
        <v>767.0291777188329</v>
      </c>
      <c r="O122" s="412"/>
      <c r="P122" s="136"/>
    </row>
    <row r="123" spans="2:16" hidden="1">
      <c r="B123" s="135"/>
      <c r="C123" s="121"/>
      <c r="D123" s="121"/>
      <c r="E123" s="121"/>
      <c r="F123" s="121"/>
      <c r="G123" s="121"/>
      <c r="H123" s="121"/>
      <c r="I123" s="121"/>
      <c r="J123" s="121"/>
      <c r="K123" s="121"/>
      <c r="L123" s="121"/>
      <c r="M123" s="121"/>
      <c r="N123" s="121"/>
      <c r="O123" s="121"/>
      <c r="P123" s="136"/>
    </row>
    <row r="124" spans="2:16" hidden="1">
      <c r="B124" s="135"/>
      <c r="C124" s="439" t="s">
        <v>80</v>
      </c>
      <c r="D124" s="439"/>
      <c r="E124" s="439"/>
      <c r="F124" s="439"/>
      <c r="G124" s="439"/>
      <c r="H124" s="439"/>
      <c r="I124" s="439"/>
      <c r="J124" s="439"/>
      <c r="K124" s="439"/>
      <c r="L124" s="439"/>
      <c r="M124" s="439"/>
      <c r="N124" s="439"/>
      <c r="O124" s="439"/>
      <c r="P124" s="136"/>
    </row>
    <row r="125" spans="2:16" hidden="1">
      <c r="B125" s="135"/>
      <c r="C125" s="150" t="s">
        <v>195</v>
      </c>
      <c r="D125" s="437" t="s">
        <v>15</v>
      </c>
      <c r="E125" s="437"/>
      <c r="F125" s="437"/>
      <c r="G125" s="172" t="s">
        <v>16</v>
      </c>
      <c r="H125" s="437" t="s">
        <v>81</v>
      </c>
      <c r="I125" s="437"/>
      <c r="J125" s="420" t="s">
        <v>169</v>
      </c>
      <c r="K125" s="420"/>
      <c r="L125" s="420" t="s">
        <v>176</v>
      </c>
      <c r="M125" s="420"/>
      <c r="N125" s="420" t="s">
        <v>98</v>
      </c>
      <c r="O125" s="420"/>
      <c r="P125" s="136"/>
    </row>
    <row r="126" spans="2:16" hidden="1">
      <c r="B126" s="135"/>
      <c r="C126" s="173">
        <v>1</v>
      </c>
      <c r="D126" s="434" t="str">
        <f>License_1</f>
        <v>GNU General Public License v2.0 only</v>
      </c>
      <c r="E126" s="434"/>
      <c r="F126" s="434"/>
      <c r="G126" s="174">
        <f>License_1_Files</f>
        <v>2350</v>
      </c>
      <c r="H126" s="435">
        <f>G126/Files</f>
        <v>1.2466843501326259</v>
      </c>
      <c r="I126" s="435"/>
      <c r="J126" s="429">
        <v>0.3</v>
      </c>
      <c r="K126" s="429"/>
      <c r="L126" s="417">
        <f>J126*DefaultPoolSize</f>
        <v>300</v>
      </c>
      <c r="M126" s="417"/>
      <c r="N126" s="436" t="e">
        <f>(1-#REF!)*L126</f>
        <v>#REF!</v>
      </c>
      <c r="O126" s="436"/>
      <c r="P126" s="136"/>
    </row>
    <row r="127" spans="2:16" hidden="1">
      <c r="B127" s="135"/>
      <c r="C127" s="173">
        <v>2</v>
      </c>
      <c r="D127" s="434" t="str">
        <f>License_2</f>
        <v>Apache License 2.0</v>
      </c>
      <c r="E127" s="434"/>
      <c r="F127" s="434"/>
      <c r="G127" s="174">
        <f>License_2_Files</f>
        <v>144</v>
      </c>
      <c r="H127" s="435">
        <f>G127/Files</f>
        <v>7.6392572944297077E-2</v>
      </c>
      <c r="I127" s="435"/>
      <c r="J127" s="429">
        <f>J126-0.05</f>
        <v>0.25</v>
      </c>
      <c r="K127" s="429"/>
      <c r="L127" s="417">
        <f>J127*DefaultPoolSize</f>
        <v>250</v>
      </c>
      <c r="M127" s="417"/>
      <c r="N127" s="436" t="e">
        <f>(1-#REF!)*L127</f>
        <v>#REF!</v>
      </c>
      <c r="O127" s="436"/>
      <c r="P127" s="136"/>
    </row>
    <row r="128" spans="2:16" hidden="1">
      <c r="B128" s="135"/>
      <c r="C128" s="173">
        <v>3</v>
      </c>
      <c r="D128" s="434" t="str">
        <f>License_3</f>
        <v>BSD 2-clause 'Simplified' License</v>
      </c>
      <c r="E128" s="434"/>
      <c r="F128" s="434"/>
      <c r="G128" s="174">
        <f>License_3_Files</f>
        <v>34</v>
      </c>
      <c r="H128" s="435">
        <f>G128/Files</f>
        <v>1.8037135278514589E-2</v>
      </c>
      <c r="I128" s="435"/>
      <c r="J128" s="429">
        <f>J127-0.05</f>
        <v>0.2</v>
      </c>
      <c r="K128" s="429"/>
      <c r="L128" s="417">
        <f>J128*DefaultPoolSize</f>
        <v>200</v>
      </c>
      <c r="M128" s="417"/>
      <c r="N128" s="436" t="e">
        <f>(1-#REF!)*L128</f>
        <v>#REF!</v>
      </c>
      <c r="O128" s="436"/>
      <c r="P128" s="136"/>
    </row>
    <row r="129" spans="2:16" hidden="1">
      <c r="B129" s="135"/>
      <c r="C129" s="173">
        <v>4</v>
      </c>
      <c r="D129" s="434" t="str">
        <f>License_4</f>
        <v>BSD 3-clause Clear License</v>
      </c>
      <c r="E129" s="434"/>
      <c r="F129" s="434"/>
      <c r="G129" s="174">
        <f>License_4_Files</f>
        <v>23</v>
      </c>
      <c r="H129" s="435">
        <f>G129/Files</f>
        <v>1.220159151193634E-2</v>
      </c>
      <c r="I129" s="435"/>
      <c r="J129" s="429">
        <f>J128-0.05</f>
        <v>0.15000000000000002</v>
      </c>
      <c r="K129" s="429"/>
      <c r="L129" s="417">
        <f>J129*DefaultPoolSize</f>
        <v>150.00000000000003</v>
      </c>
      <c r="M129" s="417"/>
      <c r="N129" s="436" t="e">
        <f>(1-#REF!)*L129</f>
        <v>#REF!</v>
      </c>
      <c r="O129" s="436"/>
      <c r="P129" s="136"/>
    </row>
    <row r="130" spans="2:16" hidden="1">
      <c r="B130" s="135"/>
      <c r="C130" s="173">
        <v>5</v>
      </c>
      <c r="D130" s="434" t="str">
        <f>License_5</f>
        <v>MIT License</v>
      </c>
      <c r="E130" s="434"/>
      <c r="F130" s="434"/>
      <c r="G130" s="174">
        <f>License_5_Files</f>
        <v>1</v>
      </c>
      <c r="H130" s="435">
        <f>G130/Files</f>
        <v>5.305039787798408E-4</v>
      </c>
      <c r="I130" s="435"/>
      <c r="J130" s="429">
        <f>J129-0.05</f>
        <v>0.10000000000000002</v>
      </c>
      <c r="K130" s="429"/>
      <c r="L130" s="417">
        <f>J130*DefaultPoolSize</f>
        <v>100.00000000000001</v>
      </c>
      <c r="M130" s="417"/>
      <c r="N130" s="436" t="e">
        <f>(1-#REF!)*L130</f>
        <v>#REF!</v>
      </c>
      <c r="O130" s="436"/>
      <c r="P130" s="136"/>
    </row>
    <row r="131" spans="2:16" hidden="1">
      <c r="B131" s="135"/>
      <c r="C131" s="415" t="s">
        <v>82</v>
      </c>
      <c r="D131" s="415"/>
      <c r="E131" s="415"/>
      <c r="F131" s="415"/>
      <c r="G131" s="175">
        <f>Files-SUM(G126:G130)</f>
        <v>-667</v>
      </c>
      <c r="H131" s="428">
        <f>1-SUM(H126:I130)</f>
        <v>-0.35384615384615392</v>
      </c>
      <c r="I131" s="428"/>
      <c r="J131" s="429">
        <f>J130-0.05</f>
        <v>5.0000000000000017E-2</v>
      </c>
      <c r="K131" s="429"/>
      <c r="L131" s="417">
        <f>SUM(L126:M130)</f>
        <v>1000</v>
      </c>
      <c r="M131" s="417"/>
      <c r="N131" s="418" t="e">
        <f>SUM(N126:O130)</f>
        <v>#REF!</v>
      </c>
      <c r="O131" s="418"/>
      <c r="P131" s="136"/>
    </row>
    <row r="132" spans="2:16" ht="19.5" thickBot="1">
      <c r="B132" s="151"/>
      <c r="C132" s="152"/>
      <c r="D132" s="152"/>
      <c r="E132" s="152"/>
      <c r="F132" s="152"/>
      <c r="G132" s="152"/>
      <c r="H132" s="152"/>
      <c r="I132" s="152"/>
      <c r="J132" s="152"/>
      <c r="K132" s="152"/>
      <c r="L132" s="152"/>
      <c r="M132" s="152"/>
      <c r="N132" s="152"/>
      <c r="O132" s="152"/>
      <c r="P132" s="153"/>
    </row>
    <row r="133" spans="2:16" ht="19.5" thickBot="1"/>
    <row r="134" spans="2:16" ht="30" customHeight="1">
      <c r="B134" s="430" t="s">
        <v>124</v>
      </c>
      <c r="C134" s="430"/>
      <c r="D134" s="430"/>
      <c r="E134" s="430"/>
      <c r="F134" s="430"/>
      <c r="G134" s="430"/>
      <c r="H134" s="430"/>
      <c r="I134" s="430"/>
      <c r="J134" s="430"/>
      <c r="K134" s="430"/>
      <c r="L134" s="430"/>
      <c r="M134" s="430"/>
      <c r="N134" s="430"/>
      <c r="O134" s="430"/>
      <c r="P134" s="430"/>
    </row>
    <row r="135" spans="2:16">
      <c r="B135" s="133"/>
      <c r="C135" s="124"/>
      <c r="D135" s="124"/>
      <c r="E135" s="124"/>
      <c r="F135" s="124"/>
      <c r="G135" s="124"/>
      <c r="H135" s="124"/>
      <c r="I135" s="124"/>
      <c r="J135" s="124"/>
      <c r="K135" s="124"/>
      <c r="L135" s="124"/>
      <c r="M135" s="124"/>
      <c r="N135" s="124"/>
      <c r="O135" s="124"/>
      <c r="P135" s="134"/>
    </row>
    <row r="136" spans="2:16" ht="33.75">
      <c r="B136" s="135"/>
      <c r="C136" s="431" t="s">
        <v>196</v>
      </c>
      <c r="D136" s="431"/>
      <c r="E136" s="431"/>
      <c r="F136" s="431"/>
      <c r="G136" s="431"/>
      <c r="H136" s="432">
        <f>O141</f>
        <v>372.87436693078814</v>
      </c>
      <c r="I136" s="432"/>
      <c r="J136" s="432"/>
      <c r="K136" s="432"/>
      <c r="L136" s="432"/>
      <c r="M136" s="432"/>
      <c r="N136" s="432"/>
      <c r="O136" s="432"/>
      <c r="P136" s="136"/>
    </row>
    <row r="137" spans="2:16">
      <c r="B137" s="135"/>
      <c r="C137" s="121"/>
      <c r="D137" s="121"/>
      <c r="E137" s="121"/>
      <c r="F137" s="121"/>
      <c r="G137" s="121"/>
      <c r="H137" s="121"/>
      <c r="I137" s="121"/>
      <c r="J137" s="121"/>
      <c r="K137" s="121"/>
      <c r="L137" s="121"/>
      <c r="M137" s="121"/>
      <c r="N137" s="121"/>
      <c r="O137" s="121"/>
      <c r="P137" s="136"/>
    </row>
    <row r="138" spans="2:16" ht="23.25">
      <c r="B138" s="176"/>
      <c r="C138" s="433" t="s">
        <v>197</v>
      </c>
      <c r="D138" s="433"/>
      <c r="E138" s="433"/>
      <c r="F138" s="121"/>
      <c r="G138" s="433" t="s">
        <v>198</v>
      </c>
      <c r="H138" s="433"/>
      <c r="I138" s="433"/>
      <c r="K138" s="433" t="s">
        <v>199</v>
      </c>
      <c r="L138" s="433"/>
      <c r="M138" s="433"/>
      <c r="O138" s="177" t="s">
        <v>95</v>
      </c>
      <c r="P138" s="178"/>
    </row>
    <row r="139" spans="2:16">
      <c r="B139" s="135"/>
      <c r="C139" s="154" t="s">
        <v>169</v>
      </c>
      <c r="D139" s="425">
        <f>1/3</f>
        <v>0.33333333333333331</v>
      </c>
      <c r="E139" s="425"/>
      <c r="F139" s="121"/>
      <c r="G139" s="154" t="s">
        <v>169</v>
      </c>
      <c r="H139" s="425">
        <f>1/3</f>
        <v>0.33333333333333331</v>
      </c>
      <c r="I139" s="425"/>
      <c r="K139" s="154" t="s">
        <v>169</v>
      </c>
      <c r="L139" s="425">
        <f>1/3</f>
        <v>0.33333333333333331</v>
      </c>
      <c r="M139" s="425"/>
      <c r="O139" s="179">
        <f>SUM(D139,H139,L139)</f>
        <v>1</v>
      </c>
      <c r="P139" s="136"/>
    </row>
    <row r="140" spans="2:16">
      <c r="B140" s="135"/>
      <c r="C140" s="155" t="s">
        <v>173</v>
      </c>
      <c r="D140" s="426">
        <f>IssuesScoreRaw</f>
        <v>484.42816471078396</v>
      </c>
      <c r="E140" s="426"/>
      <c r="F140" s="121"/>
      <c r="G140" s="155" t="s">
        <v>173</v>
      </c>
      <c r="H140" s="426">
        <f>ComplexityScoreRaw</f>
        <v>392.40168198248813</v>
      </c>
      <c r="I140" s="426"/>
      <c r="K140" s="155" t="s">
        <v>173</v>
      </c>
      <c r="L140" s="426">
        <f>DuplicationScoreRaw</f>
        <v>241.79325409909256</v>
      </c>
      <c r="M140" s="426"/>
      <c r="O140" s="180"/>
      <c r="P140" s="136"/>
    </row>
    <row r="141" spans="2:16" ht="23.25">
      <c r="B141" s="135"/>
      <c r="C141" s="156" t="s">
        <v>98</v>
      </c>
      <c r="D141" s="427">
        <f>D140*D139</f>
        <v>161.47605490359464</v>
      </c>
      <c r="E141" s="427"/>
      <c r="F141" s="121"/>
      <c r="G141" s="156" t="s">
        <v>98</v>
      </c>
      <c r="H141" s="427">
        <f>H140*H139</f>
        <v>130.80056066082938</v>
      </c>
      <c r="I141" s="427"/>
      <c r="K141" s="156" t="s">
        <v>98</v>
      </c>
      <c r="L141" s="427">
        <f>L140*L139</f>
        <v>80.597751366364179</v>
      </c>
      <c r="M141" s="427"/>
      <c r="O141" s="181">
        <f>SUM(D141,H141,L141)</f>
        <v>372.87436693078814</v>
      </c>
      <c r="P141" s="136"/>
    </row>
    <row r="142" spans="2:16">
      <c r="B142" s="135"/>
      <c r="L142" s="121"/>
      <c r="M142" s="121"/>
      <c r="N142" s="121"/>
      <c r="O142" s="121"/>
      <c r="P142" s="136"/>
    </row>
    <row r="143" spans="2:16" ht="19.5" thickBot="1">
      <c r="B143" s="135"/>
      <c r="C143" s="419" t="s">
        <v>36</v>
      </c>
      <c r="D143" s="419"/>
      <c r="E143" s="419"/>
      <c r="F143" s="419"/>
      <c r="G143" s="419"/>
      <c r="H143" s="419"/>
      <c r="I143" s="419"/>
      <c r="J143" s="419"/>
      <c r="K143" s="419"/>
      <c r="L143" s="419"/>
      <c r="M143" s="419"/>
      <c r="N143" s="419"/>
      <c r="O143" s="419"/>
      <c r="P143" s="136"/>
    </row>
    <row r="144" spans="2:16">
      <c r="B144" s="135"/>
      <c r="C144" s="312"/>
      <c r="D144" s="102"/>
      <c r="E144" s="102"/>
      <c r="F144" s="420" t="s">
        <v>35</v>
      </c>
      <c r="G144" s="420"/>
      <c r="H144" s="182" t="s">
        <v>175</v>
      </c>
      <c r="I144" s="307" t="s">
        <v>281</v>
      </c>
      <c r="J144" s="313" t="s">
        <v>282</v>
      </c>
      <c r="K144" s="182" t="s">
        <v>169</v>
      </c>
      <c r="L144" s="420" t="s">
        <v>176</v>
      </c>
      <c r="M144" s="420"/>
      <c r="N144" s="420" t="s">
        <v>98</v>
      </c>
      <c r="O144" s="420"/>
      <c r="P144" s="136"/>
    </row>
    <row r="145" spans="2:16">
      <c r="B145" s="135"/>
      <c r="C145" s="423" t="s">
        <v>46</v>
      </c>
      <c r="D145" s="423"/>
      <c r="E145" s="423"/>
      <c r="F145" s="424">
        <f>BlockerIssues</f>
        <v>309</v>
      </c>
      <c r="G145" s="424"/>
      <c r="H145" s="308">
        <f>IF(BlockerIssues&gt;0,BlockerIssues/Issues,0)</f>
        <v>1.0728421637386293E-2</v>
      </c>
      <c r="I145" s="309">
        <f>H145/0.1</f>
        <v>0.10728421637386293</v>
      </c>
      <c r="J145" s="310">
        <v>200</v>
      </c>
      <c r="K145" s="308">
        <v>0.4</v>
      </c>
      <c r="L145" s="411">
        <f>K145*DefaultPoolSize</f>
        <v>400</v>
      </c>
      <c r="M145" s="411"/>
      <c r="N145" s="414">
        <f>IF(Files=0,0,IF(I145*J145&gt;L145,0,L145-(I145*J145)))</f>
        <v>378.54315672522739</v>
      </c>
      <c r="O145" s="414"/>
      <c r="P145" s="136"/>
    </row>
    <row r="146" spans="2:16">
      <c r="B146" s="135"/>
      <c r="C146" s="423" t="s">
        <v>38</v>
      </c>
      <c r="D146" s="423"/>
      <c r="E146" s="423"/>
      <c r="F146" s="424">
        <f>CriticalIssues</f>
        <v>4515</v>
      </c>
      <c r="G146" s="424"/>
      <c r="H146" s="308">
        <f>IF(CriticalIssues&gt;0,CriticalIssues/Issues,0)</f>
        <v>0.1567599472258871</v>
      </c>
      <c r="I146" s="309">
        <f t="shared" ref="I146:I149" si="7">H146/0.1</f>
        <v>1.5675994722588709</v>
      </c>
      <c r="J146" s="310">
        <f t="shared" ref="J146:J149" si="8">L146*0.5</f>
        <v>150</v>
      </c>
      <c r="K146" s="308">
        <v>0.3</v>
      </c>
      <c r="L146" s="411">
        <f>K146*DefaultPoolSize</f>
        <v>300</v>
      </c>
      <c r="M146" s="411"/>
      <c r="N146" s="414">
        <f>IF(Files=0,0,IF(I146*J146&gt;L146,0,L146-(I146*J146)))</f>
        <v>64.860079161169381</v>
      </c>
      <c r="O146" s="414"/>
      <c r="P146" s="136"/>
    </row>
    <row r="147" spans="2:16">
      <c r="B147" s="135"/>
      <c r="C147" s="423" t="s">
        <v>47</v>
      </c>
      <c r="D147" s="423"/>
      <c r="E147" s="423"/>
      <c r="F147" s="424">
        <f>MajorIssues</f>
        <v>11703</v>
      </c>
      <c r="G147" s="424"/>
      <c r="H147" s="308">
        <f>IF(MajorIssues&gt;0,MajorIssues/Issues,0)</f>
        <v>0.40632594958683427</v>
      </c>
      <c r="I147" s="309">
        <f t="shared" si="7"/>
        <v>4.0632594958683423</v>
      </c>
      <c r="J147" s="310">
        <f t="shared" si="8"/>
        <v>75</v>
      </c>
      <c r="K147" s="308">
        <v>0.15</v>
      </c>
      <c r="L147" s="411">
        <f>K147*DefaultPoolSize</f>
        <v>150</v>
      </c>
      <c r="M147" s="411"/>
      <c r="N147" s="414">
        <f>IF(Files=0,0,IF(I147*J147&gt;L147,0,L147-(I147*J147)))</f>
        <v>0</v>
      </c>
      <c r="O147" s="414"/>
      <c r="P147" s="136"/>
    </row>
    <row r="148" spans="2:16">
      <c r="B148" s="135"/>
      <c r="C148" s="423" t="s">
        <v>48</v>
      </c>
      <c r="D148" s="423"/>
      <c r="E148" s="423"/>
      <c r="F148" s="424">
        <f>MinorIssues</f>
        <v>11241</v>
      </c>
      <c r="G148" s="424"/>
      <c r="H148" s="308">
        <f>IF(MinorIssues&gt;0,MinorIssues/Issues, 0)</f>
        <v>0.39028539684744112</v>
      </c>
      <c r="I148" s="309">
        <f t="shared" si="7"/>
        <v>3.9028539684744112</v>
      </c>
      <c r="J148" s="310">
        <f t="shared" si="8"/>
        <v>50</v>
      </c>
      <c r="K148" s="308">
        <v>0.1</v>
      </c>
      <c r="L148" s="411">
        <f>K148*DefaultPoolSize</f>
        <v>100</v>
      </c>
      <c r="M148" s="411"/>
      <c r="N148" s="414">
        <f>IF(Files=0,0,IF(I148*J148&gt;L148,0,L148-(I148*J148)))</f>
        <v>0</v>
      </c>
      <c r="O148" s="414"/>
      <c r="P148" s="136"/>
    </row>
    <row r="149" spans="2:16">
      <c r="B149" s="135"/>
      <c r="C149" s="423" t="s">
        <v>49</v>
      </c>
      <c r="D149" s="423"/>
      <c r="E149" s="423"/>
      <c r="F149" s="424">
        <f>InfoIssues</f>
        <v>1034</v>
      </c>
      <c r="G149" s="424"/>
      <c r="H149" s="308">
        <f>IF(InfoIssues&gt;0,InfoIssues/Issues, 0)</f>
        <v>3.590028470245122E-2</v>
      </c>
      <c r="I149" s="309">
        <f t="shared" si="7"/>
        <v>0.35900284702451218</v>
      </c>
      <c r="J149" s="310">
        <f t="shared" si="8"/>
        <v>25</v>
      </c>
      <c r="K149" s="308">
        <v>0.05</v>
      </c>
      <c r="L149" s="411">
        <f>K149*DefaultPoolSize</f>
        <v>50</v>
      </c>
      <c r="M149" s="411"/>
      <c r="N149" s="414">
        <f>IF(Files=0,0,IF(I149*J149&gt;L149,0,L149-(I149*J149)))</f>
        <v>41.024928824387196</v>
      </c>
      <c r="O149" s="414"/>
      <c r="P149" s="136"/>
    </row>
    <row r="150" spans="2:16">
      <c r="B150" s="135"/>
      <c r="C150" s="409" t="s">
        <v>31</v>
      </c>
      <c r="D150" s="409"/>
      <c r="E150" s="409"/>
      <c r="F150" s="421">
        <f>SUM(G145:G149)</f>
        <v>0</v>
      </c>
      <c r="G150" s="421"/>
      <c r="H150" s="311">
        <f>SUM(H145:H149)</f>
        <v>1</v>
      </c>
      <c r="I150" s="311"/>
      <c r="K150" s="311">
        <f>SUM(K145:K149)</f>
        <v>1</v>
      </c>
      <c r="L150" s="411">
        <f>SUM(L145:L149)</f>
        <v>1000</v>
      </c>
      <c r="M150" s="411"/>
      <c r="N150" s="414">
        <f>SUM(N145:O149)</f>
        <v>484.42816471078396</v>
      </c>
      <c r="O150" s="414"/>
      <c r="P150" s="136"/>
    </row>
    <row r="151" spans="2:16" ht="15" customHeight="1" thickBot="1">
      <c r="B151" s="135"/>
      <c r="P151" s="136"/>
    </row>
    <row r="152" spans="2:16" ht="19.5" customHeight="1">
      <c r="B152" s="135"/>
      <c r="C152" s="419" t="s">
        <v>198</v>
      </c>
      <c r="D152" s="419"/>
      <c r="E152" s="419"/>
      <c r="F152" s="419"/>
      <c r="G152" s="419"/>
      <c r="H152" s="419"/>
      <c r="I152" s="419"/>
      <c r="J152" s="419"/>
      <c r="K152" s="419"/>
      <c r="L152" s="419"/>
      <c r="M152" s="419"/>
      <c r="N152" s="419"/>
      <c r="O152" s="419"/>
      <c r="P152" s="136"/>
    </row>
    <row r="153" spans="2:16" ht="18.75" customHeight="1">
      <c r="B153" s="135"/>
      <c r="C153" s="150"/>
      <c r="D153" s="102"/>
      <c r="E153" s="102"/>
      <c r="F153" s="420" t="s">
        <v>55</v>
      </c>
      <c r="G153" s="420"/>
      <c r="H153" s="422"/>
      <c r="I153" s="422"/>
      <c r="J153" s="420" t="s">
        <v>169</v>
      </c>
      <c r="K153" s="420"/>
      <c r="L153" s="420" t="s">
        <v>176</v>
      </c>
      <c r="M153" s="420"/>
      <c r="N153" s="420" t="s">
        <v>98</v>
      </c>
      <c r="O153" s="420"/>
      <c r="P153" s="136"/>
    </row>
    <row r="154" spans="2:16">
      <c r="B154" s="135"/>
      <c r="C154" s="163" t="s">
        <v>200</v>
      </c>
      <c r="D154" s="163"/>
      <c r="E154" s="163"/>
      <c r="F154" s="414">
        <f>CyclomaticAverage</f>
        <v>50.192042440318303</v>
      </c>
      <c r="G154" s="414"/>
      <c r="H154" s="414">
        <f>IF(F154&gt;0,20/F154,0)</f>
        <v>0.39846953874772756</v>
      </c>
      <c r="I154" s="414"/>
      <c r="J154" s="413">
        <v>0.5</v>
      </c>
      <c r="K154" s="413"/>
      <c r="L154" s="411">
        <f>J154*DefaultPoolSize</f>
        <v>500</v>
      </c>
      <c r="M154" s="411"/>
      <c r="N154" s="414">
        <f>IF(Files&lt;=0,0,IF(H154*L154&gt;L154,L154,H154*L154))</f>
        <v>199.23476937386377</v>
      </c>
      <c r="O154" s="414"/>
      <c r="P154" s="136"/>
    </row>
    <row r="155" spans="2:16">
      <c r="B155" s="135"/>
      <c r="C155" s="163" t="s">
        <v>201</v>
      </c>
      <c r="D155" s="163"/>
      <c r="E155" s="163"/>
      <c r="F155" s="414">
        <f>CognitiveAverage</f>
        <v>51.768700265251987</v>
      </c>
      <c r="G155" s="414"/>
      <c r="H155" s="414">
        <f>IF(F155&gt;0,20/F155,0)</f>
        <v>0.38633382521724874</v>
      </c>
      <c r="I155" s="414"/>
      <c r="J155" s="413">
        <v>0.5</v>
      </c>
      <c r="K155" s="413"/>
      <c r="L155" s="411">
        <f>J155*DefaultPoolSize</f>
        <v>500</v>
      </c>
      <c r="M155" s="411"/>
      <c r="N155" s="414">
        <f>IF(Files&lt;=0,0,IF(H155*L155&gt;L155,L155,H155*L155))</f>
        <v>193.16691260862436</v>
      </c>
      <c r="O155" s="414"/>
      <c r="P155" s="136"/>
    </row>
    <row r="156" spans="2:16" ht="18.75" customHeight="1">
      <c r="B156" s="135"/>
      <c r="C156" s="415" t="s">
        <v>31</v>
      </c>
      <c r="D156" s="415"/>
      <c r="E156" s="415"/>
      <c r="F156" s="416"/>
      <c r="G156" s="416"/>
      <c r="H156" s="410"/>
      <c r="I156" s="410"/>
      <c r="J156" s="410">
        <f>SUM(J151:J155)</f>
        <v>1</v>
      </c>
      <c r="K156" s="410"/>
      <c r="L156" s="417">
        <f>SUM(L151:L155)</f>
        <v>1000</v>
      </c>
      <c r="M156" s="417"/>
      <c r="N156" s="418">
        <f>SUM(N151:O155)</f>
        <v>392.40168198248813</v>
      </c>
      <c r="O156" s="418"/>
      <c r="P156" s="136"/>
    </row>
    <row r="157" spans="2:16" ht="18.75" customHeight="1">
      <c r="B157" s="135"/>
      <c r="P157" s="136"/>
    </row>
    <row r="158" spans="2:16" ht="19.5" customHeight="1" thickBot="1">
      <c r="B158" s="135"/>
      <c r="C158" s="419" t="s">
        <v>199</v>
      </c>
      <c r="D158" s="419"/>
      <c r="E158" s="419"/>
      <c r="F158" s="419"/>
      <c r="G158" s="419"/>
      <c r="H158" s="419"/>
      <c r="I158" s="419"/>
      <c r="J158" s="419"/>
      <c r="K158" s="419"/>
      <c r="L158" s="419"/>
      <c r="M158" s="419"/>
      <c r="N158" s="419"/>
      <c r="O158" s="419"/>
      <c r="P158" s="136"/>
    </row>
    <row r="159" spans="2:16" ht="18.75" customHeight="1">
      <c r="B159" s="135"/>
      <c r="C159" s="312"/>
      <c r="D159" s="102"/>
      <c r="E159" s="102"/>
      <c r="G159" s="182" t="s">
        <v>175</v>
      </c>
      <c r="H159" s="307" t="s">
        <v>281</v>
      </c>
      <c r="I159" s="313" t="s">
        <v>282</v>
      </c>
      <c r="J159" s="420" t="s">
        <v>169</v>
      </c>
      <c r="K159" s="420"/>
      <c r="L159" s="420" t="s">
        <v>176</v>
      </c>
      <c r="M159" s="420"/>
      <c r="N159" s="420" t="s">
        <v>98</v>
      </c>
      <c r="O159" s="420"/>
      <c r="P159" s="136"/>
    </row>
    <row r="160" spans="2:16" ht="18.75" customHeight="1">
      <c r="B160" s="135"/>
      <c r="C160" s="102" t="s">
        <v>202</v>
      </c>
      <c r="D160" s="102"/>
      <c r="E160" s="102"/>
      <c r="G160" s="308">
        <f>IF(DuplicatedLines&gt;0, DuplicatedLines/LinesOfCode, 0)</f>
        <v>0.30895266462523524</v>
      </c>
      <c r="H160" s="309">
        <f>G160/0.1</f>
        <v>3.0895266462523523</v>
      </c>
      <c r="I160" s="310">
        <f>L160/4</f>
        <v>125</v>
      </c>
      <c r="J160" s="413">
        <v>0.5</v>
      </c>
      <c r="K160" s="413"/>
      <c r="L160" s="411">
        <f>J160*DefaultPoolSize</f>
        <v>500</v>
      </c>
      <c r="M160" s="411"/>
      <c r="N160" s="414">
        <f>IF(Files=0,0,IF(H160*I160&gt;L160,0,L160-(H160*I160)))</f>
        <v>113.80916921845596</v>
      </c>
      <c r="O160" s="414"/>
      <c r="P160" s="136"/>
    </row>
    <row r="161" spans="2:16" ht="18.75" customHeight="1">
      <c r="B161" s="135"/>
      <c r="C161" s="102" t="s">
        <v>203</v>
      </c>
      <c r="D161" s="102"/>
      <c r="E161" s="102"/>
      <c r="G161" s="308">
        <f>IF(DuplicatedFiles&gt;0,DuplicatedFiles/Files,0)</f>
        <v>0.29761273209549072</v>
      </c>
      <c r="H161" s="309">
        <f>G161/0.1</f>
        <v>2.9761273209549071</v>
      </c>
      <c r="I161" s="310">
        <f>L161/4</f>
        <v>125</v>
      </c>
      <c r="J161" s="413">
        <v>0.5</v>
      </c>
      <c r="K161" s="413"/>
      <c r="L161" s="411">
        <f>J161*DefaultPoolSize</f>
        <v>500</v>
      </c>
      <c r="M161" s="411"/>
      <c r="N161" s="414">
        <f>IF(Files=0,0,IF(H161*I161&gt;L161,0,L161-(H161*I161)))</f>
        <v>127.9840848806366</v>
      </c>
      <c r="O161" s="414"/>
      <c r="P161" s="136"/>
    </row>
    <row r="162" spans="2:16" ht="18.75" customHeight="1">
      <c r="B162" s="135"/>
      <c r="C162" s="409" t="s">
        <v>31</v>
      </c>
      <c r="D162" s="409"/>
      <c r="E162" s="409"/>
      <c r="F162" s="410"/>
      <c r="G162" s="410"/>
      <c r="J162" s="410">
        <f>SUM(J157:J161)</f>
        <v>1</v>
      </c>
      <c r="K162" s="410"/>
      <c r="L162" s="411">
        <f>SUM(L157:L161)</f>
        <v>1000</v>
      </c>
      <c r="M162" s="411"/>
      <c r="N162" s="412">
        <f>SUM(N160:O161)</f>
        <v>241.79325409909256</v>
      </c>
      <c r="O162" s="412"/>
      <c r="P162" s="136"/>
    </row>
    <row r="163" spans="2:16" ht="19.5" thickBot="1">
      <c r="B163" s="151"/>
      <c r="C163" s="152"/>
      <c r="D163" s="152"/>
      <c r="E163" s="152"/>
      <c r="F163" s="152"/>
      <c r="G163" s="152"/>
      <c r="H163" s="152"/>
      <c r="I163" s="152"/>
      <c r="J163" s="152"/>
      <c r="K163" s="152"/>
      <c r="L163" s="152"/>
      <c r="M163" s="152"/>
      <c r="N163" s="152"/>
      <c r="O163" s="152"/>
      <c r="P163" s="153"/>
    </row>
  </sheetData>
  <mergeCells count="312">
    <mergeCell ref="R6:T6"/>
    <mergeCell ref="R8:T8"/>
    <mergeCell ref="R9:T9"/>
    <mergeCell ref="R11:T11"/>
    <mergeCell ref="R12:T12"/>
    <mergeCell ref="B19:D19"/>
    <mergeCell ref="B2:L2"/>
    <mergeCell ref="M2:P2"/>
    <mergeCell ref="B6:D6"/>
    <mergeCell ref="F6:H6"/>
    <mergeCell ref="J6:L6"/>
    <mergeCell ref="N6:P6"/>
    <mergeCell ref="B8:D8"/>
    <mergeCell ref="F8:H8"/>
    <mergeCell ref="J8:L8"/>
    <mergeCell ref="N8:P8"/>
    <mergeCell ref="B9:D9"/>
    <mergeCell ref="F9:H9"/>
    <mergeCell ref="J9:L9"/>
    <mergeCell ref="N9:P9"/>
    <mergeCell ref="B11:D11"/>
    <mergeCell ref="F11:H11"/>
    <mergeCell ref="J11:L11"/>
    <mergeCell ref="N11:P11"/>
    <mergeCell ref="B12:D12"/>
    <mergeCell ref="F12:H12"/>
    <mergeCell ref="J12:L12"/>
    <mergeCell ref="N12:P12"/>
    <mergeCell ref="E15:F15"/>
    <mergeCell ref="G15:I16"/>
    <mergeCell ref="J15:P16"/>
    <mergeCell ref="B17:D17"/>
    <mergeCell ref="G17:I22"/>
    <mergeCell ref="B18:D18"/>
    <mergeCell ref="B20:D20"/>
    <mergeCell ref="B21:D21"/>
    <mergeCell ref="B22:D22"/>
    <mergeCell ref="B25:P25"/>
    <mergeCell ref="C27:F27"/>
    <mergeCell ref="G27:O27"/>
    <mergeCell ref="G29:I29"/>
    <mergeCell ref="J29:L29"/>
    <mergeCell ref="M29:O29"/>
    <mergeCell ref="C30:F30"/>
    <mergeCell ref="G30:I30"/>
    <mergeCell ref="J30:L30"/>
    <mergeCell ref="M30:O30"/>
    <mergeCell ref="C31:F31"/>
    <mergeCell ref="G31:I31"/>
    <mergeCell ref="J31:L31"/>
    <mergeCell ref="M31:O31"/>
    <mergeCell ref="C33:F33"/>
    <mergeCell ref="L33:O33"/>
    <mergeCell ref="L34:O39"/>
    <mergeCell ref="C35:D35"/>
    <mergeCell ref="C36:D36"/>
    <mergeCell ref="C37:D37"/>
    <mergeCell ref="C38:D38"/>
    <mergeCell ref="G55:I55"/>
    <mergeCell ref="C60:E60"/>
    <mergeCell ref="H56:I56"/>
    <mergeCell ref="D61:E61"/>
    <mergeCell ref="H57:I57"/>
    <mergeCell ref="C42:F42"/>
    <mergeCell ref="L42:O42"/>
    <mergeCell ref="L43:O48"/>
    <mergeCell ref="B51:P51"/>
    <mergeCell ref="C53:G53"/>
    <mergeCell ref="H53:O53"/>
    <mergeCell ref="C55:E55"/>
    <mergeCell ref="M55:O55"/>
    <mergeCell ref="D56:E56"/>
    <mergeCell ref="N56:O56"/>
    <mergeCell ref="D62:E62"/>
    <mergeCell ref="H58:I58"/>
    <mergeCell ref="D63:E63"/>
    <mergeCell ref="C65:O65"/>
    <mergeCell ref="F66:G66"/>
    <mergeCell ref="J66:K66"/>
    <mergeCell ref="L66:M66"/>
    <mergeCell ref="N66:O66"/>
    <mergeCell ref="D57:E57"/>
    <mergeCell ref="N57:O57"/>
    <mergeCell ref="D58:E58"/>
    <mergeCell ref="N58:O58"/>
    <mergeCell ref="C67:E67"/>
    <mergeCell ref="F67:G67"/>
    <mergeCell ref="J67:K67"/>
    <mergeCell ref="L67:M67"/>
    <mergeCell ref="N67:O67"/>
    <mergeCell ref="C68:E68"/>
    <mergeCell ref="F68:G68"/>
    <mergeCell ref="J68:K68"/>
    <mergeCell ref="L68:M68"/>
    <mergeCell ref="N68:O68"/>
    <mergeCell ref="C69:E69"/>
    <mergeCell ref="F69:G69"/>
    <mergeCell ref="H69:I69"/>
    <mergeCell ref="J69:K69"/>
    <mergeCell ref="L69:M69"/>
    <mergeCell ref="N69:O69"/>
    <mergeCell ref="C71:O71"/>
    <mergeCell ref="F72:G72"/>
    <mergeCell ref="L72:M72"/>
    <mergeCell ref="N72:O72"/>
    <mergeCell ref="C75:E75"/>
    <mergeCell ref="F75:G75"/>
    <mergeCell ref="L75:M75"/>
    <mergeCell ref="N75:O75"/>
    <mergeCell ref="C76:E76"/>
    <mergeCell ref="F76:G76"/>
    <mergeCell ref="L76:M76"/>
    <mergeCell ref="N76:O76"/>
    <mergeCell ref="C73:E73"/>
    <mergeCell ref="F73:G73"/>
    <mergeCell ref="L73:M73"/>
    <mergeCell ref="N73:O73"/>
    <mergeCell ref="C74:E74"/>
    <mergeCell ref="F74:G74"/>
    <mergeCell ref="L74:M74"/>
    <mergeCell ref="N74:O74"/>
    <mergeCell ref="C81:E81"/>
    <mergeCell ref="F81:G81"/>
    <mergeCell ref="L81:M81"/>
    <mergeCell ref="N81:O81"/>
    <mergeCell ref="C82:E82"/>
    <mergeCell ref="F82:G82"/>
    <mergeCell ref="L82:M82"/>
    <mergeCell ref="N82:O82"/>
    <mergeCell ref="C78:O78"/>
    <mergeCell ref="F79:G79"/>
    <mergeCell ref="H79:I79"/>
    <mergeCell ref="J79:K79"/>
    <mergeCell ref="L79:M79"/>
    <mergeCell ref="N79:O79"/>
    <mergeCell ref="C80:E80"/>
    <mergeCell ref="F80:G80"/>
    <mergeCell ref="L80:M80"/>
    <mergeCell ref="N80:O80"/>
    <mergeCell ref="C83:E83"/>
    <mergeCell ref="F83:G83"/>
    <mergeCell ref="H83:I83"/>
    <mergeCell ref="J83:K83"/>
    <mergeCell ref="L83:M83"/>
    <mergeCell ref="N83:O83"/>
    <mergeCell ref="C96:O96"/>
    <mergeCell ref="B106:P106"/>
    <mergeCell ref="C108:G108"/>
    <mergeCell ref="H108:O108"/>
    <mergeCell ref="N93:O93"/>
    <mergeCell ref="C110:E110"/>
    <mergeCell ref="H110:J110"/>
    <mergeCell ref="M110:O110"/>
    <mergeCell ref="D111:E111"/>
    <mergeCell ref="I111:J111"/>
    <mergeCell ref="N111:O111"/>
    <mergeCell ref="B86:P86"/>
    <mergeCell ref="C88:G88"/>
    <mergeCell ref="H88:O88"/>
    <mergeCell ref="C90:E90"/>
    <mergeCell ref="M90:O90"/>
    <mergeCell ref="D91:E91"/>
    <mergeCell ref="N91:O91"/>
    <mergeCell ref="D92:E92"/>
    <mergeCell ref="N92:O92"/>
    <mergeCell ref="D93:E93"/>
    <mergeCell ref="D112:E112"/>
    <mergeCell ref="I112:J112"/>
    <mergeCell ref="N112:O112"/>
    <mergeCell ref="D113:E113"/>
    <mergeCell ref="I113:J113"/>
    <mergeCell ref="N113:O113"/>
    <mergeCell ref="C115:O115"/>
    <mergeCell ref="F116:G116"/>
    <mergeCell ref="L116:M116"/>
    <mergeCell ref="N116:O116"/>
    <mergeCell ref="F119:G119"/>
    <mergeCell ref="L119:M119"/>
    <mergeCell ref="N119:O119"/>
    <mergeCell ref="F120:G120"/>
    <mergeCell ref="L120:M120"/>
    <mergeCell ref="N120:O120"/>
    <mergeCell ref="F117:G117"/>
    <mergeCell ref="L117:M117"/>
    <mergeCell ref="N117:O117"/>
    <mergeCell ref="F118:G118"/>
    <mergeCell ref="L118:M118"/>
    <mergeCell ref="N118:O118"/>
    <mergeCell ref="F121:G121"/>
    <mergeCell ref="L121:M121"/>
    <mergeCell ref="N121:O121"/>
    <mergeCell ref="C122:E122"/>
    <mergeCell ref="F122:G122"/>
    <mergeCell ref="J122:K122"/>
    <mergeCell ref="L122:M122"/>
    <mergeCell ref="N122:O122"/>
    <mergeCell ref="C124:O124"/>
    <mergeCell ref="D125:F125"/>
    <mergeCell ref="H125:I125"/>
    <mergeCell ref="J125:K125"/>
    <mergeCell ref="L125:M125"/>
    <mergeCell ref="N125:O125"/>
    <mergeCell ref="D126:F126"/>
    <mergeCell ref="H126:I126"/>
    <mergeCell ref="J126:K126"/>
    <mergeCell ref="L126:M126"/>
    <mergeCell ref="N126:O126"/>
    <mergeCell ref="D127:F127"/>
    <mergeCell ref="H127:I127"/>
    <mergeCell ref="J127:K127"/>
    <mergeCell ref="L127:M127"/>
    <mergeCell ref="N127:O127"/>
    <mergeCell ref="D128:F128"/>
    <mergeCell ref="H128:I128"/>
    <mergeCell ref="J128:K128"/>
    <mergeCell ref="L128:M128"/>
    <mergeCell ref="N128:O128"/>
    <mergeCell ref="D129:F129"/>
    <mergeCell ref="H129:I129"/>
    <mergeCell ref="J129:K129"/>
    <mergeCell ref="L129:M129"/>
    <mergeCell ref="N129:O129"/>
    <mergeCell ref="D130:F130"/>
    <mergeCell ref="H130:I130"/>
    <mergeCell ref="J130:K130"/>
    <mergeCell ref="L130:M130"/>
    <mergeCell ref="N130:O130"/>
    <mergeCell ref="C131:F131"/>
    <mergeCell ref="H131:I131"/>
    <mergeCell ref="J131:K131"/>
    <mergeCell ref="L131:M131"/>
    <mergeCell ref="N131:O131"/>
    <mergeCell ref="B134:P134"/>
    <mergeCell ref="C136:G136"/>
    <mergeCell ref="H136:O136"/>
    <mergeCell ref="C138:E138"/>
    <mergeCell ref="G138:I138"/>
    <mergeCell ref="K138:M138"/>
    <mergeCell ref="C143:O143"/>
    <mergeCell ref="F144:G144"/>
    <mergeCell ref="L144:M144"/>
    <mergeCell ref="N144:O144"/>
    <mergeCell ref="C145:E145"/>
    <mergeCell ref="F145:G145"/>
    <mergeCell ref="L145:M145"/>
    <mergeCell ref="N145:O145"/>
    <mergeCell ref="D139:E139"/>
    <mergeCell ref="H139:I139"/>
    <mergeCell ref="L139:M139"/>
    <mergeCell ref="D140:E140"/>
    <mergeCell ref="H140:I140"/>
    <mergeCell ref="L140:M140"/>
    <mergeCell ref="D141:E141"/>
    <mergeCell ref="H141:I141"/>
    <mergeCell ref="L141:M141"/>
    <mergeCell ref="C148:E148"/>
    <mergeCell ref="F148:G148"/>
    <mergeCell ref="L148:M148"/>
    <mergeCell ref="N148:O148"/>
    <mergeCell ref="C149:E149"/>
    <mergeCell ref="F149:G149"/>
    <mergeCell ref="L149:M149"/>
    <mergeCell ref="N149:O149"/>
    <mergeCell ref="C146:E146"/>
    <mergeCell ref="F146:G146"/>
    <mergeCell ref="L146:M146"/>
    <mergeCell ref="N146:O146"/>
    <mergeCell ref="C147:E147"/>
    <mergeCell ref="F147:G147"/>
    <mergeCell ref="L147:M147"/>
    <mergeCell ref="N147:O147"/>
    <mergeCell ref="C150:E150"/>
    <mergeCell ref="F150:G150"/>
    <mergeCell ref="L150:M150"/>
    <mergeCell ref="N150:O150"/>
    <mergeCell ref="C152:O152"/>
    <mergeCell ref="F153:G153"/>
    <mergeCell ref="H153:I153"/>
    <mergeCell ref="J153:K153"/>
    <mergeCell ref="L153:M153"/>
    <mergeCell ref="N153:O153"/>
    <mergeCell ref="F154:G154"/>
    <mergeCell ref="H154:I154"/>
    <mergeCell ref="J154:K154"/>
    <mergeCell ref="L154:M154"/>
    <mergeCell ref="N154:O154"/>
    <mergeCell ref="F155:G155"/>
    <mergeCell ref="H155:I155"/>
    <mergeCell ref="J155:K155"/>
    <mergeCell ref="L155:M155"/>
    <mergeCell ref="N155:O155"/>
    <mergeCell ref="C156:E156"/>
    <mergeCell ref="F156:G156"/>
    <mergeCell ref="H156:I156"/>
    <mergeCell ref="J156:K156"/>
    <mergeCell ref="L156:M156"/>
    <mergeCell ref="N156:O156"/>
    <mergeCell ref="C158:O158"/>
    <mergeCell ref="J159:K159"/>
    <mergeCell ref="L159:M159"/>
    <mergeCell ref="N159:O159"/>
    <mergeCell ref="C162:E162"/>
    <mergeCell ref="F162:G162"/>
    <mergeCell ref="J162:K162"/>
    <mergeCell ref="L162:M162"/>
    <mergeCell ref="N162:O162"/>
    <mergeCell ref="J160:K160"/>
    <mergeCell ref="L160:M160"/>
    <mergeCell ref="N160:O160"/>
    <mergeCell ref="J161:K161"/>
    <mergeCell ref="L161:M161"/>
    <mergeCell ref="N161:O161"/>
  </mergeCells>
  <conditionalFormatting sqref="G17">
    <cfRule type="expression" dxfId="28" priority="20">
      <formula>OR($G$17&lt;1, $G$17&gt;1)</formula>
    </cfRule>
    <cfRule type="cellIs" dxfId="27" priority="21" operator="equal">
      <formula>1</formula>
    </cfRule>
  </conditionalFormatting>
  <conditionalFormatting sqref="C36">
    <cfRule type="cellIs" dxfId="26" priority="22" operator="equal">
      <formula>"Pass"</formula>
    </cfRule>
    <cfRule type="cellIs" dxfId="25" priority="23" operator="equal">
      <formula>"Fail"</formula>
    </cfRule>
  </conditionalFormatting>
  <conditionalFormatting sqref="C45">
    <cfRule type="cellIs" dxfId="24" priority="24" operator="equal">
      <formula>"Pass"</formula>
    </cfRule>
    <cfRule type="cellIs" dxfId="23" priority="25" operator="equal">
      <formula>"Fail"</formula>
    </cfRule>
  </conditionalFormatting>
  <conditionalFormatting sqref="O139">
    <cfRule type="cellIs" dxfId="22" priority="28" operator="greaterThan">
      <formula>1</formula>
    </cfRule>
    <cfRule type="cellIs" dxfId="21" priority="29" operator="lessThan">
      <formula>1</formula>
    </cfRule>
    <cfRule type="cellIs" dxfId="20" priority="30" operator="equal">
      <formula>1</formula>
    </cfRule>
  </conditionalFormatting>
  <conditionalFormatting sqref="C127">
    <cfRule type="cellIs" dxfId="19" priority="33" operator="equal">
      <formula>"Pass"</formula>
    </cfRule>
    <cfRule type="cellIs" dxfId="18" priority="34" operator="equal">
      <formula>"Fail"</formula>
    </cfRule>
  </conditionalFormatting>
  <conditionalFormatting sqref="C99">
    <cfRule type="cellIs" dxfId="17" priority="39" operator="equal">
      <formula>"Pass"</formula>
    </cfRule>
    <cfRule type="cellIs" dxfId="16" priority="40" operator="equal">
      <formula>"Fail"</formula>
    </cfRule>
  </conditionalFormatting>
  <conditionalFormatting sqref="C118">
    <cfRule type="cellIs" dxfId="15" priority="9" operator="equal">
      <formula>"Pass"</formula>
    </cfRule>
    <cfRule type="cellIs" dxfId="14" priority="10" operator="equal">
      <formula>"Fail"</formula>
    </cfRule>
  </conditionalFormatting>
  <conditionalFormatting sqref="C68">
    <cfRule type="cellIs" dxfId="13" priority="3" operator="equal">
      <formula>"Pass"</formula>
    </cfRule>
    <cfRule type="cellIs" dxfId="12" priority="4" operator="equal">
      <formula>"Fail"</formula>
    </cfRule>
  </conditionalFormatting>
  <conditionalFormatting sqref="C74">
    <cfRule type="cellIs" dxfId="11" priority="5" operator="equal">
      <formula>"Pass"</formula>
    </cfRule>
    <cfRule type="cellIs" dxfId="10" priority="6" operator="equal">
      <formula>"Fail"</formula>
    </cfRule>
  </conditionalFormatting>
  <conditionalFormatting sqref="C81">
    <cfRule type="cellIs" dxfId="9" priority="7" operator="equal">
      <formula>"Pass"</formula>
    </cfRule>
    <cfRule type="cellIs" dxfId="8" priority="8" operator="equal">
      <formula>"Fail"</formula>
    </cfRule>
  </conditionalFormatting>
  <conditionalFormatting sqref="C146">
    <cfRule type="cellIs" dxfId="7" priority="1" operator="equal">
      <formula>"Pass"</formula>
    </cfRule>
    <cfRule type="cellIs" dxfId="6" priority="2" operator="equal">
      <formula>"Fail"</formula>
    </cfRule>
  </conditionalFormatting>
  <pageMargins left="0.7" right="0.7" top="0.75" bottom="0.75" header="0.51180555555555496" footer="0.51180555555555496"/>
  <pageSetup firstPageNumber="0"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P17"/>
  <sheetViews>
    <sheetView zoomScaleNormal="100" workbookViewId="0">
      <selection activeCell="B11" sqref="B11"/>
    </sheetView>
  </sheetViews>
  <sheetFormatPr defaultColWidth="8.85546875" defaultRowHeight="15"/>
  <cols>
    <col min="1" max="1" width="18" customWidth="1" collapsed="1"/>
    <col min="2" max="2" width="23.42578125" style="183" customWidth="1" collapsed="1"/>
  </cols>
  <sheetData>
    <row r="1" spans="1:16" s="185" customFormat="1" ht="15" customHeight="1">
      <c r="A1" s="499" t="s">
        <v>204</v>
      </c>
      <c r="B1" s="499"/>
      <c r="C1" s="184"/>
      <c r="E1" s="186"/>
      <c r="F1" s="186"/>
      <c r="G1" s="186"/>
      <c r="H1" s="186"/>
      <c r="I1" s="186"/>
      <c r="J1" s="186"/>
      <c r="K1" s="186"/>
      <c r="L1" s="186"/>
      <c r="M1" s="186"/>
      <c r="N1" s="186"/>
      <c r="O1" s="186"/>
      <c r="P1" s="186"/>
    </row>
    <row r="2" spans="1:16" s="185" customFormat="1" ht="15" customHeight="1">
      <c r="A2" s="499"/>
      <c r="B2" s="499"/>
      <c r="C2" s="184"/>
      <c r="E2" s="186"/>
      <c r="F2" s="186"/>
      <c r="G2" s="186"/>
      <c r="H2" s="186"/>
      <c r="I2" s="186"/>
      <c r="J2" s="186"/>
      <c r="K2" s="186"/>
      <c r="L2" s="186"/>
      <c r="M2" s="186"/>
      <c r="N2" s="186"/>
      <c r="O2" s="186"/>
      <c r="P2" s="186"/>
    </row>
    <row r="3" spans="1:16" s="185" customFormat="1" ht="15" customHeight="1">
      <c r="A3" s="499"/>
      <c r="B3" s="499"/>
      <c r="C3" s="184"/>
    </row>
    <row r="4" spans="1:16" s="185" customFormat="1" ht="15" customHeight="1">
      <c r="A4" s="499"/>
      <c r="B4" s="499"/>
      <c r="C4" s="184"/>
      <c r="E4" s="187"/>
      <c r="F4" s="187"/>
      <c r="G4" s="187"/>
      <c r="H4" s="187"/>
      <c r="I4" s="187"/>
      <c r="J4" s="187"/>
      <c r="K4" s="187"/>
      <c r="L4" s="187"/>
      <c r="M4" s="187"/>
      <c r="N4" s="187"/>
      <c r="O4" s="187"/>
      <c r="P4" s="187"/>
    </row>
    <row r="6" spans="1:16">
      <c r="A6" t="s">
        <v>1</v>
      </c>
      <c r="B6" s="183" t="s">
        <v>290</v>
      </c>
    </row>
    <row r="7" spans="1:16">
      <c r="A7" t="s">
        <v>2</v>
      </c>
      <c r="B7" s="183" t="s">
        <v>290</v>
      </c>
    </row>
    <row r="8" spans="1:16">
      <c r="A8" t="s">
        <v>3</v>
      </c>
      <c r="B8" s="296">
        <f ca="1">TODAY()</f>
        <v>44259</v>
      </c>
    </row>
    <row r="9" spans="1:16">
      <c r="A9" s="188" t="s">
        <v>98</v>
      </c>
      <c r="B9" s="297">
        <f>CompositeScore</f>
        <v>522.48252420494623</v>
      </c>
    </row>
    <row r="10" spans="1:16">
      <c r="A10" t="s">
        <v>205</v>
      </c>
      <c r="B10" s="183" t="s">
        <v>291</v>
      </c>
    </row>
    <row r="11" spans="1:16">
      <c r="A11" t="s">
        <v>15</v>
      </c>
      <c r="B11" s="183" t="s">
        <v>292</v>
      </c>
    </row>
    <row r="12" spans="1:16">
      <c r="A12" t="s">
        <v>18</v>
      </c>
      <c r="B12" s="183" t="s">
        <v>293</v>
      </c>
    </row>
    <row r="13" spans="1:16">
      <c r="A13" t="s">
        <v>21</v>
      </c>
      <c r="B13" s="183" t="s">
        <v>294</v>
      </c>
    </row>
    <row r="14" spans="1:16">
      <c r="A14" t="s">
        <v>207</v>
      </c>
      <c r="B14" s="183">
        <v>31</v>
      </c>
    </row>
    <row r="15" spans="1:16">
      <c r="A15" t="s">
        <v>208</v>
      </c>
      <c r="B15" s="183" t="s">
        <v>295</v>
      </c>
    </row>
    <row r="16" spans="1:16">
      <c r="A16" t="s">
        <v>209</v>
      </c>
      <c r="B16" s="183" t="s">
        <v>293</v>
      </c>
    </row>
    <row r="17" spans="1:2">
      <c r="A17" t="s">
        <v>210</v>
      </c>
      <c r="B17" s="298">
        <v>1000</v>
      </c>
    </row>
  </sheetData>
  <mergeCells count="1">
    <mergeCell ref="A1:B4"/>
  </mergeCells>
  <hyperlinks>
    <hyperlink ref="A9" location="CompositeScore" display="Score" xr:uid="{00000000-0004-0000-0500-000000000000}"/>
    <hyperlink ref="B9" location="CompositeScore" display="#CompositeScore" xr:uid="{00000000-0004-0000-0500-000001000000}"/>
  </hyperlinks>
  <pageMargins left="0.7" right="0.7" top="0.75" bottom="0.75" header="0.51180555555555496" footer="0.51180555555555496"/>
  <pageSetup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5E0B4"/>
  </sheetPr>
  <dimension ref="A1:AMJ25"/>
  <sheetViews>
    <sheetView zoomScale="130" zoomScaleNormal="130" workbookViewId="0">
      <selection activeCell="A21" sqref="A21"/>
    </sheetView>
  </sheetViews>
  <sheetFormatPr defaultColWidth="9.140625" defaultRowHeight="15"/>
  <cols>
    <col min="1" max="1" width="15.42578125" style="189" customWidth="1" collapsed="1"/>
    <col min="2" max="2" width="16.42578125" style="189" customWidth="1" collapsed="1"/>
    <col min="3" max="3" width="15.28515625" style="189" bestFit="1" customWidth="1" collapsed="1"/>
    <col min="4" max="4" width="8.28515625" style="189" bestFit="1" customWidth="1" collapsed="1"/>
    <col min="5" max="5" width="7.42578125" style="189" customWidth="1" collapsed="1"/>
    <col min="6" max="6" width="6.42578125" style="189" customWidth="1" collapsed="1"/>
    <col min="7" max="7" width="12" style="189" customWidth="1" collapsed="1"/>
    <col min="8" max="8" width="14.85546875" style="189" customWidth="1" collapsed="1"/>
    <col min="9" max="9" width="14.140625" style="189" customWidth="1" collapsed="1"/>
    <col min="10" max="1024" width="9.140625" style="189" collapsed="1"/>
  </cols>
  <sheetData>
    <row r="1" spans="1:7">
      <c r="A1" s="190" t="s">
        <v>211</v>
      </c>
      <c r="B1" s="217">
        <v>394821</v>
      </c>
    </row>
    <row r="2" spans="1:7">
      <c r="A2" s="192" t="s">
        <v>212</v>
      </c>
      <c r="B2" s="217">
        <v>669171</v>
      </c>
    </row>
    <row r="3" spans="1:7">
      <c r="A3" s="192" t="s">
        <v>25</v>
      </c>
      <c r="B3" s="217">
        <v>206331</v>
      </c>
    </row>
    <row r="4" spans="1:7">
      <c r="A4" s="192" t="s">
        <v>27</v>
      </c>
      <c r="B4" s="217">
        <v>36242</v>
      </c>
    </row>
    <row r="5" spans="1:7">
      <c r="A5" s="192" t="s">
        <v>22</v>
      </c>
      <c r="B5" s="217">
        <v>3084</v>
      </c>
    </row>
    <row r="6" spans="1:7">
      <c r="A6" s="192" t="s">
        <v>16</v>
      </c>
      <c r="B6" s="217">
        <v>1885</v>
      </c>
    </row>
    <row r="7" spans="1:7">
      <c r="A7" s="192" t="s">
        <v>13</v>
      </c>
      <c r="B7" s="217">
        <v>350</v>
      </c>
    </row>
    <row r="8" spans="1:7">
      <c r="A8" s="192" t="s">
        <v>213</v>
      </c>
      <c r="B8" s="217">
        <v>116847</v>
      </c>
    </row>
    <row r="9" spans="1:7">
      <c r="A9" s="193" t="s">
        <v>23</v>
      </c>
      <c r="B9" s="194">
        <f>Lines-SUM(B1,B8)</f>
        <v>157503</v>
      </c>
    </row>
    <row r="10" spans="1:7">
      <c r="A10" s="191"/>
      <c r="B10" s="191"/>
    </row>
    <row r="11" spans="1:7">
      <c r="A11" s="500" t="s">
        <v>36</v>
      </c>
      <c r="B11" s="500"/>
      <c r="C11" s="500"/>
      <c r="D11" s="500"/>
      <c r="E11" s="500"/>
      <c r="F11" s="500"/>
      <c r="G11" s="500"/>
    </row>
    <row r="12" spans="1:7">
      <c r="A12" s="195"/>
      <c r="B12" s="196" t="s">
        <v>46</v>
      </c>
      <c r="C12" s="196" t="s">
        <v>38</v>
      </c>
      <c r="D12" s="196" t="s">
        <v>47</v>
      </c>
      <c r="E12" s="196" t="s">
        <v>48</v>
      </c>
      <c r="F12" s="196" t="s">
        <v>49</v>
      </c>
      <c r="G12" s="196" t="s">
        <v>31</v>
      </c>
    </row>
    <row r="13" spans="1:7">
      <c r="A13" s="197" t="s">
        <v>214</v>
      </c>
      <c r="B13" s="221">
        <v>98</v>
      </c>
      <c r="C13" s="221">
        <v>34</v>
      </c>
      <c r="D13" s="221">
        <v>509</v>
      </c>
      <c r="E13" s="221">
        <v>203</v>
      </c>
      <c r="F13" s="221">
        <v>0</v>
      </c>
      <c r="G13" s="199">
        <f>SUM(B13:F13)</f>
        <v>844</v>
      </c>
    </row>
    <row r="14" spans="1:7">
      <c r="A14" s="197" t="s">
        <v>215</v>
      </c>
      <c r="B14" s="221">
        <v>0</v>
      </c>
      <c r="C14" s="221">
        <v>2</v>
      </c>
      <c r="D14" s="221">
        <v>0</v>
      </c>
      <c r="E14" s="221">
        <v>810</v>
      </c>
      <c r="F14" s="221">
        <v>0</v>
      </c>
      <c r="G14" s="199">
        <f>SUM(B14:F14)</f>
        <v>812</v>
      </c>
    </row>
    <row r="15" spans="1:7">
      <c r="A15" s="197" t="s">
        <v>216</v>
      </c>
      <c r="B15" s="221">
        <v>211</v>
      </c>
      <c r="C15" s="221">
        <v>4479</v>
      </c>
      <c r="D15" s="221">
        <v>11194</v>
      </c>
      <c r="E15" s="221">
        <v>10228</v>
      </c>
      <c r="F15" s="221">
        <v>1034</v>
      </c>
      <c r="G15" s="199">
        <f>SUM(B15:F15)</f>
        <v>27146</v>
      </c>
    </row>
    <row r="16" spans="1:7">
      <c r="A16" s="197" t="s">
        <v>217</v>
      </c>
      <c r="B16" s="200">
        <f>SUM(B13:B15)</f>
        <v>309</v>
      </c>
      <c r="C16" s="200">
        <f>SUM(C13:C15)</f>
        <v>4515</v>
      </c>
      <c r="D16" s="200">
        <f>SUM(D13:D15)</f>
        <v>11703</v>
      </c>
      <c r="E16" s="200">
        <f>SUM(E13:E15)</f>
        <v>11241</v>
      </c>
      <c r="F16" s="200">
        <f>SUM(F13:F15)</f>
        <v>1034</v>
      </c>
      <c r="G16" s="199">
        <f>SUM(B16:F16)</f>
        <v>28802</v>
      </c>
    </row>
    <row r="17" spans="1:7">
      <c r="A17" s="201"/>
    </row>
    <row r="18" spans="1:7">
      <c r="A18" s="500" t="s">
        <v>198</v>
      </c>
      <c r="B18" s="500"/>
      <c r="C18" s="500"/>
      <c r="D18" s="500"/>
      <c r="E18" s="500"/>
      <c r="F18" s="500"/>
      <c r="G18" s="500"/>
    </row>
    <row r="19" spans="1:7">
      <c r="A19" s="202"/>
      <c r="B19" s="203" t="s">
        <v>31</v>
      </c>
      <c r="C19" s="196" t="s">
        <v>39</v>
      </c>
      <c r="D19" s="196" t="s">
        <v>55</v>
      </c>
    </row>
    <row r="20" spans="1:7">
      <c r="A20" s="204" t="s">
        <v>200</v>
      </c>
      <c r="B20" s="340">
        <v>94612</v>
      </c>
      <c r="C20" s="205">
        <v>0</v>
      </c>
      <c r="D20" s="206">
        <f>IF(Cyclomatic&gt;0,Cyclomatic/Files,0)</f>
        <v>50.192042440318303</v>
      </c>
    </row>
    <row r="21" spans="1:7">
      <c r="A21" s="204" t="s">
        <v>201</v>
      </c>
      <c r="B21" s="340">
        <v>97584</v>
      </c>
      <c r="C21" s="205">
        <v>0</v>
      </c>
      <c r="D21" s="206">
        <f>IF(Cognitive&gt;0,Cognitive/Files,0)</f>
        <v>51.768700265251987</v>
      </c>
    </row>
    <row r="23" spans="1:7">
      <c r="A23" s="500" t="s">
        <v>199</v>
      </c>
      <c r="B23" s="500"/>
      <c r="C23" s="500"/>
      <c r="D23" s="500"/>
      <c r="E23" s="500"/>
      <c r="F23" s="500"/>
      <c r="G23" s="500"/>
    </row>
    <row r="24" spans="1:7">
      <c r="A24" s="207" t="s">
        <v>202</v>
      </c>
      <c r="B24" s="208" t="s">
        <v>218</v>
      </c>
      <c r="C24" s="208" t="s">
        <v>203</v>
      </c>
    </row>
    <row r="25" spans="1:7">
      <c r="A25" s="341">
        <v>121981</v>
      </c>
      <c r="B25" s="341">
        <v>3617</v>
      </c>
      <c r="C25" s="342">
        <v>561</v>
      </c>
    </row>
  </sheetData>
  <mergeCells count="3">
    <mergeCell ref="A11:G11"/>
    <mergeCell ref="A18:G18"/>
    <mergeCell ref="A23:G23"/>
  </mergeCells>
  <pageMargins left="0.7" right="0.7" top="0.75" bottom="0.75" header="0.51180555555555496" footer="0.51180555555555496"/>
  <pageSetup firstPageNumber="0" orientation="portrait" horizontalDpi="300" verticalDpi="300"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8CBAD"/>
  </sheetPr>
  <dimension ref="A1:E32"/>
  <sheetViews>
    <sheetView zoomScaleNormal="100" workbookViewId="0">
      <selection activeCell="D24" sqref="D24"/>
    </sheetView>
  </sheetViews>
  <sheetFormatPr defaultColWidth="8.85546875" defaultRowHeight="15"/>
  <cols>
    <col min="1" max="1" width="45.42578125" bestFit="1" customWidth="1" collapsed="1"/>
    <col min="2" max="5" width="15.42578125" customWidth="1" collapsed="1"/>
  </cols>
  <sheetData>
    <row r="1" spans="1:5">
      <c r="A1" s="501" t="s">
        <v>219</v>
      </c>
      <c r="B1" s="501"/>
      <c r="C1" s="501"/>
      <c r="D1" s="501"/>
      <c r="E1" s="501"/>
    </row>
    <row r="2" spans="1:5">
      <c r="A2" t="s">
        <v>220</v>
      </c>
      <c r="B2" s="214">
        <v>0</v>
      </c>
    </row>
    <row r="3" spans="1:5">
      <c r="A3" t="s">
        <v>221</v>
      </c>
      <c r="B3" s="214">
        <v>0</v>
      </c>
    </row>
    <row r="4" spans="1:5">
      <c r="A4" t="s">
        <v>222</v>
      </c>
      <c r="B4" s="214">
        <v>0</v>
      </c>
    </row>
    <row r="6" spans="1:5">
      <c r="A6" s="501" t="s">
        <v>223</v>
      </c>
      <c r="B6" s="501"/>
      <c r="C6" s="501"/>
      <c r="D6" s="501"/>
      <c r="E6" s="501"/>
    </row>
    <row r="7" spans="1:5">
      <c r="A7" s="189"/>
      <c r="B7" s="196" t="s">
        <v>35</v>
      </c>
      <c r="C7" s="196" t="s">
        <v>185</v>
      </c>
      <c r="D7" s="189"/>
      <c r="E7" s="209" t="s">
        <v>16</v>
      </c>
    </row>
    <row r="8" spans="1:5">
      <c r="A8" s="189" t="s">
        <v>62</v>
      </c>
      <c r="B8" s="221">
        <v>1</v>
      </c>
      <c r="C8" s="221">
        <v>150086</v>
      </c>
      <c r="E8" s="212">
        <v>176</v>
      </c>
    </row>
    <row r="9" spans="1:5">
      <c r="A9" s="189" t="s">
        <v>63</v>
      </c>
      <c r="B9" s="221">
        <v>2</v>
      </c>
      <c r="C9" s="221">
        <v>63069</v>
      </c>
      <c r="E9" s="212">
        <v>88</v>
      </c>
    </row>
    <row r="10" spans="1:5">
      <c r="A10" t="s">
        <v>224</v>
      </c>
      <c r="B10" s="211">
        <f>Files-SUM(CriticalCoresFiles,EmergingCoresFiles)</f>
        <v>1621</v>
      </c>
      <c r="C10" s="211">
        <f>Lines-SUM(CriticalCoresLOC,EmergingCoresLOC)</f>
        <v>456016</v>
      </c>
      <c r="E10" s="239">
        <f>Files-SUM(E8:E9)</f>
        <v>1621</v>
      </c>
    </row>
    <row r="11" spans="1:5">
      <c r="A11" s="213" t="s">
        <v>225</v>
      </c>
      <c r="B11" s="221">
        <v>922</v>
      </c>
      <c r="C11" s="211"/>
      <c r="D11" s="189"/>
      <c r="E11" s="209"/>
    </row>
    <row r="12" spans="1:5">
      <c r="A12" t="s">
        <v>226</v>
      </c>
      <c r="B12" s="214">
        <v>0</v>
      </c>
      <c r="C12" s="215">
        <f>IF(LocHighComplexity&gt;0,LocHighComplexity/LinesOfCode,0)</f>
        <v>0</v>
      </c>
      <c r="D12" s="216">
        <f>IF(HignComplexityLOC&gt;0,HignComplexityLOC/Lines,0)</f>
        <v>0.34358332922377088</v>
      </c>
      <c r="E12" s="212"/>
    </row>
    <row r="13" spans="1:5">
      <c r="A13" t="s">
        <v>227</v>
      </c>
      <c r="B13" s="217">
        <v>0</v>
      </c>
      <c r="C13" s="215">
        <f>IF(LocProblematicComplexity&gt;0,LocProblematicComplexity/LinesOfCode,0)</f>
        <v>0</v>
      </c>
      <c r="D13" s="216">
        <f>IF(MediumComplexityLOC&gt;0,MediumComplexityLOC/Lines,0)</f>
        <v>0.19752499734746426</v>
      </c>
      <c r="E13" s="212"/>
    </row>
    <row r="14" spans="1:5">
      <c r="A14" t="s">
        <v>228</v>
      </c>
      <c r="B14" s="217">
        <v>176</v>
      </c>
      <c r="C14" s="221">
        <v>150086</v>
      </c>
      <c r="D14" s="218">
        <f>IF(LargestCoreLOC&gt;0,LargestCoreLOC/LinesOfCode,0)</f>
        <v>0.38013682149632366</v>
      </c>
      <c r="E14" s="212"/>
    </row>
    <row r="15" spans="1:5">
      <c r="A15" t="s">
        <v>289</v>
      </c>
      <c r="B15" s="214">
        <f>SUM(B8:B9)</f>
        <v>3</v>
      </c>
      <c r="C15" s="214">
        <f>SUM(C8:C9)</f>
        <v>213155</v>
      </c>
      <c r="D15" s="214"/>
      <c r="E15" s="214">
        <f>SUM(E8:E9)</f>
        <v>264</v>
      </c>
    </row>
    <row r="16" spans="1:5">
      <c r="A16" t="s">
        <v>288</v>
      </c>
      <c r="B16" s="214"/>
      <c r="C16" s="339">
        <f>C15/Lines</f>
        <v>0.31853591981720664</v>
      </c>
      <c r="D16" s="214"/>
      <c r="E16" s="339">
        <f>E15/Files</f>
        <v>0.14005305039787799</v>
      </c>
    </row>
    <row r="17" spans="1:5">
      <c r="B17" s="217"/>
      <c r="C17" s="219"/>
    </row>
    <row r="18" spans="1:5">
      <c r="A18" s="502" t="s">
        <v>229</v>
      </c>
      <c r="B18" s="502"/>
      <c r="C18" s="502"/>
      <c r="D18" s="502"/>
      <c r="E18" s="502"/>
    </row>
    <row r="19" spans="1:5">
      <c r="B19" s="210" t="s">
        <v>230</v>
      </c>
      <c r="C19" s="212" t="s">
        <v>74</v>
      </c>
      <c r="D19" s="212" t="s">
        <v>231</v>
      </c>
    </row>
    <row r="20" spans="1:5">
      <c r="A20" t="s">
        <v>190</v>
      </c>
      <c r="B20" s="220">
        <v>20589</v>
      </c>
      <c r="C20" s="220">
        <v>8314</v>
      </c>
      <c r="D20" s="220">
        <v>5006</v>
      </c>
    </row>
    <row r="21" spans="1:5">
      <c r="A21" t="s">
        <v>191</v>
      </c>
      <c r="B21" s="220">
        <v>783348</v>
      </c>
      <c r="C21" s="220">
        <v>463505</v>
      </c>
      <c r="D21" s="220">
        <v>109005</v>
      </c>
      <c r="E21" s="238">
        <f>Waste/1000000</f>
        <v>0.78334800000000004</v>
      </c>
    </row>
    <row r="22" spans="1:5">
      <c r="A22" t="s">
        <v>192</v>
      </c>
      <c r="B22" s="221">
        <v>25</v>
      </c>
      <c r="C22" s="221">
        <v>13</v>
      </c>
      <c r="D22" s="221">
        <v>10</v>
      </c>
    </row>
    <row r="23" spans="1:5">
      <c r="A23" t="s">
        <v>232</v>
      </c>
      <c r="B23" s="222">
        <v>0.43</v>
      </c>
      <c r="C23" s="222">
        <v>0.16</v>
      </c>
      <c r="D23" s="222">
        <v>0.04</v>
      </c>
    </row>
    <row r="24" spans="1:5">
      <c r="A24" t="s">
        <v>286</v>
      </c>
      <c r="B24" s="343">
        <v>0.21</v>
      </c>
      <c r="C24" s="343">
        <v>0.06</v>
      </c>
      <c r="D24" s="343">
        <v>0.01</v>
      </c>
    </row>
    <row r="25" spans="1:5">
      <c r="A25" s="223" t="s">
        <v>233</v>
      </c>
      <c r="B25" s="224">
        <v>0</v>
      </c>
      <c r="C25" s="224"/>
    </row>
    <row r="27" spans="1:5">
      <c r="A27" s="502" t="s">
        <v>198</v>
      </c>
      <c r="B27" s="502"/>
      <c r="C27" s="502"/>
      <c r="D27" s="502"/>
      <c r="E27" s="502"/>
    </row>
    <row r="28" spans="1:5">
      <c r="B28" s="503" t="s">
        <v>16</v>
      </c>
      <c r="C28" s="503"/>
      <c r="D28" s="503" t="s">
        <v>211</v>
      </c>
      <c r="E28" s="503"/>
    </row>
    <row r="29" spans="1:5">
      <c r="B29" s="118" t="s">
        <v>16</v>
      </c>
      <c r="C29" s="212" t="s">
        <v>175</v>
      </c>
      <c r="D29" s="118" t="s">
        <v>35</v>
      </c>
      <c r="E29" s="212" t="s">
        <v>175</v>
      </c>
    </row>
    <row r="30" spans="1:5">
      <c r="A30" t="s">
        <v>234</v>
      </c>
      <c r="B30" s="221">
        <v>108</v>
      </c>
      <c r="C30" s="240">
        <f>IF(HignComplexityFiles&gt;0,HignComplexityFiles/Files,0)</f>
        <v>5.7294429708222815E-2</v>
      </c>
      <c r="D30" s="221">
        <v>229916</v>
      </c>
      <c r="E30" s="240">
        <f>IF(HignComplexityLOC&gt;0,HignComplexityLOC/Lines,0)</f>
        <v>0.34358332922377088</v>
      </c>
    </row>
    <row r="31" spans="1:5">
      <c r="A31" t="s">
        <v>235</v>
      </c>
      <c r="B31" s="221">
        <v>157</v>
      </c>
      <c r="C31" s="240">
        <f>IF(MediumComplexityFiles&gt;0,MediumComplexityFiles/Files,0)</f>
        <v>8.3289124668435008E-2</v>
      </c>
      <c r="D31" s="221">
        <v>132178</v>
      </c>
      <c r="E31" s="240">
        <f>IF(MediumComplexityLOC&gt;0,MediumComplexityLOC/Lines,0)</f>
        <v>0.19752499734746426</v>
      </c>
    </row>
    <row r="32" spans="1:5">
      <c r="A32" t="s">
        <v>236</v>
      </c>
      <c r="B32" s="221">
        <f>Files-SUM(B30:B31)</f>
        <v>1620</v>
      </c>
      <c r="C32" s="240">
        <f>IF(LowComplexityFiles&gt;0,LowComplexityFiles/Files,0)</f>
        <v>0.85941644562334218</v>
      </c>
      <c r="D32" s="221">
        <f>Lines-SUM(D30:D31)</f>
        <v>307077</v>
      </c>
      <c r="E32" s="240">
        <f>IF(LowComplexityLOC&gt;0,LowComplexityLOC/Lines,0)</f>
        <v>0.45889167342876486</v>
      </c>
    </row>
  </sheetData>
  <mergeCells count="6">
    <mergeCell ref="A1:E1"/>
    <mergeCell ref="A6:E6"/>
    <mergeCell ref="A18:E18"/>
    <mergeCell ref="A27:E27"/>
    <mergeCell ref="B28:C28"/>
    <mergeCell ref="D28:E28"/>
  </mergeCells>
  <pageMargins left="0.7" right="0.7" top="0.75" bottom="0.75" header="0.51180555555555496" footer="0.51180555555555496"/>
  <pageSetup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0B3FF"/>
  </sheetPr>
  <dimension ref="A1:D21"/>
  <sheetViews>
    <sheetView zoomScaleNormal="100" workbookViewId="0">
      <selection activeCell="D17" sqref="D17"/>
    </sheetView>
  </sheetViews>
  <sheetFormatPr defaultColWidth="8.85546875" defaultRowHeight="15"/>
  <cols>
    <col min="1" max="1" width="17" customWidth="1" collapsed="1"/>
    <col min="2" max="2" width="32.5703125" style="217" bestFit="1" customWidth="1" collapsed="1"/>
    <col min="3" max="3" width="18.140625" style="217" customWidth="1" collapsed="1"/>
    <col min="4" max="4" width="12.42578125" customWidth="1" collapsed="1"/>
  </cols>
  <sheetData>
    <row r="1" spans="1:4">
      <c r="B1" s="217" t="s">
        <v>237</v>
      </c>
    </row>
    <row r="2" spans="1:4">
      <c r="A2" t="s">
        <v>238</v>
      </c>
      <c r="B2" s="217">
        <v>9</v>
      </c>
    </row>
    <row r="3" spans="1:4">
      <c r="A3" t="s">
        <v>239</v>
      </c>
      <c r="B3" s="217">
        <v>2782</v>
      </c>
    </row>
    <row r="4" spans="1:4">
      <c r="A4" t="s">
        <v>240</v>
      </c>
      <c r="B4" s="217">
        <v>15</v>
      </c>
    </row>
    <row r="6" spans="1:4">
      <c r="A6" s="504" t="s">
        <v>51</v>
      </c>
      <c r="B6" s="504"/>
      <c r="C6" s="504"/>
      <c r="D6" s="504"/>
    </row>
    <row r="7" spans="1:4">
      <c r="B7" s="212" t="s">
        <v>241</v>
      </c>
      <c r="C7" s="212" t="s">
        <v>242</v>
      </c>
      <c r="D7" s="212" t="s">
        <v>243</v>
      </c>
    </row>
    <row r="8" spans="1:4">
      <c r="A8" t="s">
        <v>38</v>
      </c>
      <c r="B8" s="217">
        <v>0</v>
      </c>
      <c r="C8" s="217">
        <v>0</v>
      </c>
      <c r="D8" s="212">
        <v>0</v>
      </c>
    </row>
    <row r="9" spans="1:4">
      <c r="A9" t="s">
        <v>39</v>
      </c>
      <c r="B9" s="217">
        <v>0</v>
      </c>
      <c r="C9" s="217">
        <v>0</v>
      </c>
      <c r="D9" s="212">
        <v>0</v>
      </c>
    </row>
    <row r="10" spans="1:4">
      <c r="A10" t="s">
        <v>40</v>
      </c>
      <c r="B10" s="217">
        <v>2</v>
      </c>
      <c r="C10" s="217">
        <v>1</v>
      </c>
      <c r="D10" s="212">
        <v>1</v>
      </c>
    </row>
    <row r="11" spans="1:4">
      <c r="A11" t="s">
        <v>41</v>
      </c>
      <c r="B11" s="217">
        <v>0</v>
      </c>
      <c r="C11" s="217">
        <v>0</v>
      </c>
      <c r="D11" s="212">
        <v>0</v>
      </c>
    </row>
    <row r="12" spans="1:4">
      <c r="A12" t="s">
        <v>194</v>
      </c>
      <c r="B12" s="214" t="s">
        <v>206</v>
      </c>
      <c r="C12" s="214">
        <f>TotalComponents-SUM(C8:C11)</f>
        <v>8</v>
      </c>
      <c r="D12" s="225">
        <f>OS_Files-SUM(D8:D11)</f>
        <v>2781</v>
      </c>
    </row>
    <row r="13" spans="1:4">
      <c r="A13" t="s">
        <v>31</v>
      </c>
      <c r="B13" s="214">
        <f>SUM(B8:B11)</f>
        <v>2</v>
      </c>
      <c r="C13" s="214">
        <f>SUM(C8:C12)</f>
        <v>9</v>
      </c>
      <c r="D13" s="214">
        <f>SUM(D8:D12)</f>
        <v>2782</v>
      </c>
    </row>
    <row r="15" spans="1:4">
      <c r="A15" s="504" t="s">
        <v>244</v>
      </c>
      <c r="B15" s="504"/>
      <c r="C15" s="504"/>
      <c r="D15" s="504"/>
    </row>
    <row r="16" spans="1:4">
      <c r="A16" s="212" t="s">
        <v>245</v>
      </c>
      <c r="B16" s="217" t="s">
        <v>15</v>
      </c>
      <c r="C16" s="217" t="s">
        <v>242</v>
      </c>
      <c r="D16" s="212" t="s">
        <v>243</v>
      </c>
    </row>
    <row r="17" spans="1:4">
      <c r="A17" s="226">
        <v>1</v>
      </c>
      <c r="B17" s="217" t="s">
        <v>296</v>
      </c>
      <c r="C17" s="217">
        <v>1</v>
      </c>
      <c r="D17" s="212">
        <v>2350</v>
      </c>
    </row>
    <row r="18" spans="1:4">
      <c r="A18" s="226">
        <v>2</v>
      </c>
      <c r="B18" s="217" t="s">
        <v>285</v>
      </c>
      <c r="C18" s="217">
        <v>1</v>
      </c>
      <c r="D18" s="212">
        <v>144</v>
      </c>
    </row>
    <row r="19" spans="1:4">
      <c r="A19" s="226">
        <v>3</v>
      </c>
      <c r="B19" s="217" t="s">
        <v>297</v>
      </c>
      <c r="C19" s="217">
        <v>1</v>
      </c>
      <c r="D19" s="212">
        <v>34</v>
      </c>
    </row>
    <row r="20" spans="1:4">
      <c r="A20" s="226">
        <v>4</v>
      </c>
      <c r="B20" s="217" t="s">
        <v>298</v>
      </c>
      <c r="C20" s="217">
        <v>1</v>
      </c>
      <c r="D20" s="212">
        <v>23</v>
      </c>
    </row>
    <row r="21" spans="1:4">
      <c r="A21" s="226">
        <v>5</v>
      </c>
      <c r="B21" s="217" t="s">
        <v>284</v>
      </c>
      <c r="C21" s="217">
        <v>1</v>
      </c>
      <c r="D21" s="212">
        <v>1</v>
      </c>
    </row>
  </sheetData>
  <mergeCells count="2">
    <mergeCell ref="A6:D6"/>
    <mergeCell ref="A15:D15"/>
  </mergeCells>
  <pageMargins left="0.7" right="0.7" top="0.75" bottom="0.75" header="0.51180555555555496" footer="0.51180555555555496"/>
  <pageSetup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4C7E7"/>
  </sheetPr>
  <dimension ref="A1:L12"/>
  <sheetViews>
    <sheetView zoomScaleNormal="100" workbookViewId="0">
      <selection activeCell="D3" sqref="D3:G12"/>
    </sheetView>
  </sheetViews>
  <sheetFormatPr defaultColWidth="8.42578125" defaultRowHeight="15"/>
  <cols>
    <col min="1" max="1" width="14.140625" customWidth="1" collapsed="1"/>
    <col min="3" max="3" width="46" customWidth="1" collapsed="1"/>
    <col min="4" max="4" width="7.140625" customWidth="1" collapsed="1"/>
    <col min="5" max="5" width="5" customWidth="1" collapsed="1"/>
    <col min="6" max="6" width="8.42578125" customWidth="1" collapsed="1"/>
    <col min="7" max="7" width="4.42578125" customWidth="1" collapsed="1"/>
  </cols>
  <sheetData>
    <row r="1" spans="1:12">
      <c r="A1" t="s">
        <v>246</v>
      </c>
      <c r="C1" s="227" t="s">
        <v>33</v>
      </c>
      <c r="D1" s="228"/>
      <c r="E1" s="212"/>
      <c r="G1" s="229"/>
    </row>
    <row r="2" spans="1:12">
      <c r="C2" s="213"/>
      <c r="D2" s="198" t="s">
        <v>38</v>
      </c>
      <c r="E2" s="196" t="s">
        <v>39</v>
      </c>
      <c r="F2" s="196" t="s">
        <v>40</v>
      </c>
      <c r="G2" s="196" t="s">
        <v>41</v>
      </c>
    </row>
    <row r="3" spans="1:12">
      <c r="C3" s="213" t="s">
        <v>247</v>
      </c>
      <c r="D3" s="344">
        <v>0</v>
      </c>
      <c r="E3" s="344">
        <v>0</v>
      </c>
      <c r="F3" s="344">
        <v>0</v>
      </c>
      <c r="G3" s="344">
        <v>30</v>
      </c>
      <c r="I3" s="333"/>
      <c r="J3" s="333"/>
      <c r="K3" s="333"/>
      <c r="L3" s="333"/>
    </row>
    <row r="4" spans="1:12">
      <c r="C4" s="213" t="s">
        <v>248</v>
      </c>
      <c r="D4" s="344">
        <v>0</v>
      </c>
      <c r="E4" s="344">
        <v>6</v>
      </c>
      <c r="F4" s="344">
        <v>0</v>
      </c>
      <c r="G4" s="344">
        <v>0</v>
      </c>
      <c r="I4" s="333"/>
      <c r="J4" s="333"/>
      <c r="K4" s="333"/>
      <c r="L4" s="333"/>
    </row>
    <row r="5" spans="1:12">
      <c r="C5" s="213" t="s">
        <v>249</v>
      </c>
      <c r="D5" s="344">
        <v>2</v>
      </c>
      <c r="E5" s="344">
        <v>28</v>
      </c>
      <c r="F5" s="344">
        <v>0</v>
      </c>
      <c r="G5" s="344">
        <v>70</v>
      </c>
      <c r="I5" s="333"/>
      <c r="J5" s="333"/>
      <c r="K5" s="333"/>
      <c r="L5" s="333"/>
    </row>
    <row r="6" spans="1:12">
      <c r="C6" s="213" t="s">
        <v>250</v>
      </c>
      <c r="D6" s="344">
        <v>0</v>
      </c>
      <c r="E6" s="344">
        <v>7</v>
      </c>
      <c r="F6" s="344">
        <v>0</v>
      </c>
      <c r="G6" s="344">
        <v>5</v>
      </c>
      <c r="I6" s="333"/>
      <c r="J6" s="333"/>
      <c r="K6" s="333"/>
      <c r="L6" s="333"/>
    </row>
    <row r="7" spans="1:12">
      <c r="C7" s="213" t="s">
        <v>251</v>
      </c>
      <c r="D7" s="344">
        <v>0</v>
      </c>
      <c r="E7" s="344">
        <v>0</v>
      </c>
      <c r="F7" s="344">
        <v>0</v>
      </c>
      <c r="G7" s="344">
        <v>352</v>
      </c>
      <c r="I7" s="333"/>
      <c r="J7" s="333"/>
      <c r="K7" s="333"/>
      <c r="L7" s="333"/>
    </row>
    <row r="8" spans="1:12">
      <c r="C8" s="213" t="s">
        <v>252</v>
      </c>
      <c r="D8" s="344">
        <v>0</v>
      </c>
      <c r="E8" s="344">
        <v>19</v>
      </c>
      <c r="F8" s="344">
        <v>0</v>
      </c>
      <c r="G8" s="344">
        <v>0</v>
      </c>
      <c r="I8" s="333"/>
      <c r="J8" s="333"/>
      <c r="K8" s="333"/>
      <c r="L8" s="333"/>
    </row>
    <row r="9" spans="1:12">
      <c r="C9" s="213" t="s">
        <v>253</v>
      </c>
      <c r="D9" s="344">
        <v>0</v>
      </c>
      <c r="E9" s="344">
        <v>0</v>
      </c>
      <c r="F9" s="344">
        <v>0</v>
      </c>
      <c r="G9" s="344">
        <v>0</v>
      </c>
      <c r="I9" s="333"/>
      <c r="J9" s="333"/>
      <c r="K9" s="333"/>
      <c r="L9" s="333"/>
    </row>
    <row r="10" spans="1:12">
      <c r="C10" s="213" t="s">
        <v>254</v>
      </c>
      <c r="D10" s="344">
        <v>0</v>
      </c>
      <c r="E10" s="344">
        <v>0</v>
      </c>
      <c r="F10" s="344">
        <v>0</v>
      </c>
      <c r="G10" s="344">
        <v>0</v>
      </c>
      <c r="I10" s="333"/>
      <c r="J10" s="333"/>
      <c r="K10" s="333"/>
      <c r="L10" s="333"/>
    </row>
    <row r="11" spans="1:12">
      <c r="C11" s="213" t="s">
        <v>255</v>
      </c>
      <c r="D11" s="344">
        <v>0</v>
      </c>
      <c r="E11" s="344">
        <v>0</v>
      </c>
      <c r="F11" s="344">
        <v>0</v>
      </c>
      <c r="G11" s="344">
        <v>0</v>
      </c>
      <c r="I11" s="333"/>
      <c r="J11" s="333"/>
      <c r="K11" s="333"/>
      <c r="L11" s="333"/>
    </row>
    <row r="12" spans="1:12">
      <c r="C12" s="213" t="s">
        <v>256</v>
      </c>
      <c r="D12" s="344">
        <v>0</v>
      </c>
      <c r="E12" s="344">
        <v>0</v>
      </c>
      <c r="F12" s="344">
        <v>0</v>
      </c>
      <c r="G12" s="344">
        <v>0</v>
      </c>
      <c r="I12" s="333"/>
      <c r="J12" s="333"/>
      <c r="K12" s="333"/>
      <c r="L12" s="333"/>
    </row>
  </sheetData>
  <conditionalFormatting sqref="E1:E2">
    <cfRule type="cellIs" dxfId="5" priority="4" operator="equal">
      <formula>"Pass"</formula>
    </cfRule>
    <cfRule type="cellIs" dxfId="4" priority="5" operator="equal">
      <formula>"Fail"</formula>
    </cfRule>
  </conditionalFormatting>
  <conditionalFormatting sqref="E3:E12">
    <cfRule type="cellIs" dxfId="3" priority="1" operator="equal">
      <formula>"Pass"</formula>
    </cfRule>
    <cfRule type="cellIs" dxfId="2" priority="2" operator="equal">
      <formula>"Fail"</formula>
    </cfRule>
  </conditionalFormatting>
  <pageMargins left="0.7" right="0.7" top="0.75" bottom="0.75" header="0.51180555555555496" footer="0.51180555555555496"/>
  <pageSetup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4C7E7"/>
  </sheetPr>
  <dimension ref="A1:AMJ5"/>
  <sheetViews>
    <sheetView zoomScaleNormal="100" workbookViewId="0">
      <selection activeCell="B2" sqref="B2:F4"/>
    </sheetView>
  </sheetViews>
  <sheetFormatPr defaultColWidth="9.5703125" defaultRowHeight="15"/>
  <cols>
    <col min="1" max="1024" width="9.5703125" style="213" collapsed="1"/>
  </cols>
  <sheetData>
    <row r="1" spans="1:7">
      <c r="B1" s="230" t="s">
        <v>37</v>
      </c>
      <c r="C1" s="230" t="s">
        <v>38</v>
      </c>
      <c r="D1" s="230" t="s">
        <v>39</v>
      </c>
      <c r="E1" s="230" t="s">
        <v>40</v>
      </c>
      <c r="F1" s="230" t="s">
        <v>41</v>
      </c>
      <c r="G1" s="231" t="s">
        <v>31</v>
      </c>
    </row>
    <row r="2" spans="1:7">
      <c r="A2" s="232" t="s">
        <v>42</v>
      </c>
      <c r="B2" s="233">
        <v>8</v>
      </c>
      <c r="C2" s="345">
        <v>1</v>
      </c>
      <c r="D2" s="345">
        <v>624</v>
      </c>
      <c r="E2" s="345">
        <v>0</v>
      </c>
      <c r="F2" s="345">
        <v>537</v>
      </c>
      <c r="G2" s="234">
        <f>SUM(C2:F2)</f>
        <v>1162</v>
      </c>
    </row>
    <row r="3" spans="1:7">
      <c r="A3" s="235" t="s">
        <v>43</v>
      </c>
      <c r="B3" s="233">
        <v>24</v>
      </c>
      <c r="C3" s="345">
        <v>1</v>
      </c>
      <c r="D3" s="345">
        <v>1456</v>
      </c>
      <c r="E3" s="345">
        <v>0</v>
      </c>
      <c r="F3" s="345">
        <v>6103</v>
      </c>
      <c r="G3" s="234">
        <f>SUM(C3:F3)</f>
        <v>7560</v>
      </c>
    </row>
    <row r="4" spans="1:7">
      <c r="A4" s="235" t="s">
        <v>44</v>
      </c>
      <c r="B4" s="233">
        <v>0</v>
      </c>
      <c r="C4" s="345">
        <v>0</v>
      </c>
      <c r="D4" s="345">
        <v>0</v>
      </c>
      <c r="E4" s="345">
        <v>0</v>
      </c>
      <c r="F4" s="345">
        <v>0</v>
      </c>
      <c r="G4" s="234">
        <f>SUM(C4:F4)</f>
        <v>0</v>
      </c>
    </row>
    <row r="5" spans="1:7">
      <c r="A5" s="236" t="s">
        <v>31</v>
      </c>
      <c r="B5" s="237">
        <f t="shared" ref="B5:G5" si="0">SUM(B2:B4)</f>
        <v>32</v>
      </c>
      <c r="C5" s="237">
        <f t="shared" si="0"/>
        <v>2</v>
      </c>
      <c r="D5" s="237">
        <f t="shared" si="0"/>
        <v>2080</v>
      </c>
      <c r="E5" s="237">
        <f t="shared" si="0"/>
        <v>0</v>
      </c>
      <c r="F5" s="237">
        <f t="shared" si="0"/>
        <v>6640</v>
      </c>
      <c r="G5" s="237">
        <f t="shared" si="0"/>
        <v>8722</v>
      </c>
    </row>
  </sheetData>
  <conditionalFormatting sqref="A3">
    <cfRule type="cellIs" dxfId="1" priority="2" operator="equal">
      <formula>"Pass"</formula>
    </cfRule>
    <cfRule type="cellIs" dxfId="0" priority="3" operator="equal">
      <formula>"Fail"</formula>
    </cfRule>
  </conditionalFormatting>
  <pageMargins left="0.7" right="0.7" top="0.75" bottom="0.75" header="0.51180555555555496" footer="0.51180555555555496"/>
  <pageSetup firstPageNumber="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DD2EC-14DE-4723-9EF4-1FD6692698E6}">
  <dimension ref="A2:AMJ5"/>
  <sheetViews>
    <sheetView showGridLines="0" showRowColHeaders="0" zoomScaleNormal="100" workbookViewId="0">
      <selection activeCell="C3" sqref="C3:R3"/>
    </sheetView>
  </sheetViews>
  <sheetFormatPr defaultColWidth="9" defaultRowHeight="15"/>
  <cols>
    <col min="1" max="2" width="2.42578125" style="74" customWidth="1" collapsed="1"/>
    <col min="3" max="18" width="9" style="74" collapsed="1"/>
    <col min="19" max="20" width="2.42578125" style="74" customWidth="1" collapsed="1"/>
    <col min="21" max="1024" width="9" style="74" collapsed="1"/>
  </cols>
  <sheetData>
    <row r="2" spans="2:19">
      <c r="B2" s="75"/>
      <c r="C2" s="76"/>
      <c r="D2" s="76"/>
      <c r="E2" s="76"/>
      <c r="F2" s="76"/>
      <c r="G2" s="76"/>
      <c r="H2" s="76"/>
      <c r="I2" s="76"/>
      <c r="J2" s="76"/>
      <c r="K2" s="76"/>
      <c r="L2" s="76"/>
      <c r="M2" s="76"/>
      <c r="N2" s="76"/>
      <c r="O2" s="76"/>
      <c r="P2" s="76"/>
      <c r="Q2" s="76"/>
      <c r="R2" s="76"/>
      <c r="S2" s="77"/>
    </row>
    <row r="3" spans="2:19" ht="26.25">
      <c r="B3" s="78"/>
      <c r="C3" s="505" t="s">
        <v>279</v>
      </c>
      <c r="D3" s="505"/>
      <c r="E3" s="505"/>
      <c r="F3" s="505"/>
      <c r="G3" s="505"/>
      <c r="H3" s="505"/>
      <c r="I3" s="505"/>
      <c r="J3" s="505"/>
      <c r="K3" s="505"/>
      <c r="L3" s="505"/>
      <c r="M3" s="505"/>
      <c r="N3" s="505"/>
      <c r="O3" s="505"/>
      <c r="P3" s="505"/>
      <c r="Q3" s="505"/>
      <c r="R3" s="505"/>
      <c r="S3" s="79"/>
    </row>
    <row r="4" spans="2:19" s="74" customFormat="1" ht="50.25" customHeight="1">
      <c r="B4" s="78"/>
      <c r="C4" s="506" t="s">
        <v>280</v>
      </c>
      <c r="D4" s="506"/>
      <c r="E4" s="506"/>
      <c r="F4" s="506"/>
      <c r="G4" s="506"/>
      <c r="H4" s="506"/>
      <c r="I4" s="506"/>
      <c r="J4" s="506"/>
      <c r="K4" s="506"/>
      <c r="L4" s="506"/>
      <c r="M4" s="506"/>
      <c r="N4" s="506"/>
      <c r="O4" s="506"/>
      <c r="P4" s="506"/>
      <c r="Q4" s="506"/>
      <c r="R4" s="506"/>
      <c r="S4" s="79"/>
    </row>
    <row r="5" spans="2:19" s="74" customFormat="1">
      <c r="B5" s="97"/>
      <c r="C5" s="98"/>
      <c r="D5" s="98"/>
      <c r="E5" s="98"/>
      <c r="F5" s="98"/>
      <c r="G5" s="98"/>
      <c r="H5" s="98"/>
      <c r="I5" s="98"/>
      <c r="J5" s="98"/>
      <c r="K5" s="98"/>
      <c r="L5" s="98"/>
      <c r="M5" s="98"/>
      <c r="N5" s="98"/>
      <c r="O5" s="98"/>
      <c r="P5" s="98"/>
      <c r="Q5" s="98"/>
      <c r="R5" s="98"/>
      <c r="S5" s="99"/>
    </row>
  </sheetData>
  <mergeCells count="2">
    <mergeCell ref="C3:R3"/>
    <mergeCell ref="C4:R4"/>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Worksheets</vt:lpstr>
      </vt:variant>
      <vt:variant>
        <vt:i4>12</vt:i4>
      </vt:variant>
      <vt:variant>
        <vt:lpstr>Named Ranges</vt:lpstr>
      </vt:variant>
      <vt:variant>
        <vt:i4>180</vt:i4>
      </vt:variant>
    </vt:vector>
  </HeadingPairs>
  <TitlesOfParts>
    <vt:vector size="192" baseType="lpstr">
      <vt:lpstr>SetView</vt:lpstr>
      <vt:lpstr>User Guide</vt:lpstr>
      <vt:lpstr>Vendor Tool Description</vt:lpstr>
      <vt:lpstr>Glossary</vt:lpstr>
      <vt:lpstr>Scorecard</vt:lpstr>
      <vt:lpstr>SettleTop</vt:lpstr>
      <vt:lpstr>SonarQube-Data</vt:lpstr>
      <vt:lpstr>CodeMRI-Data</vt:lpstr>
      <vt:lpstr>FossID-Data</vt:lpstr>
      <vt:lpstr>Fortify-OWASP</vt:lpstr>
      <vt:lpstr>Fortify-DISA STIG</vt:lpstr>
      <vt:lpstr>Disclaimer</vt:lpstr>
      <vt:lpstr>AnalysisDate</vt:lpstr>
      <vt:lpstr>ApplicationAge</vt:lpstr>
      <vt:lpstr>ApplicationType</vt:lpstr>
      <vt:lpstr>ArchitecturalHealthRawScore</vt:lpstr>
      <vt:lpstr>ArchitecturalHealthWeight</vt:lpstr>
      <vt:lpstr>ArchitecturalHealthWeightedScore</vt:lpstr>
      <vt:lpstr>ArchitecturalScoreRaw</vt:lpstr>
      <vt:lpstr>BlankLines</vt:lpstr>
      <vt:lpstr>BlockerIssues</vt:lpstr>
      <vt:lpstr>Bug</vt:lpstr>
      <vt:lpstr>BugBlocker</vt:lpstr>
      <vt:lpstr>BugCritical</vt:lpstr>
      <vt:lpstr>BugInfo</vt:lpstr>
      <vt:lpstr>BugMajor</vt:lpstr>
      <vt:lpstr>BugMinor</vt:lpstr>
      <vt:lpstr>BugsAddedExposed</vt:lpstr>
      <vt:lpstr>BugsAddedExposedBenchmark</vt:lpstr>
      <vt:lpstr>ButToFeatureRatio</vt:lpstr>
      <vt:lpstr>ButToFeatureRatioBenchmark</vt:lpstr>
      <vt:lpstr>CalculatedRawScoreArchitecture</vt:lpstr>
      <vt:lpstr>CalculatedRawScoreCodeQuality</vt:lpstr>
      <vt:lpstr>CalculatedRawScoreEconomic</vt:lpstr>
      <vt:lpstr>CalculatedRawScoreOpenSource</vt:lpstr>
      <vt:lpstr>CalculatedRawScoreSecurity</vt:lpstr>
      <vt:lpstr>Classes</vt:lpstr>
      <vt:lpstr>CodeQualityRawScore</vt:lpstr>
      <vt:lpstr>CodeQualityWeight</vt:lpstr>
      <vt:lpstr>CodeQualityWeightedScore</vt:lpstr>
      <vt:lpstr>CodeSmell</vt:lpstr>
      <vt:lpstr>CodeSmellBlocker</vt:lpstr>
      <vt:lpstr>CodeSmellCitical</vt:lpstr>
      <vt:lpstr>CodeSmellInfo</vt:lpstr>
      <vt:lpstr>CodeSmellMajor</vt:lpstr>
      <vt:lpstr>CodeSmellMinor</vt:lpstr>
      <vt:lpstr>Cognitive</vt:lpstr>
      <vt:lpstr>CognitiveAverage</vt:lpstr>
      <vt:lpstr>CognitiveHigh</vt:lpstr>
      <vt:lpstr>CommentLines</vt:lpstr>
      <vt:lpstr>ComplexityScoreRaw</vt:lpstr>
      <vt:lpstr>CompositeScore</vt:lpstr>
      <vt:lpstr>CoreScoreFilesRaw</vt:lpstr>
      <vt:lpstr>CoreScoreLOCRaw</vt:lpstr>
      <vt:lpstr>CoreScoreRaw</vt:lpstr>
      <vt:lpstr>CriticalComponents</vt:lpstr>
      <vt:lpstr>CriticalCores</vt:lpstr>
      <vt:lpstr>CriticalCoresFiles</vt:lpstr>
      <vt:lpstr>CriticalCoresLOC</vt:lpstr>
      <vt:lpstr>CriticalFiles</vt:lpstr>
      <vt:lpstr>CriticalIssues</vt:lpstr>
      <vt:lpstr>CriticalVulnerabilities</vt:lpstr>
      <vt:lpstr>Customer</vt:lpstr>
      <vt:lpstr>Cyclomatic</vt:lpstr>
      <vt:lpstr>CyclomaticAverage</vt:lpstr>
      <vt:lpstr>CyclomaticHigh</vt:lpstr>
      <vt:lpstr>DefaultPoolSize</vt:lpstr>
      <vt:lpstr>Directories</vt:lpstr>
      <vt:lpstr>DISA_STIG_CRITICAL</vt:lpstr>
      <vt:lpstr>DISA_STIG_HIGH</vt:lpstr>
      <vt:lpstr>DISA_STIG_LOW</vt:lpstr>
      <vt:lpstr>DISA_STIG_MEDIUM</vt:lpstr>
      <vt:lpstr>Distribution</vt:lpstr>
      <vt:lpstr>DuplicatedBlocks</vt:lpstr>
      <vt:lpstr>DuplicatedFiles</vt:lpstr>
      <vt:lpstr>DuplicatedLines</vt:lpstr>
      <vt:lpstr>DuplicationScoreRaw</vt:lpstr>
      <vt:lpstr>EconomicHealthRawScore</vt:lpstr>
      <vt:lpstr>EconomicHealthWeight</vt:lpstr>
      <vt:lpstr>EconomicHealthWeightedScore</vt:lpstr>
      <vt:lpstr>EmergingCores</vt:lpstr>
      <vt:lpstr>EmergingCoresFiles</vt:lpstr>
      <vt:lpstr>EmergingCoresLOC</vt:lpstr>
      <vt:lpstr>FeatureCost</vt:lpstr>
      <vt:lpstr>FeatureCostBenchmark</vt:lpstr>
      <vt:lpstr>FeatureDays</vt:lpstr>
      <vt:lpstr>FeatureDaysBenchmark</vt:lpstr>
      <vt:lpstr>Files</vt:lpstr>
      <vt:lpstr>FilesOutsideCores</vt:lpstr>
      <vt:lpstr>FilesOutsideCoresLOC</vt:lpstr>
      <vt:lpstr>Functions</vt:lpstr>
      <vt:lpstr>HighComponents</vt:lpstr>
      <vt:lpstr>HighFiles</vt:lpstr>
      <vt:lpstr>HighVulnerabilities</vt:lpstr>
      <vt:lpstr>HignComplexityFiles</vt:lpstr>
      <vt:lpstr>HignComplexityFilesPercentage</vt:lpstr>
      <vt:lpstr>HignComplexityLOC</vt:lpstr>
      <vt:lpstr>HignComplexityLOCPercentage</vt:lpstr>
      <vt:lpstr>InfoIssues</vt:lpstr>
      <vt:lpstr>Issues</vt:lpstr>
      <vt:lpstr>IssuesScoreRaw</vt:lpstr>
      <vt:lpstr>Languages</vt:lpstr>
      <vt:lpstr>LargestCoreFiles</vt:lpstr>
      <vt:lpstr>LargestCoreLOC</vt:lpstr>
      <vt:lpstr>LargestCorePercentLOC</vt:lpstr>
      <vt:lpstr>License_1</vt:lpstr>
      <vt:lpstr>License_1_Components</vt:lpstr>
      <vt:lpstr>License_1_Files</vt:lpstr>
      <vt:lpstr>License_2</vt:lpstr>
      <vt:lpstr>License_2_Components</vt:lpstr>
      <vt:lpstr>License_2_Files</vt:lpstr>
      <vt:lpstr>License_3</vt:lpstr>
      <vt:lpstr>License_3_Components</vt:lpstr>
      <vt:lpstr>License_3_Files</vt:lpstr>
      <vt:lpstr>License_4</vt:lpstr>
      <vt:lpstr>License_4_Components</vt:lpstr>
      <vt:lpstr>License_4_Files</vt:lpstr>
      <vt:lpstr>License_5</vt:lpstr>
      <vt:lpstr>License_5_Components</vt:lpstr>
      <vt:lpstr>License_5_Files</vt:lpstr>
      <vt:lpstr>Lines</vt:lpstr>
      <vt:lpstr>LinesOfCode</vt:lpstr>
      <vt:lpstr>LocHighComplexity</vt:lpstr>
      <vt:lpstr>LocHighComplexityPercentage</vt:lpstr>
      <vt:lpstr>LOCInsideACorePercentage</vt:lpstr>
      <vt:lpstr>LocProblematicComplexity</vt:lpstr>
      <vt:lpstr>LocProblematicComplexityPercentage</vt:lpstr>
      <vt:lpstr>LowComplexityFiles</vt:lpstr>
      <vt:lpstr>LowComplexityFilesPercentage</vt:lpstr>
      <vt:lpstr>LowComplexityLOC</vt:lpstr>
      <vt:lpstr>LowComplexityLOCPercentage</vt:lpstr>
      <vt:lpstr>LowComponents</vt:lpstr>
      <vt:lpstr>LowFiles</vt:lpstr>
      <vt:lpstr>LowVulnerabilities</vt:lpstr>
      <vt:lpstr>MajorIssues</vt:lpstr>
      <vt:lpstr>MediumComplexityFiles</vt:lpstr>
      <vt:lpstr>MediumComplexityFilesPercentage</vt:lpstr>
      <vt:lpstr>MediumComplexityLOC</vt:lpstr>
      <vt:lpstr>MediumComplexityLOCPercentage</vt:lpstr>
      <vt:lpstr>MediumComponents</vt:lpstr>
      <vt:lpstr>MediumFiles</vt:lpstr>
      <vt:lpstr>MediumVulnerabilities</vt:lpstr>
      <vt:lpstr>MinorIssues</vt:lpstr>
      <vt:lpstr>NoVulnerabilities</vt:lpstr>
      <vt:lpstr>NoVulnerabilityComponents</vt:lpstr>
      <vt:lpstr>NumberOfDevelopers</vt:lpstr>
      <vt:lpstr>OpenSourceRawScore</vt:lpstr>
      <vt:lpstr>OpenSourceViolationScore</vt:lpstr>
      <vt:lpstr>OpenSourceWeight</vt:lpstr>
      <vt:lpstr>OpenSourceWeightedScore</vt:lpstr>
      <vt:lpstr>OS_Files</vt:lpstr>
      <vt:lpstr>'Fortify-DISA STIG'!OWASP_TOP_10_Critical</vt:lpstr>
      <vt:lpstr>OWASP_TOP_10_Critical</vt:lpstr>
      <vt:lpstr>'Fortify-DISA STIG'!OWASP_TOP_10_High</vt:lpstr>
      <vt:lpstr>OWASP_TOP_10_High</vt:lpstr>
      <vt:lpstr>'Fortify-DISA STIG'!OWASP_TOP_10_Low</vt:lpstr>
      <vt:lpstr>OWASP_TOP_10_Low</vt:lpstr>
      <vt:lpstr>'Fortify-DISA STIG'!OWASP_TOP_10_Medium</vt:lpstr>
      <vt:lpstr>OWASP_TOP_10_Medium</vt:lpstr>
      <vt:lpstr>OWASPIssueCount</vt:lpstr>
      <vt:lpstr>OWASPTopTenCalculatedScore</vt:lpstr>
      <vt:lpstr>OWASPTopTenRawScore</vt:lpstr>
      <vt:lpstr>OWASPTopTenWeight</vt:lpstr>
      <vt:lpstr>PCICalculatedScore</vt:lpstr>
      <vt:lpstr>PCIComplianceWeight</vt:lpstr>
      <vt:lpstr>PCIIssueCount</vt:lpstr>
      <vt:lpstr>PCIRawScore</vt:lpstr>
      <vt:lpstr>SetView!Print_Area</vt:lpstr>
      <vt:lpstr>Program</vt:lpstr>
      <vt:lpstr>ProprietorLicense</vt:lpstr>
      <vt:lpstr>Score</vt:lpstr>
      <vt:lpstr>sd</vt:lpstr>
      <vt:lpstr>SecurityRawScore</vt:lpstr>
      <vt:lpstr>SecurityWeight</vt:lpstr>
      <vt:lpstr>SecurityWeightedScore</vt:lpstr>
      <vt:lpstr>SingleChangeImpact</vt:lpstr>
      <vt:lpstr>Statements</vt:lpstr>
      <vt:lpstr>TotalComponents</vt:lpstr>
      <vt:lpstr>TotalCores</vt:lpstr>
      <vt:lpstr>TotalVulnerabilities</vt:lpstr>
      <vt:lpstr>TotalVulnerabilityComponents</vt:lpstr>
      <vt:lpstr>TotalVulnerabilityFiles</vt:lpstr>
      <vt:lpstr>Vendor</vt:lpstr>
      <vt:lpstr>Vulnerability</vt:lpstr>
      <vt:lpstr>VulnerabilityBlocker</vt:lpstr>
      <vt:lpstr>VulnerabilityCritical</vt:lpstr>
      <vt:lpstr>VulnerabilityInfo</vt:lpstr>
      <vt:lpstr>VulnerabilityMajor</vt:lpstr>
      <vt:lpstr>VulnerabilityMinor</vt:lpstr>
      <vt:lpstr>Waste</vt:lpstr>
      <vt:lpstr>WastePercentage</vt:lpstr>
      <vt:lpstr>WastePredicted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 Madison</dc:creator>
  <cp:lastModifiedBy>Niles Madison</cp:lastModifiedBy>
  <cp:revision>2</cp:revision>
  <cp:lastPrinted>2021-03-04T14:48:18Z</cp:lastPrinted>
  <dcterms:created xsi:type="dcterms:W3CDTF">2020-04-29T17:20:13Z</dcterms:created>
  <dcterms:modified xsi:type="dcterms:W3CDTF">2021-03-04T14:56:44Z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