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120" documentId="8_{FAD5B204-6EB3-49F7-9A83-6F4165FCFAA8}" xr6:coauthVersionLast="45" xr6:coauthVersionMax="45" xr10:uidLastSave="{02CB9F85-D611-4828-9CA0-323A6C477FDE}"/>
  <bookViews>
    <workbookView xWindow="-108" yWindow="-108" windowWidth="23256" windowHeight="12576" xr2:uid="{F7A41DBC-B1A6-4614-9F32-9625A3A73A95}"/>
  </bookViews>
  <sheets>
    <sheet name="Avd1-9 XbarS " sheetId="2" r:id="rId1"/>
    <sheet name="Ark1" sheetId="1" r:id="rId2"/>
  </sheets>
  <definedNames>
    <definedName name="_xlnm.Print_Area" localSheetId="0">'Avd1-9 XbarS '!$U$1:$AO$36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C6" i="1" s="1"/>
  <c r="AA7" i="1"/>
  <c r="AA8" i="1"/>
  <c r="AA9" i="1"/>
  <c r="AA10" i="1"/>
  <c r="AB10" i="1" s="1"/>
  <c r="AA11" i="1"/>
  <c r="AA12" i="1"/>
  <c r="AA13" i="1"/>
  <c r="AA2" i="1"/>
  <c r="X2" i="1" s="1"/>
  <c r="AC3" i="1"/>
  <c r="AB7" i="1"/>
  <c r="AB11" i="1"/>
  <c r="AC13" i="1"/>
  <c r="AC12" i="1"/>
  <c r="AC11" i="1"/>
  <c r="AC9" i="1"/>
  <c r="AC8" i="1"/>
  <c r="AC7" i="1"/>
  <c r="AC5" i="1"/>
  <c r="AC4" i="1"/>
  <c r="AB13" i="1"/>
  <c r="AB12" i="1"/>
  <c r="AB9" i="1"/>
  <c r="AB8" i="1"/>
  <c r="AB5" i="1"/>
  <c r="AB4" i="1"/>
  <c r="Y13" i="1"/>
  <c r="Y12" i="1"/>
  <c r="Y10" i="1"/>
  <c r="Y9" i="1"/>
  <c r="Y8" i="1"/>
  <c r="Y5" i="1"/>
  <c r="Y4" i="1"/>
  <c r="X13" i="1"/>
  <c r="X12" i="1"/>
  <c r="X10" i="1"/>
  <c r="X9" i="1"/>
  <c r="X8" i="1"/>
  <c r="X5" i="1"/>
  <c r="X4" i="1"/>
  <c r="Z3" i="1"/>
  <c r="Z4" i="1"/>
  <c r="Z5" i="1"/>
  <c r="Z6" i="1"/>
  <c r="Z7" i="1"/>
  <c r="Z8" i="1"/>
  <c r="Z9" i="1"/>
  <c r="Z10" i="1"/>
  <c r="Z11" i="1"/>
  <c r="Z12" i="1"/>
  <c r="Z13" i="1"/>
  <c r="Z2" i="1"/>
  <c r="W3" i="1"/>
  <c r="W4" i="1"/>
  <c r="W5" i="1"/>
  <c r="W6" i="1"/>
  <c r="W7" i="1"/>
  <c r="W8" i="1"/>
  <c r="W9" i="1"/>
  <c r="W10" i="1"/>
  <c r="W11" i="1"/>
  <c r="W12" i="1"/>
  <c r="W13" i="1"/>
  <c r="W2" i="1"/>
  <c r="V3" i="1"/>
  <c r="V4" i="1"/>
  <c r="V5" i="1"/>
  <c r="V6" i="1"/>
  <c r="V7" i="1"/>
  <c r="V8" i="1"/>
  <c r="V9" i="1"/>
  <c r="V10" i="1"/>
  <c r="V11" i="1"/>
  <c r="V12" i="1"/>
  <c r="V13" i="1"/>
  <c r="V2" i="1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U14" i="2"/>
  <c r="AB14" i="2" s="1"/>
  <c r="U15" i="2"/>
  <c r="AB15" i="2" s="1"/>
  <c r="U16" i="2"/>
  <c r="AB16" i="2" s="1"/>
  <c r="U17" i="2"/>
  <c r="AB17" i="2" s="1"/>
  <c r="U18" i="2"/>
  <c r="AB18" i="2" s="1"/>
  <c r="U19" i="2"/>
  <c r="AB19" i="2" s="1"/>
  <c r="U20" i="2"/>
  <c r="AB20" i="2" s="1"/>
  <c r="U21" i="2"/>
  <c r="AB21" i="2" s="1"/>
  <c r="U22" i="2"/>
  <c r="AB22" i="2" s="1"/>
  <c r="U23" i="2"/>
  <c r="AB23" i="2" s="1"/>
  <c r="U24" i="2"/>
  <c r="AB24" i="2" s="1"/>
  <c r="U25" i="2"/>
  <c r="AB25" i="2" s="1"/>
  <c r="U26" i="2"/>
  <c r="AB26" i="2" s="1"/>
  <c r="U27" i="2"/>
  <c r="AB27" i="2" s="1"/>
  <c r="U28" i="2"/>
  <c r="AB28" i="2" s="1"/>
  <c r="U29" i="2"/>
  <c r="AB29" i="2" s="1"/>
  <c r="U30" i="2"/>
  <c r="AB30" i="2" s="1"/>
  <c r="U31" i="2"/>
  <c r="AB31" i="2" s="1"/>
  <c r="U32" i="2"/>
  <c r="AB32" i="2" s="1"/>
  <c r="U33" i="2"/>
  <c r="AB33" i="2" s="1"/>
  <c r="U2" i="2"/>
  <c r="U3" i="2"/>
  <c r="AC3" i="2" s="1" a="1"/>
  <c r="AC3" i="2" s="1"/>
  <c r="U4" i="2"/>
  <c r="AC4" i="2" s="1" a="1"/>
  <c r="AC4" i="2" s="1"/>
  <c r="U5" i="2"/>
  <c r="AC5" i="2" s="1" a="1"/>
  <c r="AC5" i="2" s="1"/>
  <c r="U6" i="2"/>
  <c r="U7" i="2"/>
  <c r="AC7" i="2" s="1" a="1"/>
  <c r="AC7" i="2" s="1"/>
  <c r="U8" i="2"/>
  <c r="AC8" i="2" s="1" a="1"/>
  <c r="AC8" i="2" s="1"/>
  <c r="U9" i="2"/>
  <c r="AC9" i="2" s="1" a="1"/>
  <c r="AC9" i="2" s="1"/>
  <c r="U10" i="2"/>
  <c r="U11" i="2"/>
  <c r="AC11" i="2" s="1" a="1"/>
  <c r="AC11" i="2" s="1"/>
  <c r="U12" i="2"/>
  <c r="AC12" i="2" s="1" a="1"/>
  <c r="AC12" i="2" s="1"/>
  <c r="U13" i="2"/>
  <c r="AC13" i="2" s="1" a="1"/>
  <c r="AC13" i="2" s="1"/>
  <c r="AL2" i="2"/>
  <c r="AN2" i="2" s="1"/>
  <c r="AL3" i="2"/>
  <c r="AN3" i="2" s="1"/>
  <c r="AL4" i="2"/>
  <c r="AN4" i="2" s="1"/>
  <c r="AL5" i="2"/>
  <c r="AN5" i="2" s="1"/>
  <c r="AL6" i="2"/>
  <c r="AN6" i="2" s="1"/>
  <c r="AL7" i="2"/>
  <c r="AN7" i="2" s="1"/>
  <c r="AL8" i="2"/>
  <c r="AN8" i="2" s="1"/>
  <c r="AL9" i="2"/>
  <c r="AN9" i="2" s="1"/>
  <c r="AL10" i="2"/>
  <c r="AN10" i="2" s="1"/>
  <c r="AL11" i="2"/>
  <c r="AN11" i="2" s="1"/>
  <c r="AL12" i="2"/>
  <c r="AN12" i="2" s="1"/>
  <c r="AL13" i="2"/>
  <c r="AN13" i="2" s="1"/>
  <c r="AL14" i="2"/>
  <c r="AN14" i="2" s="1"/>
  <c r="AL15" i="2"/>
  <c r="AN15" i="2" s="1"/>
  <c r="AL16" i="2"/>
  <c r="AN16" i="2" s="1"/>
  <c r="AL17" i="2"/>
  <c r="AN17" i="2" s="1"/>
  <c r="AL18" i="2"/>
  <c r="AN18" i="2" s="1"/>
  <c r="AL19" i="2"/>
  <c r="AN19" i="2" s="1"/>
  <c r="AL20" i="2"/>
  <c r="AN20" i="2" s="1"/>
  <c r="AL21" i="2"/>
  <c r="AN21" i="2" s="1"/>
  <c r="AL22" i="2"/>
  <c r="AN22" i="2" s="1"/>
  <c r="AL23" i="2"/>
  <c r="AN23" i="2" s="1"/>
  <c r="AL24" i="2"/>
  <c r="AN24" i="2" s="1"/>
  <c r="AL25" i="2"/>
  <c r="AN25" i="2" s="1"/>
  <c r="AL26" i="2"/>
  <c r="AN26" i="2" s="1"/>
  <c r="AL27" i="2"/>
  <c r="AN27" i="2" s="1"/>
  <c r="AL28" i="2"/>
  <c r="AN28" i="2" s="1"/>
  <c r="AL29" i="2"/>
  <c r="AN29" i="2" s="1"/>
  <c r="AL30" i="2"/>
  <c r="AN30" i="2" s="1"/>
  <c r="AL31" i="2"/>
  <c r="AN31" i="2" s="1"/>
  <c r="AL32" i="2"/>
  <c r="AN32" i="2" s="1"/>
  <c r="AL33" i="2"/>
  <c r="AN33" i="2" s="1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X6" i="1" l="1"/>
  <c r="Y6" i="1"/>
  <c r="AB6" i="1"/>
  <c r="AC10" i="1"/>
  <c r="Y2" i="1"/>
  <c r="AB2" i="1"/>
  <c r="AC2" i="1"/>
  <c r="X3" i="1"/>
  <c r="X7" i="1"/>
  <c r="X11" i="1"/>
  <c r="Y3" i="1"/>
  <c r="Y7" i="1"/>
  <c r="Y11" i="1"/>
  <c r="AB3" i="1"/>
  <c r="AK9" i="2"/>
  <c r="AK5" i="2"/>
  <c r="AM33" i="2"/>
  <c r="AM29" i="2"/>
  <c r="AM25" i="2"/>
  <c r="AM21" i="2"/>
  <c r="AM17" i="2"/>
  <c r="AM13" i="2"/>
  <c r="AM9" i="2"/>
  <c r="AM5" i="2"/>
  <c r="AH33" i="2"/>
  <c r="AH29" i="2"/>
  <c r="AH25" i="2"/>
  <c r="AH21" i="2"/>
  <c r="AH17" i="2"/>
  <c r="AH13" i="2"/>
  <c r="AH9" i="2"/>
  <c r="AH5" i="2"/>
  <c r="AE13" i="2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E9" i="2"/>
  <c r="AG9" i="2" s="1"/>
  <c r="AE5" i="2"/>
  <c r="AG5" i="2" s="1"/>
  <c r="AK4" i="2"/>
  <c r="AM32" i="2"/>
  <c r="AM28" i="2"/>
  <c r="AM24" i="2"/>
  <c r="AM20" i="2"/>
  <c r="AM16" i="2"/>
  <c r="AM12" i="2"/>
  <c r="AM8" i="2"/>
  <c r="AM4" i="2"/>
  <c r="AH32" i="2"/>
  <c r="AH28" i="2"/>
  <c r="AH24" i="2"/>
  <c r="AH20" i="2"/>
  <c r="AH16" i="2"/>
  <c r="AH12" i="2"/>
  <c r="AH8" i="2"/>
  <c r="AH4" i="2"/>
  <c r="AE12" i="2"/>
  <c r="AG12" i="2" s="1"/>
  <c r="AE8" i="2"/>
  <c r="AG8" i="2" s="1"/>
  <c r="AE4" i="2"/>
  <c r="AG4" i="2" s="1"/>
  <c r="AM27" i="2"/>
  <c r="AM19" i="2"/>
  <c r="AM11" i="2"/>
  <c r="AM3" i="2"/>
  <c r="AH31" i="2"/>
  <c r="AH23" i="2"/>
  <c r="AH15" i="2"/>
  <c r="AH11" i="2"/>
  <c r="AE11" i="2" s="1"/>
  <c r="AH7" i="2"/>
  <c r="AK7" i="2" s="1"/>
  <c r="AE7" i="2"/>
  <c r="AF7" i="2" s="1"/>
  <c r="AK11" i="2"/>
  <c r="AM31" i="2"/>
  <c r="AM23" i="2"/>
  <c r="AM15" i="2"/>
  <c r="AM7" i="2"/>
  <c r="AH27" i="2"/>
  <c r="AH19" i="2"/>
  <c r="AH3" i="2"/>
  <c r="AE3" i="2" s="1"/>
  <c r="AK10" i="2"/>
  <c r="AK6" i="2"/>
  <c r="AK2" i="2"/>
  <c r="AM30" i="2"/>
  <c r="AM26" i="2"/>
  <c r="AM22" i="2"/>
  <c r="AM18" i="2"/>
  <c r="AM14" i="2"/>
  <c r="AM10" i="2"/>
  <c r="AM6" i="2"/>
  <c r="AM2" i="2"/>
  <c r="AH30" i="2"/>
  <c r="AH26" i="2"/>
  <c r="AH22" i="2"/>
  <c r="AH18" i="2"/>
  <c r="AH14" i="2"/>
  <c r="AH10" i="2"/>
  <c r="AH6" i="2"/>
  <c r="AH2" i="2"/>
  <c r="AE14" i="2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10" i="2"/>
  <c r="AG10" i="2" s="1"/>
  <c r="AE6" i="2"/>
  <c r="AG6" i="2" s="1"/>
  <c r="AE2" i="2"/>
  <c r="AG2" i="2" s="1"/>
  <c r="AB10" i="2"/>
  <c r="AB6" i="2"/>
  <c r="AB2" i="2"/>
  <c r="V33" i="2"/>
  <c r="V29" i="2"/>
  <c r="V25" i="2"/>
  <c r="V21" i="2"/>
  <c r="V17" i="2"/>
  <c r="V13" i="2"/>
  <c r="V9" i="2"/>
  <c r="V5" i="2"/>
  <c r="W33" i="2"/>
  <c r="W29" i="2"/>
  <c r="W25" i="2"/>
  <c r="W21" i="2"/>
  <c r="W17" i="2"/>
  <c r="W13" i="2"/>
  <c r="W9" i="2"/>
  <c r="W5" i="2"/>
  <c r="X33" i="2"/>
  <c r="X29" i="2"/>
  <c r="X25" i="2"/>
  <c r="X21" i="2"/>
  <c r="X17" i="2"/>
  <c r="X13" i="2"/>
  <c r="X9" i="2"/>
  <c r="X5" i="2"/>
  <c r="Z33" i="2"/>
  <c r="Z29" i="2"/>
  <c r="Z25" i="2"/>
  <c r="Z21" i="2"/>
  <c r="Z17" i="2"/>
  <c r="Z13" i="2"/>
  <c r="Z9" i="2"/>
  <c r="Z5" i="2"/>
  <c r="AA33" i="2"/>
  <c r="AA29" i="2"/>
  <c r="AA25" i="2"/>
  <c r="AA21" i="2"/>
  <c r="AA17" i="2"/>
  <c r="AA13" i="2"/>
  <c r="AA9" i="2"/>
  <c r="AA5" i="2"/>
  <c r="AB13" i="2"/>
  <c r="AB9" i="2"/>
  <c r="AB5" i="2"/>
  <c r="V32" i="2"/>
  <c r="V28" i="2"/>
  <c r="V24" i="2"/>
  <c r="V20" i="2"/>
  <c r="V16" i="2"/>
  <c r="V12" i="2"/>
  <c r="V8" i="2"/>
  <c r="V4" i="2"/>
  <c r="W32" i="2"/>
  <c r="W28" i="2"/>
  <c r="W24" i="2"/>
  <c r="W20" i="2"/>
  <c r="W16" i="2"/>
  <c r="W12" i="2"/>
  <c r="W8" i="2"/>
  <c r="W4" i="2"/>
  <c r="X32" i="2"/>
  <c r="X28" i="2"/>
  <c r="X24" i="2"/>
  <c r="X20" i="2"/>
  <c r="X16" i="2"/>
  <c r="X12" i="2"/>
  <c r="X8" i="2"/>
  <c r="X4" i="2"/>
  <c r="Z32" i="2"/>
  <c r="Z28" i="2"/>
  <c r="Z24" i="2"/>
  <c r="Z20" i="2"/>
  <c r="Z16" i="2"/>
  <c r="Z12" i="2"/>
  <c r="Z8" i="2"/>
  <c r="Z4" i="2"/>
  <c r="AA32" i="2"/>
  <c r="AA28" i="2"/>
  <c r="AA24" i="2"/>
  <c r="AA20" i="2"/>
  <c r="AA16" i="2"/>
  <c r="AA12" i="2"/>
  <c r="AA8" i="2"/>
  <c r="AA4" i="2"/>
  <c r="AB12" i="2"/>
  <c r="AB8" i="2"/>
  <c r="AB4" i="2"/>
  <c r="AC2" i="2" a="1"/>
  <c r="AC2" i="2" s="1"/>
  <c r="AC10" i="2" a="1"/>
  <c r="AC10" i="2" s="1"/>
  <c r="AC6" i="2" a="1"/>
  <c r="AC6" i="2" s="1"/>
  <c r="V31" i="2"/>
  <c r="V27" i="2"/>
  <c r="V23" i="2"/>
  <c r="V19" i="2"/>
  <c r="V15" i="2"/>
  <c r="V11" i="2"/>
  <c r="V7" i="2"/>
  <c r="V3" i="2"/>
  <c r="W31" i="2"/>
  <c r="W27" i="2"/>
  <c r="W23" i="2"/>
  <c r="W19" i="2"/>
  <c r="W15" i="2"/>
  <c r="W11" i="2"/>
  <c r="W7" i="2"/>
  <c r="W3" i="2"/>
  <c r="X31" i="2"/>
  <c r="X27" i="2"/>
  <c r="X23" i="2"/>
  <c r="X19" i="2"/>
  <c r="X15" i="2"/>
  <c r="X11" i="2"/>
  <c r="X7" i="2"/>
  <c r="X3" i="2"/>
  <c r="Z31" i="2"/>
  <c r="Z27" i="2"/>
  <c r="Z23" i="2"/>
  <c r="Z19" i="2"/>
  <c r="Z15" i="2"/>
  <c r="Z11" i="2"/>
  <c r="Z7" i="2"/>
  <c r="Z3" i="2"/>
  <c r="AA31" i="2"/>
  <c r="AA27" i="2"/>
  <c r="AA23" i="2"/>
  <c r="AA19" i="2"/>
  <c r="AA15" i="2"/>
  <c r="AA11" i="2"/>
  <c r="AA7" i="2"/>
  <c r="AA3" i="2"/>
  <c r="AB11" i="2"/>
  <c r="AB7" i="2"/>
  <c r="AB3" i="2"/>
  <c r="V30" i="2"/>
  <c r="V26" i="2"/>
  <c r="V22" i="2"/>
  <c r="V18" i="2"/>
  <c r="V14" i="2"/>
  <c r="V10" i="2"/>
  <c r="V6" i="2"/>
  <c r="V2" i="2"/>
  <c r="W30" i="2"/>
  <c r="W26" i="2"/>
  <c r="W22" i="2"/>
  <c r="W18" i="2"/>
  <c r="W14" i="2"/>
  <c r="W10" i="2"/>
  <c r="W6" i="2"/>
  <c r="W2" i="2"/>
  <c r="X30" i="2"/>
  <c r="X26" i="2"/>
  <c r="X22" i="2"/>
  <c r="X18" i="2"/>
  <c r="X14" i="2"/>
  <c r="X10" i="2"/>
  <c r="X6" i="2"/>
  <c r="X2" i="2"/>
  <c r="Z30" i="2"/>
  <c r="Z26" i="2"/>
  <c r="Z22" i="2"/>
  <c r="Z18" i="2"/>
  <c r="Z14" i="2"/>
  <c r="Z10" i="2"/>
  <c r="Z6" i="2"/>
  <c r="Z2" i="2"/>
  <c r="AA30" i="2"/>
  <c r="AA26" i="2"/>
  <c r="AA22" i="2"/>
  <c r="AA18" i="2"/>
  <c r="AA14" i="2"/>
  <c r="AA10" i="2"/>
  <c r="AA6" i="2"/>
  <c r="AA2" i="2"/>
  <c r="AF6" i="2" l="1"/>
  <c r="AF10" i="2"/>
  <c r="AF8" i="2"/>
  <c r="AF2" i="2"/>
  <c r="AF13" i="2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I8" i="2"/>
  <c r="AF9" i="2"/>
  <c r="AF4" i="2"/>
  <c r="AJ9" i="2"/>
  <c r="AJ2" i="2"/>
  <c r="AI12" i="2"/>
  <c r="AF5" i="2"/>
  <c r="AJ13" i="2"/>
  <c r="AJ14" i="2" s="1"/>
  <c r="AJ15" i="2" s="1"/>
  <c r="AJ16" i="2" s="1"/>
  <c r="AJ17" i="2" s="1"/>
  <c r="AJ18" i="2" s="1"/>
  <c r="AJ19" i="2" s="1"/>
  <c r="AJ20" i="2" s="1"/>
  <c r="AJ21" i="2" s="1"/>
  <c r="AJ22" i="2" s="1"/>
  <c r="AJ23" i="2" s="1"/>
  <c r="AJ24" i="2" s="1"/>
  <c r="AJ25" i="2" s="1"/>
  <c r="AJ26" i="2" s="1"/>
  <c r="AJ27" i="2" s="1"/>
  <c r="AJ28" i="2" s="1"/>
  <c r="AJ29" i="2" s="1"/>
  <c r="AJ30" i="2" s="1"/>
  <c r="AJ31" i="2" s="1"/>
  <c r="AJ32" i="2" s="1"/>
  <c r="AJ33" i="2" s="1"/>
  <c r="AJ6" i="2"/>
  <c r="AJ10" i="2"/>
  <c r="AI4" i="2"/>
  <c r="AJ4" i="2"/>
  <c r="AJ5" i="2"/>
  <c r="AG11" i="2"/>
  <c r="AF11" i="2"/>
  <c r="AJ11" i="2"/>
  <c r="AI11" i="2"/>
  <c r="AF3" i="2"/>
  <c r="AG3" i="2"/>
  <c r="AI3" i="2"/>
  <c r="AG7" i="2"/>
  <c r="AJ8" i="2"/>
  <c r="AJ12" i="2"/>
  <c r="AK13" i="2"/>
  <c r="AK14" i="2" s="1"/>
  <c r="AK15" i="2" s="1"/>
  <c r="AK16" i="2" s="1"/>
  <c r="AK17" i="2" s="1"/>
  <c r="AK18" i="2" s="1"/>
  <c r="AK19" i="2" s="1"/>
  <c r="AK20" i="2" s="1"/>
  <c r="AK21" i="2" s="1"/>
  <c r="AK22" i="2" s="1"/>
  <c r="AK23" i="2" s="1"/>
  <c r="AK24" i="2" s="1"/>
  <c r="AK25" i="2" s="1"/>
  <c r="AK26" i="2" s="1"/>
  <c r="AK27" i="2" s="1"/>
  <c r="AK28" i="2" s="1"/>
  <c r="AK29" i="2" s="1"/>
  <c r="AK30" i="2" s="1"/>
  <c r="AK31" i="2" s="1"/>
  <c r="AK32" i="2" s="1"/>
  <c r="AK33" i="2" s="1"/>
  <c r="AJ3" i="2"/>
  <c r="AI7" i="2"/>
  <c r="AF12" i="2"/>
  <c r="AK8" i="2"/>
  <c r="AK12" i="2"/>
  <c r="AI2" i="2"/>
  <c r="AI6" i="2"/>
  <c r="AI10" i="2"/>
  <c r="AK3" i="2"/>
  <c r="AJ7" i="2"/>
  <c r="AI5" i="2"/>
  <c r="AI9" i="2"/>
  <c r="AI13" i="2"/>
  <c r="AI14" i="2" s="1"/>
  <c r="AI15" i="2" s="1"/>
  <c r="AI16" i="2" s="1"/>
  <c r="AI17" i="2" s="1"/>
  <c r="AI18" i="2" s="1"/>
  <c r="AI19" i="2" s="1"/>
  <c r="AI20" i="2" s="1"/>
  <c r="AI21" i="2" s="1"/>
  <c r="AI22" i="2" s="1"/>
  <c r="AI23" i="2" s="1"/>
  <c r="AI24" i="2" s="1"/>
  <c r="AI25" i="2" s="1"/>
  <c r="AI26" i="2" s="1"/>
  <c r="AI27" i="2" s="1"/>
  <c r="AI28" i="2" s="1"/>
  <c r="AI29" i="2" s="1"/>
  <c r="AI30" i="2" s="1"/>
  <c r="AI31" i="2" s="1"/>
  <c r="AI32" i="2" s="1"/>
  <c r="AI33" i="2" s="1"/>
</calcChain>
</file>

<file path=xl/sharedStrings.xml><?xml version="1.0" encoding="utf-8"?>
<sst xmlns="http://schemas.openxmlformats.org/spreadsheetml/2006/main" count="95" uniqueCount="57">
  <si>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</si>
  <si>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</si>
  <si>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</si>
  <si>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</si>
  <si>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</si>
  <si>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</si>
  <si>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</si>
  <si>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</si>
  <si>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</si>
  <si>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</si>
  <si>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</si>
  <si>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</si>
  <si>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Avd1</t>
  </si>
  <si>
    <t>Avd2</t>
  </si>
  <si>
    <t>Avd3</t>
  </si>
  <si>
    <t>Avd4</t>
  </si>
  <si>
    <t>Avd5</t>
  </si>
  <si>
    <t>Avd6</t>
  </si>
  <si>
    <t>Avd7</t>
  </si>
  <si>
    <t>Avd8</t>
  </si>
  <si>
    <t>Avd9</t>
  </si>
  <si>
    <t>Avd10</t>
  </si>
  <si>
    <t>Avd11</t>
  </si>
  <si>
    <t>Avd12</t>
  </si>
  <si>
    <t>Avd13</t>
  </si>
  <si>
    <t>Avd14</t>
  </si>
  <si>
    <t>Avd15</t>
  </si>
  <si>
    <t>Avd16</t>
  </si>
  <si>
    <t>Avd17</t>
  </si>
  <si>
    <t>Avd18</t>
  </si>
  <si>
    <t>Avd19</t>
  </si>
  <si>
    <t>XAve</t>
  </si>
  <si>
    <t>Stdev</t>
  </si>
  <si>
    <t>UCL</t>
  </si>
  <si>
    <t xml:space="preserve"> +2 Sigma</t>
  </si>
  <si>
    <t xml:space="preserve"> +1 Sigma</t>
  </si>
  <si>
    <t>Average</t>
  </si>
  <si>
    <t xml:space="preserve"> -1 Sigma</t>
  </si>
  <si>
    <t xml:space="preserve"> -2 Sigma</t>
  </si>
  <si>
    <t>LCL</t>
  </si>
  <si>
    <t>B3 for XbarS</t>
  </si>
  <si>
    <t>B4 for XbarS</t>
  </si>
  <si>
    <t>A3 for XbarS</t>
  </si>
  <si>
    <t>c4 for XbarS Stdev</t>
  </si>
  <si>
    <t>Sample Size</t>
  </si>
  <si>
    <t>Weighted Average</t>
  </si>
  <si>
    <t>Weighted Stdev</t>
  </si>
  <si>
    <t>Pooled Var</t>
  </si>
  <si>
    <t>Xbar</t>
  </si>
  <si>
    <t>Xdbar</t>
  </si>
  <si>
    <t>sd</t>
  </si>
  <si>
    <t>sdbar</t>
  </si>
  <si>
    <t>UCLX</t>
  </si>
  <si>
    <t>LCLX</t>
  </si>
  <si>
    <t>UCLS</t>
  </si>
  <si>
    <t>LCLS</t>
  </si>
  <si>
    <t>Måned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</si>
</sst>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7" fontId="2" fillId="2" borderId="0" xfId="1" applyNumberFormat="1" applyFont="1" applyFill="1" applyBorder="1" applyAlignment="1">
      <alignment horizontal="center"/>
    </xf>
    <xf numFmtId="0" fontId="0" fillId="2" borderId="0" xfId="0" applyFill="1"/>
    <xf numFmtId="164" fontId="0" fillId="2" borderId="0" xfId="0" applyNumberFormat="1" applyFill="1"/>
  </cellXfs>
  <cellStyles count="2">
    <cellStyle name="Normal" xfId="0" builtinId="0"/>
    <cellStyle name="Normal_samp data" xfId="1" xr:uid="{B688BAA7-A9C9-4B04-B599-E61078B57C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>
                <a:solidFill>
                  <a:srgbClr val="000000"/>
                </a:solidFill>
                <a:latin typeface=" +mn-lt"/>
              </a:defRPr>
            </a:pPr>
            <a:r>
              <a:rPr lang="nb-NO" sz="1800" b="1" i="0">
                <a:solidFill>
                  <a:srgbClr val="000000"/>
                </a:solidFill>
                <a:latin typeface=" +mn-lt"/>
              </a:rPr>
              <a:t>Avd1-19 - S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'Avd1-9 XbarS '!$AD$1</c:f>
              <c:strCache>
                <c:ptCount val="1"/>
                <c:pt idx="0">
                  <c:v>Stdev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  <a:effectLst/>
          </c:spPr>
          <c:marker>
            <c:symbol val="circle"/>
            <c:size val="6"/>
            <c:spPr>
              <a:solidFill>
                <a:srgbClr val="000080"/>
              </a:solidFill>
              <a:ln w="12700">
                <a:solidFill>
                  <a:srgbClr val="000080"/>
                </a:solidFill>
                <a:prstDash val="solid"/>
              </a:ln>
            </c:spPr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'!$AD$2:$AD$13</c:f>
              <c:numCache>
                <c:formatCode>0.0</c:formatCode>
                <c:ptCount val="12"/>
                <c:pt idx="0">
                  <c:v>12.408452642037883</c:v>
                </c:pt>
                <c:pt idx="1">
                  <c:v>11.197587459461111</c:v>
                </c:pt>
                <c:pt idx="2">
                  <c:v>12.764161136706539</c:v>
                </c:pt>
                <c:pt idx="3">
                  <c:v>13.241812120525429</c:v>
                </c:pt>
                <c:pt idx="4">
                  <c:v>12.408452642037883</c:v>
                </c:pt>
                <c:pt idx="5">
                  <c:v>11.498792207106893</c:v>
                </c:pt>
                <c:pt idx="6">
                  <c:v>12.764161136706539</c:v>
                </c:pt>
                <c:pt idx="7">
                  <c:v>13.241812120525429</c:v>
                </c:pt>
                <c:pt idx="8">
                  <c:v>12.408452642037883</c:v>
                </c:pt>
                <c:pt idx="9">
                  <c:v>11.197587459461111</c:v>
                </c:pt>
                <c:pt idx="10">
                  <c:v>12.764161136706539</c:v>
                </c:pt>
                <c:pt idx="11">
                  <c:v>13.241812120525429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11-4618-8552-2EC3775C97EF}"/>
            </c:ext>
          </c:extLst>
        </c:ser>
        <c:ser>
          <c:idx val="1"/>
          <c:order val="1"/>
          <c:tx>
            <c:strRef>
              <c:f>'Avd1-9 XbarS '!$AE$1</c:f>
              <c:strCache>
                <c:ptCount val="1"/>
                <c:pt idx="0">
                  <c:v>UCL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3658686838790499E-2"/>
                  <c:y val="-2.092148430518020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UCL</a:t>
                    </a:r>
                  </a:p>
                </c:rich>
              </c:tx>
              <c:numFmt formatCode="0.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711-4618-8552-2EC3775C97EF}"/>
                </c:ext>
              </c:extLst>
            </c:dLbl>
            <c:dLbl>
              <c:idx val="10"/>
              <c:layout>
                <c:manualLayout>
                  <c:x val="-1.3658686838790698E-2"/>
                  <c:y val="-2.0921484305180246E-2"/>
                </c:manualLayout>
              </c:layout>
              <c:numFmt formatCode="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nb-N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711-4618-8552-2EC3775C97E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'!$AE$2:$AE$13</c:f>
              <c:numCache>
                <c:formatCode>0.0</c:formatCode>
                <c:ptCount val="12"/>
                <c:pt idx="0">
                  <c:v>20.456658748336537</c:v>
                </c:pt>
                <c:pt idx="1">
                  <c:v>18.679439914185792</c:v>
                </c:pt>
                <c:pt idx="2">
                  <c:v>19.536979071922865</c:v>
                </c:pt>
                <c:pt idx="3">
                  <c:v>19.064711129980708</c:v>
                </c:pt>
                <c:pt idx="4">
                  <c:v>20.456658748336537</c:v>
                </c:pt>
                <c:pt idx="5">
                  <c:v>18.865861470215592</c:v>
                </c:pt>
                <c:pt idx="6">
                  <c:v>19.536979071922865</c:v>
                </c:pt>
                <c:pt idx="7">
                  <c:v>19.064711129980708</c:v>
                </c:pt>
                <c:pt idx="8">
                  <c:v>20.456658748336537</c:v>
                </c:pt>
                <c:pt idx="9">
                  <c:v>18.679439914185792</c:v>
                </c:pt>
                <c:pt idx="10">
                  <c:v>19.536979071922865</c:v>
                </c:pt>
                <c:pt idx="11">
                  <c:v>19.064711129980708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11-4618-8552-2EC3775C97EF}"/>
            </c:ext>
          </c:extLst>
        </c:ser>
        <c:ser>
          <c:idx val="2"/>
          <c:order val="2"/>
          <c:tx>
            <c:strRef>
              <c:f>'Avd1-9 XbarS '!$AF$1</c:f>
              <c:strCache>
                <c:ptCount val="1"/>
                <c:pt idx="0">
                  <c:v> +2 Sigma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A5A5A5">
                      <a:shade val="76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'!$AF$2:$AF$13</c:f>
              <c:numCache>
                <c:formatCode>0.0</c:formatCode>
                <c:ptCount val="12"/>
                <c:pt idx="0">
                  <c:v>17.780473743997653</c:v>
                </c:pt>
                <c:pt idx="1">
                  <c:v>16.595661187897157</c:v>
                </c:pt>
                <c:pt idx="2">
                  <c:v>17.167353959721872</c:v>
                </c:pt>
                <c:pt idx="3">
                  <c:v>16.852508665093769</c:v>
                </c:pt>
                <c:pt idx="4">
                  <c:v>17.780473743997653</c:v>
                </c:pt>
                <c:pt idx="5">
                  <c:v>16.719942225250357</c:v>
                </c:pt>
                <c:pt idx="6">
                  <c:v>17.167353959721872</c:v>
                </c:pt>
                <c:pt idx="7">
                  <c:v>16.852508665093769</c:v>
                </c:pt>
                <c:pt idx="8">
                  <c:v>17.780473743997653</c:v>
                </c:pt>
                <c:pt idx="9">
                  <c:v>16.595661187897157</c:v>
                </c:pt>
                <c:pt idx="10">
                  <c:v>17.167353959721872</c:v>
                </c:pt>
                <c:pt idx="11">
                  <c:v>16.852508665093769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11-4618-8552-2EC3775C97EF}"/>
            </c:ext>
          </c:extLst>
        </c:ser>
        <c:ser>
          <c:idx val="3"/>
          <c:order val="3"/>
          <c:tx>
            <c:strRef>
              <c:f>'Avd1-9 XbarS '!$AG$1</c:f>
              <c:strCache>
                <c:ptCount val="1"/>
                <c:pt idx="0">
                  <c:v> +1 Sigma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FFC000">
                      <a:shade val="76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'!$AG$2:$AG$13</c:f>
              <c:numCache>
                <c:formatCode>0.0</c:formatCode>
                <c:ptCount val="12"/>
                <c:pt idx="0">
                  <c:v>15.10428873965877</c:v>
                </c:pt>
                <c:pt idx="1">
                  <c:v>14.511882461608522</c:v>
                </c:pt>
                <c:pt idx="2">
                  <c:v>14.797728847520879</c:v>
                </c:pt>
                <c:pt idx="3">
                  <c:v>14.640306200206828</c:v>
                </c:pt>
                <c:pt idx="4">
                  <c:v>15.10428873965877</c:v>
                </c:pt>
                <c:pt idx="5">
                  <c:v>14.574022980285122</c:v>
                </c:pt>
                <c:pt idx="6">
                  <c:v>14.797728847520879</c:v>
                </c:pt>
                <c:pt idx="7">
                  <c:v>14.640306200206828</c:v>
                </c:pt>
                <c:pt idx="8">
                  <c:v>15.10428873965877</c:v>
                </c:pt>
                <c:pt idx="9">
                  <c:v>14.511882461608522</c:v>
                </c:pt>
                <c:pt idx="10">
                  <c:v>14.797728847520879</c:v>
                </c:pt>
                <c:pt idx="11">
                  <c:v>14.640306200206828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11-4618-8552-2EC3775C97EF}"/>
            </c:ext>
          </c:extLst>
        </c:ser>
        <c:ser>
          <c:idx val="4"/>
          <c:order val="4"/>
          <c:tx>
            <c:strRef>
              <c:f>'Avd1-9 XbarS '!$AH$1</c:f>
              <c:strCache>
                <c:ptCount val="1"/>
                <c:pt idx="0">
                  <c:v>Average</c:v>
                </c:pt>
              </c:strCache>
            </c:strRef>
          </c:tx>
          <c:spPr>
            <a:ln w="12700">
              <a:solidFill>
                <a:srgbClr val="009999"/>
              </a:solidFill>
              <a:prstDash val="solid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3658686838790499E-2"/>
                  <c:y val="-2.092148430518020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CL</a:t>
                    </a:r>
                  </a:p>
                </c:rich>
              </c:tx>
              <c:numFmt formatCode="0.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D711-4618-8552-2EC3775C97EF}"/>
                </c:ext>
              </c:extLst>
            </c:dLbl>
            <c:dLbl>
              <c:idx val="10"/>
              <c:layout>
                <c:manualLayout>
                  <c:x val="-1.3658686838790698E-2"/>
                  <c:y val="-2.0921484305180208E-2"/>
                </c:manualLayout>
              </c:layout>
              <c:numFmt formatCode="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nb-N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711-4618-8552-2EC3775C97E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'!$AH$2:$AH$13</c:f>
              <c:numCache>
                <c:formatCode>0.0</c:formatCode>
                <c:ptCount val="12"/>
                <c:pt idx="0">
                  <c:v>12.428103735319889</c:v>
                </c:pt>
                <c:pt idx="1">
                  <c:v>12.428103735319889</c:v>
                </c:pt>
                <c:pt idx="2">
                  <c:v>12.428103735319889</c:v>
                </c:pt>
                <c:pt idx="3">
                  <c:v>12.428103735319889</c:v>
                </c:pt>
                <c:pt idx="4">
                  <c:v>12.428103735319889</c:v>
                </c:pt>
                <c:pt idx="5">
                  <c:v>12.428103735319889</c:v>
                </c:pt>
                <c:pt idx="6">
                  <c:v>12.428103735319889</c:v>
                </c:pt>
                <c:pt idx="7">
                  <c:v>12.428103735319889</c:v>
                </c:pt>
                <c:pt idx="8">
                  <c:v>12.428103735319889</c:v>
                </c:pt>
                <c:pt idx="9">
                  <c:v>12.428103735319889</c:v>
                </c:pt>
                <c:pt idx="10">
                  <c:v>12.428103735319889</c:v>
                </c:pt>
                <c:pt idx="11">
                  <c:v>12.428103735319889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711-4618-8552-2EC3775C97EF}"/>
            </c:ext>
          </c:extLst>
        </c:ser>
        <c:ser>
          <c:idx val="5"/>
          <c:order val="5"/>
          <c:tx>
            <c:strRef>
              <c:f>'Avd1-9 XbarS '!$AI$1</c:f>
              <c:strCache>
                <c:ptCount val="1"/>
                <c:pt idx="0">
                  <c:v> -1 Sigma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70AD47">
                      <a:shade val="76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'!$AI$2:$AI$13</c:f>
              <c:numCache>
                <c:formatCode>0.0</c:formatCode>
                <c:ptCount val="12"/>
                <c:pt idx="0">
                  <c:v>9.7519187309810071</c:v>
                </c:pt>
                <c:pt idx="1">
                  <c:v>10.344325009031255</c:v>
                </c:pt>
                <c:pt idx="2">
                  <c:v>10.058478623118898</c:v>
                </c:pt>
                <c:pt idx="3">
                  <c:v>10.215901270432949</c:v>
                </c:pt>
                <c:pt idx="4">
                  <c:v>9.7519187309810071</c:v>
                </c:pt>
                <c:pt idx="5">
                  <c:v>10.282184490354656</c:v>
                </c:pt>
                <c:pt idx="6">
                  <c:v>10.058478623118898</c:v>
                </c:pt>
                <c:pt idx="7">
                  <c:v>10.215901270432949</c:v>
                </c:pt>
                <c:pt idx="8">
                  <c:v>9.7519187309810071</c:v>
                </c:pt>
                <c:pt idx="9">
                  <c:v>10.344325009031255</c:v>
                </c:pt>
                <c:pt idx="10">
                  <c:v>10.058478623118898</c:v>
                </c:pt>
                <c:pt idx="11">
                  <c:v>10.215901270432949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711-4618-8552-2EC3775C97EF}"/>
            </c:ext>
          </c:extLst>
        </c:ser>
        <c:ser>
          <c:idx val="6"/>
          <c:order val="6"/>
          <c:tx>
            <c:strRef>
              <c:f>'Avd1-9 XbarS '!$AJ$1</c:f>
              <c:strCache>
                <c:ptCount val="1"/>
                <c:pt idx="0">
                  <c:v> -2 Sigma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4472C4">
                      <a:tint val="77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'!$AJ$2:$AJ$13</c:f>
              <c:numCache>
                <c:formatCode>0.0</c:formatCode>
                <c:ptCount val="12"/>
                <c:pt idx="0">
                  <c:v>7.0757337266421239</c:v>
                </c:pt>
                <c:pt idx="1">
                  <c:v>8.2605462827426201</c:v>
                </c:pt>
                <c:pt idx="2">
                  <c:v>7.6888535109179053</c:v>
                </c:pt>
                <c:pt idx="3">
                  <c:v>8.0036988055460085</c:v>
                </c:pt>
                <c:pt idx="4">
                  <c:v>7.0757337266421239</c:v>
                </c:pt>
                <c:pt idx="5">
                  <c:v>8.1362652453894206</c:v>
                </c:pt>
                <c:pt idx="6">
                  <c:v>7.6888535109179053</c:v>
                </c:pt>
                <c:pt idx="7">
                  <c:v>8.0036988055460085</c:v>
                </c:pt>
                <c:pt idx="8">
                  <c:v>7.0757337266421239</c:v>
                </c:pt>
                <c:pt idx="9">
                  <c:v>8.2605462827426201</c:v>
                </c:pt>
                <c:pt idx="10">
                  <c:v>7.6888535109179053</c:v>
                </c:pt>
                <c:pt idx="11">
                  <c:v>8.0036988055460085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711-4618-8552-2EC3775C97EF}"/>
            </c:ext>
          </c:extLst>
        </c:ser>
        <c:ser>
          <c:idx val="7"/>
          <c:order val="7"/>
          <c:tx>
            <c:strRef>
              <c:f>'Avd1-9 XbarS '!$AK$1</c:f>
              <c:strCache>
                <c:ptCount val="1"/>
                <c:pt idx="0">
                  <c:v>LCL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3658686838790499E-2"/>
                  <c:y val="-2.0921484305180284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LCL</a:t>
                    </a:r>
                  </a:p>
                </c:rich>
              </c:tx>
              <c:numFmt formatCode="0.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D711-4618-8552-2EC3775C97EF}"/>
                </c:ext>
              </c:extLst>
            </c:dLbl>
            <c:dLbl>
              <c:idx val="10"/>
              <c:layout>
                <c:manualLayout>
                  <c:x val="-1.3658686838790698E-2"/>
                  <c:y val="-2.0921484305180361E-2"/>
                </c:manualLayout>
              </c:layout>
              <c:numFmt formatCode="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nb-N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711-4618-8552-2EC3775C97E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'!$AK$2:$AK$13</c:f>
              <c:numCache>
                <c:formatCode>0.0</c:formatCode>
                <c:ptCount val="12"/>
                <c:pt idx="0">
                  <c:v>4.3995487223032406</c:v>
                </c:pt>
                <c:pt idx="1">
                  <c:v>6.176767556453985</c:v>
                </c:pt>
                <c:pt idx="2">
                  <c:v>5.3192283987169127</c:v>
                </c:pt>
                <c:pt idx="3">
                  <c:v>5.7914963406590685</c:v>
                </c:pt>
                <c:pt idx="4">
                  <c:v>4.3995487223032406</c:v>
                </c:pt>
                <c:pt idx="5">
                  <c:v>5.9903460004241857</c:v>
                </c:pt>
                <c:pt idx="6">
                  <c:v>5.3192283987169127</c:v>
                </c:pt>
                <c:pt idx="7">
                  <c:v>5.7914963406590685</c:v>
                </c:pt>
                <c:pt idx="8">
                  <c:v>4.3995487223032406</c:v>
                </c:pt>
                <c:pt idx="9">
                  <c:v>6.176767556453985</c:v>
                </c:pt>
                <c:pt idx="10">
                  <c:v>5.3192283987169127</c:v>
                </c:pt>
                <c:pt idx="11">
                  <c:v>5.7914963406590685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711-4618-8552-2EC3775C9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15423"/>
        <c:axId val="27742911"/>
      </c:lineChart>
      <c:catAx>
        <c:axId val="39815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>
                    <a:solidFill>
                      <a:srgbClr val="000000"/>
                    </a:solidFill>
                    <a:latin typeface=" +mn-lt"/>
                  </a:defRPr>
                </a:pPr>
                <a:r>
                  <a:rPr lang="nb-NO" sz="1000" b="1" i="0">
                    <a:solidFill>
                      <a:srgbClr val="000000"/>
                    </a:solidFill>
                    <a:latin typeface=" +mn-lt"/>
                  </a:rPr>
                  <a:t>Jan - Des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42911"/>
        <c:crosses val="autoZero"/>
        <c:auto val="0"/>
        <c:lblAlgn val="ctr"/>
        <c:lblOffset val="100"/>
        <c:noMultiLvlLbl val="0"/>
      </c:catAx>
      <c:valAx>
        <c:axId val="277429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>
                    <a:solidFill>
                      <a:srgbClr val="000000"/>
                    </a:solidFill>
                    <a:latin typeface=" +mn-lt"/>
                  </a:defRPr>
                </a:pPr>
                <a:r>
                  <a:rPr lang="nb-NO" sz="1000" b="1" i="0">
                    <a:solidFill>
                      <a:srgbClr val="000000"/>
                    </a:solidFill>
                    <a:latin typeface=" +mn-lt"/>
                  </a:rPr>
                  <a:t>Stdev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39815423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>
                <a:solidFill>
                  <a:srgbClr val="000000"/>
                </a:solidFill>
                <a:latin typeface=" +mn-lt"/>
              </a:defRPr>
            </a:pPr>
            <a:r>
              <a:rPr lang="nb-NO" sz="1800" b="1" i="0">
                <a:solidFill>
                  <a:srgbClr val="000000"/>
                </a:solidFill>
                <a:latin typeface=" +mn-lt"/>
              </a:rPr>
              <a:t>Avd1-19 - X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'Avd1-9 XbarS '!$U$1</c:f>
              <c:strCache>
                <c:ptCount val="1"/>
                <c:pt idx="0">
                  <c:v>XAve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  <a:effectLst/>
          </c:spPr>
          <c:marker>
            <c:symbol val="circle"/>
            <c:size val="6"/>
            <c:spPr>
              <a:solidFill>
                <a:srgbClr val="000080"/>
              </a:solidFill>
              <a:ln w="12700">
                <a:solidFill>
                  <a:srgbClr val="000080"/>
                </a:solidFill>
                <a:prstDash val="solid"/>
              </a:ln>
            </c:spPr>
          </c:marker>
          <c:dPt>
            <c:idx val="0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C804-48E8-A4BE-930ACA8D0629}"/>
              </c:ext>
            </c:extLst>
          </c:dPt>
          <c:dPt>
            <c:idx val="1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0-C804-48E8-A4BE-930ACA8D0629}"/>
              </c:ext>
            </c:extLst>
          </c:dPt>
          <c:dPt>
            <c:idx val="2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1-C804-48E8-A4BE-930ACA8D0629}"/>
              </c:ext>
            </c:extLst>
          </c:dPt>
          <c:dPt>
            <c:idx val="3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2-C804-48E8-A4BE-930ACA8D0629}"/>
              </c:ext>
            </c:extLst>
          </c:dPt>
          <c:dPt>
            <c:idx val="4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3-C804-48E8-A4BE-930ACA8D0629}"/>
              </c:ext>
            </c:extLst>
          </c:dPt>
          <c:dPt>
            <c:idx val="5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4-C804-48E8-A4BE-930ACA8D0629}"/>
              </c:ext>
            </c:extLst>
          </c:dPt>
          <c:dPt>
            <c:idx val="6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5-C804-48E8-A4BE-930ACA8D0629}"/>
              </c:ext>
            </c:extLst>
          </c:dPt>
          <c:dPt>
            <c:idx val="7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6-C804-48E8-A4BE-930ACA8D0629}"/>
              </c:ext>
            </c:extLst>
          </c:dPt>
          <c:dPt>
            <c:idx val="8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7-C804-48E8-A4BE-930ACA8D0629}"/>
              </c:ext>
            </c:extLst>
          </c:dPt>
          <c:dPt>
            <c:idx val="9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8-C804-48E8-A4BE-930ACA8D0629}"/>
              </c:ext>
            </c:extLst>
          </c:dPt>
          <c:dPt>
            <c:idx val="10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9-C804-48E8-A4BE-930ACA8D0629}"/>
              </c:ext>
            </c:extLst>
          </c:dPt>
          <c:dPt>
            <c:idx val="11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A-C804-48E8-A4BE-930ACA8D0629}"/>
              </c:ext>
            </c:extLst>
          </c:dPt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'!$U$2:$U$13</c:f>
              <c:numCache>
                <c:formatCode>0.0</c:formatCode>
                <c:ptCount val="12"/>
                <c:pt idx="0">
                  <c:v>34.833333333333336</c:v>
                </c:pt>
                <c:pt idx="1">
                  <c:v>33.05263157894737</c:v>
                </c:pt>
                <c:pt idx="2">
                  <c:v>46.93333333333333</c:v>
                </c:pt>
                <c:pt idx="3">
                  <c:v>48.294117647058826</c:v>
                </c:pt>
                <c:pt idx="4">
                  <c:v>34.833333333333336</c:v>
                </c:pt>
                <c:pt idx="5">
                  <c:v>32.888888888888886</c:v>
                </c:pt>
                <c:pt idx="6">
                  <c:v>46.93333333333333</c:v>
                </c:pt>
                <c:pt idx="7">
                  <c:v>48.294117647058826</c:v>
                </c:pt>
                <c:pt idx="8">
                  <c:v>34.833333333333336</c:v>
                </c:pt>
                <c:pt idx="9">
                  <c:v>33.05263157894737</c:v>
                </c:pt>
                <c:pt idx="10">
                  <c:v>46.93333333333333</c:v>
                </c:pt>
                <c:pt idx="11">
                  <c:v>48.294117647058826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04-48E8-A4BE-930ACA8D0629}"/>
            </c:ext>
          </c:extLst>
        </c:ser>
        <c:ser>
          <c:idx val="1"/>
          <c:order val="1"/>
          <c:tx>
            <c:strRef>
              <c:f>'Avd1-9 XbarS '!$V$1</c:f>
              <c:strCache>
                <c:ptCount val="1"/>
                <c:pt idx="0">
                  <c:v>UCL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3658686838790499E-2"/>
                  <c:y val="-2.092148430518020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UCL</a:t>
                    </a:r>
                  </a:p>
                </c:rich>
              </c:tx>
              <c:numFmt formatCode="0.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804-48E8-A4BE-930ACA8D0629}"/>
                </c:ext>
              </c:extLst>
            </c:dLbl>
            <c:dLbl>
              <c:idx val="10"/>
              <c:layout>
                <c:manualLayout>
                  <c:x val="-1.3658686838790698E-2"/>
                  <c:y val="-2.0921484305180208E-2"/>
                </c:manualLayout>
              </c:layout>
              <c:numFmt formatCode="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nb-N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04-48E8-A4BE-930ACA8D06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'!$V$2:$V$13</c:f>
              <c:numCache>
                <c:formatCode>0.0</c:formatCode>
                <c:ptCount val="12"/>
                <c:pt idx="0">
                  <c:v>51.846406292472146</c:v>
                </c:pt>
                <c:pt idx="1">
                  <c:v>49.509922790232004</c:v>
                </c:pt>
                <c:pt idx="2">
                  <c:v>50.640880230146117</c:v>
                </c:pt>
                <c:pt idx="3">
                  <c:v>50.019475043380119</c:v>
                </c:pt>
                <c:pt idx="4">
                  <c:v>51.846406292472146</c:v>
                </c:pt>
                <c:pt idx="5">
                  <c:v>49.758484864938403</c:v>
                </c:pt>
                <c:pt idx="6">
                  <c:v>50.640880230146117</c:v>
                </c:pt>
                <c:pt idx="7">
                  <c:v>50.019475043380119</c:v>
                </c:pt>
                <c:pt idx="8">
                  <c:v>51.846406292472146</c:v>
                </c:pt>
                <c:pt idx="9">
                  <c:v>49.509922790232004</c:v>
                </c:pt>
                <c:pt idx="10">
                  <c:v>50.640880230146117</c:v>
                </c:pt>
                <c:pt idx="11">
                  <c:v>50.019475043380119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04-48E8-A4BE-930ACA8D0629}"/>
            </c:ext>
          </c:extLst>
        </c:ser>
        <c:ser>
          <c:idx val="2"/>
          <c:order val="2"/>
          <c:tx>
            <c:strRef>
              <c:f>'Avd1-9 XbarS '!$W$1</c:f>
              <c:strCache>
                <c:ptCount val="1"/>
                <c:pt idx="0">
                  <c:v> +2 Sigma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A5A5A5">
                      <a:shade val="76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'!$W$2:$W$13</c:f>
              <c:numCache>
                <c:formatCode>0.0</c:formatCode>
                <c:ptCount val="12"/>
                <c:pt idx="0">
                  <c:v>48.175972989307667</c:v>
                </c:pt>
                <c:pt idx="1">
                  <c:v>46.618317321147579</c:v>
                </c:pt>
                <c:pt idx="2">
                  <c:v>47.372288947756985</c:v>
                </c:pt>
                <c:pt idx="3">
                  <c:v>46.95801882324632</c:v>
                </c:pt>
                <c:pt idx="4">
                  <c:v>48.175972989307667</c:v>
                </c:pt>
                <c:pt idx="5">
                  <c:v>46.784025370951838</c:v>
                </c:pt>
                <c:pt idx="6">
                  <c:v>47.372288947756985</c:v>
                </c:pt>
                <c:pt idx="7">
                  <c:v>46.95801882324632</c:v>
                </c:pt>
                <c:pt idx="8">
                  <c:v>48.175972989307667</c:v>
                </c:pt>
                <c:pt idx="9">
                  <c:v>46.618317321147579</c:v>
                </c:pt>
                <c:pt idx="10">
                  <c:v>47.372288947756985</c:v>
                </c:pt>
                <c:pt idx="11">
                  <c:v>46.95801882324632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04-48E8-A4BE-930ACA8D0629}"/>
            </c:ext>
          </c:extLst>
        </c:ser>
        <c:ser>
          <c:idx val="3"/>
          <c:order val="3"/>
          <c:tx>
            <c:strRef>
              <c:f>'Avd1-9 XbarS '!$X$1</c:f>
              <c:strCache>
                <c:ptCount val="1"/>
                <c:pt idx="0">
                  <c:v> +1 Sigma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FFC000">
                      <a:shade val="76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'!$X$2:$X$13</c:f>
              <c:numCache>
                <c:formatCode>0.0</c:formatCode>
                <c:ptCount val="12"/>
                <c:pt idx="0">
                  <c:v>44.505539686143194</c:v>
                </c:pt>
                <c:pt idx="1">
                  <c:v>43.726711852063147</c:v>
                </c:pt>
                <c:pt idx="2">
                  <c:v>44.103697665367854</c:v>
                </c:pt>
                <c:pt idx="3">
                  <c:v>43.896562603112521</c:v>
                </c:pt>
                <c:pt idx="4">
                  <c:v>44.505539686143194</c:v>
                </c:pt>
                <c:pt idx="5">
                  <c:v>43.80956587696528</c:v>
                </c:pt>
                <c:pt idx="6">
                  <c:v>44.103697665367854</c:v>
                </c:pt>
                <c:pt idx="7">
                  <c:v>43.896562603112521</c:v>
                </c:pt>
                <c:pt idx="8">
                  <c:v>44.505539686143194</c:v>
                </c:pt>
                <c:pt idx="9">
                  <c:v>43.726711852063147</c:v>
                </c:pt>
                <c:pt idx="10">
                  <c:v>44.103697665367854</c:v>
                </c:pt>
                <c:pt idx="11">
                  <c:v>43.896562603112521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04-48E8-A4BE-930ACA8D0629}"/>
            </c:ext>
          </c:extLst>
        </c:ser>
        <c:ser>
          <c:idx val="4"/>
          <c:order val="4"/>
          <c:tx>
            <c:strRef>
              <c:f>'Avd1-9 XbarS '!$Y$1</c:f>
              <c:strCache>
                <c:ptCount val="1"/>
                <c:pt idx="0">
                  <c:v>Average</c:v>
                </c:pt>
              </c:strCache>
            </c:strRef>
          </c:tx>
          <c:spPr>
            <a:ln w="12700">
              <a:solidFill>
                <a:srgbClr val="009999"/>
              </a:solidFill>
              <a:prstDash val="solid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3658686838790499E-2"/>
                  <c:y val="-2.092148430518020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CL</a:t>
                    </a:r>
                  </a:p>
                </c:rich>
              </c:tx>
              <c:numFmt formatCode="0.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C804-48E8-A4BE-930ACA8D0629}"/>
                </c:ext>
              </c:extLst>
            </c:dLbl>
            <c:dLbl>
              <c:idx val="10"/>
              <c:layout>
                <c:manualLayout>
                  <c:x val="-1.3658686838790698E-2"/>
                  <c:y val="-2.0921484305180208E-2"/>
                </c:manualLayout>
              </c:layout>
              <c:numFmt formatCode="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nb-N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804-48E8-A4BE-930ACA8D06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'!$Y$2:$Y$13</c:f>
              <c:numCache>
                <c:formatCode>0.0</c:formatCode>
                <c:ptCount val="12"/>
                <c:pt idx="0">
                  <c:v>40.835106382978722</c:v>
                </c:pt>
                <c:pt idx="1">
                  <c:v>40.835106382978722</c:v>
                </c:pt>
                <c:pt idx="2">
                  <c:v>40.835106382978722</c:v>
                </c:pt>
                <c:pt idx="3">
                  <c:v>40.835106382978722</c:v>
                </c:pt>
                <c:pt idx="4">
                  <c:v>40.835106382978722</c:v>
                </c:pt>
                <c:pt idx="5">
                  <c:v>40.835106382978722</c:v>
                </c:pt>
                <c:pt idx="6">
                  <c:v>40.835106382978722</c:v>
                </c:pt>
                <c:pt idx="7">
                  <c:v>40.835106382978722</c:v>
                </c:pt>
                <c:pt idx="8">
                  <c:v>40.835106382978722</c:v>
                </c:pt>
                <c:pt idx="9">
                  <c:v>40.835106382978722</c:v>
                </c:pt>
                <c:pt idx="10">
                  <c:v>40.835106382978722</c:v>
                </c:pt>
                <c:pt idx="11">
                  <c:v>40.835106382978722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804-48E8-A4BE-930ACA8D0629}"/>
            </c:ext>
          </c:extLst>
        </c:ser>
        <c:ser>
          <c:idx val="5"/>
          <c:order val="5"/>
          <c:tx>
            <c:strRef>
              <c:f>'Avd1-9 XbarS '!$Z$1</c:f>
              <c:strCache>
                <c:ptCount val="1"/>
                <c:pt idx="0">
                  <c:v> -1 Sigma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70AD47">
                      <a:shade val="76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'!$Z$2:$Z$13</c:f>
              <c:numCache>
                <c:formatCode>0.0</c:formatCode>
                <c:ptCount val="12"/>
                <c:pt idx="0">
                  <c:v>37.16467307981425</c:v>
                </c:pt>
                <c:pt idx="1">
                  <c:v>37.943500913894297</c:v>
                </c:pt>
                <c:pt idx="2">
                  <c:v>37.566515100589591</c:v>
                </c:pt>
                <c:pt idx="3">
                  <c:v>37.773650162844923</c:v>
                </c:pt>
                <c:pt idx="4">
                  <c:v>37.16467307981425</c:v>
                </c:pt>
                <c:pt idx="5">
                  <c:v>37.860646888992164</c:v>
                </c:pt>
                <c:pt idx="6">
                  <c:v>37.566515100589591</c:v>
                </c:pt>
                <c:pt idx="7">
                  <c:v>37.773650162844923</c:v>
                </c:pt>
                <c:pt idx="8">
                  <c:v>37.16467307981425</c:v>
                </c:pt>
                <c:pt idx="9">
                  <c:v>37.943500913894297</c:v>
                </c:pt>
                <c:pt idx="10">
                  <c:v>37.566515100589591</c:v>
                </c:pt>
                <c:pt idx="11">
                  <c:v>37.773650162844923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804-48E8-A4BE-930ACA8D0629}"/>
            </c:ext>
          </c:extLst>
        </c:ser>
        <c:ser>
          <c:idx val="6"/>
          <c:order val="6"/>
          <c:tx>
            <c:strRef>
              <c:f>'Avd1-9 XbarS '!$AA$1</c:f>
              <c:strCache>
                <c:ptCount val="1"/>
                <c:pt idx="0">
                  <c:v> -2 Sigma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4472C4">
                      <a:tint val="77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'!$AA$2:$AA$13</c:f>
              <c:numCache>
                <c:formatCode>0.0</c:formatCode>
                <c:ptCount val="12"/>
                <c:pt idx="0">
                  <c:v>33.494239776649778</c:v>
                </c:pt>
                <c:pt idx="1">
                  <c:v>35.051895444809865</c:v>
                </c:pt>
                <c:pt idx="2">
                  <c:v>34.297923818200459</c:v>
                </c:pt>
                <c:pt idx="3">
                  <c:v>34.712193942711124</c:v>
                </c:pt>
                <c:pt idx="4">
                  <c:v>33.494239776649778</c:v>
                </c:pt>
                <c:pt idx="5">
                  <c:v>34.886187395005607</c:v>
                </c:pt>
                <c:pt idx="6">
                  <c:v>34.297923818200459</c:v>
                </c:pt>
                <c:pt idx="7">
                  <c:v>34.712193942711124</c:v>
                </c:pt>
                <c:pt idx="8">
                  <c:v>33.494239776649778</c:v>
                </c:pt>
                <c:pt idx="9">
                  <c:v>35.051895444809865</c:v>
                </c:pt>
                <c:pt idx="10">
                  <c:v>34.297923818200459</c:v>
                </c:pt>
                <c:pt idx="11">
                  <c:v>34.712193942711124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804-48E8-A4BE-930ACA8D0629}"/>
            </c:ext>
          </c:extLst>
        </c:ser>
        <c:ser>
          <c:idx val="7"/>
          <c:order val="7"/>
          <c:tx>
            <c:strRef>
              <c:f>'Avd1-9 XbarS '!$AB$1</c:f>
              <c:strCache>
                <c:ptCount val="1"/>
                <c:pt idx="0">
                  <c:v>LCL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3658686838790499E-2"/>
                  <c:y val="-2.092148430518020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LCL</a:t>
                    </a:r>
                  </a:p>
                </c:rich>
              </c:tx>
              <c:numFmt formatCode="0.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C804-48E8-A4BE-930ACA8D0629}"/>
                </c:ext>
              </c:extLst>
            </c:dLbl>
            <c:dLbl>
              <c:idx val="10"/>
              <c:layout>
                <c:manualLayout>
                  <c:x val="-1.3658686838790698E-2"/>
                  <c:y val="-2.0921484305180208E-2"/>
                </c:manualLayout>
              </c:layout>
              <c:numFmt formatCode="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nb-N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804-48E8-A4BE-930ACA8D06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'!$AB$2:$AB$13</c:f>
              <c:numCache>
                <c:formatCode>0.0</c:formatCode>
                <c:ptCount val="12"/>
                <c:pt idx="0">
                  <c:v>29.823806473485298</c:v>
                </c:pt>
                <c:pt idx="1">
                  <c:v>32.160289975725441</c:v>
                </c:pt>
                <c:pt idx="2">
                  <c:v>31.029332535811328</c:v>
                </c:pt>
                <c:pt idx="3">
                  <c:v>31.650737722577325</c:v>
                </c:pt>
                <c:pt idx="4">
                  <c:v>29.823806473485298</c:v>
                </c:pt>
                <c:pt idx="5">
                  <c:v>31.911727901019042</c:v>
                </c:pt>
                <c:pt idx="6">
                  <c:v>31.029332535811328</c:v>
                </c:pt>
                <c:pt idx="7">
                  <c:v>31.650737722577325</c:v>
                </c:pt>
                <c:pt idx="8">
                  <c:v>29.823806473485298</c:v>
                </c:pt>
                <c:pt idx="9">
                  <c:v>32.160289975725441</c:v>
                </c:pt>
                <c:pt idx="10">
                  <c:v>31.029332535811328</c:v>
                </c:pt>
                <c:pt idx="11">
                  <c:v>31.650737722577325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804-48E8-A4BE-930ACA8D0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7897503"/>
        <c:axId val="27749151"/>
      </c:lineChart>
      <c:catAx>
        <c:axId val="14578975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>
                    <a:solidFill>
                      <a:srgbClr val="000000"/>
                    </a:solidFill>
                    <a:latin typeface=" +mn-lt"/>
                  </a:defRPr>
                </a:pPr>
                <a:r>
                  <a:rPr lang="nb-NO" sz="1000" b="1" i="0">
                    <a:solidFill>
                      <a:srgbClr val="000000"/>
                    </a:solidFill>
                    <a:latin typeface=" +mn-lt"/>
                  </a:rPr>
                  <a:t>Jan - Des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49151"/>
        <c:crosses val="autoZero"/>
        <c:auto val="0"/>
        <c:lblAlgn val="ctr"/>
        <c:lblOffset val="100"/>
        <c:noMultiLvlLbl val="0"/>
      </c:catAx>
      <c:valAx>
        <c:axId val="277491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>
                    <a:solidFill>
                      <a:srgbClr val="000000"/>
                    </a:solidFill>
                    <a:latin typeface=" +mn-lt"/>
                  </a:defRPr>
                </a:pPr>
                <a:r>
                  <a:rPr lang="nb-NO" sz="1000" b="1" i="0">
                    <a:solidFill>
                      <a:srgbClr val="000000"/>
                    </a:solidFill>
                    <a:latin typeface=" +mn-lt"/>
                  </a:rPr>
                  <a:t>Average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457897503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'Ark1'!$V$1</c:f>
              <c:strCache>
                <c:ptCount val="1"/>
                <c:pt idx="0">
                  <c:v>Xbar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'Ark1'!$V$2:$V$13</c:f>
              <c:numCache>
                <c:formatCode>General</c:formatCode>
                <c:ptCount val="12"/>
                <c:pt idx="0">
                  <c:v>34.833333333333336</c:v>
                </c:pt>
                <c:pt idx="1">
                  <c:v>33.05263157894737</c:v>
                </c:pt>
                <c:pt idx="2">
                  <c:v>46.93333333333333</c:v>
                </c:pt>
                <c:pt idx="3">
                  <c:v>48.294117647058826</c:v>
                </c:pt>
                <c:pt idx="4">
                  <c:v>34.833333333333336</c:v>
                </c:pt>
                <c:pt idx="5">
                  <c:v>32.888888888888886</c:v>
                </c:pt>
                <c:pt idx="6">
                  <c:v>46.93333333333333</c:v>
                </c:pt>
                <c:pt idx="7">
                  <c:v>48.294117647058826</c:v>
                </c:pt>
                <c:pt idx="8">
                  <c:v>34.833333333333336</c:v>
                </c:pt>
                <c:pt idx="9">
                  <c:v>33.05263157894737</c:v>
                </c:pt>
                <c:pt idx="10">
                  <c:v>46.93333333333333</c:v>
                </c:pt>
                <c:pt idx="11">
                  <c:v>48.294117647058826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40-4E32-8B5E-0443B3DC4E91}"/>
            </c:ext>
          </c:extLst>
        </c:ser>
        <c:ser>
          <c:idx val="1"/>
          <c:order val="1"/>
          <c:tx>
            <c:strRef>
              <c:f>'Ark1'!$W$1</c:f>
              <c:strCache>
                <c:ptCount val="1"/>
                <c:pt idx="0">
                  <c:v>Xdbar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'Ark1'!$W$2:$W$13</c:f>
              <c:numCache>
                <c:formatCode>General</c:formatCode>
                <c:ptCount val="12"/>
                <c:pt idx="0">
                  <c:v>40.835106382978722</c:v>
                </c:pt>
                <c:pt idx="1">
                  <c:v>40.835106382978722</c:v>
                </c:pt>
                <c:pt idx="2">
                  <c:v>40.835106382978722</c:v>
                </c:pt>
                <c:pt idx="3">
                  <c:v>40.835106382978722</c:v>
                </c:pt>
                <c:pt idx="4">
                  <c:v>40.835106382978722</c:v>
                </c:pt>
                <c:pt idx="5">
                  <c:v>40.835106382978722</c:v>
                </c:pt>
                <c:pt idx="6">
                  <c:v>40.835106382978722</c:v>
                </c:pt>
                <c:pt idx="7">
                  <c:v>40.835106382978722</c:v>
                </c:pt>
                <c:pt idx="8">
                  <c:v>40.835106382978722</c:v>
                </c:pt>
                <c:pt idx="9">
                  <c:v>40.835106382978722</c:v>
                </c:pt>
                <c:pt idx="10">
                  <c:v>40.835106382978722</c:v>
                </c:pt>
                <c:pt idx="11">
                  <c:v>40.835106382978722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40-4E32-8B5E-0443B3DC4E91}"/>
            </c:ext>
          </c:extLst>
        </c:ser>
        <c:ser>
          <c:idx val="2"/>
          <c:order val="2"/>
          <c:tx>
            <c:strRef>
              <c:f>'Ark1'!$X$1</c:f>
              <c:strCache>
                <c:ptCount val="1"/>
                <c:pt idx="0">
                  <c:v>UCLX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'Ark1'!$X$2:$X$13</c:f>
              <c:numCache>
                <c:formatCode>General</c:formatCode>
                <c:ptCount val="12"/>
                <c:pt idx="0">
                  <c:v>51.846406292472146</c:v>
                </c:pt>
                <c:pt idx="1">
                  <c:v>49.509922790232004</c:v>
                </c:pt>
                <c:pt idx="2">
                  <c:v>50.640880230146117</c:v>
                </c:pt>
                <c:pt idx="3">
                  <c:v>50.019475043380119</c:v>
                </c:pt>
                <c:pt idx="4">
                  <c:v>51.846406292472146</c:v>
                </c:pt>
                <c:pt idx="5">
                  <c:v>49.758484864938403</c:v>
                </c:pt>
                <c:pt idx="6">
                  <c:v>50.640880230146117</c:v>
                </c:pt>
                <c:pt idx="7">
                  <c:v>50.019475043380119</c:v>
                </c:pt>
                <c:pt idx="8">
                  <c:v>51.846406292472146</c:v>
                </c:pt>
                <c:pt idx="9">
                  <c:v>49.509922790232004</c:v>
                </c:pt>
                <c:pt idx="10">
                  <c:v>50.640880230146117</c:v>
                </c:pt>
                <c:pt idx="11">
                  <c:v>50.019475043380119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40-4E32-8B5E-0443B3DC4E91}"/>
            </c:ext>
          </c:extLst>
        </c:ser>
        <c:ser>
          <c:idx val="3"/>
          <c:order val="3"/>
          <c:tx>
            <c:strRef>
              <c:f>'Ark1'!$Y$1</c:f>
              <c:strCache>
                <c:ptCount val="1"/>
                <c:pt idx="0">
                  <c:v>LCLX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'Ark1'!$Y$2:$Y$13</c:f>
              <c:numCache>
                <c:formatCode>General</c:formatCode>
                <c:ptCount val="12"/>
                <c:pt idx="0">
                  <c:v>29.823806473485298</c:v>
                </c:pt>
                <c:pt idx="1">
                  <c:v>32.160289975725441</c:v>
                </c:pt>
                <c:pt idx="2">
                  <c:v>31.029332535811328</c:v>
                </c:pt>
                <c:pt idx="3">
                  <c:v>31.650737722577325</c:v>
                </c:pt>
                <c:pt idx="4">
                  <c:v>29.823806473485298</c:v>
                </c:pt>
                <c:pt idx="5">
                  <c:v>31.911727901019042</c:v>
                </c:pt>
                <c:pt idx="6">
                  <c:v>31.029332535811328</c:v>
                </c:pt>
                <c:pt idx="7">
                  <c:v>31.650737722577325</c:v>
                </c:pt>
                <c:pt idx="8">
                  <c:v>29.823806473485298</c:v>
                </c:pt>
                <c:pt idx="9">
                  <c:v>32.160289975725441</c:v>
                </c:pt>
                <c:pt idx="10">
                  <c:v>31.029332535811328</c:v>
                </c:pt>
                <c:pt idx="11">
                  <c:v>31.650737722577325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40-4E32-8B5E-0443B3DC4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135919"/>
        <c:axId val="27793663"/>
      </c:lineChart>
      <c:catAx>
        <c:axId val="17013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7793663"/>
        <c:crosses val="autoZero"/>
        <c:auto val="1"/>
        <c:lblAlgn val="ctr"/>
        <c:lblOffset val="100"/>
        <c:noMultiLvlLbl val="0"/>
      </c:catAx>
      <c:valAx>
        <c:axId val="2779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013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>
                <a:solidFill>
                  <a:srgbClr val="000000"/>
                </a:solidFill>
                <a:latin typeface=" +mn-lt"/>
              </a:defRPr>
            </a:pPr>
            <a:r>
              <a:rPr lang="nb-NO" sz="1800" b="1" i="0">
                <a:solidFill>
                  <a:srgbClr val="000000"/>
                </a:solidFill>
                <a:latin typeface=" +mn-lt"/>
              </a:rPr>
              <a:t>Avd1-19 - X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'Avd1-9 XbarS '!$U$1</c:f>
              <c:strCache>
                <c:ptCount val="1"/>
                <c:pt idx="0">
                  <c:v>XAve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  <a:effectLst/>
          </c:spPr>
          <c:marker>
            <c:symbol val="circle"/>
            <c:size val="6"/>
            <c:spPr>
              <a:solidFill>
                <a:srgbClr val="000080"/>
              </a:solidFill>
              <a:ln w="12700">
                <a:solidFill>
                  <a:srgbClr val="000080"/>
                </a:solidFill>
                <a:prstDash val="solid"/>
              </a:ln>
            </c:spPr>
          </c:marker>
          <c:dPt>
            <c:idx val="0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E35-4826-B060-DE708CBC619C}"/>
              </c:ext>
            </c:extLst>
          </c:dPt>
          <c:dPt>
            <c:idx val="1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8E35-4826-B060-DE708CBC619C}"/>
              </c:ext>
            </c:extLst>
          </c:dPt>
          <c:dPt>
            <c:idx val="2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4-8E35-4826-B060-DE708CBC619C}"/>
              </c:ext>
            </c:extLst>
          </c:dPt>
          <c:dPt>
            <c:idx val="3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6-8E35-4826-B060-DE708CBC619C}"/>
              </c:ext>
            </c:extLst>
          </c:dPt>
          <c:dPt>
            <c:idx val="4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8-8E35-4826-B060-DE708CBC619C}"/>
              </c:ext>
            </c:extLst>
          </c:dPt>
          <c:dPt>
            <c:idx val="5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A-8E35-4826-B060-DE708CBC619C}"/>
              </c:ext>
            </c:extLst>
          </c:dPt>
          <c:dPt>
            <c:idx val="6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C-8E35-4826-B060-DE708CBC619C}"/>
              </c:ext>
            </c:extLst>
          </c:dPt>
          <c:dPt>
            <c:idx val="7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E-8E35-4826-B060-DE708CBC619C}"/>
              </c:ext>
            </c:extLst>
          </c:dPt>
          <c:dPt>
            <c:idx val="8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0-8E35-4826-B060-DE708CBC619C}"/>
              </c:ext>
            </c:extLst>
          </c:dPt>
          <c:dPt>
            <c:idx val="9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2-8E35-4826-B060-DE708CBC619C}"/>
              </c:ext>
            </c:extLst>
          </c:dPt>
          <c:dPt>
            <c:idx val="10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4-8E35-4826-B060-DE708CBC619C}"/>
              </c:ext>
            </c:extLst>
          </c:dPt>
          <c:dPt>
            <c:idx val="11"/>
            <c:marker>
              <c:symbol val="diamond"/>
              <c:size val="6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16-8E35-4826-B060-DE708CBC619C}"/>
              </c:ext>
            </c:extLst>
          </c:dPt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'!$U$2:$U$13</c:f>
              <c:numCache>
                <c:formatCode>0.0</c:formatCode>
                <c:ptCount val="12"/>
                <c:pt idx="0">
                  <c:v>34.833333333333336</c:v>
                </c:pt>
                <c:pt idx="1">
                  <c:v>33.05263157894737</c:v>
                </c:pt>
                <c:pt idx="2">
                  <c:v>46.93333333333333</c:v>
                </c:pt>
                <c:pt idx="3">
                  <c:v>48.294117647058826</c:v>
                </c:pt>
                <c:pt idx="4">
                  <c:v>34.833333333333336</c:v>
                </c:pt>
                <c:pt idx="5">
                  <c:v>32.888888888888886</c:v>
                </c:pt>
                <c:pt idx="6">
                  <c:v>46.93333333333333</c:v>
                </c:pt>
                <c:pt idx="7">
                  <c:v>48.294117647058826</c:v>
                </c:pt>
                <c:pt idx="8">
                  <c:v>34.833333333333336</c:v>
                </c:pt>
                <c:pt idx="9">
                  <c:v>33.05263157894737</c:v>
                </c:pt>
                <c:pt idx="10">
                  <c:v>46.93333333333333</c:v>
                </c:pt>
                <c:pt idx="11">
                  <c:v>48.294117647058826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E35-4826-B060-DE708CBC619C}"/>
            </c:ext>
          </c:extLst>
        </c:ser>
        <c:ser>
          <c:idx val="1"/>
          <c:order val="1"/>
          <c:tx>
            <c:strRef>
              <c:f>'Avd1-9 XbarS '!$V$1</c:f>
              <c:strCache>
                <c:ptCount val="1"/>
                <c:pt idx="0">
                  <c:v>UCL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3658686838790499E-2"/>
                  <c:y val="-2.092148430518020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UCL</a:t>
                    </a:r>
                  </a:p>
                </c:rich>
              </c:tx>
              <c:numFmt formatCode="0.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8E35-4826-B060-DE708CBC619C}"/>
                </c:ext>
              </c:extLst>
            </c:dLbl>
            <c:dLbl>
              <c:idx val="10"/>
              <c:layout>
                <c:manualLayout>
                  <c:x val="-1.3658686838790698E-2"/>
                  <c:y val="-2.0921484305180208E-2"/>
                </c:manualLayout>
              </c:layout>
              <c:numFmt formatCode="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nb-N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E35-4826-B060-DE708CBC619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'!$V$2:$V$13</c:f>
              <c:numCache>
                <c:formatCode>0.0</c:formatCode>
                <c:ptCount val="12"/>
                <c:pt idx="0">
                  <c:v>51.846406292472146</c:v>
                </c:pt>
                <c:pt idx="1">
                  <c:v>49.509922790232004</c:v>
                </c:pt>
                <c:pt idx="2">
                  <c:v>50.640880230146117</c:v>
                </c:pt>
                <c:pt idx="3">
                  <c:v>50.019475043380119</c:v>
                </c:pt>
                <c:pt idx="4">
                  <c:v>51.846406292472146</c:v>
                </c:pt>
                <c:pt idx="5">
                  <c:v>49.758484864938403</c:v>
                </c:pt>
                <c:pt idx="6">
                  <c:v>50.640880230146117</c:v>
                </c:pt>
                <c:pt idx="7">
                  <c:v>50.019475043380119</c:v>
                </c:pt>
                <c:pt idx="8">
                  <c:v>51.846406292472146</c:v>
                </c:pt>
                <c:pt idx="9">
                  <c:v>49.509922790232004</c:v>
                </c:pt>
                <c:pt idx="10">
                  <c:v>50.640880230146117</c:v>
                </c:pt>
                <c:pt idx="11">
                  <c:v>50.019475043380119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E35-4826-B060-DE708CBC619C}"/>
            </c:ext>
          </c:extLst>
        </c:ser>
        <c:ser>
          <c:idx val="2"/>
          <c:order val="2"/>
          <c:tx>
            <c:strRef>
              <c:f>'Avd1-9 XbarS '!$W$1</c:f>
              <c:strCache>
                <c:ptCount val="1"/>
                <c:pt idx="0">
                  <c:v> +2 Sigma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A5A5A5">
                      <a:shade val="76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'!$W$2:$W$13</c:f>
              <c:numCache>
                <c:formatCode>0.0</c:formatCode>
                <c:ptCount val="12"/>
                <c:pt idx="0">
                  <c:v>48.175972989307667</c:v>
                </c:pt>
                <c:pt idx="1">
                  <c:v>46.618317321147579</c:v>
                </c:pt>
                <c:pt idx="2">
                  <c:v>47.372288947756985</c:v>
                </c:pt>
                <c:pt idx="3">
                  <c:v>46.95801882324632</c:v>
                </c:pt>
                <c:pt idx="4">
                  <c:v>48.175972989307667</c:v>
                </c:pt>
                <c:pt idx="5">
                  <c:v>46.784025370951838</c:v>
                </c:pt>
                <c:pt idx="6">
                  <c:v>47.372288947756985</c:v>
                </c:pt>
                <c:pt idx="7">
                  <c:v>46.95801882324632</c:v>
                </c:pt>
                <c:pt idx="8">
                  <c:v>48.175972989307667</c:v>
                </c:pt>
                <c:pt idx="9">
                  <c:v>46.618317321147579</c:v>
                </c:pt>
                <c:pt idx="10">
                  <c:v>47.372288947756985</c:v>
                </c:pt>
                <c:pt idx="11">
                  <c:v>46.95801882324632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E35-4826-B060-DE708CBC619C}"/>
            </c:ext>
          </c:extLst>
        </c:ser>
        <c:ser>
          <c:idx val="3"/>
          <c:order val="3"/>
          <c:tx>
            <c:strRef>
              <c:f>'Avd1-9 XbarS '!$X$1</c:f>
              <c:strCache>
                <c:ptCount val="1"/>
                <c:pt idx="0">
                  <c:v> +1 Sigma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FFC000">
                      <a:shade val="76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'!$X$2:$X$13</c:f>
              <c:numCache>
                <c:formatCode>0.0</c:formatCode>
                <c:ptCount val="12"/>
                <c:pt idx="0">
                  <c:v>44.505539686143194</c:v>
                </c:pt>
                <c:pt idx="1">
                  <c:v>43.726711852063147</c:v>
                </c:pt>
                <c:pt idx="2">
                  <c:v>44.103697665367854</c:v>
                </c:pt>
                <c:pt idx="3">
                  <c:v>43.896562603112521</c:v>
                </c:pt>
                <c:pt idx="4">
                  <c:v>44.505539686143194</c:v>
                </c:pt>
                <c:pt idx="5">
                  <c:v>43.80956587696528</c:v>
                </c:pt>
                <c:pt idx="6">
                  <c:v>44.103697665367854</c:v>
                </c:pt>
                <c:pt idx="7">
                  <c:v>43.896562603112521</c:v>
                </c:pt>
                <c:pt idx="8">
                  <c:v>44.505539686143194</c:v>
                </c:pt>
                <c:pt idx="9">
                  <c:v>43.726711852063147</c:v>
                </c:pt>
                <c:pt idx="10">
                  <c:v>44.103697665367854</c:v>
                </c:pt>
                <c:pt idx="11">
                  <c:v>43.896562603112521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E35-4826-B060-DE708CBC619C}"/>
            </c:ext>
          </c:extLst>
        </c:ser>
        <c:ser>
          <c:idx val="4"/>
          <c:order val="4"/>
          <c:tx>
            <c:strRef>
              <c:f>'Avd1-9 XbarS '!$Y$1</c:f>
              <c:strCache>
                <c:ptCount val="1"/>
                <c:pt idx="0">
                  <c:v>Average</c:v>
                </c:pt>
              </c:strCache>
            </c:strRef>
          </c:tx>
          <c:spPr>
            <a:ln w="12700">
              <a:solidFill>
                <a:srgbClr val="009999"/>
              </a:solidFill>
              <a:prstDash val="solid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3658686838790499E-2"/>
                  <c:y val="-2.092148430518020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CL</a:t>
                    </a:r>
                  </a:p>
                </c:rich>
              </c:tx>
              <c:numFmt formatCode="0.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D-8E35-4826-B060-DE708CBC619C}"/>
                </c:ext>
              </c:extLst>
            </c:dLbl>
            <c:dLbl>
              <c:idx val="10"/>
              <c:layout>
                <c:manualLayout>
                  <c:x val="-1.3658686838790698E-2"/>
                  <c:y val="-2.0921484305180208E-2"/>
                </c:manualLayout>
              </c:layout>
              <c:numFmt formatCode="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nb-N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8E35-4826-B060-DE708CBC619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'!$Y$2:$Y$13</c:f>
              <c:numCache>
                <c:formatCode>0.0</c:formatCode>
                <c:ptCount val="12"/>
                <c:pt idx="0">
                  <c:v>40.835106382978722</c:v>
                </c:pt>
                <c:pt idx="1">
                  <c:v>40.835106382978722</c:v>
                </c:pt>
                <c:pt idx="2">
                  <c:v>40.835106382978722</c:v>
                </c:pt>
                <c:pt idx="3">
                  <c:v>40.835106382978722</c:v>
                </c:pt>
                <c:pt idx="4">
                  <c:v>40.835106382978722</c:v>
                </c:pt>
                <c:pt idx="5">
                  <c:v>40.835106382978722</c:v>
                </c:pt>
                <c:pt idx="6">
                  <c:v>40.835106382978722</c:v>
                </c:pt>
                <c:pt idx="7">
                  <c:v>40.835106382978722</c:v>
                </c:pt>
                <c:pt idx="8">
                  <c:v>40.835106382978722</c:v>
                </c:pt>
                <c:pt idx="9">
                  <c:v>40.835106382978722</c:v>
                </c:pt>
                <c:pt idx="10">
                  <c:v>40.835106382978722</c:v>
                </c:pt>
                <c:pt idx="11">
                  <c:v>40.835106382978722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E35-4826-B060-DE708CBC619C}"/>
            </c:ext>
          </c:extLst>
        </c:ser>
        <c:ser>
          <c:idx val="5"/>
          <c:order val="5"/>
          <c:tx>
            <c:strRef>
              <c:f>'Avd1-9 XbarS '!$Z$1</c:f>
              <c:strCache>
                <c:ptCount val="1"/>
                <c:pt idx="0">
                  <c:v> -1 Sigma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70AD47">
                      <a:shade val="76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'!$Z$2:$Z$13</c:f>
              <c:numCache>
                <c:formatCode>0.0</c:formatCode>
                <c:ptCount val="12"/>
                <c:pt idx="0">
                  <c:v>37.16467307981425</c:v>
                </c:pt>
                <c:pt idx="1">
                  <c:v>37.943500913894297</c:v>
                </c:pt>
                <c:pt idx="2">
                  <c:v>37.566515100589591</c:v>
                </c:pt>
                <c:pt idx="3">
                  <c:v>37.773650162844923</c:v>
                </c:pt>
                <c:pt idx="4">
                  <c:v>37.16467307981425</c:v>
                </c:pt>
                <c:pt idx="5">
                  <c:v>37.860646888992164</c:v>
                </c:pt>
                <c:pt idx="6">
                  <c:v>37.566515100589591</c:v>
                </c:pt>
                <c:pt idx="7">
                  <c:v>37.773650162844923</c:v>
                </c:pt>
                <c:pt idx="8">
                  <c:v>37.16467307981425</c:v>
                </c:pt>
                <c:pt idx="9">
                  <c:v>37.943500913894297</c:v>
                </c:pt>
                <c:pt idx="10">
                  <c:v>37.566515100589591</c:v>
                </c:pt>
                <c:pt idx="11">
                  <c:v>37.773650162844923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E35-4826-B060-DE708CBC619C}"/>
            </c:ext>
          </c:extLst>
        </c:ser>
        <c:ser>
          <c:idx val="6"/>
          <c:order val="6"/>
          <c:tx>
            <c:strRef>
              <c:f>'Avd1-9 XbarS '!$AA$1</c:f>
              <c:strCache>
                <c:ptCount val="1"/>
                <c:pt idx="0">
                  <c:v> -2 Sigma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4472C4">
                      <a:tint val="77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'!$AA$2:$AA$13</c:f>
              <c:numCache>
                <c:formatCode>0.0</c:formatCode>
                <c:ptCount val="12"/>
                <c:pt idx="0">
                  <c:v>33.494239776649778</c:v>
                </c:pt>
                <c:pt idx="1">
                  <c:v>35.051895444809865</c:v>
                </c:pt>
                <c:pt idx="2">
                  <c:v>34.297923818200459</c:v>
                </c:pt>
                <c:pt idx="3">
                  <c:v>34.712193942711124</c:v>
                </c:pt>
                <c:pt idx="4">
                  <c:v>33.494239776649778</c:v>
                </c:pt>
                <c:pt idx="5">
                  <c:v>34.886187395005607</c:v>
                </c:pt>
                <c:pt idx="6">
                  <c:v>34.297923818200459</c:v>
                </c:pt>
                <c:pt idx="7">
                  <c:v>34.712193942711124</c:v>
                </c:pt>
                <c:pt idx="8">
                  <c:v>33.494239776649778</c:v>
                </c:pt>
                <c:pt idx="9">
                  <c:v>35.051895444809865</c:v>
                </c:pt>
                <c:pt idx="10">
                  <c:v>34.297923818200459</c:v>
                </c:pt>
                <c:pt idx="11">
                  <c:v>34.712193942711124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E35-4826-B060-DE708CBC619C}"/>
            </c:ext>
          </c:extLst>
        </c:ser>
        <c:ser>
          <c:idx val="7"/>
          <c:order val="7"/>
          <c:tx>
            <c:strRef>
              <c:f>'Avd1-9 XbarS '!$AB$1</c:f>
              <c:strCache>
                <c:ptCount val="1"/>
                <c:pt idx="0">
                  <c:v>LCL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3658686838790499E-2"/>
                  <c:y val="-2.092148430518020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LCL</a:t>
                    </a:r>
                  </a:p>
                </c:rich>
              </c:tx>
              <c:numFmt formatCode="0.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2-8E35-4826-B060-DE708CBC619C}"/>
                </c:ext>
              </c:extLst>
            </c:dLbl>
            <c:dLbl>
              <c:idx val="10"/>
              <c:layout>
                <c:manualLayout>
                  <c:x val="-1.3658686838790698E-2"/>
                  <c:y val="-2.0921484305180208E-2"/>
                </c:manualLayout>
              </c:layout>
              <c:numFmt formatCode="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nb-N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8E35-4826-B060-DE708CBC619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'!$AB$2:$AB$13</c:f>
              <c:numCache>
                <c:formatCode>0.0</c:formatCode>
                <c:ptCount val="12"/>
                <c:pt idx="0">
                  <c:v>29.823806473485298</c:v>
                </c:pt>
                <c:pt idx="1">
                  <c:v>32.160289975725441</c:v>
                </c:pt>
                <c:pt idx="2">
                  <c:v>31.029332535811328</c:v>
                </c:pt>
                <c:pt idx="3">
                  <c:v>31.650737722577325</c:v>
                </c:pt>
                <c:pt idx="4">
                  <c:v>29.823806473485298</c:v>
                </c:pt>
                <c:pt idx="5">
                  <c:v>31.911727901019042</c:v>
                </c:pt>
                <c:pt idx="6">
                  <c:v>31.029332535811328</c:v>
                </c:pt>
                <c:pt idx="7">
                  <c:v>31.650737722577325</c:v>
                </c:pt>
                <c:pt idx="8">
                  <c:v>29.823806473485298</c:v>
                </c:pt>
                <c:pt idx="9">
                  <c:v>32.160289975725441</c:v>
                </c:pt>
                <c:pt idx="10">
                  <c:v>31.029332535811328</c:v>
                </c:pt>
                <c:pt idx="11">
                  <c:v>31.650737722577325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E35-4826-B060-DE708CBC6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7897503"/>
        <c:axId val="27749151"/>
      </c:lineChart>
      <c:catAx>
        <c:axId val="14578975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>
                    <a:solidFill>
                      <a:srgbClr val="000000"/>
                    </a:solidFill>
                    <a:latin typeface=" +mn-lt"/>
                  </a:defRPr>
                </a:pPr>
                <a:r>
                  <a:rPr lang="nb-NO" sz="1000" b="1" i="0">
                    <a:solidFill>
                      <a:srgbClr val="000000"/>
                    </a:solidFill>
                    <a:latin typeface=" +mn-lt"/>
                  </a:rPr>
                  <a:t>Jan - Des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49151"/>
        <c:crosses val="autoZero"/>
        <c:auto val="0"/>
        <c:lblAlgn val="ctr"/>
        <c:lblOffset val="100"/>
        <c:noMultiLvlLbl val="0"/>
      </c:catAx>
      <c:valAx>
        <c:axId val="277491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>
                    <a:solidFill>
                      <a:srgbClr val="000000"/>
                    </a:solidFill>
                    <a:latin typeface=" +mn-lt"/>
                  </a:defRPr>
                </a:pPr>
                <a:r>
                  <a:rPr lang="nb-NO" sz="1000" b="1" i="0">
                    <a:solidFill>
                      <a:srgbClr val="000000"/>
                    </a:solidFill>
                    <a:latin typeface=" +mn-lt"/>
                  </a:rPr>
                  <a:t>Average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457897503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'Ark1'!$Z$1</c:f>
              <c:strCache>
                <c:ptCount val="1"/>
                <c:pt idx="0">
                  <c:v>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'Ark1'!$Z$2:$Z$13</c:f>
              <c:numCache>
                <c:formatCode>General</c:formatCode>
                <c:ptCount val="12"/>
                <c:pt idx="0">
                  <c:v>12.408452642037883</c:v>
                </c:pt>
                <c:pt idx="1">
                  <c:v>11.197587459461111</c:v>
                </c:pt>
                <c:pt idx="2">
                  <c:v>12.764161136706539</c:v>
                </c:pt>
                <c:pt idx="3">
                  <c:v>13.241812120525429</c:v>
                </c:pt>
                <c:pt idx="4">
                  <c:v>12.408452642037883</c:v>
                </c:pt>
                <c:pt idx="5">
                  <c:v>11.498792207106893</c:v>
                </c:pt>
                <c:pt idx="6">
                  <c:v>12.764161136706539</c:v>
                </c:pt>
                <c:pt idx="7">
                  <c:v>13.241812120525429</c:v>
                </c:pt>
                <c:pt idx="8">
                  <c:v>12.408452642037883</c:v>
                </c:pt>
                <c:pt idx="9">
                  <c:v>11.197587459461111</c:v>
                </c:pt>
                <c:pt idx="10">
                  <c:v>12.764161136706539</c:v>
                </c:pt>
                <c:pt idx="11">
                  <c:v>13.241812120525429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03-4417-A19B-7DF147E8D7AC}"/>
            </c:ext>
          </c:extLst>
        </c:ser>
        <c:ser>
          <c:idx val="1"/>
          <c:order val="1"/>
          <c:tx>
            <c:strRef>
              <c:f>'Ark1'!$AA$1</c:f>
              <c:strCache>
                <c:ptCount val="1"/>
                <c:pt idx="0">
                  <c:v>sdbar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'Ark1'!$AA$2:$AA$13</c:f>
              <c:numCache>
                <c:formatCode>General</c:formatCode>
                <c:ptCount val="12"/>
                <c:pt idx="0">
                  <c:v>12.428103735319889</c:v>
                </c:pt>
                <c:pt idx="1">
                  <c:v>12.428103735319889</c:v>
                </c:pt>
                <c:pt idx="2">
                  <c:v>12.428103735319889</c:v>
                </c:pt>
                <c:pt idx="3">
                  <c:v>12.428103735319889</c:v>
                </c:pt>
                <c:pt idx="4">
                  <c:v>12.428103735319889</c:v>
                </c:pt>
                <c:pt idx="5">
                  <c:v>12.428103735319889</c:v>
                </c:pt>
                <c:pt idx="6">
                  <c:v>12.428103735319889</c:v>
                </c:pt>
                <c:pt idx="7">
                  <c:v>12.428103735319889</c:v>
                </c:pt>
                <c:pt idx="8">
                  <c:v>12.428103735319889</c:v>
                </c:pt>
                <c:pt idx="9">
                  <c:v>12.428103735319889</c:v>
                </c:pt>
                <c:pt idx="10">
                  <c:v>12.428103735319889</c:v>
                </c:pt>
                <c:pt idx="11">
                  <c:v>12.428103735319889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03-4417-A19B-7DF147E8D7AC}"/>
            </c:ext>
          </c:extLst>
        </c:ser>
        <c:ser>
          <c:idx val="2"/>
          <c:order val="2"/>
          <c:tx>
            <c:strRef>
              <c:f>'Ark1'!$AB$1</c:f>
              <c:strCache>
                <c:ptCount val="1"/>
                <c:pt idx="0">
                  <c:v>UCLS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'Ark1'!$AB$2:$AB$13</c:f>
              <c:numCache>
                <c:formatCode>General</c:formatCode>
                <c:ptCount val="12"/>
                <c:pt idx="0">
                  <c:v>20.456658748336537</c:v>
                </c:pt>
                <c:pt idx="1">
                  <c:v>18.679439914185792</c:v>
                </c:pt>
                <c:pt idx="2">
                  <c:v>19.536979071922865</c:v>
                </c:pt>
                <c:pt idx="3">
                  <c:v>19.064711129980708</c:v>
                </c:pt>
                <c:pt idx="4">
                  <c:v>20.456658748336537</c:v>
                </c:pt>
                <c:pt idx="5">
                  <c:v>18.865861470215592</c:v>
                </c:pt>
                <c:pt idx="6">
                  <c:v>19.536979071922865</c:v>
                </c:pt>
                <c:pt idx="7">
                  <c:v>19.064711129980708</c:v>
                </c:pt>
                <c:pt idx="8">
                  <c:v>20.456658748336537</c:v>
                </c:pt>
                <c:pt idx="9">
                  <c:v>18.679439914185792</c:v>
                </c:pt>
                <c:pt idx="10">
                  <c:v>19.536979071922865</c:v>
                </c:pt>
                <c:pt idx="11">
                  <c:v>19.064711129980708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03-4417-A19B-7DF147E8D7AC}"/>
            </c:ext>
          </c:extLst>
        </c:ser>
        <c:ser>
          <c:idx val="3"/>
          <c:order val="3"/>
          <c:tx>
            <c:strRef>
              <c:f>'Ark1'!$AC$1</c:f>
              <c:strCache>
                <c:ptCount val="1"/>
                <c:pt idx="0">
                  <c:v>LCLS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'Ark1'!$AC$2:$AC$13</c:f>
              <c:numCache>
                <c:formatCode>General</c:formatCode>
                <c:ptCount val="12"/>
                <c:pt idx="0">
                  <c:v>4.3995487223032406</c:v>
                </c:pt>
                <c:pt idx="1">
                  <c:v>6.176767556453985</c:v>
                </c:pt>
                <c:pt idx="2">
                  <c:v>5.3192283987169127</c:v>
                </c:pt>
                <c:pt idx="3">
                  <c:v>5.7914963406590685</c:v>
                </c:pt>
                <c:pt idx="4">
                  <c:v>4.3995487223032406</c:v>
                </c:pt>
                <c:pt idx="5">
                  <c:v>5.9903460004241857</c:v>
                </c:pt>
                <c:pt idx="6">
                  <c:v>5.3192283987169127</c:v>
                </c:pt>
                <c:pt idx="7">
                  <c:v>5.7914963406590685</c:v>
                </c:pt>
                <c:pt idx="8">
                  <c:v>4.3995487223032406</c:v>
                </c:pt>
                <c:pt idx="9">
                  <c:v>6.176767556453985</c:v>
                </c:pt>
                <c:pt idx="10">
                  <c:v>5.3192283987169127</c:v>
                </c:pt>
                <c:pt idx="11">
                  <c:v>5.7914963406590685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03-4417-A19B-7DF147E8D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144671"/>
        <c:axId val="2029446927"/>
      </c:lineChart>
      <c:catAx>
        <c:axId val="9814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29446927"/>
        <c:crosses val="autoZero"/>
        <c:auto val="1"/>
        <c:lblAlgn val="ctr"/>
        <c:lblOffset val="100"/>
        <c:noMultiLvlLbl val="0"/>
      </c:catAx>
      <c:valAx>
        <c:axId val="202944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814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>
                <a:solidFill>
                  <a:srgbClr val="000000"/>
                </a:solidFill>
                <a:latin typeface=" +mn-lt"/>
              </a:defRPr>
            </a:pPr>
            <a:r>
              <a:rPr lang="nb-NO" sz="1800" b="1" i="0">
                <a:solidFill>
                  <a:srgbClr val="000000"/>
                </a:solidFill>
                <a:latin typeface=" +mn-lt"/>
              </a:rPr>
              <a:t>Avd1-19 - S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'Avd1-9 XbarS '!$AD$1</c:f>
              <c:strCache>
                <c:ptCount val="1"/>
                <c:pt idx="0">
                  <c:v>Stdev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  <a:effectLst/>
          </c:spPr>
          <c:marker>
            <c:symbol val="circle"/>
            <c:size val="6"/>
            <c:spPr>
              <a:solidFill>
                <a:srgbClr val="000080"/>
              </a:solidFill>
              <a:ln w="12700">
                <a:solidFill>
                  <a:srgbClr val="000080"/>
                </a:solidFill>
                <a:prstDash val="solid"/>
              </a:ln>
            </c:spPr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'!$AD$2:$AD$13</c:f>
              <c:numCache>
                <c:formatCode>0.0</c:formatCode>
                <c:ptCount val="12"/>
                <c:pt idx="0">
                  <c:v>12.408452642037883</c:v>
                </c:pt>
                <c:pt idx="1">
                  <c:v>11.197587459461111</c:v>
                </c:pt>
                <c:pt idx="2">
                  <c:v>12.764161136706539</c:v>
                </c:pt>
                <c:pt idx="3">
                  <c:v>13.241812120525429</c:v>
                </c:pt>
                <c:pt idx="4">
                  <c:v>12.408452642037883</c:v>
                </c:pt>
                <c:pt idx="5">
                  <c:v>11.498792207106893</c:v>
                </c:pt>
                <c:pt idx="6">
                  <c:v>12.764161136706539</c:v>
                </c:pt>
                <c:pt idx="7">
                  <c:v>13.241812120525429</c:v>
                </c:pt>
                <c:pt idx="8">
                  <c:v>12.408452642037883</c:v>
                </c:pt>
                <c:pt idx="9">
                  <c:v>11.197587459461111</c:v>
                </c:pt>
                <c:pt idx="10">
                  <c:v>12.764161136706539</c:v>
                </c:pt>
                <c:pt idx="11">
                  <c:v>13.241812120525429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74-4134-953C-EAB8FA5CC076}"/>
            </c:ext>
          </c:extLst>
        </c:ser>
        <c:ser>
          <c:idx val="1"/>
          <c:order val="1"/>
          <c:tx>
            <c:strRef>
              <c:f>'Avd1-9 XbarS '!$AE$1</c:f>
              <c:strCache>
                <c:ptCount val="1"/>
                <c:pt idx="0">
                  <c:v>UCL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3658686838790499E-2"/>
                  <c:y val="-2.092148430518020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UCL</a:t>
                    </a:r>
                  </a:p>
                </c:rich>
              </c:tx>
              <c:numFmt formatCode="0.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774-4134-953C-EAB8FA5CC076}"/>
                </c:ext>
              </c:extLst>
            </c:dLbl>
            <c:dLbl>
              <c:idx val="10"/>
              <c:layout>
                <c:manualLayout>
                  <c:x val="-1.3658686838790698E-2"/>
                  <c:y val="-2.0921484305180246E-2"/>
                </c:manualLayout>
              </c:layout>
              <c:numFmt formatCode="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nb-N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774-4134-953C-EAB8FA5CC07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'!$AE$2:$AE$13</c:f>
              <c:numCache>
                <c:formatCode>0.0</c:formatCode>
                <c:ptCount val="12"/>
                <c:pt idx="0">
                  <c:v>20.456658748336537</c:v>
                </c:pt>
                <c:pt idx="1">
                  <c:v>18.679439914185792</c:v>
                </c:pt>
                <c:pt idx="2">
                  <c:v>19.536979071922865</c:v>
                </c:pt>
                <c:pt idx="3">
                  <c:v>19.064711129980708</c:v>
                </c:pt>
                <c:pt idx="4">
                  <c:v>20.456658748336537</c:v>
                </c:pt>
                <c:pt idx="5">
                  <c:v>18.865861470215592</c:v>
                </c:pt>
                <c:pt idx="6">
                  <c:v>19.536979071922865</c:v>
                </c:pt>
                <c:pt idx="7">
                  <c:v>19.064711129980708</c:v>
                </c:pt>
                <c:pt idx="8">
                  <c:v>20.456658748336537</c:v>
                </c:pt>
                <c:pt idx="9">
                  <c:v>18.679439914185792</c:v>
                </c:pt>
                <c:pt idx="10">
                  <c:v>19.536979071922865</c:v>
                </c:pt>
                <c:pt idx="11">
                  <c:v>19.064711129980708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74-4134-953C-EAB8FA5CC076}"/>
            </c:ext>
          </c:extLst>
        </c:ser>
        <c:ser>
          <c:idx val="2"/>
          <c:order val="2"/>
          <c:tx>
            <c:strRef>
              <c:f>'Avd1-9 XbarS '!$AF$1</c:f>
              <c:strCache>
                <c:ptCount val="1"/>
                <c:pt idx="0">
                  <c:v> +2 Sigma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A5A5A5">
                      <a:shade val="76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'!$AF$2:$AF$13</c:f>
              <c:numCache>
                <c:formatCode>0.0</c:formatCode>
                <c:ptCount val="12"/>
                <c:pt idx="0">
                  <c:v>17.780473743997653</c:v>
                </c:pt>
                <c:pt idx="1">
                  <c:v>16.595661187897157</c:v>
                </c:pt>
                <c:pt idx="2">
                  <c:v>17.167353959721872</c:v>
                </c:pt>
                <c:pt idx="3">
                  <c:v>16.852508665093769</c:v>
                </c:pt>
                <c:pt idx="4">
                  <c:v>17.780473743997653</c:v>
                </c:pt>
                <c:pt idx="5">
                  <c:v>16.719942225250357</c:v>
                </c:pt>
                <c:pt idx="6">
                  <c:v>17.167353959721872</c:v>
                </c:pt>
                <c:pt idx="7">
                  <c:v>16.852508665093769</c:v>
                </c:pt>
                <c:pt idx="8">
                  <c:v>17.780473743997653</c:v>
                </c:pt>
                <c:pt idx="9">
                  <c:v>16.595661187897157</c:v>
                </c:pt>
                <c:pt idx="10">
                  <c:v>17.167353959721872</c:v>
                </c:pt>
                <c:pt idx="11">
                  <c:v>16.852508665093769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74-4134-953C-EAB8FA5CC076}"/>
            </c:ext>
          </c:extLst>
        </c:ser>
        <c:ser>
          <c:idx val="3"/>
          <c:order val="3"/>
          <c:tx>
            <c:strRef>
              <c:f>'Avd1-9 XbarS '!$AG$1</c:f>
              <c:strCache>
                <c:ptCount val="1"/>
                <c:pt idx="0">
                  <c:v> +1 Sigma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FFC000">
                      <a:shade val="76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'!$AG$2:$AG$13</c:f>
              <c:numCache>
                <c:formatCode>0.0</c:formatCode>
                <c:ptCount val="12"/>
                <c:pt idx="0">
                  <c:v>15.10428873965877</c:v>
                </c:pt>
                <c:pt idx="1">
                  <c:v>14.511882461608522</c:v>
                </c:pt>
                <c:pt idx="2">
                  <c:v>14.797728847520879</c:v>
                </c:pt>
                <c:pt idx="3">
                  <c:v>14.640306200206828</c:v>
                </c:pt>
                <c:pt idx="4">
                  <c:v>15.10428873965877</c:v>
                </c:pt>
                <c:pt idx="5">
                  <c:v>14.574022980285122</c:v>
                </c:pt>
                <c:pt idx="6">
                  <c:v>14.797728847520879</c:v>
                </c:pt>
                <c:pt idx="7">
                  <c:v>14.640306200206828</c:v>
                </c:pt>
                <c:pt idx="8">
                  <c:v>15.10428873965877</c:v>
                </c:pt>
                <c:pt idx="9">
                  <c:v>14.511882461608522</c:v>
                </c:pt>
                <c:pt idx="10">
                  <c:v>14.797728847520879</c:v>
                </c:pt>
                <c:pt idx="11">
                  <c:v>14.640306200206828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74-4134-953C-EAB8FA5CC076}"/>
            </c:ext>
          </c:extLst>
        </c:ser>
        <c:ser>
          <c:idx val="4"/>
          <c:order val="4"/>
          <c:tx>
            <c:strRef>
              <c:f>'Avd1-9 XbarS '!$AH$1</c:f>
              <c:strCache>
                <c:ptCount val="1"/>
                <c:pt idx="0">
                  <c:v>Average</c:v>
                </c:pt>
              </c:strCache>
            </c:strRef>
          </c:tx>
          <c:spPr>
            <a:ln w="12700">
              <a:solidFill>
                <a:srgbClr val="009999"/>
              </a:solidFill>
              <a:prstDash val="solid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3658686838790499E-2"/>
                  <c:y val="-2.092148430518020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CL</a:t>
                    </a:r>
                  </a:p>
                </c:rich>
              </c:tx>
              <c:numFmt formatCode="0.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C774-4134-953C-EAB8FA5CC076}"/>
                </c:ext>
              </c:extLst>
            </c:dLbl>
            <c:dLbl>
              <c:idx val="10"/>
              <c:layout>
                <c:manualLayout>
                  <c:x val="-1.3658686838790698E-2"/>
                  <c:y val="-2.0921484305180208E-2"/>
                </c:manualLayout>
              </c:layout>
              <c:numFmt formatCode="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nb-N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774-4134-953C-EAB8FA5CC07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'!$AH$2:$AH$13</c:f>
              <c:numCache>
                <c:formatCode>0.0</c:formatCode>
                <c:ptCount val="12"/>
                <c:pt idx="0">
                  <c:v>12.428103735319889</c:v>
                </c:pt>
                <c:pt idx="1">
                  <c:v>12.428103735319889</c:v>
                </c:pt>
                <c:pt idx="2">
                  <c:v>12.428103735319889</c:v>
                </c:pt>
                <c:pt idx="3">
                  <c:v>12.428103735319889</c:v>
                </c:pt>
                <c:pt idx="4">
                  <c:v>12.428103735319889</c:v>
                </c:pt>
                <c:pt idx="5">
                  <c:v>12.428103735319889</c:v>
                </c:pt>
                <c:pt idx="6">
                  <c:v>12.428103735319889</c:v>
                </c:pt>
                <c:pt idx="7">
                  <c:v>12.428103735319889</c:v>
                </c:pt>
                <c:pt idx="8">
                  <c:v>12.428103735319889</c:v>
                </c:pt>
                <c:pt idx="9">
                  <c:v>12.428103735319889</c:v>
                </c:pt>
                <c:pt idx="10">
                  <c:v>12.428103735319889</c:v>
                </c:pt>
                <c:pt idx="11">
                  <c:v>12.428103735319889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774-4134-953C-EAB8FA5CC076}"/>
            </c:ext>
          </c:extLst>
        </c:ser>
        <c:ser>
          <c:idx val="5"/>
          <c:order val="5"/>
          <c:tx>
            <c:strRef>
              <c:f>'Avd1-9 XbarS '!$AI$1</c:f>
              <c:strCache>
                <c:ptCount val="1"/>
                <c:pt idx="0">
                  <c:v> -1 Sigma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70AD47">
                      <a:shade val="76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'!$AI$2:$AI$13</c:f>
              <c:numCache>
                <c:formatCode>0.0</c:formatCode>
                <c:ptCount val="12"/>
                <c:pt idx="0">
                  <c:v>9.7519187309810071</c:v>
                </c:pt>
                <c:pt idx="1">
                  <c:v>10.344325009031255</c:v>
                </c:pt>
                <c:pt idx="2">
                  <c:v>10.058478623118898</c:v>
                </c:pt>
                <c:pt idx="3">
                  <c:v>10.215901270432949</c:v>
                </c:pt>
                <c:pt idx="4">
                  <c:v>9.7519187309810071</c:v>
                </c:pt>
                <c:pt idx="5">
                  <c:v>10.282184490354656</c:v>
                </c:pt>
                <c:pt idx="6">
                  <c:v>10.058478623118898</c:v>
                </c:pt>
                <c:pt idx="7">
                  <c:v>10.215901270432949</c:v>
                </c:pt>
                <c:pt idx="8">
                  <c:v>9.7519187309810071</c:v>
                </c:pt>
                <c:pt idx="9">
                  <c:v>10.344325009031255</c:v>
                </c:pt>
                <c:pt idx="10">
                  <c:v>10.058478623118898</c:v>
                </c:pt>
                <c:pt idx="11">
                  <c:v>10.215901270432949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774-4134-953C-EAB8FA5CC076}"/>
            </c:ext>
          </c:extLst>
        </c:ser>
        <c:ser>
          <c:idx val="6"/>
          <c:order val="6"/>
          <c:tx>
            <c:strRef>
              <c:f>'Avd1-9 XbarS '!$AJ$1</c:f>
              <c:strCache>
                <c:ptCount val="1"/>
                <c:pt idx="0">
                  <c:v> -2 Sigma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9050" cap="rnd" cmpd="sng" algn="ctr">
                  <a:solidFill>
                    <a:srgbClr val="4472C4">
                      <a:tint val="77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'!$AJ$2:$AJ$13</c:f>
              <c:numCache>
                <c:formatCode>0.0</c:formatCode>
                <c:ptCount val="12"/>
                <c:pt idx="0">
                  <c:v>7.0757337266421239</c:v>
                </c:pt>
                <c:pt idx="1">
                  <c:v>8.2605462827426201</c:v>
                </c:pt>
                <c:pt idx="2">
                  <c:v>7.6888535109179053</c:v>
                </c:pt>
                <c:pt idx="3">
                  <c:v>8.0036988055460085</c:v>
                </c:pt>
                <c:pt idx="4">
                  <c:v>7.0757337266421239</c:v>
                </c:pt>
                <c:pt idx="5">
                  <c:v>8.1362652453894206</c:v>
                </c:pt>
                <c:pt idx="6">
                  <c:v>7.6888535109179053</c:v>
                </c:pt>
                <c:pt idx="7">
                  <c:v>8.0036988055460085</c:v>
                </c:pt>
                <c:pt idx="8">
                  <c:v>7.0757337266421239</c:v>
                </c:pt>
                <c:pt idx="9">
                  <c:v>8.2605462827426201</c:v>
                </c:pt>
                <c:pt idx="10">
                  <c:v>7.6888535109179053</c:v>
                </c:pt>
                <c:pt idx="11">
                  <c:v>8.0036988055460085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774-4134-953C-EAB8FA5CC076}"/>
            </c:ext>
          </c:extLst>
        </c:ser>
        <c:ser>
          <c:idx val="7"/>
          <c:order val="7"/>
          <c:tx>
            <c:strRef>
              <c:f>'Avd1-9 XbarS '!$AK$1</c:f>
              <c:strCache>
                <c:ptCount val="1"/>
                <c:pt idx="0">
                  <c:v>LCL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3658686838790499E-2"/>
                  <c:y val="-2.0921484305180284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LCL</a:t>
                    </a:r>
                  </a:p>
                </c:rich>
              </c:tx>
              <c:numFmt formatCode="0.0" sourceLinked="0"/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C774-4134-953C-EAB8FA5CC076}"/>
                </c:ext>
              </c:extLst>
            </c:dLbl>
            <c:dLbl>
              <c:idx val="10"/>
              <c:layout>
                <c:manualLayout>
                  <c:x val="-1.3658686838790698E-2"/>
                  <c:y val="-2.0921484305180361E-2"/>
                </c:manualLayout>
              </c:layout>
              <c:numFmt formatCode="0.0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nb-N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774-4134-953C-EAB8FA5CC07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'Avd1-9 XbarS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'Avd1-9 XbarS '!$AK$2:$AK$13</c:f>
              <c:numCache>
                <c:formatCode>0.0</c:formatCode>
                <c:ptCount val="12"/>
                <c:pt idx="0">
                  <c:v>4.3995487223032406</c:v>
                </c:pt>
                <c:pt idx="1">
                  <c:v>6.176767556453985</c:v>
                </c:pt>
                <c:pt idx="2">
                  <c:v>5.3192283987169127</c:v>
                </c:pt>
                <c:pt idx="3">
                  <c:v>5.7914963406590685</c:v>
                </c:pt>
                <c:pt idx="4">
                  <c:v>4.3995487223032406</c:v>
                </c:pt>
                <c:pt idx="5">
                  <c:v>5.9903460004241857</c:v>
                </c:pt>
                <c:pt idx="6">
                  <c:v>5.3192283987169127</c:v>
                </c:pt>
                <c:pt idx="7">
                  <c:v>5.7914963406590685</c:v>
                </c:pt>
                <c:pt idx="8">
                  <c:v>4.3995487223032406</c:v>
                </c:pt>
                <c:pt idx="9">
                  <c:v>6.176767556453985</c:v>
                </c:pt>
                <c:pt idx="10">
                  <c:v>5.3192283987169127</c:v>
                </c:pt>
                <c:pt idx="11">
                  <c:v>5.7914963406590685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774-4134-953C-EAB8FA5CC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15423"/>
        <c:axId val="27742911"/>
      </c:lineChart>
      <c:catAx>
        <c:axId val="39815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>
                    <a:solidFill>
                      <a:srgbClr val="000000"/>
                    </a:solidFill>
                    <a:latin typeface=" +mn-lt"/>
                  </a:defRPr>
                </a:pPr>
                <a:r>
                  <a:rPr lang="nb-NO" sz="1000" b="1" i="0">
                    <a:solidFill>
                      <a:srgbClr val="000000"/>
                    </a:solidFill>
                    <a:latin typeface=" +mn-lt"/>
                  </a:rPr>
                  <a:t>Jan - Des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42911"/>
        <c:crosses val="autoZero"/>
        <c:auto val="0"/>
        <c:lblAlgn val="ctr"/>
        <c:lblOffset val="100"/>
        <c:noMultiLvlLbl val="0"/>
      </c:catAx>
      <c:valAx>
        <c:axId val="277429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>
                    <a:solidFill>
                      <a:srgbClr val="000000"/>
                    </a:solidFill>
                    <a:latin typeface=" +mn-lt"/>
                  </a:defRPr>
                </a:pPr>
                <a:r>
                  <a:rPr lang="nb-NO" sz="1000" b="1" i="0">
                    <a:solidFill>
                      <a:srgbClr val="000000"/>
                    </a:solidFill>
                    <a:latin typeface=" +mn-lt"/>
                  </a:rPr>
                  <a:t>Stdev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39815423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272143</xdr:colOff>
      <xdr:row>21</xdr:row>
      <xdr:rowOff>81643</xdr:rowOff>
    </xdr:from>
    <xdr:to>
      <xdr:col>19</xdr:col>
      <xdr:colOff>190500</xdr:colOff>
      <xdr:row>37</xdr:row>
      <xdr:rowOff>81643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F6F1A7F4-D908-46E7-B0F2-0F81573BF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90713</xdr:colOff>
      <xdr:row>0</xdr:row>
      <xdr:rowOff>72571</xdr:rowOff>
    </xdr:from>
    <xdr:to>
      <xdr:col>17</xdr:col>
      <xdr:colOff>154213</xdr:colOff>
      <xdr:row>20</xdr:row>
      <xdr:rowOff>72571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85A6236-CD95-47F4-B293-9FD2DD236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350520</xdr:colOff>
      <xdr:row>1</xdr:row>
      <xdr:rowOff>80010</xdr:rowOff>
    </xdr:from>
    <xdr:to>
      <xdr:col>12</xdr:col>
      <xdr:colOff>274320</xdr:colOff>
      <xdr:row>16</xdr:row>
      <xdr:rowOff>80010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C1C772F3-4BE8-4BAD-AB10-4642EBE45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220981</xdr:colOff>
      <xdr:row>15</xdr:row>
      <xdr:rowOff>121921</xdr:rowOff>
    </xdr:from>
    <xdr:to>
      <xdr:col>12</xdr:col>
      <xdr:colOff>160020</xdr:colOff>
      <xdr:row>28</xdr:row>
      <xdr:rowOff>45720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33DA3890-16B2-4F61-AAF9-39E3E6830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434340</xdr:colOff>
      <xdr:row>1</xdr:row>
      <xdr:rowOff>80010</xdr:rowOff>
    </xdr:from>
    <xdr:to>
      <xdr:col>22</xdr:col>
      <xdr:colOff>358140</xdr:colOff>
      <xdr:row>16</xdr:row>
      <xdr:rowOff>80010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1DABDC-FD42-45A8-804C-E7BC512156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449581</xdr:colOff>
      <xdr:row>13</xdr:row>
      <xdr:rowOff>53340</xdr:rowOff>
    </xdr:from>
    <xdr:to>
      <xdr:col>22</xdr:col>
      <xdr:colOff>327661</xdr:colOff>
      <xdr:row>24</xdr:row>
      <xdr:rowOff>98334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712C8BD6-D6C8-437C-9B21-72DCC08280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AF44-57D2-4A0E-9C0E-66335D607423}">
  <sheetPr>
    <tabColor rgb="FF66FF66"/>
    <pageSetUpPr fitToPage="1"/>
  </sheetPr>
  <dimension ref="A1:BK52"/>
  <sheetViews>
    <sheetView tabSelected="1" zoomScale="84" zoomScaleNormal="84" workbookViewId="0">
      <selection activeCell="D25" sqref="D25"/>
    </sheetView>
  </sheetViews>
  <sheetFormatPr baseColWidth="10" defaultRowHeight="14.4" x14ac:dyDescent="0.3"/>
  <cols>
    <col min="1" max="1" width="4.21875" bestFit="1" customWidth="1"/>
    <col min="2" max="10" width="5.33203125" bestFit="1" customWidth="1"/>
    <col min="11" max="20" width="6.33203125" bestFit="1" customWidth="1"/>
    <col min="21" max="41" width="6.77734375" customWidth="1"/>
    <col min="42" max="83" width="9.21875" customWidth="1"/>
  </cols>
  <sheetData>
    <row r="1" spans="1:63" ht="13.95" customHeight="1" x14ac:dyDescent="0.3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4" t="s">
        <v>31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t="s">
        <v>47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t="s">
        <v>44</v>
      </c>
      <c r="AM1" t="s">
        <v>45</v>
      </c>
      <c r="AN1" t="s">
        <v>46</v>
      </c>
      <c r="BH1" t="s">
        <v>40</v>
      </c>
      <c r="BI1" t="s">
        <v>41</v>
      </c>
      <c r="BJ1" t="s">
        <v>42</v>
      </c>
      <c r="BK1" t="s">
        <v>43</v>
      </c>
    </row>
    <row r="2" spans="1:63" ht="13.95" customHeight="1" x14ac:dyDescent="0.3">
      <c r="A2" s="7" t="s">
        <v>0</v>
      </c>
      <c r="B2" s="8">
        <v>25</v>
      </c>
      <c r="C2" s="8">
        <v>22</v>
      </c>
      <c r="D2" s="8">
        <v>35</v>
      </c>
      <c r="E2" s="8">
        <v>23</v>
      </c>
      <c r="F2" s="8">
        <v>24</v>
      </c>
      <c r="G2" s="8">
        <v>45</v>
      </c>
      <c r="H2" s="8">
        <v>36</v>
      </c>
      <c r="I2" s="8">
        <v>34</v>
      </c>
      <c r="J2" s="8">
        <v>32</v>
      </c>
      <c r="K2" s="8">
        <v>40</v>
      </c>
      <c r="L2" s="8">
        <v>35</v>
      </c>
      <c r="M2" s="8">
        <v>67</v>
      </c>
      <c r="N2" s="8"/>
      <c r="O2" s="8"/>
      <c r="P2" s="8"/>
      <c r="Q2" s="8"/>
      <c r="R2" s="8"/>
      <c r="S2" s="8"/>
      <c r="T2" s="8"/>
      <c r="U2" s="9">
        <f t="shared" ref="U2:U13" si="0">IF(COUNT(B2:T2)=0,"",AVERAGE(B2:T2))</f>
        <v>34.833333333333336</v>
      </c>
      <c r="V2" s="6">
        <f t="shared" ref="V2:V33" ca="1" si="1">IF(OR(ISNA(OFFSET(V2,0,-1,1,1)),OFFSET(V2,0,-1,1,1)=""),OFFSET(V2,-1,0,1,1),Y2+(INDEX($BH$1:$BK$21,MAX(AL2,2),3)*AH2))</f>
        <v>51.846406292472146</v>
      </c>
      <c r="W2" s="6">
        <f t="shared" ref="W2:W33" ca="1" si="2">IF(OR(ISNA(OFFSET(W2,0,-2,1,1)),OFFSET(W2,0,-2,1,1)=""),OFFSET(W2,-1,0,1,1),Y2+(2/3)*(INDEX($BH$1:$BK$21,MAX(AL2,2),3)*AH2))</f>
        <v>48.175972989307667</v>
      </c>
      <c r="X2" s="6">
        <f t="shared" ref="X2:X33" ca="1" si="3">IF(OR(ISNA(OFFSET(X2,0,-3,1,1)),OFFSET(X2,0,-3,1,1)=""),OFFSET(X2,-1,0,1,1),Y2+(1/3)*(INDEX($BH$1:$BK$21,MAX(AL2,2),3)*AH2))</f>
        <v>44.505539686143194</v>
      </c>
      <c r="Y2" s="6">
        <f t="shared" ref="Y2:Y33" si="4">AVERAGE($B$2:$T$13)</f>
        <v>40.835106382978722</v>
      </c>
      <c r="Z2" s="6">
        <f t="shared" ref="Z2:Z33" ca="1" si="5">IF(OR(ISNA(OFFSET(Z2,0,-5,1,1)),OFFSET(Z2,0,-5,1,1)=""),OFFSET(Z2,-1,0,1,1),Y2-(1/3)*(INDEX($BH$1:$BK$21,MAX(AL2,2),3)*AH2))</f>
        <v>37.16467307981425</v>
      </c>
      <c r="AA2" s="6">
        <f t="shared" ref="AA2:AA33" ca="1" si="6">IF(OR(ISNA(OFFSET(AA2,0,-6,1,1)),OFFSET(AA2,0,-6,1,1)=""),OFFSET(AA2,-1,0,1,1),Y2-(2/3)*(INDEX($BH$1:$BK$21,MAX(AL2,2),3)*AH2))</f>
        <v>33.494239776649778</v>
      </c>
      <c r="AB2" s="6">
        <f t="shared" ref="AB2:AB33" ca="1" si="7">IF(OR(ISNA(OFFSET(AB2,0,-7,1,1)),OFFSET(AB2,0,-7,1,1)=""),OFFSET(AB2,-1,0,1,1),Y2-(INDEX($BH$1:$BK$21,MAX(AL2,2),3)*AH2))</f>
        <v>29.823806473485298</v>
      </c>
      <c r="AC2" s="5">
        <f t="array" ref="AC2">SUM(IF(ISNUMBER($B2:T2),($B2:T2-U2)^2,0))</f>
        <v>1693.666666666667</v>
      </c>
      <c r="AD2" s="6">
        <f>IF(COUNT($B2:T2)=1,"",IF(ISERROR(_xlfn.STDEV.S(B2:T2)),"",_xlfn.STDEV.S(B2:T2)))</f>
        <v>12.408452642037883</v>
      </c>
      <c r="AE2" s="4">
        <f t="shared" ref="AE2:AE33" ca="1" si="8">IF(OR(ISNA(OFFSET(AE2,0,-1,1,1)),OFFSET(AE2,0,-1,1,1)=""),OFFSET(AE2,-1,0,1,1),INDEX($BH$1:$BK$21,MAX(AL2,2),2)*AH2)</f>
        <v>20.456658748336537</v>
      </c>
      <c r="AF2" s="4">
        <f t="shared" ref="AF2:AF33" ca="1" si="9">IF(OR(ISNA(OFFSET(AF2,0,-2,1,1)),OFFSET(AF2,0,-2,1,1)=""),OFFSET(AF2,-1,0,1,1),(2/3)*(AE2-AH2)+AH2)</f>
        <v>17.780473743997653</v>
      </c>
      <c r="AG2" s="4">
        <f t="shared" ref="AG2:AG33" ca="1" si="10">IF(OR(ISNA(OFFSET(AG2,0,-3,1,1)),OFFSET(AG2,0,-3,1,1)=""),OFFSET(AG2,-1,0,1,1),(1/3)*(AE2-AH2)+AH2)</f>
        <v>15.10428873965877</v>
      </c>
      <c r="AH2" s="4">
        <f t="shared" ref="AH2:AH33" si="11">AVERAGE($AD$2:$AD$13)</f>
        <v>12.428103735319889</v>
      </c>
      <c r="AI2" s="4">
        <f t="shared" ref="AI2:AI33" ca="1" si="12">IF(OR(ISNA(OFFSET(AI2,0,-5,1,1)),OFFSET(AI2,0,-5,1,1)=""),OFFSET(AI2,-1,0,1,1),(MAX(AH2-(1/3)*(AE2-AH2),0)))</f>
        <v>9.7519187309810071</v>
      </c>
      <c r="AJ2" s="4">
        <f t="shared" ref="AJ2:AJ33" ca="1" si="13">IF(OR(ISNA(OFFSET(AJ2,0,-6,1,1)),OFFSET(AJ2,0,-6,1,1)=""),OFFSET(AJ2,-1,0,1,1),MAX(AH2-(2/3)*(AE2-AH2),0))</f>
        <v>7.0757337266421239</v>
      </c>
      <c r="AK2" s="4">
        <f t="shared" ref="AK2:AK33" ca="1" si="14">IF(OR(ISNA(OFFSET(AK2,0,-7,1,1)),OFFSET(AK2,0,-7,1,1)=""),OFFSET(AK2,-1,0,1,1),INDEX($BH$1:$BK$21,MAX(AL2,2),1)*AH2)</f>
        <v>4.3995487223032406</v>
      </c>
      <c r="AL2">
        <f t="shared" ref="AL2:AL33" si="15">COUNT(B2:T2)</f>
        <v>12</v>
      </c>
      <c r="AM2">
        <f t="shared" ref="AM2:AM33" si="16">AL2*Y2</f>
        <v>490.02127659574467</v>
      </c>
      <c r="AN2">
        <f t="shared" ref="AN2:AN33" si="17">(AL2-1)*AD2^2</f>
        <v>1693.6666666666661</v>
      </c>
      <c r="BH2">
        <v>0</v>
      </c>
      <c r="BI2">
        <v>3.2669999999999999</v>
      </c>
      <c r="BJ2">
        <v>2.6589999999999998</v>
      </c>
      <c r="BK2">
        <v>0.79788499999999996</v>
      </c>
    </row>
    <row r="3" spans="1:63" ht="13.95" customHeight="1" x14ac:dyDescent="0.3">
      <c r="A3" s="7" t="s">
        <v>1</v>
      </c>
      <c r="B3" s="8">
        <v>25</v>
      </c>
      <c r="C3" s="8">
        <v>22</v>
      </c>
      <c r="D3" s="8">
        <v>35</v>
      </c>
      <c r="E3" s="8">
        <v>23</v>
      </c>
      <c r="F3" s="8">
        <v>24</v>
      </c>
      <c r="G3" s="8">
        <v>45</v>
      </c>
      <c r="H3" s="8">
        <v>36</v>
      </c>
      <c r="I3" s="8">
        <v>34</v>
      </c>
      <c r="J3" s="8">
        <v>32</v>
      </c>
      <c r="K3" s="8">
        <v>40</v>
      </c>
      <c r="L3" s="8">
        <v>35</v>
      </c>
      <c r="M3" s="8">
        <v>67</v>
      </c>
      <c r="N3" s="8">
        <v>25</v>
      </c>
      <c r="O3" s="8">
        <v>22</v>
      </c>
      <c r="P3" s="8">
        <v>35</v>
      </c>
      <c r="Q3" s="8">
        <v>23</v>
      </c>
      <c r="R3" s="8">
        <v>24</v>
      </c>
      <c r="S3" s="8">
        <v>45</v>
      </c>
      <c r="T3" s="8">
        <v>36</v>
      </c>
      <c r="U3" s="9">
        <f t="shared" si="0"/>
        <v>33.05263157894737</v>
      </c>
      <c r="V3" s="6">
        <f t="shared" ca="1" si="1"/>
        <v>49.509922790232004</v>
      </c>
      <c r="W3" s="6">
        <f t="shared" ca="1" si="2"/>
        <v>46.618317321147579</v>
      </c>
      <c r="X3" s="6">
        <f t="shared" ca="1" si="3"/>
        <v>43.726711852063147</v>
      </c>
      <c r="Y3" s="6">
        <f t="shared" si="4"/>
        <v>40.835106382978722</v>
      </c>
      <c r="Z3" s="6">
        <f t="shared" ca="1" si="5"/>
        <v>37.943500913894297</v>
      </c>
      <c r="AA3" s="6">
        <f t="shared" ca="1" si="6"/>
        <v>35.051895444809865</v>
      </c>
      <c r="AB3" s="6">
        <f t="shared" ca="1" si="7"/>
        <v>32.160289975725441</v>
      </c>
      <c r="AC3" s="5">
        <f t="array" ref="AC3">SUM(IF(ISNUMBER($B3:T3),($B3:T3-U3)^2,0))</f>
        <v>2256.9473684210529</v>
      </c>
      <c r="AD3" s="6">
        <f>IF(COUNT($B3:T3)=1,"",IF(ISERROR(_xlfn.STDEV.S(B3:T3)),"",_xlfn.STDEV.S(B3:T3)))</f>
        <v>11.197587459461111</v>
      </c>
      <c r="AE3" s="4">
        <f t="shared" ca="1" si="8"/>
        <v>18.679439914185792</v>
      </c>
      <c r="AF3" s="4">
        <f t="shared" ca="1" si="9"/>
        <v>16.595661187897157</v>
      </c>
      <c r="AG3" s="4">
        <f t="shared" ca="1" si="10"/>
        <v>14.511882461608522</v>
      </c>
      <c r="AH3" s="4">
        <f t="shared" si="11"/>
        <v>12.428103735319889</v>
      </c>
      <c r="AI3" s="4">
        <f t="shared" ca="1" si="12"/>
        <v>10.344325009031255</v>
      </c>
      <c r="AJ3" s="4">
        <f t="shared" ca="1" si="13"/>
        <v>8.2605462827426201</v>
      </c>
      <c r="AK3" s="4">
        <f t="shared" ca="1" si="14"/>
        <v>6.176767556453985</v>
      </c>
      <c r="AL3">
        <f t="shared" si="15"/>
        <v>19</v>
      </c>
      <c r="AM3">
        <f t="shared" si="16"/>
        <v>775.86702127659578</v>
      </c>
      <c r="AN3">
        <f t="shared" si="17"/>
        <v>2256.9473684210534</v>
      </c>
      <c r="BH3">
        <v>0</v>
      </c>
      <c r="BI3">
        <v>2.5680000000000001</v>
      </c>
      <c r="BJ3">
        <v>1.954</v>
      </c>
      <c r="BK3">
        <v>0.88622699999999999</v>
      </c>
    </row>
    <row r="4" spans="1:63" ht="13.95" customHeight="1" x14ac:dyDescent="0.3">
      <c r="A4" s="7" t="s">
        <v>2</v>
      </c>
      <c r="B4" s="8">
        <v>45</v>
      </c>
      <c r="C4" s="8">
        <v>36</v>
      </c>
      <c r="D4" s="8">
        <v>34</v>
      </c>
      <c r="E4" s="8">
        <v>32</v>
      </c>
      <c r="F4" s="8">
        <v>40</v>
      </c>
      <c r="G4" s="8">
        <v>35</v>
      </c>
      <c r="H4" s="8">
        <v>67</v>
      </c>
      <c r="I4" s="8">
        <v>56</v>
      </c>
      <c r="J4" s="8">
        <v>34</v>
      </c>
      <c r="K4" s="8">
        <v>55</v>
      </c>
      <c r="L4" s="8">
        <v>67</v>
      </c>
      <c r="M4" s="8">
        <v>44</v>
      </c>
      <c r="N4" s="8">
        <v>68</v>
      </c>
      <c r="O4" s="8">
        <v>46</v>
      </c>
      <c r="P4" s="8">
        <v>45</v>
      </c>
      <c r="Q4" s="8"/>
      <c r="R4" s="8"/>
      <c r="S4" s="8"/>
      <c r="T4" s="8"/>
      <c r="U4" s="9">
        <f t="shared" si="0"/>
        <v>46.93333333333333</v>
      </c>
      <c r="V4" s="6">
        <f t="shared" ca="1" si="1"/>
        <v>50.640880230146117</v>
      </c>
      <c r="W4" s="6">
        <f t="shared" ca="1" si="2"/>
        <v>47.372288947756985</v>
      </c>
      <c r="X4" s="6">
        <f t="shared" ca="1" si="3"/>
        <v>44.103697665367854</v>
      </c>
      <c r="Y4" s="6">
        <f t="shared" si="4"/>
        <v>40.835106382978722</v>
      </c>
      <c r="Z4" s="6">
        <f t="shared" ca="1" si="5"/>
        <v>37.566515100589591</v>
      </c>
      <c r="AA4" s="6">
        <f t="shared" ca="1" si="6"/>
        <v>34.297923818200459</v>
      </c>
      <c r="AB4" s="6">
        <f t="shared" ca="1" si="7"/>
        <v>31.029332535811328</v>
      </c>
      <c r="AC4" s="5">
        <f t="array" ref="AC4">SUM(IF(ISNUMBER($B4:T4),($B4:T4-U4)^2,0))</f>
        <v>2280.9333333333334</v>
      </c>
      <c r="AD4" s="6">
        <f>IF(COUNT($B4:T4)=1,"",IF(ISERROR(_xlfn.STDEV.S(B4:T4)),"",_xlfn.STDEV.S(B4:T4)))</f>
        <v>12.764161136706539</v>
      </c>
      <c r="AE4" s="4">
        <f t="shared" ca="1" si="8"/>
        <v>19.536979071922865</v>
      </c>
      <c r="AF4" s="4">
        <f t="shared" ca="1" si="9"/>
        <v>17.167353959721872</v>
      </c>
      <c r="AG4" s="4">
        <f t="shared" ca="1" si="10"/>
        <v>14.797728847520879</v>
      </c>
      <c r="AH4" s="4">
        <f t="shared" si="11"/>
        <v>12.428103735319889</v>
      </c>
      <c r="AI4" s="4">
        <f t="shared" ca="1" si="12"/>
        <v>10.058478623118898</v>
      </c>
      <c r="AJ4" s="4">
        <f t="shared" ca="1" si="13"/>
        <v>7.6888535109179053</v>
      </c>
      <c r="AK4" s="4">
        <f t="shared" ca="1" si="14"/>
        <v>5.3192283987169127</v>
      </c>
      <c r="AL4">
        <f t="shared" si="15"/>
        <v>15</v>
      </c>
      <c r="AM4">
        <f t="shared" si="16"/>
        <v>612.52659574468089</v>
      </c>
      <c r="AN4">
        <f t="shared" si="17"/>
        <v>2280.9333333333343</v>
      </c>
      <c r="BH4">
        <v>0</v>
      </c>
      <c r="BI4">
        <v>2.266</v>
      </c>
      <c r="BJ4">
        <v>1.6279999999999999</v>
      </c>
      <c r="BK4">
        <v>0.92131799999999997</v>
      </c>
    </row>
    <row r="5" spans="1:63" ht="13.95" customHeight="1" x14ac:dyDescent="0.3">
      <c r="A5" s="7" t="s">
        <v>3</v>
      </c>
      <c r="B5" s="8">
        <v>34</v>
      </c>
      <c r="C5" s="8">
        <v>32</v>
      </c>
      <c r="D5" s="8">
        <v>40</v>
      </c>
      <c r="E5" s="8">
        <v>35</v>
      </c>
      <c r="F5" s="8">
        <v>67</v>
      </c>
      <c r="G5" s="8">
        <v>54</v>
      </c>
      <c r="H5" s="8">
        <v>57</v>
      </c>
      <c r="I5" s="8">
        <v>59</v>
      </c>
      <c r="J5" s="8">
        <v>45</v>
      </c>
      <c r="K5" s="8">
        <v>44</v>
      </c>
      <c r="L5" s="8">
        <v>67</v>
      </c>
      <c r="M5" s="8">
        <v>47</v>
      </c>
      <c r="N5" s="8">
        <v>53</v>
      </c>
      <c r="O5" s="8">
        <v>55</v>
      </c>
      <c r="P5" s="8">
        <v>43</v>
      </c>
      <c r="Q5" s="8">
        <v>22</v>
      </c>
      <c r="R5" s="8">
        <v>67</v>
      </c>
      <c r="S5" s="8"/>
      <c r="T5" s="8"/>
      <c r="U5" s="9">
        <f t="shared" si="0"/>
        <v>48.294117647058826</v>
      </c>
      <c r="V5" s="6">
        <f t="shared" ca="1" si="1"/>
        <v>50.019475043380119</v>
      </c>
      <c r="W5" s="6">
        <f t="shared" ca="1" si="2"/>
        <v>46.95801882324632</v>
      </c>
      <c r="X5" s="6">
        <f t="shared" ca="1" si="3"/>
        <v>43.896562603112521</v>
      </c>
      <c r="Y5" s="6">
        <f t="shared" si="4"/>
        <v>40.835106382978722</v>
      </c>
      <c r="Z5" s="6">
        <f t="shared" ca="1" si="5"/>
        <v>37.773650162844923</v>
      </c>
      <c r="AA5" s="6">
        <f t="shared" ca="1" si="6"/>
        <v>34.712193942711124</v>
      </c>
      <c r="AB5" s="6">
        <f t="shared" ca="1" si="7"/>
        <v>31.650737722577325</v>
      </c>
      <c r="AC5" s="5">
        <f t="array" ref="AC5">SUM(IF(ISNUMBER($B5:T5),($B5:T5-U5)^2,0))</f>
        <v>2805.5294117647059</v>
      </c>
      <c r="AD5" s="6">
        <f>IF(COUNT($B5:T5)=1,"",IF(ISERROR(_xlfn.STDEV.S(B5:T5)),"",_xlfn.STDEV.S(B5:T5)))</f>
        <v>13.241812120525429</v>
      </c>
      <c r="AE5" s="4">
        <f t="shared" ca="1" si="8"/>
        <v>19.064711129980708</v>
      </c>
      <c r="AF5" s="4">
        <f t="shared" ca="1" si="9"/>
        <v>16.852508665093769</v>
      </c>
      <c r="AG5" s="4">
        <f t="shared" ca="1" si="10"/>
        <v>14.640306200206828</v>
      </c>
      <c r="AH5" s="4">
        <f t="shared" si="11"/>
        <v>12.428103735319889</v>
      </c>
      <c r="AI5" s="4">
        <f t="shared" ca="1" si="12"/>
        <v>10.215901270432949</v>
      </c>
      <c r="AJ5" s="4">
        <f t="shared" ca="1" si="13"/>
        <v>8.0036988055460085</v>
      </c>
      <c r="AK5" s="4">
        <f t="shared" ca="1" si="14"/>
        <v>5.7914963406590685</v>
      </c>
      <c r="AL5">
        <f t="shared" si="15"/>
        <v>17</v>
      </c>
      <c r="AM5">
        <f t="shared" si="16"/>
        <v>694.19680851063822</v>
      </c>
      <c r="AN5">
        <f t="shared" si="17"/>
        <v>2805.5294117647068</v>
      </c>
      <c r="BH5">
        <v>0</v>
      </c>
      <c r="BI5">
        <v>2.089</v>
      </c>
      <c r="BJ5">
        <v>1.427</v>
      </c>
      <c r="BK5">
        <v>0.93998599999999999</v>
      </c>
    </row>
    <row r="6" spans="1:63" ht="13.95" customHeight="1" x14ac:dyDescent="0.3">
      <c r="A6" s="7" t="s">
        <v>4</v>
      </c>
      <c r="B6" s="8">
        <v>25</v>
      </c>
      <c r="C6" s="8">
        <v>22</v>
      </c>
      <c r="D6" s="8">
        <v>35</v>
      </c>
      <c r="E6" s="8">
        <v>23</v>
      </c>
      <c r="F6" s="8">
        <v>24</v>
      </c>
      <c r="G6" s="8">
        <v>45</v>
      </c>
      <c r="H6" s="8">
        <v>36</v>
      </c>
      <c r="I6" s="8">
        <v>34</v>
      </c>
      <c r="J6" s="8">
        <v>32</v>
      </c>
      <c r="K6" s="8">
        <v>40</v>
      </c>
      <c r="L6" s="8">
        <v>35</v>
      </c>
      <c r="M6" s="8">
        <v>67</v>
      </c>
      <c r="N6" s="8"/>
      <c r="O6" s="8"/>
      <c r="P6" s="8"/>
      <c r="Q6" s="8"/>
      <c r="R6" s="8"/>
      <c r="S6" s="8"/>
      <c r="T6" s="8"/>
      <c r="U6" s="9">
        <f t="shared" si="0"/>
        <v>34.833333333333336</v>
      </c>
      <c r="V6" s="6">
        <f t="shared" ca="1" si="1"/>
        <v>51.846406292472146</v>
      </c>
      <c r="W6" s="6">
        <f t="shared" ca="1" si="2"/>
        <v>48.175972989307667</v>
      </c>
      <c r="X6" s="6">
        <f t="shared" ca="1" si="3"/>
        <v>44.505539686143194</v>
      </c>
      <c r="Y6" s="6">
        <f t="shared" si="4"/>
        <v>40.835106382978722</v>
      </c>
      <c r="Z6" s="6">
        <f t="shared" ca="1" si="5"/>
        <v>37.16467307981425</v>
      </c>
      <c r="AA6" s="6">
        <f t="shared" ca="1" si="6"/>
        <v>33.494239776649778</v>
      </c>
      <c r="AB6" s="6">
        <f t="shared" ca="1" si="7"/>
        <v>29.823806473485298</v>
      </c>
      <c r="AC6" s="5">
        <f t="array" ref="AC6">SUM(IF(ISNUMBER($B6:T6),($B6:T6-U6)^2,0))</f>
        <v>1693.666666666667</v>
      </c>
      <c r="AD6" s="6">
        <f>IF(COUNT($B6:T6)=1,"",IF(ISERROR(_xlfn.STDEV.S(B6:T6)),"",_xlfn.STDEV.S(B6:T6)))</f>
        <v>12.408452642037883</v>
      </c>
      <c r="AE6" s="4">
        <f t="shared" ca="1" si="8"/>
        <v>20.456658748336537</v>
      </c>
      <c r="AF6" s="4">
        <f t="shared" ca="1" si="9"/>
        <v>17.780473743997653</v>
      </c>
      <c r="AG6" s="4">
        <f t="shared" ca="1" si="10"/>
        <v>15.10428873965877</v>
      </c>
      <c r="AH6" s="4">
        <f t="shared" si="11"/>
        <v>12.428103735319889</v>
      </c>
      <c r="AI6" s="4">
        <f t="shared" ca="1" si="12"/>
        <v>9.7519187309810071</v>
      </c>
      <c r="AJ6" s="4">
        <f t="shared" ca="1" si="13"/>
        <v>7.0757337266421239</v>
      </c>
      <c r="AK6" s="4">
        <f t="shared" ca="1" si="14"/>
        <v>4.3995487223032406</v>
      </c>
      <c r="AL6">
        <f t="shared" si="15"/>
        <v>12</v>
      </c>
      <c r="AM6">
        <f t="shared" si="16"/>
        <v>490.02127659574467</v>
      </c>
      <c r="AN6">
        <f t="shared" si="17"/>
        <v>1693.6666666666661</v>
      </c>
      <c r="BH6">
        <v>0.03</v>
      </c>
      <c r="BI6">
        <v>1.97</v>
      </c>
      <c r="BJ6">
        <v>1.2869999999999999</v>
      </c>
      <c r="BK6">
        <v>0.95153299999999996</v>
      </c>
    </row>
    <row r="7" spans="1:63" ht="13.95" customHeight="1" x14ac:dyDescent="0.3">
      <c r="A7" s="7" t="s">
        <v>5</v>
      </c>
      <c r="B7" s="8">
        <v>25</v>
      </c>
      <c r="C7" s="8">
        <v>22</v>
      </c>
      <c r="D7" s="8">
        <v>35</v>
      </c>
      <c r="E7" s="8">
        <v>23</v>
      </c>
      <c r="F7" s="8">
        <v>24</v>
      </c>
      <c r="G7" s="8">
        <v>45</v>
      </c>
      <c r="H7" s="8">
        <v>34</v>
      </c>
      <c r="I7" s="8">
        <v>32</v>
      </c>
      <c r="J7" s="8">
        <v>40</v>
      </c>
      <c r="K7" s="8">
        <v>35</v>
      </c>
      <c r="L7" s="8">
        <v>67</v>
      </c>
      <c r="M7" s="8">
        <v>25</v>
      </c>
      <c r="N7" s="8">
        <v>22</v>
      </c>
      <c r="O7" s="8">
        <v>35</v>
      </c>
      <c r="P7" s="8">
        <v>23</v>
      </c>
      <c r="Q7" s="8">
        <v>24</v>
      </c>
      <c r="R7" s="8">
        <v>45</v>
      </c>
      <c r="S7" s="8">
        <v>36</v>
      </c>
      <c r="T7" s="8"/>
      <c r="U7" s="9">
        <f t="shared" si="0"/>
        <v>32.888888888888886</v>
      </c>
      <c r="V7" s="6">
        <f t="shared" ca="1" si="1"/>
        <v>49.758484864938403</v>
      </c>
      <c r="W7" s="6">
        <f t="shared" ca="1" si="2"/>
        <v>46.784025370951838</v>
      </c>
      <c r="X7" s="6">
        <f t="shared" ca="1" si="3"/>
        <v>43.80956587696528</v>
      </c>
      <c r="Y7" s="6">
        <f t="shared" si="4"/>
        <v>40.835106382978722</v>
      </c>
      <c r="Z7" s="6">
        <f t="shared" ca="1" si="5"/>
        <v>37.860646888992164</v>
      </c>
      <c r="AA7" s="6">
        <f t="shared" ca="1" si="6"/>
        <v>34.886187395005607</v>
      </c>
      <c r="AB7" s="6">
        <f t="shared" ca="1" si="7"/>
        <v>31.911727901019042</v>
      </c>
      <c r="AC7" s="5">
        <f t="array" ref="AC7">SUM(IF(ISNUMBER($B7:T7),($B7:T7-U7)^2,0))</f>
        <v>2247.7777777777778</v>
      </c>
      <c r="AD7" s="6">
        <f>IF(COUNT($B7:T7)=1,"",IF(ISERROR(_xlfn.STDEV.S(B7:T7)),"",_xlfn.STDEV.S(B7:T7)))</f>
        <v>11.498792207106893</v>
      </c>
      <c r="AE7" s="4">
        <f t="shared" ca="1" si="8"/>
        <v>18.865861470215592</v>
      </c>
      <c r="AF7" s="4">
        <f t="shared" ca="1" si="9"/>
        <v>16.719942225250357</v>
      </c>
      <c r="AG7" s="4">
        <f t="shared" ca="1" si="10"/>
        <v>14.574022980285122</v>
      </c>
      <c r="AH7" s="4">
        <f t="shared" si="11"/>
        <v>12.428103735319889</v>
      </c>
      <c r="AI7" s="4">
        <f t="shared" ca="1" si="12"/>
        <v>10.282184490354656</v>
      </c>
      <c r="AJ7" s="4">
        <f t="shared" ca="1" si="13"/>
        <v>8.1362652453894206</v>
      </c>
      <c r="AK7" s="4">
        <f t="shared" ca="1" si="14"/>
        <v>5.9903460004241857</v>
      </c>
      <c r="AL7">
        <f t="shared" si="15"/>
        <v>18</v>
      </c>
      <c r="AM7">
        <f t="shared" si="16"/>
        <v>735.031914893617</v>
      </c>
      <c r="AN7">
        <f t="shared" si="17"/>
        <v>2247.7777777777778</v>
      </c>
      <c r="BH7">
        <v>0.11799999999999999</v>
      </c>
      <c r="BI7">
        <v>1.8819999999999999</v>
      </c>
      <c r="BJ7">
        <v>1.1819999999999999</v>
      </c>
      <c r="BK7">
        <v>0.95936900000000003</v>
      </c>
    </row>
    <row r="8" spans="1:63" ht="13.95" customHeight="1" x14ac:dyDescent="0.3">
      <c r="A8" s="7" t="s">
        <v>6</v>
      </c>
      <c r="B8" s="8">
        <v>45</v>
      </c>
      <c r="C8" s="8">
        <v>36</v>
      </c>
      <c r="D8" s="8">
        <v>34</v>
      </c>
      <c r="E8" s="8">
        <v>32</v>
      </c>
      <c r="F8" s="8">
        <v>40</v>
      </c>
      <c r="G8" s="8">
        <v>35</v>
      </c>
      <c r="H8" s="8">
        <v>67</v>
      </c>
      <c r="I8" s="8">
        <v>56</v>
      </c>
      <c r="J8" s="8">
        <v>34</v>
      </c>
      <c r="K8" s="8">
        <v>55</v>
      </c>
      <c r="L8" s="8">
        <v>67</v>
      </c>
      <c r="M8" s="8">
        <v>44</v>
      </c>
      <c r="N8" s="8">
        <v>68</v>
      </c>
      <c r="O8" s="8">
        <v>46</v>
      </c>
      <c r="P8" s="8">
        <v>45</v>
      </c>
      <c r="Q8" s="8"/>
      <c r="R8" s="8"/>
      <c r="S8" s="8"/>
      <c r="T8" s="8"/>
      <c r="U8" s="9">
        <f t="shared" si="0"/>
        <v>46.93333333333333</v>
      </c>
      <c r="V8" s="6">
        <f t="shared" ca="1" si="1"/>
        <v>50.640880230146117</v>
      </c>
      <c r="W8" s="6">
        <f t="shared" ca="1" si="2"/>
        <v>47.372288947756985</v>
      </c>
      <c r="X8" s="6">
        <f t="shared" ca="1" si="3"/>
        <v>44.103697665367854</v>
      </c>
      <c r="Y8" s="6">
        <f t="shared" si="4"/>
        <v>40.835106382978722</v>
      </c>
      <c r="Z8" s="6">
        <f t="shared" ca="1" si="5"/>
        <v>37.566515100589591</v>
      </c>
      <c r="AA8" s="6">
        <f t="shared" ca="1" si="6"/>
        <v>34.297923818200459</v>
      </c>
      <c r="AB8" s="6">
        <f t="shared" ca="1" si="7"/>
        <v>31.029332535811328</v>
      </c>
      <c r="AC8" s="5">
        <f t="array" ref="AC8">SUM(IF(ISNUMBER($B8:T8),($B8:T8-U8)^2,0))</f>
        <v>2280.9333333333334</v>
      </c>
      <c r="AD8" s="6">
        <f>IF(COUNT($B8:T8)=1,"",IF(ISERROR(_xlfn.STDEV.S(B8:T8)),"",_xlfn.STDEV.S(B8:T8)))</f>
        <v>12.764161136706539</v>
      </c>
      <c r="AE8" s="4">
        <f t="shared" ca="1" si="8"/>
        <v>19.536979071922865</v>
      </c>
      <c r="AF8" s="4">
        <f t="shared" ca="1" si="9"/>
        <v>17.167353959721872</v>
      </c>
      <c r="AG8" s="4">
        <f t="shared" ca="1" si="10"/>
        <v>14.797728847520879</v>
      </c>
      <c r="AH8" s="4">
        <f t="shared" si="11"/>
        <v>12.428103735319889</v>
      </c>
      <c r="AI8" s="4">
        <f t="shared" ca="1" si="12"/>
        <v>10.058478623118898</v>
      </c>
      <c r="AJ8" s="4">
        <f t="shared" ca="1" si="13"/>
        <v>7.6888535109179053</v>
      </c>
      <c r="AK8" s="4">
        <f t="shared" ca="1" si="14"/>
        <v>5.3192283987169127</v>
      </c>
      <c r="AL8">
        <f t="shared" si="15"/>
        <v>15</v>
      </c>
      <c r="AM8">
        <f t="shared" si="16"/>
        <v>612.52659574468089</v>
      </c>
      <c r="AN8">
        <f t="shared" si="17"/>
        <v>2280.9333333333343</v>
      </c>
      <c r="BH8">
        <v>0.185</v>
      </c>
      <c r="BI8">
        <v>1.8149999999999999</v>
      </c>
      <c r="BJ8">
        <v>1.099</v>
      </c>
      <c r="BK8">
        <v>0.96503000000000005</v>
      </c>
    </row>
    <row r="9" spans="1:63" ht="13.95" customHeight="1" x14ac:dyDescent="0.3">
      <c r="A9" s="7" t="s">
        <v>7</v>
      </c>
      <c r="B9" s="8">
        <v>34</v>
      </c>
      <c r="C9" s="8">
        <v>32</v>
      </c>
      <c r="D9" s="8">
        <v>40</v>
      </c>
      <c r="E9" s="8">
        <v>35</v>
      </c>
      <c r="F9" s="8">
        <v>67</v>
      </c>
      <c r="G9" s="8">
        <v>54</v>
      </c>
      <c r="H9" s="8">
        <v>57</v>
      </c>
      <c r="I9" s="8">
        <v>59</v>
      </c>
      <c r="J9" s="8">
        <v>45</v>
      </c>
      <c r="K9" s="8">
        <v>44</v>
      </c>
      <c r="L9" s="8">
        <v>67</v>
      </c>
      <c r="M9" s="8">
        <v>47</v>
      </c>
      <c r="N9" s="8">
        <v>53</v>
      </c>
      <c r="O9" s="8">
        <v>55</v>
      </c>
      <c r="P9" s="8">
        <v>43</v>
      </c>
      <c r="Q9" s="8">
        <v>22</v>
      </c>
      <c r="R9" s="8">
        <v>67</v>
      </c>
      <c r="S9" s="8"/>
      <c r="T9" s="8"/>
      <c r="U9" s="9">
        <f t="shared" si="0"/>
        <v>48.294117647058826</v>
      </c>
      <c r="V9" s="6">
        <f t="shared" ca="1" si="1"/>
        <v>50.019475043380119</v>
      </c>
      <c r="W9" s="6">
        <f t="shared" ca="1" si="2"/>
        <v>46.95801882324632</v>
      </c>
      <c r="X9" s="6">
        <f t="shared" ca="1" si="3"/>
        <v>43.896562603112521</v>
      </c>
      <c r="Y9" s="6">
        <f t="shared" si="4"/>
        <v>40.835106382978722</v>
      </c>
      <c r="Z9" s="6">
        <f t="shared" ca="1" si="5"/>
        <v>37.773650162844923</v>
      </c>
      <c r="AA9" s="6">
        <f t="shared" ca="1" si="6"/>
        <v>34.712193942711124</v>
      </c>
      <c r="AB9" s="6">
        <f t="shared" ca="1" si="7"/>
        <v>31.650737722577325</v>
      </c>
      <c r="AC9" s="5">
        <f t="array" ref="AC9">SUM(IF(ISNUMBER($B9:T9),($B9:T9-U9)^2,0))</f>
        <v>2805.5294117647059</v>
      </c>
      <c r="AD9" s="6">
        <f>IF(COUNT($B9:T9)=1,"",IF(ISERROR(_xlfn.STDEV.S(B9:T9)),"",_xlfn.STDEV.S(B9:T9)))</f>
        <v>13.241812120525429</v>
      </c>
      <c r="AE9" s="4">
        <f t="shared" ca="1" si="8"/>
        <v>19.064711129980708</v>
      </c>
      <c r="AF9" s="4">
        <f t="shared" ca="1" si="9"/>
        <v>16.852508665093769</v>
      </c>
      <c r="AG9" s="4">
        <f t="shared" ca="1" si="10"/>
        <v>14.640306200206828</v>
      </c>
      <c r="AH9" s="4">
        <f t="shared" si="11"/>
        <v>12.428103735319889</v>
      </c>
      <c r="AI9" s="4">
        <f t="shared" ca="1" si="12"/>
        <v>10.215901270432949</v>
      </c>
      <c r="AJ9" s="4">
        <f t="shared" ca="1" si="13"/>
        <v>8.0036988055460085</v>
      </c>
      <c r="AK9" s="4">
        <f t="shared" ca="1" si="14"/>
        <v>5.7914963406590685</v>
      </c>
      <c r="AL9">
        <f t="shared" si="15"/>
        <v>17</v>
      </c>
      <c r="AM9">
        <f t="shared" si="16"/>
        <v>694.19680851063822</v>
      </c>
      <c r="AN9">
        <f t="shared" si="17"/>
        <v>2805.5294117647068</v>
      </c>
      <c r="BH9">
        <v>0.23899999999999999</v>
      </c>
      <c r="BI9">
        <v>1.7609999999999999</v>
      </c>
      <c r="BJ9">
        <v>1.032</v>
      </c>
      <c r="BK9">
        <v>0.96931100000000003</v>
      </c>
    </row>
    <row r="10" spans="1:63" ht="13.95" customHeight="1" x14ac:dyDescent="0.3">
      <c r="A10" s="7" t="s">
        <v>8</v>
      </c>
      <c r="B10" s="8">
        <v>25</v>
      </c>
      <c r="C10" s="8">
        <v>22</v>
      </c>
      <c r="D10" s="8">
        <v>35</v>
      </c>
      <c r="E10" s="8">
        <v>23</v>
      </c>
      <c r="F10" s="8">
        <v>24</v>
      </c>
      <c r="G10" s="8">
        <v>45</v>
      </c>
      <c r="H10" s="8">
        <v>36</v>
      </c>
      <c r="I10" s="8">
        <v>34</v>
      </c>
      <c r="J10" s="8">
        <v>32</v>
      </c>
      <c r="K10" s="8">
        <v>40</v>
      </c>
      <c r="L10" s="8">
        <v>35</v>
      </c>
      <c r="M10" s="8">
        <v>67</v>
      </c>
      <c r="N10" s="8"/>
      <c r="O10" s="8"/>
      <c r="P10" s="8"/>
      <c r="Q10" s="8"/>
      <c r="R10" s="8"/>
      <c r="S10" s="8"/>
      <c r="T10" s="8"/>
      <c r="U10" s="9">
        <f t="shared" si="0"/>
        <v>34.833333333333336</v>
      </c>
      <c r="V10" s="6">
        <f t="shared" ca="1" si="1"/>
        <v>51.846406292472146</v>
      </c>
      <c r="W10" s="6">
        <f t="shared" ca="1" si="2"/>
        <v>48.175972989307667</v>
      </c>
      <c r="X10" s="6">
        <f t="shared" ca="1" si="3"/>
        <v>44.505539686143194</v>
      </c>
      <c r="Y10" s="6">
        <f t="shared" si="4"/>
        <v>40.835106382978722</v>
      </c>
      <c r="Z10" s="6">
        <f t="shared" ca="1" si="5"/>
        <v>37.16467307981425</v>
      </c>
      <c r="AA10" s="6">
        <f t="shared" ca="1" si="6"/>
        <v>33.494239776649778</v>
      </c>
      <c r="AB10" s="6">
        <f t="shared" ca="1" si="7"/>
        <v>29.823806473485298</v>
      </c>
      <c r="AC10" s="5">
        <f t="array" ref="AC10">SUM(IF(ISNUMBER($B10:T10),($B10:T10-U10)^2,0))</f>
        <v>1693.666666666667</v>
      </c>
      <c r="AD10" s="6">
        <f>IF(COUNT($B10:T10)=1,"",IF(ISERROR(_xlfn.STDEV.S(B10:T10)),"",_xlfn.STDEV.S(B10:T10)))</f>
        <v>12.408452642037883</v>
      </c>
      <c r="AE10" s="4">
        <f t="shared" ca="1" si="8"/>
        <v>20.456658748336537</v>
      </c>
      <c r="AF10" s="4">
        <f t="shared" ca="1" si="9"/>
        <v>17.780473743997653</v>
      </c>
      <c r="AG10" s="4">
        <f t="shared" ca="1" si="10"/>
        <v>15.10428873965877</v>
      </c>
      <c r="AH10" s="4">
        <f t="shared" si="11"/>
        <v>12.428103735319889</v>
      </c>
      <c r="AI10" s="4">
        <f t="shared" ca="1" si="12"/>
        <v>9.7519187309810071</v>
      </c>
      <c r="AJ10" s="4">
        <f t="shared" ca="1" si="13"/>
        <v>7.0757337266421239</v>
      </c>
      <c r="AK10" s="4">
        <f t="shared" ca="1" si="14"/>
        <v>4.3995487223032406</v>
      </c>
      <c r="AL10">
        <f t="shared" si="15"/>
        <v>12</v>
      </c>
      <c r="AM10">
        <f t="shared" si="16"/>
        <v>490.02127659574467</v>
      </c>
      <c r="AN10">
        <f t="shared" si="17"/>
        <v>1693.6666666666661</v>
      </c>
      <c r="BH10">
        <v>0.28399999999999997</v>
      </c>
      <c r="BI10">
        <v>1.716</v>
      </c>
      <c r="BJ10">
        <v>0.97499999999999998</v>
      </c>
      <c r="BK10">
        <v>0.97265900000000005</v>
      </c>
    </row>
    <row r="11" spans="1:63" ht="13.95" customHeight="1" x14ac:dyDescent="0.3">
      <c r="A11" s="7" t="s">
        <v>9</v>
      </c>
      <c r="B11" s="8">
        <v>25</v>
      </c>
      <c r="C11" s="8">
        <v>22</v>
      </c>
      <c r="D11" s="8">
        <v>35</v>
      </c>
      <c r="E11" s="8">
        <v>23</v>
      </c>
      <c r="F11" s="8">
        <v>24</v>
      </c>
      <c r="G11" s="8">
        <v>45</v>
      </c>
      <c r="H11" s="8">
        <v>36</v>
      </c>
      <c r="I11" s="8">
        <v>34</v>
      </c>
      <c r="J11" s="8">
        <v>32</v>
      </c>
      <c r="K11" s="8">
        <v>40</v>
      </c>
      <c r="L11" s="8">
        <v>35</v>
      </c>
      <c r="M11" s="8">
        <v>67</v>
      </c>
      <c r="N11" s="8">
        <v>25</v>
      </c>
      <c r="O11" s="8">
        <v>22</v>
      </c>
      <c r="P11" s="8">
        <v>35</v>
      </c>
      <c r="Q11" s="8">
        <v>23</v>
      </c>
      <c r="R11" s="8">
        <v>24</v>
      </c>
      <c r="S11" s="8">
        <v>45</v>
      </c>
      <c r="T11" s="8">
        <v>36</v>
      </c>
      <c r="U11" s="9">
        <f t="shared" si="0"/>
        <v>33.05263157894737</v>
      </c>
      <c r="V11" s="6">
        <f t="shared" ca="1" si="1"/>
        <v>49.509922790232004</v>
      </c>
      <c r="W11" s="6">
        <f t="shared" ca="1" si="2"/>
        <v>46.618317321147579</v>
      </c>
      <c r="X11" s="6">
        <f t="shared" ca="1" si="3"/>
        <v>43.726711852063147</v>
      </c>
      <c r="Y11" s="6">
        <f t="shared" si="4"/>
        <v>40.835106382978722</v>
      </c>
      <c r="Z11" s="6">
        <f t="shared" ca="1" si="5"/>
        <v>37.943500913894297</v>
      </c>
      <c r="AA11" s="6">
        <f t="shared" ca="1" si="6"/>
        <v>35.051895444809865</v>
      </c>
      <c r="AB11" s="6">
        <f t="shared" ca="1" si="7"/>
        <v>32.160289975725441</v>
      </c>
      <c r="AC11" s="5">
        <f t="array" ref="AC11">SUM(IF(ISNUMBER($B11:T11),($B11:T11-U11)^2,0))</f>
        <v>2256.9473684210529</v>
      </c>
      <c r="AD11" s="6">
        <f>IF(COUNT($B11:T11)=1,"",IF(ISERROR(_xlfn.STDEV.S(B11:T11)),"",_xlfn.STDEV.S(B11:T11)))</f>
        <v>11.197587459461111</v>
      </c>
      <c r="AE11" s="4">
        <f t="shared" ca="1" si="8"/>
        <v>18.679439914185792</v>
      </c>
      <c r="AF11" s="4">
        <f t="shared" ca="1" si="9"/>
        <v>16.595661187897157</v>
      </c>
      <c r="AG11" s="4">
        <f t="shared" ca="1" si="10"/>
        <v>14.511882461608522</v>
      </c>
      <c r="AH11" s="4">
        <f t="shared" si="11"/>
        <v>12.428103735319889</v>
      </c>
      <c r="AI11" s="4">
        <f t="shared" ca="1" si="12"/>
        <v>10.344325009031255</v>
      </c>
      <c r="AJ11" s="4">
        <f t="shared" ca="1" si="13"/>
        <v>8.2605462827426201</v>
      </c>
      <c r="AK11" s="4">
        <f t="shared" ca="1" si="14"/>
        <v>6.176767556453985</v>
      </c>
      <c r="AL11">
        <f t="shared" si="15"/>
        <v>19</v>
      </c>
      <c r="AM11">
        <f t="shared" si="16"/>
        <v>775.86702127659578</v>
      </c>
      <c r="AN11">
        <f t="shared" si="17"/>
        <v>2256.9473684210534</v>
      </c>
      <c r="BH11">
        <v>0.32100000000000001</v>
      </c>
      <c r="BI11">
        <v>1.679</v>
      </c>
      <c r="BJ11">
        <v>0.92700000000000005</v>
      </c>
      <c r="BK11">
        <v>0.97535000000000005</v>
      </c>
    </row>
    <row r="12" spans="1:63" ht="13.95" customHeight="1" x14ac:dyDescent="0.3">
      <c r="A12" s="7" t="s">
        <v>10</v>
      </c>
      <c r="B12" s="8">
        <v>45</v>
      </c>
      <c r="C12" s="8">
        <v>36</v>
      </c>
      <c r="D12" s="8">
        <v>34</v>
      </c>
      <c r="E12" s="8">
        <v>32</v>
      </c>
      <c r="F12" s="8">
        <v>40</v>
      </c>
      <c r="G12" s="8">
        <v>35</v>
      </c>
      <c r="H12" s="8">
        <v>67</v>
      </c>
      <c r="I12" s="8">
        <v>56</v>
      </c>
      <c r="J12" s="8">
        <v>34</v>
      </c>
      <c r="K12" s="8">
        <v>55</v>
      </c>
      <c r="L12" s="8">
        <v>67</v>
      </c>
      <c r="M12" s="8">
        <v>44</v>
      </c>
      <c r="N12" s="8">
        <v>68</v>
      </c>
      <c r="O12" s="8">
        <v>46</v>
      </c>
      <c r="P12" s="8">
        <v>45</v>
      </c>
      <c r="Q12" s="8"/>
      <c r="R12" s="8"/>
      <c r="S12" s="8"/>
      <c r="T12" s="8"/>
      <c r="U12" s="9">
        <f t="shared" si="0"/>
        <v>46.93333333333333</v>
      </c>
      <c r="V12" s="6">
        <f t="shared" ca="1" si="1"/>
        <v>50.640880230146117</v>
      </c>
      <c r="W12" s="6">
        <f t="shared" ca="1" si="2"/>
        <v>47.372288947756985</v>
      </c>
      <c r="X12" s="6">
        <f t="shared" ca="1" si="3"/>
        <v>44.103697665367854</v>
      </c>
      <c r="Y12" s="6">
        <f t="shared" si="4"/>
        <v>40.835106382978722</v>
      </c>
      <c r="Z12" s="6">
        <f t="shared" ca="1" si="5"/>
        <v>37.566515100589591</v>
      </c>
      <c r="AA12" s="6">
        <f t="shared" ca="1" si="6"/>
        <v>34.297923818200459</v>
      </c>
      <c r="AB12" s="6">
        <f t="shared" ca="1" si="7"/>
        <v>31.029332535811328</v>
      </c>
      <c r="AC12" s="5">
        <f t="array" ref="AC12">SUM(IF(ISNUMBER($B12:T12),($B12:T12-U12)^2,0))</f>
        <v>2280.9333333333334</v>
      </c>
      <c r="AD12" s="6">
        <f>IF(COUNT($B12:T12)=1,"",IF(ISERROR(_xlfn.STDEV.S(B12:T12)),"",_xlfn.STDEV.S(B12:T12)))</f>
        <v>12.764161136706539</v>
      </c>
      <c r="AE12" s="4">
        <f t="shared" ca="1" si="8"/>
        <v>19.536979071922865</v>
      </c>
      <c r="AF12" s="4">
        <f t="shared" ca="1" si="9"/>
        <v>17.167353959721872</v>
      </c>
      <c r="AG12" s="4">
        <f t="shared" ca="1" si="10"/>
        <v>14.797728847520879</v>
      </c>
      <c r="AH12" s="4">
        <f t="shared" si="11"/>
        <v>12.428103735319889</v>
      </c>
      <c r="AI12" s="4">
        <f t="shared" ca="1" si="12"/>
        <v>10.058478623118898</v>
      </c>
      <c r="AJ12" s="4">
        <f t="shared" ca="1" si="13"/>
        <v>7.6888535109179053</v>
      </c>
      <c r="AK12" s="4">
        <f t="shared" ca="1" si="14"/>
        <v>5.3192283987169127</v>
      </c>
      <c r="AL12">
        <f t="shared" si="15"/>
        <v>15</v>
      </c>
      <c r="AM12">
        <f t="shared" si="16"/>
        <v>612.52659574468089</v>
      </c>
      <c r="AN12">
        <f t="shared" si="17"/>
        <v>2280.9333333333343</v>
      </c>
      <c r="BH12">
        <v>0.35399999999999998</v>
      </c>
      <c r="BI12">
        <v>1.6459999999999999</v>
      </c>
      <c r="BJ12">
        <v>0.88600000000000001</v>
      </c>
      <c r="BK12">
        <v>0.97755899999999996</v>
      </c>
    </row>
    <row r="13" spans="1:63" ht="13.95" customHeight="1" x14ac:dyDescent="0.3">
      <c r="A13" s="7" t="s">
        <v>11</v>
      </c>
      <c r="B13" s="8">
        <v>34</v>
      </c>
      <c r="C13" s="8">
        <v>32</v>
      </c>
      <c r="D13" s="8">
        <v>40</v>
      </c>
      <c r="E13" s="8">
        <v>35</v>
      </c>
      <c r="F13" s="8">
        <v>67</v>
      </c>
      <c r="G13" s="8">
        <v>54</v>
      </c>
      <c r="H13" s="8">
        <v>57</v>
      </c>
      <c r="I13" s="8">
        <v>59</v>
      </c>
      <c r="J13" s="8">
        <v>45</v>
      </c>
      <c r="K13" s="8">
        <v>44</v>
      </c>
      <c r="L13" s="8">
        <v>67</v>
      </c>
      <c r="M13" s="8">
        <v>47</v>
      </c>
      <c r="N13" s="8">
        <v>53</v>
      </c>
      <c r="O13" s="8">
        <v>55</v>
      </c>
      <c r="P13" s="8">
        <v>43</v>
      </c>
      <c r="Q13" s="8">
        <v>22</v>
      </c>
      <c r="R13" s="8">
        <v>67</v>
      </c>
      <c r="S13" s="8"/>
      <c r="T13" s="8"/>
      <c r="U13" s="9">
        <f t="shared" si="0"/>
        <v>48.294117647058826</v>
      </c>
      <c r="V13" s="6">
        <f t="shared" ca="1" si="1"/>
        <v>50.019475043380119</v>
      </c>
      <c r="W13" s="6">
        <f t="shared" ca="1" si="2"/>
        <v>46.95801882324632</v>
      </c>
      <c r="X13" s="6">
        <f t="shared" ca="1" si="3"/>
        <v>43.896562603112521</v>
      </c>
      <c r="Y13" s="6">
        <f t="shared" si="4"/>
        <v>40.835106382978722</v>
      </c>
      <c r="Z13" s="6">
        <f t="shared" ca="1" si="5"/>
        <v>37.773650162844923</v>
      </c>
      <c r="AA13" s="6">
        <f t="shared" ca="1" si="6"/>
        <v>34.712193942711124</v>
      </c>
      <c r="AB13" s="6">
        <f t="shared" ca="1" si="7"/>
        <v>31.650737722577325</v>
      </c>
      <c r="AC13" s="5">
        <f t="array" ref="AC13">SUM(IF(ISNUMBER($B13:T13),($B13:T13-U13)^2,0))</f>
        <v>2805.5294117647059</v>
      </c>
      <c r="AD13" s="6">
        <f>IF(COUNT($B13:T13)=1,"",IF(ISERROR(_xlfn.STDEV.S(B13:T13)),"",_xlfn.STDEV.S(B13:T13)))</f>
        <v>13.241812120525429</v>
      </c>
      <c r="AE13" s="4">
        <f t="shared" ca="1" si="8"/>
        <v>19.064711129980708</v>
      </c>
      <c r="AF13" s="4">
        <f t="shared" ca="1" si="9"/>
        <v>16.852508665093769</v>
      </c>
      <c r="AG13" s="4">
        <f t="shared" ca="1" si="10"/>
        <v>14.640306200206828</v>
      </c>
      <c r="AH13" s="4">
        <f t="shared" si="11"/>
        <v>12.428103735319889</v>
      </c>
      <c r="AI13" s="4">
        <f t="shared" ca="1" si="12"/>
        <v>10.215901270432949</v>
      </c>
      <c r="AJ13" s="4">
        <f t="shared" ca="1" si="13"/>
        <v>8.0036988055460085</v>
      </c>
      <c r="AK13" s="4">
        <f t="shared" ca="1" si="14"/>
        <v>5.7914963406590685</v>
      </c>
      <c r="AL13">
        <f t="shared" si="15"/>
        <v>17</v>
      </c>
      <c r="AM13">
        <f t="shared" si="16"/>
        <v>694.19680851063822</v>
      </c>
      <c r="AN13">
        <f t="shared" si="17"/>
        <v>2805.5294117647068</v>
      </c>
      <c r="BH13">
        <v>0.38200000000000001</v>
      </c>
      <c r="BI13">
        <v>1.6180000000000001</v>
      </c>
      <c r="BJ13">
        <v>0.85</v>
      </c>
      <c r="BK13">
        <v>0.979406</v>
      </c>
    </row>
    <row r="14" spans="1:63" ht="13.95" customHeight="1" x14ac:dyDescent="0.3">
      <c r="U14" t="e">
        <f t="shared" ref="U14:U33" si="18">IF(ISERROR(AVERAGE(B14:T14)),NA(),AVERAGE(B14:T14))</f>
        <v>#N/A</v>
      </c>
      <c r="V14" t="e">
        <f t="shared" ca="1" si="1"/>
        <v>#N/A</v>
      </c>
      <c r="W14" t="e">
        <f t="shared" ca="1" si="2"/>
        <v>#N/A</v>
      </c>
      <c r="X14" t="e">
        <f t="shared" ca="1" si="3"/>
        <v>#N/A</v>
      </c>
      <c r="Y14">
        <f t="shared" si="4"/>
        <v>40.835106382978722</v>
      </c>
      <c r="Z14" t="e">
        <f t="shared" ca="1" si="5"/>
        <v>#N/A</v>
      </c>
      <c r="AA14" t="e">
        <f t="shared" ca="1" si="6"/>
        <v>#N/A</v>
      </c>
      <c r="AB14" t="e">
        <f t="shared" ca="1" si="7"/>
        <v>#N/A</v>
      </c>
      <c r="AD14" t="str">
        <f>IF(COUNT($B14:T14)=1,"",IF(ISERROR(_xlfn.STDEV.S(B14:T14)),"",_xlfn.STDEV.S(B14:T14)))</f>
        <v/>
      </c>
      <c r="AE14">
        <f t="shared" ca="1" si="8"/>
        <v>19.064711129980708</v>
      </c>
      <c r="AF14">
        <f t="shared" ca="1" si="9"/>
        <v>16.852508665093769</v>
      </c>
      <c r="AG14">
        <f t="shared" ca="1" si="10"/>
        <v>14.640306200206828</v>
      </c>
      <c r="AH14" s="4">
        <f t="shared" si="11"/>
        <v>12.428103735319889</v>
      </c>
      <c r="AI14">
        <f t="shared" ca="1" si="12"/>
        <v>10.215901270432949</v>
      </c>
      <c r="AJ14">
        <f t="shared" ca="1" si="13"/>
        <v>8.0036988055460085</v>
      </c>
      <c r="AK14">
        <f t="shared" ca="1" si="14"/>
        <v>5.7914963406590685</v>
      </c>
      <c r="AL14">
        <f t="shared" si="15"/>
        <v>0</v>
      </c>
      <c r="AM14">
        <f t="shared" si="16"/>
        <v>0</v>
      </c>
      <c r="AN14" t="e">
        <f t="shared" si="17"/>
        <v>#VALUE!</v>
      </c>
      <c r="BH14">
        <v>0.40600000000000003</v>
      </c>
      <c r="BI14">
        <v>1.5940000000000001</v>
      </c>
      <c r="BJ14">
        <v>0.81699999999999995</v>
      </c>
      <c r="BK14">
        <v>0.98097100000000004</v>
      </c>
    </row>
    <row r="15" spans="1:63" ht="13.95" customHeight="1" x14ac:dyDescent="0.3">
      <c r="U15" t="e">
        <f t="shared" si="18"/>
        <v>#N/A</v>
      </c>
      <c r="V15" t="e">
        <f t="shared" ca="1" si="1"/>
        <v>#N/A</v>
      </c>
      <c r="W15" t="e">
        <f t="shared" ca="1" si="2"/>
        <v>#N/A</v>
      </c>
      <c r="X15" t="e">
        <f t="shared" ca="1" si="3"/>
        <v>#N/A</v>
      </c>
      <c r="Y15">
        <f t="shared" si="4"/>
        <v>40.835106382978722</v>
      </c>
      <c r="Z15" t="e">
        <f t="shared" ca="1" si="5"/>
        <v>#N/A</v>
      </c>
      <c r="AA15" t="e">
        <f t="shared" ca="1" si="6"/>
        <v>#N/A</v>
      </c>
      <c r="AB15" t="e">
        <f t="shared" ca="1" si="7"/>
        <v>#N/A</v>
      </c>
      <c r="AD15" t="str">
        <f>IF(COUNT($B15:T15)=1,"",IF(ISERROR(_xlfn.STDEV.S(B15:T15)),"",_xlfn.STDEV.S(B15:T15)))</f>
        <v/>
      </c>
      <c r="AE15">
        <f t="shared" ca="1" si="8"/>
        <v>19.064711129980708</v>
      </c>
      <c r="AF15">
        <f t="shared" ca="1" si="9"/>
        <v>16.852508665093769</v>
      </c>
      <c r="AG15">
        <f t="shared" ca="1" si="10"/>
        <v>14.640306200206828</v>
      </c>
      <c r="AH15" s="4">
        <f t="shared" si="11"/>
        <v>12.428103735319889</v>
      </c>
      <c r="AI15">
        <f t="shared" ca="1" si="12"/>
        <v>10.215901270432949</v>
      </c>
      <c r="AJ15">
        <f t="shared" ca="1" si="13"/>
        <v>8.0036988055460085</v>
      </c>
      <c r="AK15">
        <f t="shared" ca="1" si="14"/>
        <v>5.7914963406590685</v>
      </c>
      <c r="AL15">
        <f t="shared" si="15"/>
        <v>0</v>
      </c>
      <c r="AM15">
        <f t="shared" si="16"/>
        <v>0</v>
      </c>
      <c r="AN15" t="e">
        <f t="shared" si="17"/>
        <v>#VALUE!</v>
      </c>
      <c r="BH15">
        <v>0.42799999999999999</v>
      </c>
      <c r="BI15">
        <v>1.5720000000000001</v>
      </c>
      <c r="BJ15">
        <v>0.78900000000000003</v>
      </c>
      <c r="BK15">
        <v>0.98231599999999997</v>
      </c>
    </row>
    <row r="16" spans="1:63" ht="13.95" customHeight="1" x14ac:dyDescent="0.3">
      <c r="U16" t="e">
        <f t="shared" si="18"/>
        <v>#N/A</v>
      </c>
      <c r="V16" t="e">
        <f t="shared" ca="1" si="1"/>
        <v>#N/A</v>
      </c>
      <c r="W16" t="e">
        <f t="shared" ca="1" si="2"/>
        <v>#N/A</v>
      </c>
      <c r="X16" t="e">
        <f t="shared" ca="1" si="3"/>
        <v>#N/A</v>
      </c>
      <c r="Y16">
        <f t="shared" si="4"/>
        <v>40.835106382978722</v>
      </c>
      <c r="Z16" t="e">
        <f t="shared" ca="1" si="5"/>
        <v>#N/A</v>
      </c>
      <c r="AA16" t="e">
        <f t="shared" ca="1" si="6"/>
        <v>#N/A</v>
      </c>
      <c r="AB16" t="e">
        <f t="shared" ca="1" si="7"/>
        <v>#N/A</v>
      </c>
      <c r="AD16" t="str">
        <f>IF(COUNT($B16:T16)=1,"",IF(ISERROR(_xlfn.STDEV.S(B16:T16)),"",_xlfn.STDEV.S(B16:T16)))</f>
        <v/>
      </c>
      <c r="AE16">
        <f t="shared" ca="1" si="8"/>
        <v>19.064711129980708</v>
      </c>
      <c r="AF16">
        <f t="shared" ca="1" si="9"/>
        <v>16.852508665093769</v>
      </c>
      <c r="AG16">
        <f t="shared" ca="1" si="10"/>
        <v>14.640306200206828</v>
      </c>
      <c r="AH16" s="4">
        <f t="shared" si="11"/>
        <v>12.428103735319889</v>
      </c>
      <c r="AI16">
        <f t="shared" ca="1" si="12"/>
        <v>10.215901270432949</v>
      </c>
      <c r="AJ16">
        <f t="shared" ca="1" si="13"/>
        <v>8.0036988055460085</v>
      </c>
      <c r="AK16">
        <f t="shared" ca="1" si="14"/>
        <v>5.7914963406590685</v>
      </c>
      <c r="AL16">
        <f t="shared" si="15"/>
        <v>0</v>
      </c>
      <c r="AM16">
        <f t="shared" si="16"/>
        <v>0</v>
      </c>
      <c r="AN16" t="e">
        <f t="shared" si="17"/>
        <v>#VALUE!</v>
      </c>
      <c r="BH16">
        <v>0.44800000000000001</v>
      </c>
      <c r="BI16">
        <v>1.552</v>
      </c>
      <c r="BJ16">
        <v>0.76300000000000001</v>
      </c>
      <c r="BK16">
        <v>0.98348400000000002</v>
      </c>
    </row>
    <row r="17" spans="21:63" ht="13.95" customHeight="1" x14ac:dyDescent="0.3">
      <c r="U17" t="e">
        <f t="shared" si="18"/>
        <v>#N/A</v>
      </c>
      <c r="V17" t="e">
        <f t="shared" ca="1" si="1"/>
        <v>#N/A</v>
      </c>
      <c r="W17" t="e">
        <f t="shared" ca="1" si="2"/>
        <v>#N/A</v>
      </c>
      <c r="X17" t="e">
        <f t="shared" ca="1" si="3"/>
        <v>#N/A</v>
      </c>
      <c r="Y17">
        <f t="shared" si="4"/>
        <v>40.835106382978722</v>
      </c>
      <c r="Z17" t="e">
        <f t="shared" ca="1" si="5"/>
        <v>#N/A</v>
      </c>
      <c r="AA17" t="e">
        <f t="shared" ca="1" si="6"/>
        <v>#N/A</v>
      </c>
      <c r="AB17" t="e">
        <f t="shared" ca="1" si="7"/>
        <v>#N/A</v>
      </c>
      <c r="AD17" t="str">
        <f>IF(COUNT($B17:T17)=1,"",IF(ISERROR(_xlfn.STDEV.S(B17:T17)),"",_xlfn.STDEV.S(B17:T17)))</f>
        <v/>
      </c>
      <c r="AE17">
        <f t="shared" ca="1" si="8"/>
        <v>19.064711129980708</v>
      </c>
      <c r="AF17">
        <f t="shared" ca="1" si="9"/>
        <v>16.852508665093769</v>
      </c>
      <c r="AG17">
        <f t="shared" ca="1" si="10"/>
        <v>14.640306200206828</v>
      </c>
      <c r="AH17" s="4">
        <f t="shared" si="11"/>
        <v>12.428103735319889</v>
      </c>
      <c r="AI17">
        <f t="shared" ca="1" si="12"/>
        <v>10.215901270432949</v>
      </c>
      <c r="AJ17">
        <f t="shared" ca="1" si="13"/>
        <v>8.0036988055460085</v>
      </c>
      <c r="AK17">
        <f t="shared" ca="1" si="14"/>
        <v>5.7914963406590685</v>
      </c>
      <c r="AL17">
        <f t="shared" si="15"/>
        <v>0</v>
      </c>
      <c r="AM17">
        <f t="shared" si="16"/>
        <v>0</v>
      </c>
      <c r="AN17" t="e">
        <f t="shared" si="17"/>
        <v>#VALUE!</v>
      </c>
      <c r="BH17">
        <v>0.46600000000000003</v>
      </c>
      <c r="BI17">
        <v>1.534</v>
      </c>
      <c r="BJ17">
        <v>0.73899999999999999</v>
      </c>
      <c r="BK17">
        <v>0.98450599999999999</v>
      </c>
    </row>
    <row r="18" spans="21:63" ht="13.95" customHeight="1" x14ac:dyDescent="0.3">
      <c r="U18" t="e">
        <f t="shared" si="18"/>
        <v>#N/A</v>
      </c>
      <c r="V18" t="e">
        <f t="shared" ca="1" si="1"/>
        <v>#N/A</v>
      </c>
      <c r="W18" t="e">
        <f t="shared" ca="1" si="2"/>
        <v>#N/A</v>
      </c>
      <c r="X18" t="e">
        <f t="shared" ca="1" si="3"/>
        <v>#N/A</v>
      </c>
      <c r="Y18">
        <f t="shared" si="4"/>
        <v>40.835106382978722</v>
      </c>
      <c r="Z18" t="e">
        <f t="shared" ca="1" si="5"/>
        <v>#N/A</v>
      </c>
      <c r="AA18" t="e">
        <f t="shared" ca="1" si="6"/>
        <v>#N/A</v>
      </c>
      <c r="AB18" t="e">
        <f t="shared" ca="1" si="7"/>
        <v>#N/A</v>
      </c>
      <c r="AD18" t="str">
        <f>IF(COUNT($B18:T18)=1,"",IF(ISERROR(_xlfn.STDEV.S(B18:T18)),"",_xlfn.STDEV.S(B18:T18)))</f>
        <v/>
      </c>
      <c r="AE18">
        <f t="shared" ca="1" si="8"/>
        <v>19.064711129980708</v>
      </c>
      <c r="AF18">
        <f t="shared" ca="1" si="9"/>
        <v>16.852508665093769</v>
      </c>
      <c r="AG18">
        <f t="shared" ca="1" si="10"/>
        <v>14.640306200206828</v>
      </c>
      <c r="AH18" s="4">
        <f t="shared" si="11"/>
        <v>12.428103735319889</v>
      </c>
      <c r="AI18">
        <f t="shared" ca="1" si="12"/>
        <v>10.215901270432949</v>
      </c>
      <c r="AJ18">
        <f t="shared" ca="1" si="13"/>
        <v>8.0036988055460085</v>
      </c>
      <c r="AK18">
        <f t="shared" ca="1" si="14"/>
        <v>5.7914963406590685</v>
      </c>
      <c r="AL18">
        <f t="shared" si="15"/>
        <v>0</v>
      </c>
      <c r="AM18">
        <f t="shared" si="16"/>
        <v>0</v>
      </c>
      <c r="AN18" t="e">
        <f t="shared" si="17"/>
        <v>#VALUE!</v>
      </c>
      <c r="BH18">
        <v>0.48199999999999998</v>
      </c>
      <c r="BI18">
        <v>1.518</v>
      </c>
      <c r="BJ18">
        <v>0.71799999999999997</v>
      </c>
      <c r="BK18">
        <v>0.98541000000000001</v>
      </c>
    </row>
    <row r="19" spans="21:63" ht="13.95" customHeight="1" x14ac:dyDescent="0.3">
      <c r="U19" t="e">
        <f t="shared" si="18"/>
        <v>#N/A</v>
      </c>
      <c r="V19" t="e">
        <f t="shared" ca="1" si="1"/>
        <v>#N/A</v>
      </c>
      <c r="W19" t="e">
        <f t="shared" ca="1" si="2"/>
        <v>#N/A</v>
      </c>
      <c r="X19" t="e">
        <f t="shared" ca="1" si="3"/>
        <v>#N/A</v>
      </c>
      <c r="Y19">
        <f t="shared" si="4"/>
        <v>40.835106382978722</v>
      </c>
      <c r="Z19" t="e">
        <f t="shared" ca="1" si="5"/>
        <v>#N/A</v>
      </c>
      <c r="AA19" t="e">
        <f t="shared" ca="1" si="6"/>
        <v>#N/A</v>
      </c>
      <c r="AB19" t="e">
        <f t="shared" ca="1" si="7"/>
        <v>#N/A</v>
      </c>
      <c r="AD19" t="str">
        <f>IF(COUNT($B19:T19)=1,"",IF(ISERROR(_xlfn.STDEV.S(B19:T19)),"",_xlfn.STDEV.S(B19:T19)))</f>
        <v/>
      </c>
      <c r="AE19">
        <f t="shared" ca="1" si="8"/>
        <v>19.064711129980708</v>
      </c>
      <c r="AF19">
        <f t="shared" ca="1" si="9"/>
        <v>16.852508665093769</v>
      </c>
      <c r="AG19">
        <f t="shared" ca="1" si="10"/>
        <v>14.640306200206828</v>
      </c>
      <c r="AH19" s="4">
        <f t="shared" si="11"/>
        <v>12.428103735319889</v>
      </c>
      <c r="AI19">
        <f t="shared" ca="1" si="12"/>
        <v>10.215901270432949</v>
      </c>
      <c r="AJ19">
        <f t="shared" ca="1" si="13"/>
        <v>8.0036988055460085</v>
      </c>
      <c r="AK19">
        <f t="shared" ca="1" si="14"/>
        <v>5.7914963406590685</v>
      </c>
      <c r="AL19">
        <f t="shared" si="15"/>
        <v>0</v>
      </c>
      <c r="AM19">
        <f t="shared" si="16"/>
        <v>0</v>
      </c>
      <c r="AN19" t="e">
        <f t="shared" si="17"/>
        <v>#VALUE!</v>
      </c>
      <c r="BH19">
        <v>0.497</v>
      </c>
      <c r="BI19">
        <v>1.5029999999999999</v>
      </c>
      <c r="BJ19">
        <v>0.69799999999999995</v>
      </c>
      <c r="BK19">
        <v>0.98621400000000004</v>
      </c>
    </row>
    <row r="20" spans="21:63" ht="13.95" customHeight="1" x14ac:dyDescent="0.3">
      <c r="U20" t="e">
        <f t="shared" si="18"/>
        <v>#N/A</v>
      </c>
      <c r="V20" t="e">
        <f t="shared" ca="1" si="1"/>
        <v>#N/A</v>
      </c>
      <c r="W20" t="e">
        <f t="shared" ca="1" si="2"/>
        <v>#N/A</v>
      </c>
      <c r="X20" t="e">
        <f t="shared" ca="1" si="3"/>
        <v>#N/A</v>
      </c>
      <c r="Y20">
        <f t="shared" si="4"/>
        <v>40.835106382978722</v>
      </c>
      <c r="Z20" t="e">
        <f t="shared" ca="1" si="5"/>
        <v>#N/A</v>
      </c>
      <c r="AA20" t="e">
        <f t="shared" ca="1" si="6"/>
        <v>#N/A</v>
      </c>
      <c r="AB20" t="e">
        <f t="shared" ca="1" si="7"/>
        <v>#N/A</v>
      </c>
      <c r="AD20" t="str">
        <f>IF(COUNT($B20:T20)=1,"",IF(ISERROR(_xlfn.STDEV.S(B20:T20)),"",_xlfn.STDEV.S(B20:T20)))</f>
        <v/>
      </c>
      <c r="AE20">
        <f t="shared" ca="1" si="8"/>
        <v>19.064711129980708</v>
      </c>
      <c r="AF20">
        <f t="shared" ca="1" si="9"/>
        <v>16.852508665093769</v>
      </c>
      <c r="AG20">
        <f t="shared" ca="1" si="10"/>
        <v>14.640306200206828</v>
      </c>
      <c r="AH20" s="4">
        <f t="shared" si="11"/>
        <v>12.428103735319889</v>
      </c>
      <c r="AI20">
        <f t="shared" ca="1" si="12"/>
        <v>10.215901270432949</v>
      </c>
      <c r="AJ20">
        <f t="shared" ca="1" si="13"/>
        <v>8.0036988055460085</v>
      </c>
      <c r="AK20">
        <f t="shared" ca="1" si="14"/>
        <v>5.7914963406590685</v>
      </c>
      <c r="AL20">
        <f t="shared" si="15"/>
        <v>0</v>
      </c>
      <c r="AM20">
        <f t="shared" si="16"/>
        <v>0</v>
      </c>
      <c r="AN20" t="e">
        <f t="shared" si="17"/>
        <v>#VALUE!</v>
      </c>
      <c r="BH20">
        <v>0.51</v>
      </c>
      <c r="BI20">
        <v>1.49</v>
      </c>
      <c r="BJ20">
        <v>0.68</v>
      </c>
      <c r="BK20">
        <v>0.98693399999999998</v>
      </c>
    </row>
    <row r="21" spans="21:63" ht="13.95" customHeight="1" x14ac:dyDescent="0.3">
      <c r="U21" t="e">
        <f t="shared" si="18"/>
        <v>#N/A</v>
      </c>
      <c r="V21" t="e">
        <f t="shared" ca="1" si="1"/>
        <v>#N/A</v>
      </c>
      <c r="W21" t="e">
        <f t="shared" ca="1" si="2"/>
        <v>#N/A</v>
      </c>
      <c r="X21" t="e">
        <f t="shared" ca="1" si="3"/>
        <v>#N/A</v>
      </c>
      <c r="Y21">
        <f t="shared" si="4"/>
        <v>40.835106382978722</v>
      </c>
      <c r="Z21" t="e">
        <f t="shared" ca="1" si="5"/>
        <v>#N/A</v>
      </c>
      <c r="AA21" t="e">
        <f t="shared" ca="1" si="6"/>
        <v>#N/A</v>
      </c>
      <c r="AB21" t="e">
        <f t="shared" ca="1" si="7"/>
        <v>#N/A</v>
      </c>
      <c r="AD21" t="str">
        <f>IF(COUNT($B21:T21)=1,"",IF(ISERROR(_xlfn.STDEV.S(B21:T21)),"",_xlfn.STDEV.S(B21:T21)))</f>
        <v/>
      </c>
      <c r="AE21">
        <f t="shared" ca="1" si="8"/>
        <v>19.064711129980708</v>
      </c>
      <c r="AF21">
        <f t="shared" ca="1" si="9"/>
        <v>16.852508665093769</v>
      </c>
      <c r="AG21">
        <f t="shared" ca="1" si="10"/>
        <v>14.640306200206828</v>
      </c>
      <c r="AH21" s="4">
        <f t="shared" si="11"/>
        <v>12.428103735319889</v>
      </c>
      <c r="AI21">
        <f t="shared" ca="1" si="12"/>
        <v>10.215901270432949</v>
      </c>
      <c r="AJ21">
        <f t="shared" ca="1" si="13"/>
        <v>8.0036988055460085</v>
      </c>
      <c r="AK21">
        <f t="shared" ca="1" si="14"/>
        <v>5.7914963406590685</v>
      </c>
      <c r="AL21">
        <f t="shared" si="15"/>
        <v>0</v>
      </c>
      <c r="AM21">
        <f t="shared" si="16"/>
        <v>0</v>
      </c>
      <c r="AN21" t="e">
        <f t="shared" si="17"/>
        <v>#VALUE!</v>
      </c>
      <c r="BH21">
        <v>0.52300000000000002</v>
      </c>
      <c r="BI21">
        <v>1.4770000000000001</v>
      </c>
      <c r="BJ21">
        <v>0.66300000000000003</v>
      </c>
      <c r="BK21">
        <v>0.98758299999999999</v>
      </c>
    </row>
    <row r="22" spans="21:63" ht="13.95" customHeight="1" x14ac:dyDescent="0.3">
      <c r="U22" t="e">
        <f t="shared" si="18"/>
        <v>#N/A</v>
      </c>
      <c r="V22" t="e">
        <f t="shared" ca="1" si="1"/>
        <v>#N/A</v>
      </c>
      <c r="W22" t="e">
        <f t="shared" ca="1" si="2"/>
        <v>#N/A</v>
      </c>
      <c r="X22" t="e">
        <f t="shared" ca="1" si="3"/>
        <v>#N/A</v>
      </c>
      <c r="Y22">
        <f t="shared" si="4"/>
        <v>40.835106382978722</v>
      </c>
      <c r="Z22" t="e">
        <f t="shared" ca="1" si="5"/>
        <v>#N/A</v>
      </c>
      <c r="AA22" t="e">
        <f t="shared" ca="1" si="6"/>
        <v>#N/A</v>
      </c>
      <c r="AB22" t="e">
        <f t="shared" ca="1" si="7"/>
        <v>#N/A</v>
      </c>
      <c r="AD22" t="str">
        <f>IF(COUNT($B22:T22)=1,"",IF(ISERROR(_xlfn.STDEV.S(B22:T22)),"",_xlfn.STDEV.S(B22:T22)))</f>
        <v/>
      </c>
      <c r="AE22">
        <f t="shared" ca="1" si="8"/>
        <v>19.064711129980708</v>
      </c>
      <c r="AF22">
        <f t="shared" ca="1" si="9"/>
        <v>16.852508665093769</v>
      </c>
      <c r="AG22">
        <f t="shared" ca="1" si="10"/>
        <v>14.640306200206828</v>
      </c>
      <c r="AH22" s="4">
        <f t="shared" si="11"/>
        <v>12.428103735319889</v>
      </c>
      <c r="AI22">
        <f t="shared" ca="1" si="12"/>
        <v>10.215901270432949</v>
      </c>
      <c r="AJ22">
        <f t="shared" ca="1" si="13"/>
        <v>8.0036988055460085</v>
      </c>
      <c r="AK22">
        <f t="shared" ca="1" si="14"/>
        <v>5.7914963406590685</v>
      </c>
      <c r="AL22">
        <f t="shared" si="15"/>
        <v>0</v>
      </c>
      <c r="AM22">
        <f t="shared" si="16"/>
        <v>0</v>
      </c>
      <c r="AN22" t="e">
        <f t="shared" si="17"/>
        <v>#VALUE!</v>
      </c>
    </row>
    <row r="23" spans="21:63" ht="13.95" customHeight="1" x14ac:dyDescent="0.3">
      <c r="U23" t="e">
        <f t="shared" si="18"/>
        <v>#N/A</v>
      </c>
      <c r="V23" t="e">
        <f t="shared" ca="1" si="1"/>
        <v>#N/A</v>
      </c>
      <c r="W23" t="e">
        <f t="shared" ca="1" si="2"/>
        <v>#N/A</v>
      </c>
      <c r="X23" t="e">
        <f t="shared" ca="1" si="3"/>
        <v>#N/A</v>
      </c>
      <c r="Y23">
        <f t="shared" si="4"/>
        <v>40.835106382978722</v>
      </c>
      <c r="Z23" t="e">
        <f t="shared" ca="1" si="5"/>
        <v>#N/A</v>
      </c>
      <c r="AA23" t="e">
        <f t="shared" ca="1" si="6"/>
        <v>#N/A</v>
      </c>
      <c r="AB23" t="e">
        <f t="shared" ca="1" si="7"/>
        <v>#N/A</v>
      </c>
      <c r="AD23" t="str">
        <f>IF(COUNT($B23:T23)=1,"",IF(ISERROR(_xlfn.STDEV.S(B23:T23)),"",_xlfn.STDEV.S(B23:T23)))</f>
        <v/>
      </c>
      <c r="AE23">
        <f t="shared" ca="1" si="8"/>
        <v>19.064711129980708</v>
      </c>
      <c r="AF23">
        <f t="shared" ca="1" si="9"/>
        <v>16.852508665093769</v>
      </c>
      <c r="AG23">
        <f t="shared" ca="1" si="10"/>
        <v>14.640306200206828</v>
      </c>
      <c r="AH23" s="4">
        <f t="shared" si="11"/>
        <v>12.428103735319889</v>
      </c>
      <c r="AI23">
        <f t="shared" ca="1" si="12"/>
        <v>10.215901270432949</v>
      </c>
      <c r="AJ23">
        <f t="shared" ca="1" si="13"/>
        <v>8.0036988055460085</v>
      </c>
      <c r="AK23">
        <f t="shared" ca="1" si="14"/>
        <v>5.7914963406590685</v>
      </c>
      <c r="AL23">
        <f t="shared" si="15"/>
        <v>0</v>
      </c>
      <c r="AM23">
        <f t="shared" si="16"/>
        <v>0</v>
      </c>
      <c r="AN23" t="e">
        <f t="shared" si="17"/>
        <v>#VALUE!</v>
      </c>
    </row>
    <row r="24" spans="21:63" ht="13.95" customHeight="1" x14ac:dyDescent="0.3">
      <c r="U24" t="e">
        <f t="shared" si="18"/>
        <v>#N/A</v>
      </c>
      <c r="V24" t="e">
        <f t="shared" ca="1" si="1"/>
        <v>#N/A</v>
      </c>
      <c r="W24" t="e">
        <f t="shared" ca="1" si="2"/>
        <v>#N/A</v>
      </c>
      <c r="X24" t="e">
        <f t="shared" ca="1" si="3"/>
        <v>#N/A</v>
      </c>
      <c r="Y24">
        <f t="shared" si="4"/>
        <v>40.835106382978722</v>
      </c>
      <c r="Z24" t="e">
        <f t="shared" ca="1" si="5"/>
        <v>#N/A</v>
      </c>
      <c r="AA24" t="e">
        <f t="shared" ca="1" si="6"/>
        <v>#N/A</v>
      </c>
      <c r="AB24" t="e">
        <f t="shared" ca="1" si="7"/>
        <v>#N/A</v>
      </c>
      <c r="AD24" t="str">
        <f>IF(COUNT($B24:T24)=1,"",IF(ISERROR(_xlfn.STDEV.S(B24:T24)),"",_xlfn.STDEV.S(B24:T24)))</f>
        <v/>
      </c>
      <c r="AE24">
        <f t="shared" ca="1" si="8"/>
        <v>19.064711129980708</v>
      </c>
      <c r="AF24">
        <f t="shared" ca="1" si="9"/>
        <v>16.852508665093769</v>
      </c>
      <c r="AG24">
        <f t="shared" ca="1" si="10"/>
        <v>14.640306200206828</v>
      </c>
      <c r="AH24" s="4">
        <f t="shared" si="11"/>
        <v>12.428103735319889</v>
      </c>
      <c r="AI24">
        <f t="shared" ca="1" si="12"/>
        <v>10.215901270432949</v>
      </c>
      <c r="AJ24">
        <f t="shared" ca="1" si="13"/>
        <v>8.0036988055460085</v>
      </c>
      <c r="AK24">
        <f t="shared" ca="1" si="14"/>
        <v>5.7914963406590685</v>
      </c>
      <c r="AL24">
        <f t="shared" si="15"/>
        <v>0</v>
      </c>
      <c r="AM24">
        <f t="shared" si="16"/>
        <v>0</v>
      </c>
      <c r="AN24" t="e">
        <f t="shared" si="17"/>
        <v>#VALUE!</v>
      </c>
    </row>
    <row r="25" spans="21:63" ht="13.95" customHeight="1" x14ac:dyDescent="0.3">
      <c r="U25" t="e">
        <f t="shared" si="18"/>
        <v>#N/A</v>
      </c>
      <c r="V25" t="e">
        <f t="shared" ca="1" si="1"/>
        <v>#N/A</v>
      </c>
      <c r="W25" t="e">
        <f t="shared" ca="1" si="2"/>
        <v>#N/A</v>
      </c>
      <c r="X25" t="e">
        <f t="shared" ca="1" si="3"/>
        <v>#N/A</v>
      </c>
      <c r="Y25">
        <f t="shared" si="4"/>
        <v>40.835106382978722</v>
      </c>
      <c r="Z25" t="e">
        <f t="shared" ca="1" si="5"/>
        <v>#N/A</v>
      </c>
      <c r="AA25" t="e">
        <f t="shared" ca="1" si="6"/>
        <v>#N/A</v>
      </c>
      <c r="AB25" t="e">
        <f t="shared" ca="1" si="7"/>
        <v>#N/A</v>
      </c>
      <c r="AD25" t="str">
        <f>IF(COUNT($B25:T25)=1,"",IF(ISERROR(_xlfn.STDEV.S(B25:T25)),"",_xlfn.STDEV.S(B25:T25)))</f>
        <v/>
      </c>
      <c r="AE25">
        <f t="shared" ca="1" si="8"/>
        <v>19.064711129980708</v>
      </c>
      <c r="AF25">
        <f t="shared" ca="1" si="9"/>
        <v>16.852508665093769</v>
      </c>
      <c r="AG25">
        <f t="shared" ca="1" si="10"/>
        <v>14.640306200206828</v>
      </c>
      <c r="AH25" s="4">
        <f t="shared" si="11"/>
        <v>12.428103735319889</v>
      </c>
      <c r="AI25">
        <f t="shared" ca="1" si="12"/>
        <v>10.215901270432949</v>
      </c>
      <c r="AJ25">
        <f t="shared" ca="1" si="13"/>
        <v>8.0036988055460085</v>
      </c>
      <c r="AK25">
        <f t="shared" ca="1" si="14"/>
        <v>5.7914963406590685</v>
      </c>
      <c r="AL25">
        <f t="shared" si="15"/>
        <v>0</v>
      </c>
      <c r="AM25">
        <f t="shared" si="16"/>
        <v>0</v>
      </c>
      <c r="AN25" t="e">
        <f t="shared" si="17"/>
        <v>#VALUE!</v>
      </c>
    </row>
    <row r="26" spans="21:63" ht="13.95" customHeight="1" x14ac:dyDescent="0.3">
      <c r="U26" t="e">
        <f t="shared" si="18"/>
        <v>#N/A</v>
      </c>
      <c r="V26" t="e">
        <f t="shared" ca="1" si="1"/>
        <v>#N/A</v>
      </c>
      <c r="W26" t="e">
        <f t="shared" ca="1" si="2"/>
        <v>#N/A</v>
      </c>
      <c r="X26" t="e">
        <f t="shared" ca="1" si="3"/>
        <v>#N/A</v>
      </c>
      <c r="Y26">
        <f t="shared" si="4"/>
        <v>40.835106382978722</v>
      </c>
      <c r="Z26" t="e">
        <f t="shared" ca="1" si="5"/>
        <v>#N/A</v>
      </c>
      <c r="AA26" t="e">
        <f t="shared" ca="1" si="6"/>
        <v>#N/A</v>
      </c>
      <c r="AB26" t="e">
        <f t="shared" ca="1" si="7"/>
        <v>#N/A</v>
      </c>
      <c r="AD26" t="str">
        <f>IF(COUNT($B26:T26)=1,"",IF(ISERROR(_xlfn.STDEV.S(B26:T26)),"",_xlfn.STDEV.S(B26:T26)))</f>
        <v/>
      </c>
      <c r="AE26">
        <f t="shared" ca="1" si="8"/>
        <v>19.064711129980708</v>
      </c>
      <c r="AF26">
        <f t="shared" ca="1" si="9"/>
        <v>16.852508665093769</v>
      </c>
      <c r="AG26">
        <f t="shared" ca="1" si="10"/>
        <v>14.640306200206828</v>
      </c>
      <c r="AH26" s="4">
        <f t="shared" si="11"/>
        <v>12.428103735319889</v>
      </c>
      <c r="AI26">
        <f t="shared" ca="1" si="12"/>
        <v>10.215901270432949</v>
      </c>
      <c r="AJ26">
        <f t="shared" ca="1" si="13"/>
        <v>8.0036988055460085</v>
      </c>
      <c r="AK26">
        <f t="shared" ca="1" si="14"/>
        <v>5.7914963406590685</v>
      </c>
      <c r="AL26">
        <f t="shared" si="15"/>
        <v>0</v>
      </c>
      <c r="AM26">
        <f t="shared" si="16"/>
        <v>0</v>
      </c>
      <c r="AN26" t="e">
        <f t="shared" si="17"/>
        <v>#VALUE!</v>
      </c>
    </row>
    <row r="27" spans="21:63" ht="13.95" customHeight="1" x14ac:dyDescent="0.3">
      <c r="U27" t="e">
        <f t="shared" si="18"/>
        <v>#N/A</v>
      </c>
      <c r="V27" t="e">
        <f t="shared" ca="1" si="1"/>
        <v>#N/A</v>
      </c>
      <c r="W27" t="e">
        <f t="shared" ca="1" si="2"/>
        <v>#N/A</v>
      </c>
      <c r="X27" t="e">
        <f t="shared" ca="1" si="3"/>
        <v>#N/A</v>
      </c>
      <c r="Y27">
        <f t="shared" si="4"/>
        <v>40.835106382978722</v>
      </c>
      <c r="Z27" t="e">
        <f t="shared" ca="1" si="5"/>
        <v>#N/A</v>
      </c>
      <c r="AA27" t="e">
        <f t="shared" ca="1" si="6"/>
        <v>#N/A</v>
      </c>
      <c r="AB27" t="e">
        <f t="shared" ca="1" si="7"/>
        <v>#N/A</v>
      </c>
      <c r="AD27" t="str">
        <f>IF(COUNT($B27:T27)=1,"",IF(ISERROR(_xlfn.STDEV.S(B27:T27)),"",_xlfn.STDEV.S(B27:T27)))</f>
        <v/>
      </c>
      <c r="AE27">
        <f t="shared" ca="1" si="8"/>
        <v>19.064711129980708</v>
      </c>
      <c r="AF27">
        <f t="shared" ca="1" si="9"/>
        <v>16.852508665093769</v>
      </c>
      <c r="AG27">
        <f t="shared" ca="1" si="10"/>
        <v>14.640306200206828</v>
      </c>
      <c r="AH27" s="4">
        <f t="shared" si="11"/>
        <v>12.428103735319889</v>
      </c>
      <c r="AI27">
        <f t="shared" ca="1" si="12"/>
        <v>10.215901270432949</v>
      </c>
      <c r="AJ27">
        <f t="shared" ca="1" si="13"/>
        <v>8.0036988055460085</v>
      </c>
      <c r="AK27">
        <f t="shared" ca="1" si="14"/>
        <v>5.7914963406590685</v>
      </c>
      <c r="AL27">
        <f t="shared" si="15"/>
        <v>0</v>
      </c>
      <c r="AM27">
        <f t="shared" si="16"/>
        <v>0</v>
      </c>
      <c r="AN27" t="e">
        <f t="shared" si="17"/>
        <v>#VALUE!</v>
      </c>
    </row>
    <row r="28" spans="21:63" ht="13.95" customHeight="1" x14ac:dyDescent="0.3">
      <c r="U28" t="e">
        <f t="shared" si="18"/>
        <v>#N/A</v>
      </c>
      <c r="V28" t="e">
        <f t="shared" ca="1" si="1"/>
        <v>#N/A</v>
      </c>
      <c r="W28" t="e">
        <f t="shared" ca="1" si="2"/>
        <v>#N/A</v>
      </c>
      <c r="X28" t="e">
        <f t="shared" ca="1" si="3"/>
        <v>#N/A</v>
      </c>
      <c r="Y28">
        <f t="shared" si="4"/>
        <v>40.835106382978722</v>
      </c>
      <c r="Z28" t="e">
        <f t="shared" ca="1" si="5"/>
        <v>#N/A</v>
      </c>
      <c r="AA28" t="e">
        <f t="shared" ca="1" si="6"/>
        <v>#N/A</v>
      </c>
      <c r="AB28" t="e">
        <f t="shared" ca="1" si="7"/>
        <v>#N/A</v>
      </c>
      <c r="AD28" t="str">
        <f>IF(COUNT($B28:T28)=1,"",IF(ISERROR(_xlfn.STDEV.S(B28:T28)),"",_xlfn.STDEV.S(B28:T28)))</f>
        <v/>
      </c>
      <c r="AE28">
        <f t="shared" ca="1" si="8"/>
        <v>19.064711129980708</v>
      </c>
      <c r="AF28">
        <f t="shared" ca="1" si="9"/>
        <v>16.852508665093769</v>
      </c>
      <c r="AG28">
        <f t="shared" ca="1" si="10"/>
        <v>14.640306200206828</v>
      </c>
      <c r="AH28" s="4">
        <f t="shared" si="11"/>
        <v>12.428103735319889</v>
      </c>
      <c r="AI28">
        <f t="shared" ca="1" si="12"/>
        <v>10.215901270432949</v>
      </c>
      <c r="AJ28">
        <f t="shared" ca="1" si="13"/>
        <v>8.0036988055460085</v>
      </c>
      <c r="AK28">
        <f t="shared" ca="1" si="14"/>
        <v>5.7914963406590685</v>
      </c>
      <c r="AL28">
        <f t="shared" si="15"/>
        <v>0</v>
      </c>
      <c r="AM28">
        <f t="shared" si="16"/>
        <v>0</v>
      </c>
      <c r="AN28" t="e">
        <f t="shared" si="17"/>
        <v>#VALUE!</v>
      </c>
    </row>
    <row r="29" spans="21:63" ht="13.95" customHeight="1" x14ac:dyDescent="0.3">
      <c r="U29" t="e">
        <f t="shared" si="18"/>
        <v>#N/A</v>
      </c>
      <c r="V29" t="e">
        <f t="shared" ca="1" si="1"/>
        <v>#N/A</v>
      </c>
      <c r="W29" t="e">
        <f t="shared" ca="1" si="2"/>
        <v>#N/A</v>
      </c>
      <c r="X29" t="e">
        <f t="shared" ca="1" si="3"/>
        <v>#N/A</v>
      </c>
      <c r="Y29">
        <f t="shared" si="4"/>
        <v>40.835106382978722</v>
      </c>
      <c r="Z29" t="e">
        <f t="shared" ca="1" si="5"/>
        <v>#N/A</v>
      </c>
      <c r="AA29" t="e">
        <f t="shared" ca="1" si="6"/>
        <v>#N/A</v>
      </c>
      <c r="AB29" t="e">
        <f t="shared" ca="1" si="7"/>
        <v>#N/A</v>
      </c>
      <c r="AD29" t="str">
        <f>IF(COUNT($B29:T29)=1,"",IF(ISERROR(_xlfn.STDEV.S(B29:T29)),"",_xlfn.STDEV.S(B29:T29)))</f>
        <v/>
      </c>
      <c r="AE29">
        <f t="shared" ca="1" si="8"/>
        <v>19.064711129980708</v>
      </c>
      <c r="AF29">
        <f t="shared" ca="1" si="9"/>
        <v>16.852508665093769</v>
      </c>
      <c r="AG29">
        <f t="shared" ca="1" si="10"/>
        <v>14.640306200206828</v>
      </c>
      <c r="AH29" s="4">
        <f t="shared" si="11"/>
        <v>12.428103735319889</v>
      </c>
      <c r="AI29">
        <f t="shared" ca="1" si="12"/>
        <v>10.215901270432949</v>
      </c>
      <c r="AJ29">
        <f t="shared" ca="1" si="13"/>
        <v>8.0036988055460085</v>
      </c>
      <c r="AK29">
        <f t="shared" ca="1" si="14"/>
        <v>5.7914963406590685</v>
      </c>
      <c r="AL29">
        <f t="shared" si="15"/>
        <v>0</v>
      </c>
      <c r="AM29">
        <f t="shared" si="16"/>
        <v>0</v>
      </c>
      <c r="AN29" t="e">
        <f t="shared" si="17"/>
        <v>#VALUE!</v>
      </c>
    </row>
    <row r="30" spans="21:63" ht="13.95" customHeight="1" x14ac:dyDescent="0.3">
      <c r="U30" t="e">
        <f t="shared" si="18"/>
        <v>#N/A</v>
      </c>
      <c r="V30" t="e">
        <f t="shared" ca="1" si="1"/>
        <v>#N/A</v>
      </c>
      <c r="W30" t="e">
        <f t="shared" ca="1" si="2"/>
        <v>#N/A</v>
      </c>
      <c r="X30" t="e">
        <f t="shared" ca="1" si="3"/>
        <v>#N/A</v>
      </c>
      <c r="Y30">
        <f t="shared" si="4"/>
        <v>40.835106382978722</v>
      </c>
      <c r="Z30" t="e">
        <f t="shared" ca="1" si="5"/>
        <v>#N/A</v>
      </c>
      <c r="AA30" t="e">
        <f t="shared" ca="1" si="6"/>
        <v>#N/A</v>
      </c>
      <c r="AB30" t="e">
        <f t="shared" ca="1" si="7"/>
        <v>#N/A</v>
      </c>
      <c r="AD30" t="str">
        <f>IF(COUNT($B30:T30)=1,"",IF(ISERROR(_xlfn.STDEV.S(B30:T30)),"",_xlfn.STDEV.S(B30:T30)))</f>
        <v/>
      </c>
      <c r="AE30">
        <f t="shared" ca="1" si="8"/>
        <v>19.064711129980708</v>
      </c>
      <c r="AF30">
        <f t="shared" ca="1" si="9"/>
        <v>16.852508665093769</v>
      </c>
      <c r="AG30">
        <f t="shared" ca="1" si="10"/>
        <v>14.640306200206828</v>
      </c>
      <c r="AH30" s="4">
        <f t="shared" si="11"/>
        <v>12.428103735319889</v>
      </c>
      <c r="AI30">
        <f t="shared" ca="1" si="12"/>
        <v>10.215901270432949</v>
      </c>
      <c r="AJ30">
        <f t="shared" ca="1" si="13"/>
        <v>8.0036988055460085</v>
      </c>
      <c r="AK30">
        <f t="shared" ca="1" si="14"/>
        <v>5.7914963406590685</v>
      </c>
      <c r="AL30">
        <f t="shared" si="15"/>
        <v>0</v>
      </c>
      <c r="AM30">
        <f t="shared" si="16"/>
        <v>0</v>
      </c>
      <c r="AN30" t="e">
        <f t="shared" si="17"/>
        <v>#VALUE!</v>
      </c>
    </row>
    <row r="31" spans="21:63" ht="13.95" customHeight="1" x14ac:dyDescent="0.3">
      <c r="U31" t="e">
        <f t="shared" si="18"/>
        <v>#N/A</v>
      </c>
      <c r="V31" t="e">
        <f t="shared" ca="1" si="1"/>
        <v>#N/A</v>
      </c>
      <c r="W31" t="e">
        <f t="shared" ca="1" si="2"/>
        <v>#N/A</v>
      </c>
      <c r="X31" t="e">
        <f t="shared" ca="1" si="3"/>
        <v>#N/A</v>
      </c>
      <c r="Y31">
        <f t="shared" si="4"/>
        <v>40.835106382978722</v>
      </c>
      <c r="Z31" t="e">
        <f t="shared" ca="1" si="5"/>
        <v>#N/A</v>
      </c>
      <c r="AA31" t="e">
        <f t="shared" ca="1" si="6"/>
        <v>#N/A</v>
      </c>
      <c r="AB31" t="e">
        <f t="shared" ca="1" si="7"/>
        <v>#N/A</v>
      </c>
      <c r="AD31" t="str">
        <f>IF(COUNT($B31:T31)=1,"",IF(ISERROR(_xlfn.STDEV.S(B31:T31)),"",_xlfn.STDEV.S(B31:T31)))</f>
        <v/>
      </c>
      <c r="AE31">
        <f t="shared" ca="1" si="8"/>
        <v>19.064711129980708</v>
      </c>
      <c r="AF31">
        <f t="shared" ca="1" si="9"/>
        <v>16.852508665093769</v>
      </c>
      <c r="AG31">
        <f t="shared" ca="1" si="10"/>
        <v>14.640306200206828</v>
      </c>
      <c r="AH31" s="4">
        <f t="shared" si="11"/>
        <v>12.428103735319889</v>
      </c>
      <c r="AI31">
        <f t="shared" ca="1" si="12"/>
        <v>10.215901270432949</v>
      </c>
      <c r="AJ31">
        <f t="shared" ca="1" si="13"/>
        <v>8.0036988055460085</v>
      </c>
      <c r="AK31">
        <f t="shared" ca="1" si="14"/>
        <v>5.7914963406590685</v>
      </c>
      <c r="AL31">
        <f t="shared" si="15"/>
        <v>0</v>
      </c>
      <c r="AM31">
        <f t="shared" si="16"/>
        <v>0</v>
      </c>
      <c r="AN31" t="e">
        <f t="shared" si="17"/>
        <v>#VALUE!</v>
      </c>
    </row>
    <row r="32" spans="21:63" ht="13.95" customHeight="1" x14ac:dyDescent="0.3">
      <c r="U32" t="e">
        <f t="shared" si="18"/>
        <v>#N/A</v>
      </c>
      <c r="V32" t="e">
        <f t="shared" ca="1" si="1"/>
        <v>#N/A</v>
      </c>
      <c r="W32" t="e">
        <f t="shared" ca="1" si="2"/>
        <v>#N/A</v>
      </c>
      <c r="X32" t="e">
        <f t="shared" ca="1" si="3"/>
        <v>#N/A</v>
      </c>
      <c r="Y32">
        <f t="shared" si="4"/>
        <v>40.835106382978722</v>
      </c>
      <c r="Z32" t="e">
        <f t="shared" ca="1" si="5"/>
        <v>#N/A</v>
      </c>
      <c r="AA32" t="e">
        <f t="shared" ca="1" si="6"/>
        <v>#N/A</v>
      </c>
      <c r="AB32" t="e">
        <f t="shared" ca="1" si="7"/>
        <v>#N/A</v>
      </c>
      <c r="AD32" t="str">
        <f>IF(COUNT($B32:T32)=1,"",IF(ISERROR(_xlfn.STDEV.S(B32:T32)),"",_xlfn.STDEV.S(B32:T32)))</f>
        <v/>
      </c>
      <c r="AE32">
        <f t="shared" ca="1" si="8"/>
        <v>19.064711129980708</v>
      </c>
      <c r="AF32">
        <f t="shared" ca="1" si="9"/>
        <v>16.852508665093769</v>
      </c>
      <c r="AG32">
        <f t="shared" ca="1" si="10"/>
        <v>14.640306200206828</v>
      </c>
      <c r="AH32" s="4">
        <f t="shared" si="11"/>
        <v>12.428103735319889</v>
      </c>
      <c r="AI32">
        <f t="shared" ca="1" si="12"/>
        <v>10.215901270432949</v>
      </c>
      <c r="AJ32">
        <f t="shared" ca="1" si="13"/>
        <v>8.0036988055460085</v>
      </c>
      <c r="AK32">
        <f t="shared" ca="1" si="14"/>
        <v>5.7914963406590685</v>
      </c>
      <c r="AL32">
        <f t="shared" si="15"/>
        <v>0</v>
      </c>
      <c r="AM32">
        <f t="shared" si="16"/>
        <v>0</v>
      </c>
      <c r="AN32" t="e">
        <f t="shared" si="17"/>
        <v>#VALUE!</v>
      </c>
    </row>
    <row r="33" spans="21:40" ht="13.95" customHeight="1" x14ac:dyDescent="0.3">
      <c r="U33" t="e">
        <f t="shared" si="18"/>
        <v>#N/A</v>
      </c>
      <c r="V33" t="e">
        <f t="shared" ca="1" si="1"/>
        <v>#N/A</v>
      </c>
      <c r="W33" t="e">
        <f t="shared" ca="1" si="2"/>
        <v>#N/A</v>
      </c>
      <c r="X33" t="e">
        <f t="shared" ca="1" si="3"/>
        <v>#N/A</v>
      </c>
      <c r="Y33">
        <f t="shared" si="4"/>
        <v>40.835106382978722</v>
      </c>
      <c r="Z33" t="e">
        <f t="shared" ca="1" si="5"/>
        <v>#N/A</v>
      </c>
      <c r="AA33" t="e">
        <f t="shared" ca="1" si="6"/>
        <v>#N/A</v>
      </c>
      <c r="AB33" t="e">
        <f t="shared" ca="1" si="7"/>
        <v>#N/A</v>
      </c>
      <c r="AD33" t="str">
        <f>IF(COUNT($B33:T33)=1,"",IF(ISERROR(_xlfn.STDEV.S(B33:T33)),"",_xlfn.STDEV.S(B33:T33)))</f>
        <v/>
      </c>
      <c r="AE33">
        <f t="shared" ca="1" si="8"/>
        <v>19.064711129980708</v>
      </c>
      <c r="AF33">
        <f t="shared" ca="1" si="9"/>
        <v>16.852508665093769</v>
      </c>
      <c r="AG33">
        <f t="shared" ca="1" si="10"/>
        <v>14.640306200206828</v>
      </c>
      <c r="AH33" s="4">
        <f t="shared" si="11"/>
        <v>12.428103735319889</v>
      </c>
      <c r="AI33">
        <f t="shared" ca="1" si="12"/>
        <v>10.215901270432949</v>
      </c>
      <c r="AJ33">
        <f t="shared" ca="1" si="13"/>
        <v>8.0036988055460085</v>
      </c>
      <c r="AK33">
        <f t="shared" ca="1" si="14"/>
        <v>5.7914963406590685</v>
      </c>
      <c r="AL33">
        <f t="shared" si="15"/>
        <v>0</v>
      </c>
      <c r="AM33">
        <f t="shared" si="16"/>
        <v>0</v>
      </c>
      <c r="AN33" t="e">
        <f t="shared" si="17"/>
        <v>#VALUE!</v>
      </c>
    </row>
    <row r="34" spans="21:40" ht="13.95" customHeight="1" x14ac:dyDescent="0.3"/>
    <row r="35" spans="21:40" ht="13.95" customHeight="1" x14ac:dyDescent="0.3"/>
    <row r="36" spans="21:40" ht="13.95" customHeight="1" x14ac:dyDescent="0.3"/>
    <row r="37" spans="21:40" ht="13.95" customHeight="1" x14ac:dyDescent="0.3"/>
    <row r="38" spans="21:40" ht="13.95" customHeight="1" x14ac:dyDescent="0.3"/>
    <row r="39" spans="21:40" ht="13.95" customHeight="1" x14ac:dyDescent="0.3"/>
    <row r="40" spans="21:40" ht="13.95" customHeight="1" x14ac:dyDescent="0.3"/>
    <row r="41" spans="21:40" ht="13.95" customHeight="1" x14ac:dyDescent="0.3"/>
    <row r="42" spans="21:40" ht="13.95" customHeight="1" x14ac:dyDescent="0.3"/>
    <row r="43" spans="21:40" ht="13.95" customHeight="1" x14ac:dyDescent="0.3"/>
    <row r="44" spans="21:40" ht="13.95" customHeight="1" x14ac:dyDescent="0.3"/>
    <row r="45" spans="21:40" ht="13.95" customHeight="1" x14ac:dyDescent="0.3"/>
    <row r="46" spans="21:40" ht="13.95" customHeight="1" x14ac:dyDescent="0.3"/>
    <row r="47" spans="21:40" ht="13.95" customHeight="1" x14ac:dyDescent="0.3"/>
    <row r="48" spans="21:40" ht="13.95" customHeight="1" x14ac:dyDescent="0.3"/>
    <row r="49" ht="13.95" customHeight="1" x14ac:dyDescent="0.3"/>
    <row r="50" ht="13.95" customHeight="1" x14ac:dyDescent="0.3"/>
    <row r="51" ht="13.95" customHeight="1" x14ac:dyDescent="0.3"/>
    <row r="52" ht="13.95" customHeight="1" x14ac:dyDescent="0.3"/>
  </sheetData>
  <pageMargins left="0.7" right="0.7" top="0.75" bottom="0.75" header="0.3" footer="0.3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8F7A-FC7C-4F6F-99E4-74C72AC40A10}">
  <dimension ref="A1:AC13"/>
  <sheetViews>
    <sheetView workbookViewId="0">
      <selection activeCell="A4" sqref="A4"/>
    </sheetView>
  </sheetViews>
  <sheetFormatPr baseColWidth="10" defaultRowHeight="14.4" x14ac:dyDescent="0.3"/>
  <cols>
    <col min="1" max="20" width="6.77734375" customWidth="1"/>
    <col min="21" max="21" width="2" customWidth="1"/>
  </cols>
  <sheetData>
    <row r="1" spans="1:29" x14ac:dyDescent="0.3">
      <c r="A1" s="2" t="s">
        <v>56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V1" s="2" t="s">
        <v>48</v>
      </c>
      <c r="W1" s="2" t="s">
        <v>49</v>
      </c>
      <c r="X1" s="2" t="s">
        <v>52</v>
      </c>
      <c r="Y1" s="2" t="s">
        <v>53</v>
      </c>
      <c r="Z1" s="2" t="s">
        <v>50</v>
      </c>
      <c r="AA1" s="2" t="s">
        <v>51</v>
      </c>
      <c r="AB1" s="2" t="s">
        <v>54</v>
      </c>
      <c r="AC1" s="2" t="s">
        <v>55</v>
      </c>
    </row>
    <row r="2" spans="1:29" x14ac:dyDescent="0.3">
      <c r="A2" s="3" t="s">
        <v>0</v>
      </c>
      <c r="B2" s="1">
        <v>25</v>
      </c>
      <c r="C2" s="1">
        <v>22</v>
      </c>
      <c r="D2" s="1">
        <v>35</v>
      </c>
      <c r="E2" s="1">
        <v>23</v>
      </c>
      <c r="F2" s="1">
        <v>24</v>
      </c>
      <c r="G2" s="1">
        <v>45</v>
      </c>
      <c r="H2" s="1">
        <v>36</v>
      </c>
      <c r="I2" s="1">
        <v>34</v>
      </c>
      <c r="J2" s="1">
        <v>32</v>
      </c>
      <c r="K2" s="1">
        <v>40</v>
      </c>
      <c r="L2" s="1">
        <v>35</v>
      </c>
      <c r="M2" s="1">
        <v>67</v>
      </c>
      <c r="N2" s="1"/>
      <c r="O2" s="1"/>
      <c r="P2" s="1"/>
      <c r="Q2" s="1"/>
      <c r="R2" s="1"/>
      <c r="S2" s="1"/>
      <c r="T2" s="1"/>
      <c r="V2">
        <f>AVERAGE(B2:T2)</f>
        <v>34.833333333333336</v>
      </c>
      <c r="W2">
        <f>AVERAGE($B$2:$T$13)</f>
        <v>40.835106382978722</v>
      </c>
      <c r="X2">
        <f>$W$2+(0.886*AA2)</f>
        <v>51.846406292472146</v>
      </c>
      <c r="Y2">
        <f>W2-(0.886*AA2)</f>
        <v>29.823806473485298</v>
      </c>
      <c r="Z2">
        <f>_xlfn.STDEV.S(B2:T2)</f>
        <v>12.408452642037883</v>
      </c>
      <c r="AA2">
        <f>AVERAGE($Z$2:$Z$13)</f>
        <v>12.428103735319889</v>
      </c>
      <c r="AB2">
        <f>1.646*AA2</f>
        <v>20.456658748336537</v>
      </c>
      <c r="AC2">
        <f>0.354*AA2</f>
        <v>4.3995487223032406</v>
      </c>
    </row>
    <row r="3" spans="1:29" x14ac:dyDescent="0.3">
      <c r="A3" s="3" t="s">
        <v>1</v>
      </c>
      <c r="B3" s="1">
        <v>25</v>
      </c>
      <c r="C3" s="1">
        <v>22</v>
      </c>
      <c r="D3" s="1">
        <v>35</v>
      </c>
      <c r="E3" s="1">
        <v>23</v>
      </c>
      <c r="F3" s="1">
        <v>24</v>
      </c>
      <c r="G3" s="1">
        <v>45</v>
      </c>
      <c r="H3" s="1">
        <v>36</v>
      </c>
      <c r="I3" s="1">
        <v>34</v>
      </c>
      <c r="J3" s="1">
        <v>32</v>
      </c>
      <c r="K3" s="1">
        <v>40</v>
      </c>
      <c r="L3" s="1">
        <v>35</v>
      </c>
      <c r="M3" s="1">
        <v>67</v>
      </c>
      <c r="N3" s="1">
        <v>25</v>
      </c>
      <c r="O3" s="1">
        <v>22</v>
      </c>
      <c r="P3" s="1">
        <v>35</v>
      </c>
      <c r="Q3" s="1">
        <v>23</v>
      </c>
      <c r="R3" s="1">
        <v>24</v>
      </c>
      <c r="S3" s="1">
        <v>45</v>
      </c>
      <c r="T3" s="1">
        <v>36</v>
      </c>
      <c r="V3">
        <f t="shared" ref="V3:V13" si="0">AVERAGE(B3:T3)</f>
        <v>33.05263157894737</v>
      </c>
      <c r="W3">
        <f t="shared" ref="W3:W13" si="1">AVERAGE($B$2:$T$13)</f>
        <v>40.835106382978722</v>
      </c>
      <c r="X3">
        <f>W3+(0.698*AA3)</f>
        <v>49.509922790232004</v>
      </c>
      <c r="Y3">
        <f>W3-(0.698*AA3)</f>
        <v>32.160289975725441</v>
      </c>
      <c r="Z3">
        <f t="shared" ref="Z3:Z13" si="2">_xlfn.STDEV.S(B3:T3)</f>
        <v>11.197587459461111</v>
      </c>
      <c r="AA3">
        <f t="shared" ref="AA3:AA13" si="3">AVERAGE($Z$2:$Z$13)</f>
        <v>12.428103735319889</v>
      </c>
      <c r="AB3">
        <f>1.503*AA3</f>
        <v>18.679439914185792</v>
      </c>
      <c r="AC3">
        <f>0.497*AA3</f>
        <v>6.176767556453985</v>
      </c>
    </row>
    <row r="4" spans="1:29" x14ac:dyDescent="0.3">
      <c r="A4" s="3" t="s">
        <v>2</v>
      </c>
      <c r="B4" s="1">
        <v>45</v>
      </c>
      <c r="C4" s="1">
        <v>36</v>
      </c>
      <c r="D4" s="1">
        <v>34</v>
      </c>
      <c r="E4" s="1">
        <v>32</v>
      </c>
      <c r="F4" s="1">
        <v>40</v>
      </c>
      <c r="G4" s="1">
        <v>35</v>
      </c>
      <c r="H4" s="1">
        <v>67</v>
      </c>
      <c r="I4" s="1">
        <v>56</v>
      </c>
      <c r="J4" s="1">
        <v>34</v>
      </c>
      <c r="K4" s="1">
        <v>55</v>
      </c>
      <c r="L4" s="1">
        <v>67</v>
      </c>
      <c r="M4" s="1">
        <v>44</v>
      </c>
      <c r="N4" s="1">
        <v>68</v>
      </c>
      <c r="O4" s="1">
        <v>46</v>
      </c>
      <c r="P4" s="1">
        <v>45</v>
      </c>
      <c r="Q4" s="1"/>
      <c r="R4" s="1"/>
      <c r="S4" s="1"/>
      <c r="T4" s="1"/>
      <c r="V4">
        <f t="shared" si="0"/>
        <v>46.93333333333333</v>
      </c>
      <c r="W4">
        <f t="shared" si="1"/>
        <v>40.835106382978722</v>
      </c>
      <c r="X4">
        <f>W4+(0.789*AA4)</f>
        <v>50.640880230146117</v>
      </c>
      <c r="Y4">
        <f>W4-(0.789*AA4)</f>
        <v>31.029332535811328</v>
      </c>
      <c r="Z4">
        <f t="shared" si="2"/>
        <v>12.764161136706539</v>
      </c>
      <c r="AA4">
        <f t="shared" si="3"/>
        <v>12.428103735319889</v>
      </c>
      <c r="AB4">
        <f>1.572*AA4</f>
        <v>19.536979071922865</v>
      </c>
      <c r="AC4">
        <f>0.428*AA4</f>
        <v>5.3192283987169127</v>
      </c>
    </row>
    <row r="5" spans="1:29" x14ac:dyDescent="0.3">
      <c r="A5" s="3" t="s">
        <v>3</v>
      </c>
      <c r="B5" s="1">
        <v>34</v>
      </c>
      <c r="C5" s="1">
        <v>32</v>
      </c>
      <c r="D5" s="1">
        <v>40</v>
      </c>
      <c r="E5" s="1">
        <v>35</v>
      </c>
      <c r="F5" s="1">
        <v>67</v>
      </c>
      <c r="G5" s="1">
        <v>54</v>
      </c>
      <c r="H5" s="1">
        <v>57</v>
      </c>
      <c r="I5" s="1">
        <v>59</v>
      </c>
      <c r="J5" s="1">
        <v>45</v>
      </c>
      <c r="K5" s="1">
        <v>44</v>
      </c>
      <c r="L5" s="1">
        <v>67</v>
      </c>
      <c r="M5" s="1">
        <v>47</v>
      </c>
      <c r="N5" s="1">
        <v>53</v>
      </c>
      <c r="O5" s="1">
        <v>55</v>
      </c>
      <c r="P5" s="1">
        <v>43</v>
      </c>
      <c r="Q5" s="1">
        <v>22</v>
      </c>
      <c r="R5" s="1">
        <v>67</v>
      </c>
      <c r="S5" s="1"/>
      <c r="T5" s="1"/>
      <c r="V5">
        <f t="shared" si="0"/>
        <v>48.294117647058826</v>
      </c>
      <c r="W5">
        <f t="shared" si="1"/>
        <v>40.835106382978722</v>
      </c>
      <c r="X5">
        <f>W5+(0.739*AA5)</f>
        <v>50.019475043380119</v>
      </c>
      <c r="Y5">
        <f>W5-(0.739*AA5)</f>
        <v>31.650737722577325</v>
      </c>
      <c r="Z5">
        <f t="shared" si="2"/>
        <v>13.241812120525429</v>
      </c>
      <c r="AA5">
        <f t="shared" si="3"/>
        <v>12.428103735319889</v>
      </c>
      <c r="AB5">
        <f>1.534*AA5</f>
        <v>19.064711129980708</v>
      </c>
      <c r="AC5">
        <f>0.466*AA5</f>
        <v>5.7914963406590685</v>
      </c>
    </row>
    <row r="6" spans="1:29" x14ac:dyDescent="0.3">
      <c r="A6" s="3" t="s">
        <v>4</v>
      </c>
      <c r="B6" s="1">
        <v>25</v>
      </c>
      <c r="C6" s="1">
        <v>22</v>
      </c>
      <c r="D6" s="1">
        <v>35</v>
      </c>
      <c r="E6" s="1">
        <v>23</v>
      </c>
      <c r="F6" s="1">
        <v>24</v>
      </c>
      <c r="G6" s="1">
        <v>45</v>
      </c>
      <c r="H6" s="1">
        <v>36</v>
      </c>
      <c r="I6" s="1">
        <v>34</v>
      </c>
      <c r="J6" s="1">
        <v>32</v>
      </c>
      <c r="K6" s="1">
        <v>40</v>
      </c>
      <c r="L6" s="1">
        <v>35</v>
      </c>
      <c r="M6" s="1">
        <v>67</v>
      </c>
      <c r="N6" s="1"/>
      <c r="O6" s="1"/>
      <c r="P6" s="1"/>
      <c r="Q6" s="1"/>
      <c r="R6" s="1"/>
      <c r="S6" s="1"/>
      <c r="T6" s="1"/>
      <c r="V6">
        <f t="shared" si="0"/>
        <v>34.833333333333336</v>
      </c>
      <c r="W6">
        <f t="shared" si="1"/>
        <v>40.835106382978722</v>
      </c>
      <c r="X6">
        <f>W6+(0.886*AA6)</f>
        <v>51.846406292472146</v>
      </c>
      <c r="Y6">
        <f>W6-(0.886*AA6)</f>
        <v>29.823806473485298</v>
      </c>
      <c r="Z6">
        <f t="shared" si="2"/>
        <v>12.408452642037883</v>
      </c>
      <c r="AA6">
        <f t="shared" si="3"/>
        <v>12.428103735319889</v>
      </c>
      <c r="AB6">
        <f>1.646*AA6</f>
        <v>20.456658748336537</v>
      </c>
      <c r="AC6">
        <f>0.354*AA6</f>
        <v>4.3995487223032406</v>
      </c>
    </row>
    <row r="7" spans="1:29" x14ac:dyDescent="0.3">
      <c r="A7" s="3" t="s">
        <v>5</v>
      </c>
      <c r="B7" s="1">
        <v>25</v>
      </c>
      <c r="C7" s="1">
        <v>22</v>
      </c>
      <c r="D7" s="1">
        <v>35</v>
      </c>
      <c r="E7" s="1">
        <v>23</v>
      </c>
      <c r="F7" s="1">
        <v>24</v>
      </c>
      <c r="G7" s="1">
        <v>45</v>
      </c>
      <c r="H7" s="1">
        <v>34</v>
      </c>
      <c r="I7" s="1">
        <v>32</v>
      </c>
      <c r="J7" s="1">
        <v>40</v>
      </c>
      <c r="K7" s="1">
        <v>35</v>
      </c>
      <c r="L7" s="1">
        <v>67</v>
      </c>
      <c r="M7" s="1">
        <v>25</v>
      </c>
      <c r="N7" s="1">
        <v>22</v>
      </c>
      <c r="O7" s="1">
        <v>35</v>
      </c>
      <c r="P7" s="1">
        <v>23</v>
      </c>
      <c r="Q7" s="1">
        <v>24</v>
      </c>
      <c r="R7" s="1">
        <v>45</v>
      </c>
      <c r="S7" s="1">
        <v>36</v>
      </c>
      <c r="T7" s="1"/>
      <c r="V7">
        <f t="shared" si="0"/>
        <v>32.888888888888886</v>
      </c>
      <c r="W7">
        <f t="shared" si="1"/>
        <v>40.835106382978722</v>
      </c>
      <c r="X7">
        <f>W7+(0.718*AA7)</f>
        <v>49.758484864938403</v>
      </c>
      <c r="Y7">
        <f>W7-(0.718*AA7)</f>
        <v>31.911727901019042</v>
      </c>
      <c r="Z7">
        <f t="shared" si="2"/>
        <v>11.498792207106893</v>
      </c>
      <c r="AA7">
        <f t="shared" si="3"/>
        <v>12.428103735319889</v>
      </c>
      <c r="AB7">
        <f>1.518*AA7</f>
        <v>18.865861470215592</v>
      </c>
      <c r="AC7">
        <f>0.482*AA7</f>
        <v>5.9903460004241857</v>
      </c>
    </row>
    <row r="8" spans="1:29" x14ac:dyDescent="0.3">
      <c r="A8" s="3" t="s">
        <v>6</v>
      </c>
      <c r="B8" s="1">
        <v>45</v>
      </c>
      <c r="C8" s="1">
        <v>36</v>
      </c>
      <c r="D8" s="1">
        <v>34</v>
      </c>
      <c r="E8" s="1">
        <v>32</v>
      </c>
      <c r="F8" s="1">
        <v>40</v>
      </c>
      <c r="G8" s="1">
        <v>35</v>
      </c>
      <c r="H8" s="1">
        <v>67</v>
      </c>
      <c r="I8" s="1">
        <v>56</v>
      </c>
      <c r="J8" s="1">
        <v>34</v>
      </c>
      <c r="K8" s="1">
        <v>55</v>
      </c>
      <c r="L8" s="1">
        <v>67</v>
      </c>
      <c r="M8" s="1">
        <v>44</v>
      </c>
      <c r="N8" s="1">
        <v>68</v>
      </c>
      <c r="O8" s="1">
        <v>46</v>
      </c>
      <c r="P8" s="1">
        <v>45</v>
      </c>
      <c r="Q8" s="1"/>
      <c r="R8" s="1"/>
      <c r="S8" s="1"/>
      <c r="T8" s="1"/>
      <c r="V8">
        <f t="shared" si="0"/>
        <v>46.93333333333333</v>
      </c>
      <c r="W8">
        <f t="shared" si="1"/>
        <v>40.835106382978722</v>
      </c>
      <c r="X8">
        <f>W8+(0.789*AA8)</f>
        <v>50.640880230146117</v>
      </c>
      <c r="Y8">
        <f>W8-(0.789*AA8)</f>
        <v>31.029332535811328</v>
      </c>
      <c r="Z8">
        <f t="shared" si="2"/>
        <v>12.764161136706539</v>
      </c>
      <c r="AA8">
        <f t="shared" si="3"/>
        <v>12.428103735319889</v>
      </c>
      <c r="AB8">
        <f>1.572*AA8</f>
        <v>19.536979071922865</v>
      </c>
      <c r="AC8">
        <f>0.428*AA8</f>
        <v>5.3192283987169127</v>
      </c>
    </row>
    <row r="9" spans="1:29" x14ac:dyDescent="0.3">
      <c r="A9" s="3" t="s">
        <v>7</v>
      </c>
      <c r="B9" s="1">
        <v>34</v>
      </c>
      <c r="C9" s="1">
        <v>32</v>
      </c>
      <c r="D9" s="1">
        <v>40</v>
      </c>
      <c r="E9" s="1">
        <v>35</v>
      </c>
      <c r="F9" s="1">
        <v>67</v>
      </c>
      <c r="G9" s="1">
        <v>54</v>
      </c>
      <c r="H9" s="1">
        <v>57</v>
      </c>
      <c r="I9" s="1">
        <v>59</v>
      </c>
      <c r="J9" s="1">
        <v>45</v>
      </c>
      <c r="K9" s="1">
        <v>44</v>
      </c>
      <c r="L9" s="1">
        <v>67</v>
      </c>
      <c r="M9" s="1">
        <v>47</v>
      </c>
      <c r="N9" s="1">
        <v>53</v>
      </c>
      <c r="O9" s="1">
        <v>55</v>
      </c>
      <c r="P9" s="1">
        <v>43</v>
      </c>
      <c r="Q9" s="1">
        <v>22</v>
      </c>
      <c r="R9" s="1">
        <v>67</v>
      </c>
      <c r="S9" s="1"/>
      <c r="T9" s="1"/>
      <c r="V9">
        <f t="shared" si="0"/>
        <v>48.294117647058826</v>
      </c>
      <c r="W9">
        <f t="shared" si="1"/>
        <v>40.835106382978722</v>
      </c>
      <c r="X9">
        <f>W9+(0.739*AA9)</f>
        <v>50.019475043380119</v>
      </c>
      <c r="Y9">
        <f>W9-(0.739*AA9)</f>
        <v>31.650737722577325</v>
      </c>
      <c r="Z9">
        <f t="shared" si="2"/>
        <v>13.241812120525429</v>
      </c>
      <c r="AA9">
        <f t="shared" si="3"/>
        <v>12.428103735319889</v>
      </c>
      <c r="AB9">
        <f>1.534*AA9</f>
        <v>19.064711129980708</v>
      </c>
      <c r="AC9">
        <f>0.466*AA9</f>
        <v>5.7914963406590685</v>
      </c>
    </row>
    <row r="10" spans="1:29" x14ac:dyDescent="0.3">
      <c r="A10" s="3" t="s">
        <v>8</v>
      </c>
      <c r="B10" s="1">
        <v>25</v>
      </c>
      <c r="C10" s="1">
        <v>22</v>
      </c>
      <c r="D10" s="1">
        <v>35</v>
      </c>
      <c r="E10" s="1">
        <v>23</v>
      </c>
      <c r="F10" s="1">
        <v>24</v>
      </c>
      <c r="G10" s="1">
        <v>45</v>
      </c>
      <c r="H10" s="1">
        <v>36</v>
      </c>
      <c r="I10" s="1">
        <v>34</v>
      </c>
      <c r="J10" s="1">
        <v>32</v>
      </c>
      <c r="K10" s="1">
        <v>40</v>
      </c>
      <c r="L10" s="1">
        <v>35</v>
      </c>
      <c r="M10" s="1">
        <v>67</v>
      </c>
      <c r="N10" s="1"/>
      <c r="O10" s="1"/>
      <c r="P10" s="1"/>
      <c r="Q10" s="1"/>
      <c r="R10" s="1"/>
      <c r="S10" s="1"/>
      <c r="T10" s="1"/>
      <c r="V10">
        <f t="shared" si="0"/>
        <v>34.833333333333336</v>
      </c>
      <c r="W10">
        <f t="shared" si="1"/>
        <v>40.835106382978722</v>
      </c>
      <c r="X10">
        <f>W10+(0.886*AA10)</f>
        <v>51.846406292472146</v>
      </c>
      <c r="Y10">
        <f>W10-(0.886*AA10)</f>
        <v>29.823806473485298</v>
      </c>
      <c r="Z10">
        <f t="shared" si="2"/>
        <v>12.408452642037883</v>
      </c>
      <c r="AA10">
        <f t="shared" si="3"/>
        <v>12.428103735319889</v>
      </c>
      <c r="AB10">
        <f>1.646*AA10</f>
        <v>20.456658748336537</v>
      </c>
      <c r="AC10">
        <f>0.354*AA10</f>
        <v>4.3995487223032406</v>
      </c>
    </row>
    <row r="11" spans="1:29" x14ac:dyDescent="0.3">
      <c r="A11" s="3" t="s">
        <v>9</v>
      </c>
      <c r="B11" s="1">
        <v>25</v>
      </c>
      <c r="C11" s="1">
        <v>22</v>
      </c>
      <c r="D11" s="1">
        <v>35</v>
      </c>
      <c r="E11" s="1">
        <v>23</v>
      </c>
      <c r="F11" s="1">
        <v>24</v>
      </c>
      <c r="G11" s="1">
        <v>45</v>
      </c>
      <c r="H11" s="1">
        <v>36</v>
      </c>
      <c r="I11" s="1">
        <v>34</v>
      </c>
      <c r="J11" s="1">
        <v>32</v>
      </c>
      <c r="K11" s="1">
        <v>40</v>
      </c>
      <c r="L11" s="1">
        <v>35</v>
      </c>
      <c r="M11" s="1">
        <v>67</v>
      </c>
      <c r="N11" s="1">
        <v>25</v>
      </c>
      <c r="O11" s="1">
        <v>22</v>
      </c>
      <c r="P11" s="1">
        <v>35</v>
      </c>
      <c r="Q11" s="1">
        <v>23</v>
      </c>
      <c r="R11" s="1">
        <v>24</v>
      </c>
      <c r="S11" s="1">
        <v>45</v>
      </c>
      <c r="T11" s="1">
        <v>36</v>
      </c>
      <c r="V11">
        <f t="shared" si="0"/>
        <v>33.05263157894737</v>
      </c>
      <c r="W11">
        <f t="shared" si="1"/>
        <v>40.835106382978722</v>
      </c>
      <c r="X11">
        <f>W11+(0.698*AA11)</f>
        <v>49.509922790232004</v>
      </c>
      <c r="Y11">
        <f>W11-(0.698*AA11)</f>
        <v>32.160289975725441</v>
      </c>
      <c r="Z11">
        <f t="shared" si="2"/>
        <v>11.197587459461111</v>
      </c>
      <c r="AA11">
        <f t="shared" si="3"/>
        <v>12.428103735319889</v>
      </c>
      <c r="AB11">
        <f>1.503*AA11</f>
        <v>18.679439914185792</v>
      </c>
      <c r="AC11">
        <f>0.497*AA11</f>
        <v>6.176767556453985</v>
      </c>
    </row>
    <row r="12" spans="1:29" x14ac:dyDescent="0.3">
      <c r="A12" s="3" t="s">
        <v>10</v>
      </c>
      <c r="B12" s="1">
        <v>45</v>
      </c>
      <c r="C12" s="1">
        <v>36</v>
      </c>
      <c r="D12" s="1">
        <v>34</v>
      </c>
      <c r="E12" s="1">
        <v>32</v>
      </c>
      <c r="F12" s="1">
        <v>40</v>
      </c>
      <c r="G12" s="1">
        <v>35</v>
      </c>
      <c r="H12" s="1">
        <v>67</v>
      </c>
      <c r="I12" s="1">
        <v>56</v>
      </c>
      <c r="J12" s="1">
        <v>34</v>
      </c>
      <c r="K12" s="1">
        <v>55</v>
      </c>
      <c r="L12" s="1">
        <v>67</v>
      </c>
      <c r="M12" s="1">
        <v>44</v>
      </c>
      <c r="N12" s="1">
        <v>68</v>
      </c>
      <c r="O12" s="1">
        <v>46</v>
      </c>
      <c r="P12" s="1">
        <v>45</v>
      </c>
      <c r="Q12" s="1"/>
      <c r="R12" s="1"/>
      <c r="S12" s="1"/>
      <c r="T12" s="1"/>
      <c r="V12">
        <f t="shared" si="0"/>
        <v>46.93333333333333</v>
      </c>
      <c r="W12">
        <f t="shared" si="1"/>
        <v>40.835106382978722</v>
      </c>
      <c r="X12">
        <f>W12+(0.789*AA12)</f>
        <v>50.640880230146117</v>
      </c>
      <c r="Y12">
        <f>W12-(0.789*AA12)</f>
        <v>31.029332535811328</v>
      </c>
      <c r="Z12">
        <f t="shared" si="2"/>
        <v>12.764161136706539</v>
      </c>
      <c r="AA12">
        <f t="shared" si="3"/>
        <v>12.428103735319889</v>
      </c>
      <c r="AB12">
        <f>1.572*AA12</f>
        <v>19.536979071922865</v>
      </c>
      <c r="AC12">
        <f>0.428*AA12</f>
        <v>5.3192283987169127</v>
      </c>
    </row>
    <row r="13" spans="1:29" x14ac:dyDescent="0.3">
      <c r="A13" s="3" t="s">
        <v>11</v>
      </c>
      <c r="B13" s="1">
        <v>34</v>
      </c>
      <c r="C13" s="1">
        <v>32</v>
      </c>
      <c r="D13" s="1">
        <v>40</v>
      </c>
      <c r="E13" s="1">
        <v>35</v>
      </c>
      <c r="F13" s="1">
        <v>67</v>
      </c>
      <c r="G13" s="1">
        <v>54</v>
      </c>
      <c r="H13" s="1">
        <v>57</v>
      </c>
      <c r="I13" s="1">
        <v>59</v>
      </c>
      <c r="J13" s="1">
        <v>45</v>
      </c>
      <c r="K13" s="1">
        <v>44</v>
      </c>
      <c r="L13" s="1">
        <v>67</v>
      </c>
      <c r="M13" s="1">
        <v>47</v>
      </c>
      <c r="N13" s="1">
        <v>53</v>
      </c>
      <c r="O13" s="1">
        <v>55</v>
      </c>
      <c r="P13" s="1">
        <v>43</v>
      </c>
      <c r="Q13" s="1">
        <v>22</v>
      </c>
      <c r="R13" s="1">
        <v>67</v>
      </c>
      <c r="S13" s="1"/>
      <c r="T13" s="1"/>
      <c r="V13">
        <f t="shared" si="0"/>
        <v>48.294117647058826</v>
      </c>
      <c r="W13">
        <f t="shared" si="1"/>
        <v>40.835106382978722</v>
      </c>
      <c r="X13">
        <f>W13+(0.739*AA13)</f>
        <v>50.019475043380119</v>
      </c>
      <c r="Y13">
        <f>W13-(0.739*AA13)</f>
        <v>31.650737722577325</v>
      </c>
      <c r="Z13">
        <f t="shared" si="2"/>
        <v>13.241812120525429</v>
      </c>
      <c r="AA13">
        <f t="shared" si="3"/>
        <v>12.428103735319889</v>
      </c>
      <c r="AB13">
        <f>1.534*AA13</f>
        <v>19.064711129980708</v>
      </c>
      <c r="AC13">
        <f>0.466*AA13</f>
        <v>5.7914963406590685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Navngitte områder</vt:lpstr>
      </vt:variant>
      <vt:variant>
        <vt:i4>1</vt:i4>
      </vt:variant>
    </vt:vector>
  </HeadingPairs>
  <TitlesOfParts>
    <vt:vector size="3" baseType="lpstr">
      <vt:lpstr>Avd1-9 XbarS </vt:lpstr>
      <vt:lpstr>Ark1</vt:lpstr>
      <vt:lpstr>'Avd1-9 XbarS '!Utskriftsområde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Avd1-9 Data</dc:title>
  <dc:creator>Nils Kvilvang and QI Macros</dc:creator>
  <dc:description>_x000d_
Charts created with QI Macros for Excel_x000d_
www.qimacros.com</dc:description>
  <cp:lastModifiedBy>Nils Kvilvang</cp:lastModifiedBy>
  <dcterms:created xsi:type="dcterms:W3CDTF">2021-10-21T17:48:00Z</dcterms:created>
  <dcterms:modified xsi:type="dcterms:W3CDTF">2021-10-23T15:06:26Z</dcterms:modified>
</cp:coreProperties>
</file>