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threadedComments/threadedComment3.xml" ContentType="application/vnd.ms-excel.threaded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threadedComments/threadedComment4.xml" ContentType="application/vnd.ms-excel.threaded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threadedComments/threadedComment5.xml" ContentType="application/vnd.ms-excel.threadedcomments+xml"/>
  <Override PartName="/xl/comments19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23"/>
  <workbookPr/>
  <mc:AlternateContent xmlns:mc="http://schemas.openxmlformats.org/markup-compatibility/2006">
    <mc:Choice Requires="x15">
      <x15ac:absPath xmlns:x15ac="http://schemas.microsoft.com/office/spreadsheetml/2010/11/ac" url="https://fraunhofer.sharepoint.com/sites/NuKosLiteratureReviewandMetaLCA/Freigegebene Dokumente/General/"/>
    </mc:Choice>
  </mc:AlternateContent>
  <xr:revisionPtr revIDLastSave="105" documentId="11_FD9EFE530DE2E76E76E961621946F65CAB77B733" xr6:coauthVersionLast="47" xr6:coauthVersionMax="47" xr10:uidLastSave="{B0F08B97-4E59-B840-BC82-09EA75D79010}"/>
  <bookViews>
    <workbookView xWindow="0" yWindow="500" windowWidth="28800" windowHeight="15840" tabRatio="850" firstSheet="13" activeTab="22" xr2:uid="{00000000-000D-0000-FFFF-FFFF00000000}"/>
  </bookViews>
  <sheets>
    <sheet name="Summarized LCI values" sheetId="26" r:id="rId1"/>
    <sheet name="Di Maria et al. (2018)" sheetId="1" r:id="rId2"/>
    <sheet name="Di Maria et al. (2020)" sheetId="2" r:id="rId3"/>
    <sheet name="Ghasemi et al. (2017)" sheetId="3" r:id="rId4"/>
    <sheet name="Giannoulakis et al. (2014)" sheetId="4" r:id="rId5"/>
    <sheet name="Huang et al. (2019)" sheetId="5" r:id="rId6"/>
    <sheet name="Julcour et al. (2015)" sheetId="6" r:id="rId7"/>
    <sheet name="Khoo, Bu et al. (2011)" sheetId="7" r:id="rId8"/>
    <sheet name="Khoo, Sharratt et al. (2011)" sheetId="8" r:id="rId9"/>
    <sheet name="Kirchofer et al. (2012)" sheetId="9" r:id="rId10"/>
    <sheet name="Lee et al. (2020)" sheetId="10" r:id="rId11"/>
    <sheet name="Lee et al. (2018)" sheetId="11" r:id="rId12"/>
    <sheet name="Mattila et al. (2014)" sheetId="12" r:id="rId13"/>
    <sheet name="Mo et al. (2017)" sheetId="13" r:id="rId14"/>
    <sheet name="Monkman et al. (2017)" sheetId="14" r:id="rId15"/>
    <sheet name="Ncongwane et al. (2018)" sheetId="15" r:id="rId16"/>
    <sheet name="Nduagu et al. (2012)" sheetId="16" r:id="rId17"/>
    <sheet name="Nduagu et al. (2013)" sheetId="17" r:id="rId18"/>
    <sheet name="Oh et al. (2018)" sheetId="18" r:id="rId19"/>
    <sheet name="Oh et al. (2019)" sheetId="19" r:id="rId20"/>
    <sheet name="Ostovari et al. (2020)" sheetId="20" r:id="rId21"/>
    <sheet name="Pan et al. (2016)" sheetId="21" r:id="rId22"/>
    <sheet name="Teir et al. (2016)" sheetId="22" r:id="rId23"/>
    <sheet name="Xiao et al. (2014)" sheetId="23" r:id="rId24"/>
    <sheet name="Zevenhoven et al. (2020)" sheetId="24" r:id="rId25"/>
    <sheet name="Khoo et al. (2006)" sheetId="25" r:id="rId2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9" l="1"/>
  <c r="F19" i="24"/>
  <c r="F18" i="24"/>
  <c r="F17" i="24"/>
  <c r="E19" i="24"/>
  <c r="E18" i="24"/>
  <c r="E17" i="24"/>
  <c r="D19" i="24"/>
  <c r="D18" i="24"/>
  <c r="D17" i="24"/>
  <c r="C18" i="24"/>
  <c r="C19" i="24"/>
  <c r="C17" i="24"/>
  <c r="F20" i="24"/>
  <c r="E20" i="24"/>
  <c r="D20" i="24"/>
  <c r="C20" i="24"/>
  <c r="G7" i="19"/>
  <c r="G6" i="19"/>
  <c r="G5" i="19"/>
  <c r="G4" i="19"/>
  <c r="C7" i="19"/>
  <c r="C6" i="19"/>
  <c r="C5" i="19"/>
  <c r="C4" i="19"/>
  <c r="J11" i="18"/>
  <c r="J10" i="18"/>
  <c r="J9" i="18"/>
  <c r="J12" i="18"/>
  <c r="F26" i="24" l="1"/>
  <c r="F27" i="24"/>
  <c r="F25" i="24"/>
  <c r="F16" i="24"/>
  <c r="E26" i="24"/>
  <c r="E27" i="24"/>
  <c r="E25" i="24"/>
  <c r="E16" i="24"/>
  <c r="D26" i="24"/>
  <c r="D27" i="24"/>
  <c r="D24" i="24"/>
  <c r="D21" i="24"/>
  <c r="D16" i="24"/>
  <c r="C26" i="24"/>
  <c r="C27" i="24"/>
  <c r="C24" i="24"/>
  <c r="C21" i="24"/>
  <c r="C16" i="24"/>
  <c r="C22" i="24" s="1"/>
  <c r="C14" i="17"/>
  <c r="C15" i="17"/>
  <c r="C16" i="17"/>
  <c r="C16" i="14"/>
  <c r="D13" i="1"/>
  <c r="E13" i="1"/>
  <c r="C13" i="1"/>
  <c r="F14" i="1" l="1"/>
  <c r="F12" i="1"/>
  <c r="C12" i="1"/>
  <c r="E11" i="1"/>
  <c r="D11" i="1"/>
  <c r="C11" i="1"/>
  <c r="D22" i="24"/>
  <c r="E22" i="24"/>
  <c r="F22" i="24"/>
  <c r="AA8" i="20"/>
  <c r="W8" i="20"/>
  <c r="S8" i="20"/>
  <c r="O8" i="20"/>
  <c r="K8" i="20"/>
  <c r="G8" i="20"/>
  <c r="C8" i="20"/>
  <c r="C15" i="16"/>
  <c r="C15" i="14"/>
  <c r="C17" i="14"/>
  <c r="C18" i="14"/>
  <c r="C19" i="14"/>
  <c r="C21" i="14"/>
  <c r="C20" i="14"/>
  <c r="J14" i="18" l="1"/>
  <c r="J13" i="18"/>
  <c r="C5" i="11" l="1"/>
  <c r="D7" i="13" l="1"/>
  <c r="E7" i="13"/>
  <c r="F7" i="13"/>
  <c r="G7" i="13"/>
  <c r="H7" i="13"/>
  <c r="C7" i="13"/>
  <c r="F1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tc={AA3F592F-BE3D-1544-B921-15F8515CD3EC}</author>
    <author>Microsoft Office User</author>
    <author>tc={0A9A76C2-2C0E-4FBA-83A1-6D85E3F3DA5A}</author>
    <author>tc={B928E275-4698-436E-BAAB-2413C704FF69}</author>
  </authors>
  <commentList>
    <comment ref="C4" authorId="0" shapeId="0" xr:uid="{AA3F592F-BE3D-1544-B921-15F8515CD3E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Electricity and heat combined
</t>
      </text>
    </comment>
    <comment ref="I11" authorId="1" shapeId="0" xr:uid="{25CC7777-6E75-0647-BA7E-E732BA794E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Not further described, use as supplementary cementitious material
</t>
        </r>
      </text>
    </comment>
    <comment ref="A27" authorId="2" shapeId="0" xr:uid="{0A9A76C2-2C0E-4FBA-83A1-6D85E3F3DA5A}">
      <text>
        <t>[Threaded comment]
Your version of Excel allows you to read this threaded comment; however, any edits to it will get removed if the file is opened in a newer version of Excel. Learn more: https://go.microsoft.com/fwlink/?linkid=870924
Comment:
    CEM I in Nukos_BG</t>
      </text>
    </comment>
    <comment ref="A29" authorId="3" shapeId="0" xr:uid="{B928E275-4698-436E-BAAB-2413C704FF69}">
      <text>
        <t>[Threaded comment]
Your version of Excel allows you to read this threaded comment; however, any edits to it will get removed if the file is opened in a newer version of Excel. Learn more: https://go.microsoft.com/fwlink/?linkid=870924
Comment:
    CEM I in Nukos_BG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Fromme, Felix</author>
  </authors>
  <commentList>
    <comment ref="A22" authorId="0" shapeId="0" xr:uid="{00000000-0006-0000-1000-000001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Functional unit;
Mass already included in MgCO3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Fromme, Felix</author>
  </authors>
  <commentList>
    <comment ref="A5" authorId="0" shapeId="0" xr:uid="{00000000-0006-0000-1100-000001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99% of AS is recovered
</t>
        </r>
      </text>
    </comment>
    <comment ref="A23" authorId="0" shapeId="0" xr:uid="{00000000-0006-0000-1100-000002000000}">
      <text>
        <r>
          <rPr>
            <b/>
            <sz val="9"/>
            <color indexed="81"/>
            <rFont val="Segoe UI"/>
            <family val="2"/>
          </rPr>
          <t>Fromme, Felix:</t>
        </r>
        <r>
          <rPr>
            <sz val="9"/>
            <color indexed="81"/>
            <rFont val="Segoe UI"/>
            <family val="2"/>
          </rPr>
          <t xml:space="preserve">
functunal unit, already included in MgCO3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Fromme, Felix</author>
  </authors>
  <commentList>
    <comment ref="J25" authorId="0" shapeId="0" xr:uid="{00000000-0006-0000-1200-000001000000}">
      <text>
        <r>
          <rPr>
            <b/>
            <sz val="9"/>
            <color indexed="81"/>
            <rFont val="Segoe UI"/>
            <family val="2"/>
          </rPr>
          <t>Fromme, Felix:</t>
        </r>
        <r>
          <rPr>
            <sz val="9"/>
            <color indexed="81"/>
            <rFont val="Segoe UI"/>
            <family val="2"/>
          </rPr>
          <t xml:space="preserve">
This could be the FU but in kg and per hour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Fromme, Felix</author>
    <author>tc={BEF17CC2-4B50-BA48-9E99-C253637337DC}</author>
    <author>tc={2DA48518-E277-478F-8EFB-9204DE53DB75}</author>
  </authors>
  <commentList>
    <comment ref="C12" authorId="0" shapeId="0" xr:uid="{00000000-0006-0000-1300-000001000000}">
      <text>
        <r>
          <rPr>
            <b/>
            <sz val="9"/>
            <color indexed="81"/>
            <rFont val="Segoe UI"/>
            <family val="2"/>
          </rPr>
          <t>Fromme, Felix:</t>
        </r>
        <r>
          <rPr>
            <sz val="9"/>
            <color indexed="81"/>
            <rFont val="Segoe UI"/>
            <family val="2"/>
          </rPr>
          <t xml:space="preserve">
Functional Unit
</t>
        </r>
      </text>
    </comment>
    <comment ref="C13" authorId="0" shapeId="0" xr:uid="{00000000-0006-0000-1300-000002000000}">
      <text>
        <r>
          <rPr>
            <b/>
            <sz val="9"/>
            <color indexed="81"/>
            <rFont val="Segoe UI"/>
            <family val="2"/>
          </rPr>
          <t>Fromme, Felix:</t>
        </r>
        <r>
          <rPr>
            <sz val="9"/>
            <color indexed="81"/>
            <rFont val="Segoe UI"/>
            <family val="2"/>
          </rPr>
          <t xml:space="preserve">
Functional Unit
</t>
        </r>
      </text>
    </comment>
    <comment ref="A16" authorId="1" shapeId="0" xr:uid="{BEF17CC2-4B50-BA48-9E99-C25363733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Davon 0,0254 MT CO2</t>
      </text>
    </comment>
    <comment ref="E16" authorId="2" shapeId="0" xr:uid="{2DA48518-E277-478F-8EFB-9204DE53DB75}">
      <text>
        <t>[Threaded comment]
Your version of Excel allows you to read this threaded comment; however, any edits to it will get removed if the file is opened in a newer version of Excel. Learn more: https://go.microsoft.com/fwlink/?linkid=870924
Comment:
    Davon 0,0254 MT CO2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Fromme, Felix</author>
  </authors>
  <commentList>
    <comment ref="Y10" authorId="0" shapeId="0" xr:uid="{00000000-0006-0000-1400-000001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In form of hydromagnesite</t>
        </r>
      </text>
    </comment>
    <comment ref="A11" authorId="0" shapeId="0" xr:uid="{00000000-0006-0000-1400-000002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Substitution of OPC with a 5% decrease in performance</t>
        </r>
      </text>
    </comment>
    <comment ref="E11" authorId="0" shapeId="0" xr:uid="{00000000-0006-0000-1400-000003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Substitution of OPC with a 5% decrease in performance</t>
        </r>
      </text>
    </comment>
    <comment ref="I11" authorId="0" shapeId="0" xr:uid="{00000000-0006-0000-1400-000004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Substitution of OPC with a 5% decrease in performance</t>
        </r>
      </text>
    </comment>
    <comment ref="M11" authorId="0" shapeId="0" xr:uid="{00000000-0006-0000-1400-000005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Substitution of OPC with a 5% decrease in performance</t>
        </r>
      </text>
    </comment>
    <comment ref="Q11" authorId="0" shapeId="0" xr:uid="{00000000-0006-0000-1400-000006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Substitution of OPC with a 5% decrease in performance</t>
        </r>
      </text>
    </comment>
    <comment ref="U11" authorId="0" shapeId="0" xr:uid="{00000000-0006-0000-1400-000007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Substitution of OPC with a 5% decrease in performance</t>
        </r>
      </text>
    </comment>
    <comment ref="Y11" authorId="0" shapeId="0" xr:uid="{00000000-0006-0000-1400-000008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Substitution of OPC with a 5% decrease in performance</t>
        </r>
      </text>
    </comment>
    <comment ref="A12" authorId="0" shapeId="0" xr:uid="{00000000-0006-0000-1400-000009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no information on how it is treated
</t>
        </r>
      </text>
    </comment>
    <comment ref="E12" authorId="0" shapeId="0" xr:uid="{00000000-0006-0000-1400-00000A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no information on how it is treated
</t>
        </r>
      </text>
    </comment>
    <comment ref="Q12" authorId="0" shapeId="0" xr:uid="{00000000-0006-0000-1400-00000B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no information on how it is treated</t>
        </r>
      </text>
    </comment>
    <comment ref="U12" authorId="0" shapeId="0" xr:uid="{00000000-0006-0000-1400-00000C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substitution of iron ore</t>
        </r>
      </text>
    </comment>
    <comment ref="Y12" authorId="0" shapeId="0" xr:uid="{00000000-0006-0000-1400-00000D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substitution of iron ore
</t>
        </r>
      </text>
    </comment>
    <comment ref="A13" authorId="0" shapeId="0" xr:uid="{00000000-0006-0000-1400-00000E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Substitution of iron ore
</t>
        </r>
      </text>
    </comment>
    <comment ref="E13" authorId="0" shapeId="0" xr:uid="{00000000-0006-0000-1400-00000F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substitution of iron ore</t>
        </r>
      </text>
    </comment>
    <comment ref="U13" authorId="0" shapeId="0" xr:uid="{00000000-0006-0000-1400-000010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Serpentine in intermediate products; no information on how it is treated
</t>
        </r>
      </text>
    </comment>
    <comment ref="Y13" authorId="0" shapeId="0" xr:uid="{00000000-0006-0000-1400-000011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Serpentine in intermediate products;
no information on how it is treated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Fromme, Felix</author>
    <author>tc={68DA1E78-06D3-0646-A013-A6E2B10FE15E}</author>
  </authors>
  <commentList>
    <comment ref="K1" authorId="0" shapeId="0" xr:uid="{00000000-0006-0000-1500-000001000000}">
      <text>
        <r>
          <rPr>
            <b/>
            <sz val="9"/>
            <color indexed="81"/>
            <rFont val="Segoe UI"/>
            <family val="2"/>
          </rPr>
          <t>Fromme, Felix:</t>
        </r>
        <r>
          <rPr>
            <sz val="9"/>
            <color indexed="81"/>
            <rFont val="Segoe UI"/>
            <family val="2"/>
          </rPr>
          <t xml:space="preserve">
With ascending CO2 removal ratios from L1 to H3 with L = Low (&lt;70%), M = Medium (70-90%) and H = High (&gt;90%)</t>
        </r>
      </text>
    </comment>
    <comment ref="A3" authorId="0" shapeId="0" xr:uid="{00000000-0006-0000-1500-000002000000}">
      <text>
        <r>
          <rPr>
            <b/>
            <sz val="9"/>
            <color indexed="81"/>
            <rFont val="Segoe UI"/>
            <family val="2"/>
          </rPr>
          <t>Fromme, Felix:</t>
        </r>
        <r>
          <rPr>
            <sz val="9"/>
            <color indexed="81"/>
            <rFont val="Segoe UI"/>
            <family val="2"/>
          </rPr>
          <t xml:space="preserve">
Functional Unit = 1 ton of BOF-slag input
</t>
        </r>
      </text>
    </comment>
    <comment ref="A8" authorId="1" shapeId="0" xr:uid="{68DA1E78-06D3-0646-A013-A6E2B10FE15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Further described, used as supplementary cementitious material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Fromme, Felix</author>
  </authors>
  <commentList>
    <comment ref="A4" authorId="0" shapeId="0" xr:uid="{00000000-0006-0000-1600-000001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"relatively close distance"
</t>
        </r>
      </text>
    </comment>
    <comment ref="A11" authorId="0" shapeId="0" xr:uid="{00000000-0006-0000-1600-000002000000}">
      <text>
        <r>
          <rPr>
            <b/>
            <sz val="9"/>
            <color indexed="81"/>
            <rFont val="Segoe UI"/>
            <family val="2"/>
          </rPr>
          <t>Fromme, Felix:</t>
        </r>
        <r>
          <rPr>
            <sz val="9"/>
            <color indexed="81"/>
            <rFont val="Segoe UI"/>
            <family val="2"/>
          </rPr>
          <t xml:space="preserve">
FU = 1 ton produced calcium carbonate (dry)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Fromme, Felix</author>
  </authors>
  <commentList>
    <comment ref="C2" authorId="0" shapeId="0" xr:uid="{00000000-0006-0000-1700-000001000000}">
      <text>
        <r>
          <rPr>
            <b/>
            <sz val="9"/>
            <color indexed="81"/>
            <rFont val="Segoe UI"/>
            <family val="2"/>
          </rPr>
          <t>Fromme, Felix:</t>
        </r>
        <r>
          <rPr>
            <sz val="9"/>
            <color indexed="81"/>
            <rFont val="Segoe UI"/>
            <family val="2"/>
          </rPr>
          <t xml:space="preserve">
52,82% CaO, 27,30% SiO2
</t>
        </r>
      </text>
    </comment>
    <comment ref="D3" authorId="0" shapeId="0" xr:uid="{00000000-0006-0000-1700-000002000000}">
      <text>
        <r>
          <rPr>
            <b/>
            <sz val="9"/>
            <color indexed="81"/>
            <rFont val="Segoe UI"/>
            <family val="2"/>
          </rPr>
          <t>Fromme, Felix:</t>
        </r>
        <r>
          <rPr>
            <sz val="9"/>
            <color indexed="81"/>
            <rFont val="Segoe UI"/>
            <family val="2"/>
          </rPr>
          <t xml:space="preserve">
51,11% CaO; 11,15% SiO2
</t>
        </r>
      </text>
    </comment>
    <comment ref="E3" authorId="0" shapeId="0" xr:uid="{00000000-0006-0000-1700-000003000000}">
      <text>
        <r>
          <rPr>
            <b/>
            <sz val="9"/>
            <color indexed="81"/>
            <rFont val="Segoe UI"/>
            <family val="2"/>
          </rPr>
          <t>Fromme, Felix:</t>
        </r>
        <r>
          <rPr>
            <sz val="9"/>
            <color indexed="81"/>
            <rFont val="Segoe UI"/>
            <family val="2"/>
          </rPr>
          <t xml:space="preserve">
42,43% CaO; 12% SiO2</t>
        </r>
      </text>
    </comment>
    <comment ref="F4" authorId="0" shapeId="0" xr:uid="{00000000-0006-0000-1700-000004000000}">
      <text>
        <r>
          <rPr>
            <b/>
            <sz val="9"/>
            <color indexed="81"/>
            <rFont val="Segoe UI"/>
            <family val="2"/>
          </rPr>
          <t>Fromme, Felix:</t>
        </r>
        <r>
          <rPr>
            <sz val="9"/>
            <color indexed="81"/>
            <rFont val="Segoe UI"/>
            <family val="2"/>
          </rPr>
          <t xml:space="preserve">
45,9% CaO; 13,9% SiO2</t>
        </r>
      </text>
    </comment>
    <comment ref="G4" authorId="0" shapeId="0" xr:uid="{00000000-0006-0000-1700-000005000000}">
      <text>
        <r>
          <rPr>
            <b/>
            <sz val="9"/>
            <color indexed="81"/>
            <rFont val="Segoe UI"/>
            <family val="2"/>
          </rPr>
          <t>Fromme, Felix:</t>
        </r>
        <r>
          <rPr>
            <sz val="9"/>
            <color indexed="81"/>
            <rFont val="Segoe UI"/>
            <family val="2"/>
          </rPr>
          <t xml:space="preserve">
45,9% CaO; 13,9% SiO2</t>
        </r>
      </text>
    </comment>
    <comment ref="H4" authorId="0" shapeId="0" xr:uid="{00000000-0006-0000-1700-000006000000}">
      <text>
        <r>
          <rPr>
            <b/>
            <sz val="9"/>
            <color indexed="81"/>
            <rFont val="Segoe UI"/>
            <family val="2"/>
          </rPr>
          <t>Fromme, Felix:</t>
        </r>
        <r>
          <rPr>
            <sz val="9"/>
            <color indexed="81"/>
            <rFont val="Segoe UI"/>
            <family val="2"/>
          </rPr>
          <t xml:space="preserve">
45,9% CaO; 13,9% SiO2</t>
        </r>
      </text>
    </comment>
    <comment ref="A13" authorId="0" shapeId="0" xr:uid="{00000000-0006-0000-1700-000007000000}">
      <text>
        <r>
          <rPr>
            <b/>
            <sz val="9"/>
            <color indexed="81"/>
            <rFont val="Segoe UI"/>
            <family val="2"/>
          </rPr>
          <t>Fromme, Felix:</t>
        </r>
        <r>
          <rPr>
            <sz val="9"/>
            <color indexed="81"/>
            <rFont val="Segoe UI"/>
            <family val="2"/>
          </rPr>
          <t xml:space="preserve">
FU = 1 kg of CO2 captured by carbonation process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Fromme, Felix</author>
    <author>tc={E82CE4F6-AAD6-40B6-B70D-8E64A4F69E07}</author>
  </authors>
  <commentList>
    <comment ref="A3" authorId="0" shapeId="0" xr:uid="{00000000-0006-0000-1800-000001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23,32% CO2; 7,6% O2; 70,39% N2
</t>
        </r>
      </text>
    </comment>
    <comment ref="A4" authorId="0" shapeId="0" xr:uid="{00000000-0006-0000-1800-000002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5,2% CO2; 11,47% O2; 83,33% N2
</t>
        </r>
      </text>
    </comment>
    <comment ref="A5" authorId="0" shapeId="0" xr:uid="{00000000-0006-0000-1800-000003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Assumption: 64,02% exergy at T=500°C and T0=5°C (mean anual temperature Finland)</t>
        </r>
      </text>
    </comment>
    <comment ref="A6" authorId="0" shapeId="0" xr:uid="{00000000-0006-0000-1800-000004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Electricity equals 100% exergy
</t>
        </r>
      </text>
    </comment>
    <comment ref="A11" authorId="0" shapeId="0" xr:uid="{00000000-0006-0000-1800-000005000000}">
      <text>
        <r>
          <rPr>
            <b/>
            <sz val="9"/>
            <color indexed="81"/>
            <rFont val="Segoe UI"/>
            <family val="2"/>
          </rPr>
          <t>Fromme, Felix:</t>
        </r>
        <r>
          <rPr>
            <sz val="9"/>
            <color indexed="81"/>
            <rFont val="Segoe UI"/>
            <family val="2"/>
          </rPr>
          <t xml:space="preserve">
already included in products, FU = 1 kg of CO2 bound in product
</t>
        </r>
      </text>
    </comment>
    <comment ref="A14" authorId="0" shapeId="0" xr:uid="{00000000-0006-0000-1800-000006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Every material and energy value divided by CO2 bound in product per h </t>
        </r>
      </text>
    </comment>
    <comment ref="A26" authorId="0" shapeId="0" xr:uid="{00000000-0006-0000-1800-000007000000}">
      <text>
        <r>
          <rPr>
            <b/>
            <sz val="9"/>
            <color rgb="FF000000"/>
            <rFont val="Segoe UI"/>
            <family val="2"/>
            <charset val="1"/>
          </rPr>
          <t>Fromme, Felix: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 xml:space="preserve">already included in products, FU = 1 kg of CO2 bound in product
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</text>
    </comment>
    <comment ref="A27" authorId="1" shapeId="0" xr:uid="{E82CE4F6-AAD6-40B6-B70D-8E64A4F69E07}">
      <text>
        <t>[Threaded comment]
Your version of Excel allows you to read this threaded comment; however, any edits to it will get removed if the file is opened in a newer version of Excel. Learn more: https://go.microsoft.com/fwlink/?linkid=870924
Comment:
    Exitgas CO2-free, but H2-share now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Fromme, Felix</author>
  </authors>
  <commentList>
    <comment ref="A10" authorId="0" shapeId="0" xr:uid="{00000000-0006-0000-1900-000001000000}">
      <text>
        <r>
          <rPr>
            <b/>
            <sz val="9"/>
            <color indexed="81"/>
            <rFont val="Segoe UI"/>
            <family val="2"/>
          </rPr>
          <t>Fromme, Felix:</t>
        </r>
        <r>
          <rPr>
            <sz val="9"/>
            <color indexed="81"/>
            <rFont val="Segoe UI"/>
            <family val="2"/>
          </rPr>
          <t xml:space="preserve">
FU = amount of CO2 from production of 1 MWh (= 950 kg CO2)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Fromme, Felix</author>
  </authors>
  <commentList>
    <comment ref="C1" authorId="0" shapeId="0" xr:uid="{00000000-0006-0000-0100-000001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Alkali activation no carbonation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Fromme, Felix</author>
  </authors>
  <commentList>
    <comment ref="H2" authorId="0" shapeId="0" xr:uid="{00000000-0006-0000-0900-000001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LCI from Olivine – 155°C is given as an example in Scheme 1. Neither appendix nor supplementary information present LCI for other Scenarios </t>
        </r>
      </text>
    </comment>
    <comment ref="E4" authorId="0" shapeId="0" xr:uid="{00000000-0006-0000-0900-000002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FU = Carbonation of 1000 ton CO2 per day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tc={DA4B72CC-D96B-2947-92BE-1129EF944ABE}</author>
    <author>Fromme, Felix</author>
  </authors>
  <commentList>
    <comment ref="D1" authorId="0" shapeId="0" xr:uid="{DA4B72CC-D96B-2947-92BE-1129EF944ABE}">
      <text>
        <t>[Threaded comment]
Your version of Excel allows you to read this threaded comment; however, any edits to it will get removed if the file is opened in a newer version of Excel. Learn more: https://go.microsoft.com/fwlink/?linkid=870924
Comment:
    Traditional CaCO3 Production: limestone calcination, gas scrubbing, precipitation process</t>
      </text>
    </comment>
    <comment ref="A9" authorId="1" shapeId="0" xr:uid="{00000000-0006-0000-0A00-000001000000}">
      <text>
        <r>
          <rPr>
            <b/>
            <sz val="9"/>
            <color indexed="81"/>
            <rFont val="Segoe UI"/>
            <family val="2"/>
          </rPr>
          <t>Fromme, Felix:</t>
        </r>
        <r>
          <rPr>
            <sz val="9"/>
            <color indexed="81"/>
            <rFont val="Segoe UI"/>
            <family val="2"/>
          </rPr>
          <t xml:space="preserve">
FU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Fromme, Felix</author>
  </authors>
  <commentList>
    <comment ref="C5" authorId="0" shapeId="0" xr:uid="{00000000-0006-0000-0B00-000001000000}">
      <text>
        <r>
          <rPr>
            <b/>
            <sz val="9"/>
            <color indexed="81"/>
            <rFont val="Segoe UI"/>
            <family val="2"/>
          </rPr>
          <t>Fromme, Felix:</t>
        </r>
        <r>
          <rPr>
            <sz val="9"/>
            <color indexed="81"/>
            <rFont val="Segoe UI"/>
            <family val="2"/>
          </rPr>
          <t xml:space="preserve">
Calculated, electricity consumption of Brine electrolysis 2,38MWh/t Cl2 produced</t>
        </r>
      </text>
    </comment>
    <comment ref="B17" authorId="0" shapeId="0" xr:uid="{00000000-0006-0000-0B00-000002000000}">
      <text>
        <r>
          <rPr>
            <b/>
            <sz val="9"/>
            <color indexed="81"/>
            <rFont val="Segoe UI"/>
            <family val="2"/>
          </rPr>
          <t>Fromme, Felix:</t>
        </r>
        <r>
          <rPr>
            <sz val="9"/>
            <color indexed="81"/>
            <rFont val="Segoe UI"/>
            <family val="2"/>
          </rPr>
          <t xml:space="preserve">
for instance in Figure 7a): CO2 carbonation has indirect CO2 emissions (from electric power supply), but electricity consumption is not stated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Fromme, Felix</author>
  </authors>
  <commentList>
    <comment ref="H14" authorId="0" shapeId="0" xr:uid="{00000000-0006-0000-0C00-000001000000}">
      <text>
        <r>
          <rPr>
            <b/>
            <sz val="9"/>
            <color indexed="81"/>
            <rFont val="Segoe UI"/>
            <family val="2"/>
          </rPr>
          <t>Fromme, Felix:</t>
        </r>
        <r>
          <rPr>
            <sz val="9"/>
            <color indexed="81"/>
            <rFont val="Segoe UI"/>
            <family val="2"/>
          </rPr>
          <t xml:space="preserve">
Calculated from massbalance by authors, not an average value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Fromme, Felix</author>
  </authors>
  <commentList>
    <comment ref="H7" authorId="0" shapeId="0" xr:uid="{00000000-0006-0000-0D00-000001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Calculated for all cases, Electricity consumption of CO2 Capture and compression of 1,4 MJ/kg CO2 is stated</t>
        </r>
      </text>
    </comment>
    <comment ref="C8" authorId="0" shapeId="0" xr:uid="{00000000-0006-0000-0D00-000002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No information is provided wether Energy consumption for curing is considered in LCA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Fromme, Felix</author>
  </authors>
  <commentList>
    <comment ref="A23" authorId="0" shapeId="0" xr:uid="{00000000-0006-0000-0E00-000001000000}">
      <text>
        <r>
          <rPr>
            <b/>
            <sz val="9"/>
            <color indexed="81"/>
            <rFont val="Segoe UI"/>
            <family val="2"/>
          </rPr>
          <t>Fromme, Felix:</t>
        </r>
        <r>
          <rPr>
            <sz val="9"/>
            <color indexed="81"/>
            <rFont val="Segoe UI"/>
            <family val="2"/>
          </rPr>
          <t xml:space="preserve">
Functional Unit = 1 m^3 of concrete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Fromme, Felix</author>
  </authors>
  <commentList>
    <comment ref="A3" authorId="0" shapeId="0" xr:uid="{00000000-0006-0000-0F00-000001000000}">
      <text>
        <r>
          <rPr>
            <b/>
            <sz val="9"/>
            <color indexed="81"/>
            <rFont val="Segoe UI"/>
            <charset val="1"/>
          </rPr>
          <t>Fromme, Felix:</t>
        </r>
        <r>
          <rPr>
            <sz val="9"/>
            <color indexed="81"/>
            <rFont val="Segoe UI"/>
            <charset val="1"/>
          </rPr>
          <t xml:space="preserve">
Functional unit</t>
        </r>
      </text>
    </comment>
  </commentList>
</comments>
</file>

<file path=xl/sharedStrings.xml><?xml version="1.0" encoding="utf-8"?>
<sst xmlns="http://schemas.openxmlformats.org/spreadsheetml/2006/main" count="1800" uniqueCount="493">
  <si>
    <t>Input</t>
  </si>
  <si>
    <t>Output</t>
  </si>
  <si>
    <t>Materials</t>
  </si>
  <si>
    <t>Studies - Units</t>
  </si>
  <si>
    <t>Energy</t>
  </si>
  <si>
    <t>Processes</t>
  </si>
  <si>
    <t>BOF-Slag</t>
  </si>
  <si>
    <t xml:space="preserve">
Mattila et al. (2014) – kg
Ostovari et al. (2019) – ton
Pan et al. (2016) – ton</t>
  </si>
  <si>
    <t>Electricity</t>
  </si>
  <si>
    <t>Di Maria et al. (2018) – kWh
Di Maria et al. (2020) – kWh
Lee et al. (2020) – MWh
Mattila et al. (2014) – kWh
Monkman et al. (2017) – kWh
Nduagu et al. (2012) – kWh
Nduagu et al. (2013) – kWh
Oh et al. (2018) – kWh
Oh et al. (2019) – MWh
Ostovari et al. (2020) – kWh
Pan et al. (2016) – kWh
Teir et al. (2016) – kWh
Zevenhoven et al. (2020) – kWh
Nduagu et al. (2013) – kWh</t>
  </si>
  <si>
    <t>Transport (slag)</t>
  </si>
  <si>
    <t>Di Maria et al. (2018) – tkm
Monkman et al. (2017) – tkm
Ostovari et al. (2020) – tkm</t>
  </si>
  <si>
    <t>SC-Blocks</t>
  </si>
  <si>
    <t>Di Maria et al. (2018) – kg</t>
  </si>
  <si>
    <t>Heat</t>
  </si>
  <si>
    <t>Nduagu et al. (2012) – MJ
Nduagu et al. (2013) – GJ</t>
  </si>
  <si>
    <t>Waste treatment</t>
  </si>
  <si>
    <t>Lee et al. (2020) – ton</t>
  </si>
  <si>
    <t>AOD-Slag</t>
  </si>
  <si>
    <t>Di Maria et al. (2018) – kg
Di Maria et al. (2020) – kg</t>
  </si>
  <si>
    <t>Kirchofer et al. (2012) – GJ</t>
  </si>
  <si>
    <t>Transport (natural aggregates)</t>
  </si>
  <si>
    <t>Di Maria et al. (2018) – tkm</t>
  </si>
  <si>
    <t>FC-Blocks</t>
  </si>
  <si>
    <t>Power</t>
  </si>
  <si>
    <t>Nduagu et al. (2012) – kWh</t>
  </si>
  <si>
    <t>Impurities and disposal</t>
  </si>
  <si>
    <t>AOD-Slag (10 wt% moisture)</t>
  </si>
  <si>
    <t>Teir et al. (2016) – kg</t>
  </si>
  <si>
    <t>LP steam</t>
  </si>
  <si>
    <t>Lee et al. (2020) – GJ</t>
  </si>
  <si>
    <t>Transport avoided (slag)</t>
  </si>
  <si>
    <t>Paver OPC-concrete</t>
  </si>
  <si>
    <t>Nduagu et al. (2013) – kWh</t>
  </si>
  <si>
    <t>BF-Slag</t>
  </si>
  <si>
    <t>Lee et al. (2020) – ton
Monkman et al. (2017) – kg</t>
  </si>
  <si>
    <t>Steam</t>
  </si>
  <si>
    <t>Mattila et al. (2014) – MJ
Teir et al. (2016) – kWh</t>
  </si>
  <si>
    <t>Transport (OPC/cement)</t>
  </si>
  <si>
    <t>Di Maria et al. (2018) – tkm
Monkman et al. (2017) – tkm</t>
  </si>
  <si>
    <t>Carbonated blocks</t>
  </si>
  <si>
    <t>Di Maria et al. (2020) – kg</t>
  </si>
  <si>
    <t>Olivine</t>
  </si>
  <si>
    <t>Kirchofer et al. (2012) – ton
Ostovari et al. (2020) – ton</t>
  </si>
  <si>
    <t>Di Maria et al. (2020) – kWh
Mattila et al. (2014) – MJ
Nduagu et al. (2012) – MJ
Nduagu et al. (2013) – GJ
Oh et al. (2018) – MJ
Oh et al. (2019) – MWh
Ostovari et al. (2020) – kWh
Zevenhoven et al. (2020) – kWh</t>
  </si>
  <si>
    <t>Production avoided (boron)</t>
  </si>
  <si>
    <t>PC-based blocks</t>
  </si>
  <si>
    <t>Serpentine</t>
  </si>
  <si>
    <t>Ostovari et al. (2020) – ton</t>
  </si>
  <si>
    <t>Transport (CaCO3)</t>
  </si>
  <si>
    <t>CaCO3</t>
  </si>
  <si>
    <t>Lee et al. (2020) – ton
Mattila et al. (2014) – kg
Ostovari et al. (2019) – ton
Teir et al. (2016) – kg</t>
  </si>
  <si>
    <t>Serpentinite</t>
  </si>
  <si>
    <t>Nduagu et al. (2012) – kg
Nduagu et al. (2013) – kg
Zevenhoven et al. (2020) – kg</t>
  </si>
  <si>
    <t>Transport (serpentinite)</t>
  </si>
  <si>
    <t>Nduagu et al. (2012) – tkm
Nduagu et al. (2013) – tkm
Ostovari et al. (2020) – tkm
Zevenhoven et al. (2020) – tkm</t>
  </si>
  <si>
    <t>Concrete</t>
  </si>
  <si>
    <t>Monkman et al. (2017) – m^3</t>
  </si>
  <si>
    <t>Wollastonite</t>
  </si>
  <si>
    <t>Nduagu et al. (2012) – kg</t>
  </si>
  <si>
    <t>Transport (olivine)</t>
  </si>
  <si>
    <t>Ostovari et al. (2020) – tkm</t>
  </si>
  <si>
    <t>NaHCO3</t>
  </si>
  <si>
    <t>Oh et al. (2018) – kg
Oh et al. (2019) – MT</t>
  </si>
  <si>
    <t>Magnetite</t>
  </si>
  <si>
    <t>Natural gas transport</t>
  </si>
  <si>
    <t>Nduagu et al. (2013) – tkm</t>
  </si>
  <si>
    <t>Carbonated BOF-slag</t>
  </si>
  <si>
    <t>Pan et al. (2016) – ton</t>
  </si>
  <si>
    <t>Iron ore and other compounds</t>
  </si>
  <si>
    <t>Transport (coarse aggregates)</t>
  </si>
  <si>
    <t>Monkman et al. (2017) – tkm</t>
  </si>
  <si>
    <t>MgCO3</t>
  </si>
  <si>
    <t>Nduagu et al. (2012) – kg
Nduagu et al. (2013) – kg
Ostovari et al. (2020) – ton
Zevenhoven et al. (2020) – kg
Kirchofer et al. (2012) – ton</t>
  </si>
  <si>
    <t>Impurity</t>
  </si>
  <si>
    <t>Ostovari et al. (2019) – ton</t>
  </si>
  <si>
    <t>Transport (fine aggregates)</t>
  </si>
  <si>
    <t>Mg5(CO3)4(OH)2 · 4H2O</t>
  </si>
  <si>
    <t>Zevenhoven et al. (2020) – kg</t>
  </si>
  <si>
    <t>Fly ash</t>
  </si>
  <si>
    <t>Monkman et al. (2017) – kg</t>
  </si>
  <si>
    <t>Transport (fly ash)</t>
  </si>
  <si>
    <t>Silcon dioxide (SiO2)</t>
  </si>
  <si>
    <t>Sodium bicarbonate (NaHCO3)</t>
  </si>
  <si>
    <t>Transport (CO2)</t>
  </si>
  <si>
    <t>CO2</t>
  </si>
  <si>
    <t>Lee et al. (2020) – ton
Mattila et al. (2014) – kg
Oh et al. (2018) – kg</t>
  </si>
  <si>
    <t>Sodium chloride (NaCl)</t>
  </si>
  <si>
    <t>Nduagu et al. (2012) – kg
Oh et al. (2018) – kg
Oh et al. (2019) – MT</t>
  </si>
  <si>
    <t>Transport (equipment)</t>
  </si>
  <si>
    <t>O2</t>
  </si>
  <si>
    <t>Oh et al. (2018) – kg</t>
  </si>
  <si>
    <t>Ammonium chloride (NH4Cl)</t>
  </si>
  <si>
    <t>Mattila et al. (2014) – g</t>
  </si>
  <si>
    <t>Transport (ammonium sulfite)</t>
  </si>
  <si>
    <t>N2</t>
  </si>
  <si>
    <t>Ammonia (NH3)</t>
  </si>
  <si>
    <t>Nduagu et al. (2013) – kg
Oh et al. (2018) – kg
Oh et al. (2019) – MT</t>
  </si>
  <si>
    <t>Transport (MEA)</t>
  </si>
  <si>
    <t>H2O</t>
  </si>
  <si>
    <t>Ammonium sulfate ((NH₄)₂SO₄)</t>
  </si>
  <si>
    <t>Nduagu et al. (2013) – kg</t>
  </si>
  <si>
    <t>Exgas</t>
  </si>
  <si>
    <t xml:space="preserve">
Oh et al. (2019) – MT</t>
  </si>
  <si>
    <t>Calcium carbonate (CaCO3)</t>
  </si>
  <si>
    <t>Oh et al. (2018)  kg
Oh et al. (2019) – MT</t>
  </si>
  <si>
    <t>Flue gas</t>
  </si>
  <si>
    <t>Trona (NaHCO3 . Na2CO3 . 2H2O)</t>
  </si>
  <si>
    <t>Oh et al. (2019) – MT</t>
  </si>
  <si>
    <t>Water</t>
  </si>
  <si>
    <t>Di Maria et al, (2020) – kg
Kirchofer et al. (2012) – ton
Oh et al. (2018)  – kg</t>
  </si>
  <si>
    <t>Hydrogen chloride (HCl) (33%)</t>
  </si>
  <si>
    <t>Drinking water</t>
  </si>
  <si>
    <t>Nduagu et al. (2013) – ton</t>
  </si>
  <si>
    <t>Water (evap.)</t>
  </si>
  <si>
    <t>MEA (Ethanolamine, HOCH2CH2NH2 (C2H7NO))</t>
  </si>
  <si>
    <t>Grey Water</t>
  </si>
  <si>
    <t>Monkman et al. (2017) – L</t>
  </si>
  <si>
    <t>Carbon dioxide (CO2)</t>
  </si>
  <si>
    <t>Di Maria et al. (2018) – kg
Di Maria et al. (2020) – kg
Kirchhofer et al. (2012) – ton
Lee et al. (2020) – ton
Mattila et al. (2014) – kg
Nduagu et al. (2012) – kg
Nduagu et al. (2013) – kg
Ostovari et al. (2020) – ton
Pan et al. (2016) – ton
Teir et al. (2016) – kg</t>
  </si>
  <si>
    <t>Waste Water</t>
  </si>
  <si>
    <t>Oh et al. (2019) – MT
Teir et al. (2016) – kg</t>
  </si>
  <si>
    <t>Liquid CO2</t>
  </si>
  <si>
    <t>Monkman et al. (2017) – g</t>
  </si>
  <si>
    <t>Slag residue</t>
  </si>
  <si>
    <t>Mattila et al. (2014) – kg
Teir et al. (2016) – kg</t>
  </si>
  <si>
    <t>OPC</t>
  </si>
  <si>
    <t>Limestone residue</t>
  </si>
  <si>
    <t>Mattila et al. (2014) – kg</t>
  </si>
  <si>
    <t>CEM I</t>
  </si>
  <si>
    <t>SO4 2-</t>
  </si>
  <si>
    <t>Cement</t>
  </si>
  <si>
    <t>Mg2+</t>
  </si>
  <si>
    <t>Sand</t>
  </si>
  <si>
    <t>Ca2+</t>
  </si>
  <si>
    <t>Gravel</t>
  </si>
  <si>
    <t>K+</t>
  </si>
  <si>
    <t>Lime (CaO)</t>
  </si>
  <si>
    <t>Lee et al. (2020) – ton
Mattila et al. (2014) – kg</t>
  </si>
  <si>
    <t>Na+</t>
  </si>
  <si>
    <t>Aggregates</t>
  </si>
  <si>
    <t>Cl-</t>
  </si>
  <si>
    <t>Coarse aggregates</t>
  </si>
  <si>
    <t>H2</t>
  </si>
  <si>
    <t>Fine aggregates</t>
  </si>
  <si>
    <t>Cl2 (99,3wt%)</t>
  </si>
  <si>
    <t xml:space="preserve">Admixtures (Plasticizer) </t>
  </si>
  <si>
    <t>Monkman et al. (2017) – mL</t>
  </si>
  <si>
    <t>NaCl</t>
  </si>
  <si>
    <t>Di Maria et al. (2018) – kg
Di Maria et al. (2020) – kg
Kirchhofer et al. (2012) – ton
Lee et al. (2020) – ton
Mattila et al. (2014) –kg
Nduagu et al. (2013) – ton
Monkman et al. (2017) – L
Oh et al. (2018) – kg
Oh et al. (2019) – MT
Teir et al. (2016) – kg</t>
  </si>
  <si>
    <t>CaO</t>
  </si>
  <si>
    <t>Brackish water (12000ppm)</t>
  </si>
  <si>
    <t>CaCl2</t>
  </si>
  <si>
    <t>Cold rolling waste water</t>
  </si>
  <si>
    <t>Pan et al. (2016) – m^3</t>
  </si>
  <si>
    <t>NH3</t>
  </si>
  <si>
    <t>Salt (seawater)</t>
  </si>
  <si>
    <t>FeOOH and Ca(OH)2</t>
  </si>
  <si>
    <t>Solute (seawater)</t>
  </si>
  <si>
    <t>Natural Gas</t>
  </si>
  <si>
    <t>Monkman et al. (2017) – m^3
Nduagu et al. (2013) – kg</t>
  </si>
  <si>
    <t>Waste Material (water+solid components)</t>
  </si>
  <si>
    <t>Kirchofer et al. (2012) – ton</t>
  </si>
  <si>
    <t xml:space="preserve"> </t>
  </si>
  <si>
    <t>Solid waste</t>
  </si>
  <si>
    <t>BOF-slag</t>
  </si>
  <si>
    <t>Inputs</t>
  </si>
  <si>
    <t>Unit</t>
  </si>
  <si>
    <t>AA-Blocks</t>
  </si>
  <si>
    <t>kg</t>
  </si>
  <si>
    <t>-</t>
  </si>
  <si>
    <t>NaOH</t>
  </si>
  <si>
    <t>Sodium silicate</t>
  </si>
  <si>
    <t>kWh</t>
  </si>
  <si>
    <t>Avoided boron production</t>
  </si>
  <si>
    <t>Slag transport</t>
  </si>
  <si>
    <t>tkm</t>
  </si>
  <si>
    <t>Natural aggregates transport</t>
  </si>
  <si>
    <t>Avodided slag transport</t>
  </si>
  <si>
    <t>km</t>
  </si>
  <si>
    <t>OPC transport</t>
  </si>
  <si>
    <t>Weight of FU</t>
  </si>
  <si>
    <t>Carbonated blocks
CO2 recovery cryogenic</t>
  </si>
  <si>
    <t>Carbonated blocks
CO2 recovery membrane</t>
  </si>
  <si>
    <t>Carbonated blocks
CO2 recovery chemical absorption</t>
  </si>
  <si>
    <t>Thermal energy (heat)</t>
  </si>
  <si>
    <t>Electricity (mixing)</t>
  </si>
  <si>
    <t>Electricity (curing)</t>
  </si>
  <si>
    <t>Electricity (CO2 recovery)</t>
  </si>
  <si>
    <t>Outputs</t>
  </si>
  <si>
    <t>PC-based concrete</t>
  </si>
  <si>
    <t>Water (released)</t>
  </si>
  <si>
    <t>Probably not reproducible as the amount of product is unclear?!</t>
  </si>
  <si>
    <t>Units</t>
  </si>
  <si>
    <t>NETL 1
Wollastonite</t>
  </si>
  <si>
    <t>NETL 2
Olivine</t>
  </si>
  <si>
    <t>NETL 3
Serpentine</t>
  </si>
  <si>
    <t>ÅAU 1
Serpentine</t>
  </si>
  <si>
    <t>ÅAU 2
Serpentine</t>
  </si>
  <si>
    <t>MJ</t>
  </si>
  <si>
    <t>Mineral mining</t>
  </si>
  <si>
    <t>ton</t>
  </si>
  <si>
    <t>NaHCO3 input</t>
  </si>
  <si>
    <t>NaCl input</t>
  </si>
  <si>
    <t>AS input</t>
  </si>
  <si>
    <t>Cement plant</t>
  </si>
  <si>
    <t>p</t>
  </si>
  <si>
    <t>Hard coarl power plant</t>
  </si>
  <si>
    <t>CO2 stored</t>
  </si>
  <si>
    <t>Product</t>
  </si>
  <si>
    <t>OPC 370</t>
  </si>
  <si>
    <t>WPC 296</t>
  </si>
  <si>
    <t>MPC 296</t>
  </si>
  <si>
    <t xml:space="preserve">LPC 296 </t>
  </si>
  <si>
    <t xml:space="preserve">SPC 296 </t>
  </si>
  <si>
    <t>CSC</t>
  </si>
  <si>
    <t>WCA 370</t>
  </si>
  <si>
    <t>Coarse aggregate (gravel)</t>
  </si>
  <si>
    <t>Coarse aggregate (waste concrete)</t>
  </si>
  <si>
    <t>Fine aggregate (sand)</t>
  </si>
  <si>
    <t>Wollastonite (naturally occurring)</t>
  </si>
  <si>
    <t>Calcium silicate cement (calcined)</t>
  </si>
  <si>
    <t>MgO</t>
  </si>
  <si>
    <t>Limestone</t>
  </si>
  <si>
    <t>Blast furnace slag</t>
  </si>
  <si>
    <t>MISSING!!!</t>
  </si>
  <si>
    <t>Natural gas</t>
  </si>
  <si>
    <t>Diesel</t>
  </si>
  <si>
    <t>NOT REPRODUCIBLE!!!</t>
  </si>
  <si>
    <t>Scenario 1</t>
  </si>
  <si>
    <t>Scenario 2</t>
  </si>
  <si>
    <t>Scvenario 3</t>
  </si>
  <si>
    <t>Scenario 4</t>
  </si>
  <si>
    <t>NOT REPRODUCABLE!</t>
  </si>
  <si>
    <t>NOT REPRODUCABLE!!</t>
  </si>
  <si>
    <t>Olivine – 155°C</t>
  </si>
  <si>
    <t>Olivine – 155°C, aggregated, Transport excluded</t>
  </si>
  <si>
    <t>Olivine – 25°C</t>
  </si>
  <si>
    <t>Olivine – 105°C</t>
  </si>
  <si>
    <t>Olivine – 155°C, reuse</t>
  </si>
  <si>
    <t>Serpentine – 155°C</t>
  </si>
  <si>
    <t>CKD - 25°C</t>
  </si>
  <si>
    <t>CKD – 25°C, reuse</t>
  </si>
  <si>
    <t>Fly Ash – 25°C</t>
  </si>
  <si>
    <t>Fly Ash – 75°C</t>
  </si>
  <si>
    <t>Steel Slag  25°C</t>
  </si>
  <si>
    <t>Steel slag – 100°C</t>
  </si>
  <si>
    <t>1. Extraction</t>
  </si>
  <si>
    <t>MISSING</t>
  </si>
  <si>
    <t>GJ</t>
  </si>
  <si>
    <t>Solid Material</t>
  </si>
  <si>
    <t>Recycled Water</t>
  </si>
  <si>
    <t>Carbon Dioxide</t>
  </si>
  <si>
    <t>Solid product (MgCO3)</t>
  </si>
  <si>
    <t>Water in product</t>
  </si>
  <si>
    <t>Waste material (water and solid components)</t>
  </si>
  <si>
    <t>Water for Recycle</t>
  </si>
  <si>
    <t>Waste Material</t>
  </si>
  <si>
    <t xml:space="preserve">Waste energy </t>
  </si>
  <si>
    <t>CO2-emissions</t>
  </si>
  <si>
    <t>Direct Aqueous Carbonation</t>
  </si>
  <si>
    <t>2. Reactant Transport</t>
  </si>
  <si>
    <t>3. Pre-Processing</t>
  </si>
  <si>
    <t>4. Chemical Conversion</t>
  </si>
  <si>
    <t>5. Post-Processing</t>
  </si>
  <si>
    <t>6. Product Transportation</t>
  </si>
  <si>
    <t>7. Disposal or Reuse</t>
  </si>
  <si>
    <t>CCU Process</t>
  </si>
  <si>
    <t>Conventional Process</t>
  </si>
  <si>
    <t>Lime</t>
  </si>
  <si>
    <t>MWh</t>
  </si>
  <si>
    <t>nCaCO3</t>
  </si>
  <si>
    <t>Indirect aqueous carbonation</t>
  </si>
  <si>
    <t>1. Brine electrolysis</t>
  </si>
  <si>
    <t>Cl2</t>
  </si>
  <si>
    <t>2. CO2 Carbonation</t>
  </si>
  <si>
    <t>NaHCO3 (product)</t>
  </si>
  <si>
    <t>NaHCO3 (liquid phase)</t>
  </si>
  <si>
    <t>Slag2PCC 0.65 mol/L</t>
  </si>
  <si>
    <t>Slag2PCC 0.01 mol/L</t>
  </si>
  <si>
    <t>Traditional PCC production process</t>
  </si>
  <si>
    <t>Value</t>
  </si>
  <si>
    <t>Variation</t>
  </si>
  <si>
    <t>Amount</t>
  </si>
  <si>
    <t>Average</t>
  </si>
  <si>
    <t>0,5-0,8</t>
  </si>
  <si>
    <t>2-10</t>
  </si>
  <si>
    <t>Ammonium chloride</t>
  </si>
  <si>
    <t>g</t>
  </si>
  <si>
    <t>0,6-0,66</t>
  </si>
  <si>
    <t>Steam (heavy fuel oil plant)</t>
  </si>
  <si>
    <t>0-75</t>
  </si>
  <si>
    <t>Heat (hard coal industrial furnace)</t>
  </si>
  <si>
    <t>0-7,5</t>
  </si>
  <si>
    <t>0,06-0,50</t>
  </si>
  <si>
    <t>PCC (CaCO3)</t>
  </si>
  <si>
    <t>0,002-0,1</t>
  </si>
  <si>
    <t>0,05-0,35</t>
  </si>
  <si>
    <t>M0F0</t>
  </si>
  <si>
    <t>M20F20</t>
  </si>
  <si>
    <t>M20F40</t>
  </si>
  <si>
    <t>M40F20 (3h)</t>
  </si>
  <si>
    <t>M40F20 (15h)</t>
  </si>
  <si>
    <t>M40F20 (14d)</t>
  </si>
  <si>
    <t>Portland cement</t>
  </si>
  <si>
    <t>Fly Ash</t>
  </si>
  <si>
    <t>CO2 uptake</t>
  </si>
  <si>
    <t>Energy (CO2 capture and compression)</t>
  </si>
  <si>
    <t>Energy (Curing)</t>
  </si>
  <si>
    <t>CO2 emitted (cement manufacture)</t>
  </si>
  <si>
    <t>CO2 emitted (fly ash manufacture)</t>
  </si>
  <si>
    <t>CO2 emitted (MgO manufacture)</t>
  </si>
  <si>
    <t>CO2 emitted (CO2 capture and compression)</t>
  </si>
  <si>
    <t>Functional Unit:</t>
  </si>
  <si>
    <t>1 t of cement materials (Portland cement, MgO, Fly ash)</t>
  </si>
  <si>
    <t>CarbonCure</t>
  </si>
  <si>
    <t>Admixtures:</t>
  </si>
  <si>
    <t>https://www.google.com/url?sa=t&amp;rct=j&amp;q=&amp;esrc=s&amp;source=web&amp;cd=&amp;ved=2ahUKEwj7y8uxquTwAhW3hv0HHbaJAdcQFjABegQIBhAD&amp;url=https%3A%2F%2Fepd-online.com%2FPublishedEpd%2FDownload%2F7713&amp;usg=AOvVaw34kbiCBiSZXAZx-wOyrSyB</t>
  </si>
  <si>
    <t>Admixtures (Concrete plasticizer)</t>
  </si>
  <si>
    <t>ml</t>
  </si>
  <si>
    <t>Water (mixing)</t>
  </si>
  <si>
    <t>L</t>
  </si>
  <si>
    <t>Water (cleaning)</t>
  </si>
  <si>
    <t>m^3</t>
  </si>
  <si>
    <t>Electricity (CO2 capture)</t>
  </si>
  <si>
    <t>Electricity (CO2 injection hardware)</t>
  </si>
  <si>
    <t>Electricity (Plant operations)</t>
  </si>
  <si>
    <t>Transport (cement)</t>
  </si>
  <si>
    <t>Transport (BF-slag)</t>
  </si>
  <si>
    <t>Transport (coarse aggregate)</t>
  </si>
  <si>
    <t>Transport (fine aggregate)</t>
  </si>
  <si>
    <t>Transport (gas injection equipment)</t>
  </si>
  <si>
    <t>Direct Aqueous (NETL)</t>
  </si>
  <si>
    <t>AAU</t>
  </si>
  <si>
    <t>Lackner's Multi-stage</t>
  </si>
  <si>
    <t>Ammonium salts</t>
  </si>
  <si>
    <t>HCl pH-Swing</t>
  </si>
  <si>
    <t>MgSiO3</t>
  </si>
  <si>
    <t>(NH4)2SO4</t>
  </si>
  <si>
    <t>HCl</t>
  </si>
  <si>
    <t>NH4HSO4</t>
  </si>
  <si>
    <t>NH4OH</t>
  </si>
  <si>
    <t>Missing</t>
  </si>
  <si>
    <t>NETL</t>
  </si>
  <si>
    <t>Electricity (drilling, blasting, excavation)</t>
  </si>
  <si>
    <t>Electricity (crushing and grinding)</t>
  </si>
  <si>
    <t>Heat (Mg extraction at 400°C)</t>
  </si>
  <si>
    <t>Electricity (Ammonium sulfate recovery)</t>
  </si>
  <si>
    <t>Heat (serpentinite pre-treatment from 25 to 650°C)</t>
  </si>
  <si>
    <t>Heat (NaHCO3 and NaCl from 60 to 185°C)</t>
  </si>
  <si>
    <t>Heat (recovered from Mg(OH)2 production)</t>
  </si>
  <si>
    <t>Heat (produced in carbonation)</t>
  </si>
  <si>
    <t>Power (produced in carbonation)</t>
  </si>
  <si>
    <t>Heat (recovered from heat exchangers)</t>
  </si>
  <si>
    <t>Indirect solid Carbonation</t>
  </si>
  <si>
    <t>Ammonium sulfate make-up</t>
  </si>
  <si>
    <t>Silica (silicon dioxide)</t>
  </si>
  <si>
    <t>MEA make-up for CO2 capture</t>
  </si>
  <si>
    <t>Heat (carbonation)</t>
  </si>
  <si>
    <t>Electricity (carbonation)</t>
  </si>
  <si>
    <t>Heat (reboiler for CO2 capture)</t>
  </si>
  <si>
    <t>Power (CO2 compression)</t>
  </si>
  <si>
    <t>Electricity (serpentinite processing)</t>
  </si>
  <si>
    <t>Transport (Serpentinite)</t>
  </si>
  <si>
    <t>NGCC Inputs</t>
  </si>
  <si>
    <t>Ammonia for NOx removal</t>
  </si>
  <si>
    <t>Transport (Natural Gas)</t>
  </si>
  <si>
    <t>CO2 sequestrated</t>
  </si>
  <si>
    <t>Indirect solid carbonation</t>
  </si>
  <si>
    <t xml:space="preserve"> Carbonation Process</t>
  </si>
  <si>
    <t xml:space="preserve"> Carbonation Process – Aggregated</t>
  </si>
  <si>
    <t>Benchmark Process – Solvay Process + Reverse Osmosis – Aggregated</t>
  </si>
  <si>
    <t>1. Pretreatment</t>
  </si>
  <si>
    <t>Seawater</t>
  </si>
  <si>
    <t>Salt</t>
  </si>
  <si>
    <t>Regeneration agent</t>
  </si>
  <si>
    <t>Make-up Water</t>
  </si>
  <si>
    <t>Fluegas (cement plant)</t>
  </si>
  <si>
    <t>Solute</t>
  </si>
  <si>
    <t>Brine</t>
  </si>
  <si>
    <t>Waste</t>
  </si>
  <si>
    <t>Waste from Seawater Pretreatment</t>
  </si>
  <si>
    <t>Fresh water</t>
  </si>
  <si>
    <t>Concentrate</t>
  </si>
  <si>
    <t xml:space="preserve">2. Electrodeionization </t>
  </si>
  <si>
    <t>Electrodionization byproducts</t>
  </si>
  <si>
    <t>fresh water (314 ppm) from Reverse Osmosis</t>
  </si>
  <si>
    <t>NaOH (20wt%)</t>
  </si>
  <si>
    <t>Products from Solar evaporation</t>
  </si>
  <si>
    <t>H2O (evap)</t>
  </si>
  <si>
    <t>Waste water from Fluegas pretreatment</t>
  </si>
  <si>
    <t>Carbonation product</t>
  </si>
  <si>
    <t>NaHCO3 (99wt%)</t>
  </si>
  <si>
    <t>&lt;10% deionized water</t>
  </si>
  <si>
    <t>3. Reverse osmosis</t>
  </si>
  <si>
    <t>Further Carbonation output</t>
  </si>
  <si>
    <t>H2O (Evap)</t>
  </si>
  <si>
    <t>Recovered H2O</t>
  </si>
  <si>
    <t>fresh water (314 ppm)</t>
  </si>
  <si>
    <t>Functional Unit</t>
  </si>
  <si>
    <t>concentrate</t>
  </si>
  <si>
    <t>one year of operation(2000 m3 desalinated water/day)</t>
  </si>
  <si>
    <t>4. Solar evaporation</t>
  </si>
  <si>
    <t>5. Fluegas pretreatment</t>
  </si>
  <si>
    <t>electricity</t>
  </si>
  <si>
    <t>Treated Fluegas</t>
  </si>
  <si>
    <t>Waste water</t>
  </si>
  <si>
    <t>6. CO2 conversion</t>
  </si>
  <si>
    <t>heat</t>
  </si>
  <si>
    <t>RE-H2O</t>
  </si>
  <si>
    <t>Carbonation process – Forwards configuration</t>
  </si>
  <si>
    <t>Carbonation process – Backwards configuration</t>
  </si>
  <si>
    <t>Benchmark Process China (Reverse Osmosis + Solvay Process)</t>
  </si>
  <si>
    <t>Benchmark process USA (Reverse Osmosis + Natural ash process)</t>
  </si>
  <si>
    <t>MT</t>
  </si>
  <si>
    <t>CO2 (Flue gas)</t>
  </si>
  <si>
    <t>H2O (Flue gas)</t>
  </si>
  <si>
    <t>O2 (Flue gas)</t>
  </si>
  <si>
    <t>Heat (Cokes)</t>
  </si>
  <si>
    <t>N2 (Flue gas)</t>
  </si>
  <si>
    <t>Heat (Coal)</t>
  </si>
  <si>
    <t>Make-up water</t>
  </si>
  <si>
    <t>Heat (NG)</t>
  </si>
  <si>
    <t>Fresh Water</t>
  </si>
  <si>
    <t>Recovered Water</t>
  </si>
  <si>
    <t>CSTR 115 bar (serpentine)</t>
  </si>
  <si>
    <t>CSTR 10 bar (serpentine)</t>
  </si>
  <si>
    <t>CSTR 150 bar (olivine)</t>
  </si>
  <si>
    <t>CSTR 100 bar (olivine)</t>
  </si>
  <si>
    <t>RPB atm (steelslag)</t>
  </si>
  <si>
    <t>AAU pathways (serpentine)</t>
  </si>
  <si>
    <t>Nottingham pathway (serpentine)</t>
  </si>
  <si>
    <t>Transportation (serpentine+magnetite)</t>
  </si>
  <si>
    <t>Transportation (olivine)</t>
  </si>
  <si>
    <t>Transportation (slag)</t>
  </si>
  <si>
    <t>SiO2</t>
  </si>
  <si>
    <t>Direct aqueous carbonation</t>
  </si>
  <si>
    <t>Figures of Processes in paper aren't entirely in line with the LCI tables in the supplementary information</t>
  </si>
  <si>
    <t>L1</t>
  </si>
  <si>
    <t>L2</t>
  </si>
  <si>
    <t>L3</t>
  </si>
  <si>
    <t>M1</t>
  </si>
  <si>
    <t>M2</t>
  </si>
  <si>
    <t>M3</t>
  </si>
  <si>
    <t>H1</t>
  </si>
  <si>
    <t>H3</t>
  </si>
  <si>
    <t>Cold rolling wastewater</t>
  </si>
  <si>
    <t>End-Product (Carbonated BOF-slag)</t>
  </si>
  <si>
    <t>AOD-Slag (moisture 10 wt%)</t>
  </si>
  <si>
    <t>Product transportation (Calcium Carbonate, moisture 30 wt%)</t>
  </si>
  <si>
    <t>HCl (33%)</t>
  </si>
  <si>
    <t>Process Steam</t>
  </si>
  <si>
    <t>calcium carbonate (dry)</t>
  </si>
  <si>
    <t>residual slag</t>
  </si>
  <si>
    <t>indirect aqueous carbonation</t>
  </si>
  <si>
    <t>Scenraio 1</t>
  </si>
  <si>
    <t>Scenario 3</t>
  </si>
  <si>
    <t>Scenario 5</t>
  </si>
  <si>
    <t>Scenario 6</t>
  </si>
  <si>
    <t>Blended Hydraulic slag cement</t>
  </si>
  <si>
    <t>Basic oxygen furnace slag</t>
  </si>
  <si>
    <t>Steel converted slag</t>
  </si>
  <si>
    <t>CH3COOH</t>
  </si>
  <si>
    <t>NH4Cl</t>
  </si>
  <si>
    <t>NH4NO3</t>
  </si>
  <si>
    <t>CO2 captured by carbonation</t>
  </si>
  <si>
    <t>Carbonation Product</t>
  </si>
  <si>
    <t>Route 1, Lime kiln</t>
  </si>
  <si>
    <t>Route 1, NG</t>
  </si>
  <si>
    <t>Route 2, Lime kiln</t>
  </si>
  <si>
    <t>Route 2, NG</t>
  </si>
  <si>
    <t>kg/h</t>
  </si>
  <si>
    <t>Fluegas (Lime kiln)</t>
  </si>
  <si>
    <t>Fluegas (NG powerplant)</t>
  </si>
  <si>
    <t>Exergy (heat)</t>
  </si>
  <si>
    <t>kW</t>
  </si>
  <si>
    <t>Exergy (power)</t>
  </si>
  <si>
    <t>Product (MgCO3)</t>
  </si>
  <si>
    <r>
      <t xml:space="preserve">Product (Mg5(CO3)4(OH)2 </t>
    </r>
    <r>
      <rPr>
        <sz val="11"/>
        <color theme="1"/>
        <rFont val="Calibri"/>
        <family val="2"/>
      </rPr>
      <t xml:space="preserve">· </t>
    </r>
    <r>
      <rPr>
        <sz val="11"/>
        <color theme="1"/>
        <rFont val="Calibri"/>
        <family val="2"/>
        <scheme val="minor"/>
      </rPr>
      <t>4H2O)</t>
    </r>
  </si>
  <si>
    <t>CO2 bound in product</t>
  </si>
  <si>
    <t>Fluegas out</t>
  </si>
  <si>
    <t>Process according to FU</t>
  </si>
  <si>
    <t>CO2 (flue gas)</t>
  </si>
  <si>
    <t>O2 (flue gas)</t>
  </si>
  <si>
    <t>N2 (flue gas)</t>
  </si>
  <si>
    <t>Olivine (100%)</t>
  </si>
  <si>
    <t>Olivine (70%)</t>
  </si>
  <si>
    <t>Serpentine (100% Lizardite)</t>
  </si>
  <si>
    <t>Serpentine (100% Antigorite)</t>
  </si>
  <si>
    <t>Wollastonite (50%)</t>
  </si>
  <si>
    <t>Energy (standard pre-treatment, carbonation)</t>
  </si>
  <si>
    <t>Energy (heat treatment)</t>
  </si>
  <si>
    <t>Energy (3rd stage grinding)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</si>
</sst>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/>
      <bottom/>
      <diagonal/>
    </border>
  </borders>
  <cellStyleXfs count="4">
    <xf numFmtId="0" fontId="0" fillId="0" borderId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</cellStyleXfs>
  <cellXfs count="75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ont="1" applyAlignment="1"/>
    <xf numFmtId="0" fontId="0" fillId="0" borderId="0" xfId="0" applyAlignment="1"/>
    <xf numFmtId="0" fontId="0" fillId="0" borderId="0" xfId="0" applyFill="1" applyBorder="1" applyAlignment="1"/>
    <xf numFmtId="0" fontId="0" fillId="0" borderId="0" xfId="0" applyFont="1" applyFill="1" applyBorder="1"/>
    <xf numFmtId="0" fontId="2" fillId="3" borderId="0" xfId="0" applyFont="1" applyFill="1"/>
    <xf numFmtId="0" fontId="0" fillId="0" borderId="0" xfId="0" applyAlignment="1">
      <alignment vertical="center"/>
    </xf>
    <xf numFmtId="0" fontId="2" fillId="2" borderId="0" xfId="0" applyFont="1" applyFill="1"/>
    <xf numFmtId="0" fontId="8" fillId="0" borderId="0" xfId="0" applyFont="1"/>
    <xf numFmtId="0" fontId="2" fillId="0" borderId="0" xfId="0" applyFont="1" applyAlignment="1"/>
    <xf numFmtId="0" fontId="0" fillId="0" borderId="0" xfId="0" applyFont="1" applyAlignment="1">
      <alignment vertical="center"/>
    </xf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/>
    <xf numFmtId="0" fontId="2" fillId="0" borderId="1" xfId="0" applyFont="1" applyBorder="1" applyAlignment="1"/>
    <xf numFmtId="0" fontId="2" fillId="5" borderId="0" xfId="0" applyFont="1" applyFill="1"/>
    <xf numFmtId="164" fontId="0" fillId="0" borderId="0" xfId="0" applyNumberForma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2" fillId="4" borderId="0" xfId="0" applyFont="1" applyFill="1" applyAlignment="1"/>
    <xf numFmtId="0" fontId="2" fillId="0" borderId="0" xfId="0" applyFont="1" applyBorder="1"/>
    <xf numFmtId="0" fontId="0" fillId="0" borderId="0" xfId="0" applyFont="1" applyBorder="1"/>
    <xf numFmtId="0" fontId="0" fillId="0" borderId="0" xfId="0" applyBorder="1"/>
    <xf numFmtId="0" fontId="10" fillId="0" borderId="0" xfId="0" applyFont="1"/>
    <xf numFmtId="0" fontId="11" fillId="0" borderId="0" xfId="0" applyFont="1"/>
    <xf numFmtId="0" fontId="11" fillId="0" borderId="0" xfId="0" applyNumberFormat="1" applyFont="1"/>
    <xf numFmtId="0" fontId="0" fillId="6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12" fillId="7" borderId="0" xfId="1"/>
    <xf numFmtId="0" fontId="12" fillId="7" borderId="1" xfId="1" applyBorder="1" applyAlignment="1">
      <alignment wrapText="1"/>
    </xf>
    <xf numFmtId="0" fontId="12" fillId="7" borderId="1" xfId="1" applyBorder="1"/>
    <xf numFmtId="0" fontId="14" fillId="9" borderId="0" xfId="3"/>
    <xf numFmtId="0" fontId="14" fillId="9" borderId="1" xfId="3" applyBorder="1" applyAlignment="1">
      <alignment wrapText="1"/>
    </xf>
    <xf numFmtId="0" fontId="14" fillId="9" borderId="1" xfId="3" applyBorder="1"/>
    <xf numFmtId="0" fontId="13" fillId="8" borderId="0" xfId="2"/>
    <xf numFmtId="0" fontId="13" fillId="8" borderId="1" xfId="2" applyBorder="1" applyAlignment="1">
      <alignment wrapText="1"/>
    </xf>
    <xf numFmtId="0" fontId="13" fillId="8" borderId="1" xfId="2" applyBorder="1"/>
    <xf numFmtId="0" fontId="0" fillId="0" borderId="0" xfId="0" applyFill="1"/>
    <xf numFmtId="0" fontId="0" fillId="0" borderId="1" xfId="0" applyFill="1" applyBorder="1"/>
    <xf numFmtId="0" fontId="12" fillId="7" borderId="0" xfId="1" applyAlignment="1">
      <alignment wrapText="1"/>
    </xf>
    <xf numFmtId="0" fontId="12" fillId="7" borderId="0" xfId="1" applyBorder="1"/>
    <xf numFmtId="0" fontId="13" fillId="8" borderId="0" xfId="2" applyBorder="1"/>
    <xf numFmtId="0" fontId="0" fillId="5" borderId="0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1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0" fillId="5" borderId="0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368300</xdr:colOff>
      <xdr:row>2</xdr:row>
      <xdr:rowOff>25400</xdr:rowOff>
    </xdr:from>
    <xdr:to>
      <xdr:col>11</xdr:col>
      <xdr:colOff>370205</xdr:colOff>
      <xdr:row>10</xdr:row>
      <xdr:rowOff>167005</xdr:rowOff>
    </xdr:to>
    <xdr:pic>
      <xdr:nvPicPr>
        <xdr:cNvPr id="4" name="Grafik 2">
          <a:extLst>
            <a:ext uri="{FF2B5EF4-FFF2-40B4-BE49-F238E27FC236}">
              <a16:creationId xmlns:a16="http://schemas.microsoft.com/office/drawing/2014/main" id="{AB711F1D-3EA4-FB4C-96D6-B819C4D80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00" y="406400"/>
          <a:ext cx="4572000" cy="1663700"/>
        </a:xfrm>
        <a:prstGeom prst="rect">
          <a:avLst/>
        </a:prstGeom>
      </xdr:spPr>
    </xdr:pic>
    <xdr:clientData/>
  </xdr:twoCellAnchor>
  <xdr:twoCellAnchor editAs="oneCell">
    <xdr:from>
      <xdr:col>5</xdr:col>
      <xdr:colOff>482600</xdr:colOff>
      <xdr:row>11</xdr:row>
      <xdr:rowOff>63500</xdr:rowOff>
    </xdr:from>
    <xdr:to>
      <xdr:col>12</xdr:col>
      <xdr:colOff>243205</xdr:colOff>
      <xdr:row>12</xdr:row>
      <xdr:rowOff>128905</xdr:rowOff>
    </xdr:to>
    <xdr:pic>
      <xdr:nvPicPr>
        <xdr:cNvPr id="6" name="Grafik 4">
          <a:extLst>
            <a:ext uri="{FF2B5EF4-FFF2-40B4-BE49-F238E27FC236}">
              <a16:creationId xmlns:a16="http://schemas.microsoft.com/office/drawing/2014/main" id="{E1E05E8E-526B-D74C-BAE1-D8198B147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7800" y="2159000"/>
          <a:ext cx="5092700" cy="254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on Zacharopoulos" id="{ACFFD90F-47C3-4033-9A00-1ADE1CA8EC92}" userId="Leon Zacharopoulos" providerId="None"/>
  <person displayName="Fromme, Felix" id="{6A9E8410-7379-48D5-8EB2-540506A16020}" userId="S::felix.fromme@umsicht.fraunhofer.de::324c9973-0911-48da-a91f-a42d5ed9a0df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1-05-25T07:57:21.31" personId="{6A9E8410-7379-48D5-8EB2-540506A16020}" id="{AA3F592F-BE3D-1544-B921-15F8515CD3EC}">
    <text xml:space="preserve">Electricity and heat combined
</text>
  </threadedComment>
  <threadedComment ref="A27" dT="2021-05-25T08:58:28.96" personId="{ACFFD90F-47C3-4033-9A00-1ADE1CA8EC92}" id="{0A9A76C2-2C0E-4FBA-83A1-6D85E3F3DA5A}">
    <text>CEM I in Nukos_BG</text>
  </threadedComment>
  <threadedComment ref="A29" dT="2021-05-25T08:58:48.60" personId="{ACFFD90F-47C3-4033-9A00-1ADE1CA8EC92}" id="{B928E275-4698-436E-BAAB-2413C704FF69}">
    <text>CEM I in Nukos_BG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1-05-25T12:05:17.47" personId="{6A9E8410-7379-48D5-8EB2-540506A16020}" id="{DA4B72CC-D96B-2947-92BE-1129EF944ABE}">
    <text>Traditional CaCO3 Production: limestone calcination, gas scrubbing, precipitation process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6" dT="2021-05-25T13:53:05.50" personId="{6A9E8410-7379-48D5-8EB2-540506A16020}" id="{BEF17CC2-4B50-BA48-9E99-C253637337DC}">
    <text>Davon 0,0254 MT CO2</text>
  </threadedComment>
  <threadedComment ref="E16" dT="2021-05-27T06:12:08.80" personId="{6A9E8410-7379-48D5-8EB2-540506A16020}" id="{2DA48518-E277-478F-8EFB-9204DE53DB75}">
    <text>Davon 0,0254 MT CO2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8" dT="2021-05-25T08:09:06.18" personId="{6A9E8410-7379-48D5-8EB2-540506A16020}" id="{68DA1E78-06D3-0646-A013-A6E2B10FE15E}">
    <text>Not Further described, used as supplementary cementitious material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7" dT="2021-05-27T06:36:01.58" personId="{6A9E8410-7379-48D5-8EB2-540506A16020}" id="{E82CE4F6-AAD6-40B6-B70D-8E64A4F69E07}">
    <text>Exitgas CO2-free, but H2-share now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opLeftCell="E17" zoomScale="70" zoomScaleNormal="70" workbookViewId="0">
      <selection activeCell="I6" sqref="I6"/>
    </sheetView>
  </sheetViews>
  <sheetFormatPr defaultColWidth="11.42578125" defaultRowHeight="15"/>
  <cols>
    <col min="1" max="1" width="46.42578125" customWidth="1"/>
    <col min="2" max="2" width="29.42578125" style="21" customWidth="1"/>
    <col min="3" max="3" width="30.85546875" customWidth="1"/>
    <col min="4" max="4" width="28" style="21" customWidth="1"/>
    <col min="5" max="5" width="30.42578125" customWidth="1"/>
    <col min="6" max="6" width="29.140625" style="21" customWidth="1"/>
    <col min="8" max="8" width="11.42578125" style="21"/>
    <col min="9" max="9" width="30.42578125" style="31" customWidth="1"/>
    <col min="10" max="10" width="31.85546875" style="21" customWidth="1"/>
    <col min="11" max="11" width="13.42578125" bestFit="1" customWidth="1"/>
    <col min="12" max="12" width="27.7109375" style="21" customWidth="1"/>
    <col min="13" max="13" width="21.85546875" bestFit="1" customWidth="1"/>
    <col min="14" max="14" width="25.42578125" style="21" customWidth="1"/>
  </cols>
  <sheetData>
    <row r="1" spans="1:14">
      <c r="A1" s="56" t="s">
        <v>0</v>
      </c>
      <c r="B1" s="56"/>
      <c r="C1" s="56"/>
      <c r="D1" s="56"/>
      <c r="E1" s="56"/>
      <c r="F1" s="56"/>
      <c r="I1" s="57" t="s">
        <v>1</v>
      </c>
      <c r="J1" s="57"/>
      <c r="K1" s="57"/>
      <c r="L1" s="57"/>
      <c r="M1" s="57"/>
      <c r="N1" s="57"/>
    </row>
    <row r="2" spans="1:14">
      <c r="A2" s="2" t="s">
        <v>2</v>
      </c>
      <c r="B2" s="19" t="s">
        <v>3</v>
      </c>
      <c r="C2" s="2" t="s">
        <v>4</v>
      </c>
      <c r="D2" s="19" t="s">
        <v>3</v>
      </c>
      <c r="E2" s="2" t="s">
        <v>5</v>
      </c>
      <c r="F2" s="19" t="s">
        <v>3</v>
      </c>
      <c r="I2" s="29" t="s">
        <v>2</v>
      </c>
      <c r="J2" s="19" t="s">
        <v>3</v>
      </c>
      <c r="K2" s="2" t="s">
        <v>4</v>
      </c>
      <c r="L2" s="19" t="s">
        <v>3</v>
      </c>
      <c r="M2" s="2" t="s">
        <v>5</v>
      </c>
      <c r="N2" s="19" t="s">
        <v>3</v>
      </c>
    </row>
    <row r="3" spans="1:14" ht="224.1">
      <c r="A3" s="41" t="s">
        <v>6</v>
      </c>
      <c r="B3" s="42" t="s">
        <v>7</v>
      </c>
      <c r="C3" s="44" t="s">
        <v>8</v>
      </c>
      <c r="D3" s="45" t="s">
        <v>9</v>
      </c>
      <c r="E3" s="38" t="s">
        <v>10</v>
      </c>
      <c r="F3" s="39" t="s">
        <v>11</v>
      </c>
      <c r="I3" s="51" t="s">
        <v>12</v>
      </c>
      <c r="J3" s="45" t="s">
        <v>13</v>
      </c>
      <c r="K3" s="44" t="s">
        <v>14</v>
      </c>
      <c r="L3" s="45" t="s">
        <v>15</v>
      </c>
      <c r="M3" s="44" t="s">
        <v>16</v>
      </c>
      <c r="N3" s="45" t="s">
        <v>17</v>
      </c>
    </row>
    <row r="4" spans="1:14" ht="32.1">
      <c r="A4" s="41" t="s">
        <v>18</v>
      </c>
      <c r="B4" s="42" t="s">
        <v>19</v>
      </c>
      <c r="C4" t="s">
        <v>4</v>
      </c>
      <c r="D4" s="20" t="s">
        <v>20</v>
      </c>
      <c r="E4" s="38" t="s">
        <v>21</v>
      </c>
      <c r="F4" s="39" t="s">
        <v>22</v>
      </c>
      <c r="I4" s="51" t="s">
        <v>23</v>
      </c>
      <c r="J4" s="45" t="s">
        <v>13</v>
      </c>
      <c r="K4" s="44" t="s">
        <v>24</v>
      </c>
      <c r="L4" s="46" t="s">
        <v>25</v>
      </c>
      <c r="M4" s="44" t="s">
        <v>26</v>
      </c>
      <c r="N4" s="45" t="s">
        <v>17</v>
      </c>
    </row>
    <row r="5" spans="1:14" ht="15.95">
      <c r="A5" s="41" t="s">
        <v>27</v>
      </c>
      <c r="B5" s="43" t="s">
        <v>28</v>
      </c>
      <c r="C5" s="44" t="s">
        <v>29</v>
      </c>
      <c r="D5" s="45" t="s">
        <v>30</v>
      </c>
      <c r="E5" s="38" t="s">
        <v>31</v>
      </c>
      <c r="F5" s="39" t="s">
        <v>22</v>
      </c>
      <c r="I5" s="51" t="s">
        <v>32</v>
      </c>
      <c r="J5" s="45" t="s">
        <v>13</v>
      </c>
      <c r="K5" s="51" t="s">
        <v>8</v>
      </c>
      <c r="L5" s="46" t="s">
        <v>33</v>
      </c>
    </row>
    <row r="6" spans="1:14" ht="32.1">
      <c r="A6" s="41" t="s">
        <v>34</v>
      </c>
      <c r="B6" s="42" t="s">
        <v>35</v>
      </c>
      <c r="C6" s="44" t="s">
        <v>36</v>
      </c>
      <c r="D6" s="45" t="s">
        <v>37</v>
      </c>
      <c r="E6" s="38" t="s">
        <v>38</v>
      </c>
      <c r="F6" s="39" t="s">
        <v>39</v>
      </c>
      <c r="I6" s="51" t="s">
        <v>40</v>
      </c>
      <c r="J6" s="45" t="s">
        <v>41</v>
      </c>
    </row>
    <row r="7" spans="1:14" ht="128.1">
      <c r="A7" s="44" t="s">
        <v>42</v>
      </c>
      <c r="B7" s="45" t="s">
        <v>43</v>
      </c>
      <c r="C7" s="44" t="s">
        <v>14</v>
      </c>
      <c r="D7" s="45" t="s">
        <v>44</v>
      </c>
      <c r="E7" s="44" t="s">
        <v>45</v>
      </c>
      <c r="F7" s="45" t="s">
        <v>13</v>
      </c>
      <c r="I7" s="51" t="s">
        <v>46</v>
      </c>
      <c r="J7" s="45" t="s">
        <v>41</v>
      </c>
    </row>
    <row r="8" spans="1:14" ht="63.95">
      <c r="A8" s="44" t="s">
        <v>47</v>
      </c>
      <c r="B8" s="46" t="s">
        <v>48</v>
      </c>
      <c r="C8" s="47"/>
      <c r="D8" s="48"/>
      <c r="E8" s="49" t="s">
        <v>49</v>
      </c>
      <c r="F8" s="39" t="s">
        <v>28</v>
      </c>
      <c r="I8" s="51" t="s">
        <v>50</v>
      </c>
      <c r="J8" s="45" t="s">
        <v>51</v>
      </c>
    </row>
    <row r="9" spans="1:14" ht="63.95">
      <c r="A9" s="44" t="s">
        <v>52</v>
      </c>
      <c r="B9" s="45" t="s">
        <v>53</v>
      </c>
      <c r="E9" s="50" t="s">
        <v>54</v>
      </c>
      <c r="F9" s="39" t="s">
        <v>55</v>
      </c>
      <c r="I9" s="51" t="s">
        <v>56</v>
      </c>
      <c r="J9" s="45" t="s">
        <v>57</v>
      </c>
      <c r="K9" s="2"/>
      <c r="L9" s="19"/>
    </row>
    <row r="10" spans="1:14" ht="32.1">
      <c r="A10" s="44" t="s">
        <v>58</v>
      </c>
      <c r="B10" s="45" t="s">
        <v>59</v>
      </c>
      <c r="E10" s="50" t="s">
        <v>60</v>
      </c>
      <c r="F10" s="40" t="s">
        <v>61</v>
      </c>
      <c r="I10" s="51" t="s">
        <v>62</v>
      </c>
      <c r="J10" s="45" t="s">
        <v>63</v>
      </c>
    </row>
    <row r="11" spans="1:14" ht="15.95">
      <c r="A11" s="44" t="s">
        <v>64</v>
      </c>
      <c r="B11" s="46" t="s">
        <v>48</v>
      </c>
      <c r="E11" s="50" t="s">
        <v>65</v>
      </c>
      <c r="F11" s="39" t="s">
        <v>66</v>
      </c>
      <c r="I11" s="51" t="s">
        <v>67</v>
      </c>
      <c r="J11" s="45" t="s">
        <v>68</v>
      </c>
    </row>
    <row r="12" spans="1:14" ht="80.099999999999994">
      <c r="A12" s="44" t="s">
        <v>69</v>
      </c>
      <c r="B12" s="45" t="s">
        <v>59</v>
      </c>
      <c r="E12" s="50" t="s">
        <v>70</v>
      </c>
      <c r="F12" s="39" t="s">
        <v>71</v>
      </c>
      <c r="I12" s="51" t="s">
        <v>72</v>
      </c>
      <c r="J12" s="45" t="s">
        <v>73</v>
      </c>
    </row>
    <row r="13" spans="1:14" ht="15.95">
      <c r="A13" s="44" t="s">
        <v>74</v>
      </c>
      <c r="B13" s="46" t="s">
        <v>75</v>
      </c>
      <c r="E13" s="50" t="s">
        <v>76</v>
      </c>
      <c r="F13" s="39" t="s">
        <v>71</v>
      </c>
      <c r="I13" s="51" t="s">
        <v>77</v>
      </c>
      <c r="J13" s="45" t="s">
        <v>78</v>
      </c>
    </row>
    <row r="14" spans="1:14" ht="15.95">
      <c r="A14" s="41" t="s">
        <v>79</v>
      </c>
      <c r="B14" s="42" t="s">
        <v>80</v>
      </c>
      <c r="E14" s="50" t="s">
        <v>81</v>
      </c>
      <c r="F14" s="39" t="s">
        <v>71</v>
      </c>
      <c r="I14" s="44" t="s">
        <v>82</v>
      </c>
      <c r="J14" s="46" t="s">
        <v>48</v>
      </c>
    </row>
    <row r="15" spans="1:14" ht="48">
      <c r="A15" s="44" t="s">
        <v>83</v>
      </c>
      <c r="B15" s="45" t="s">
        <v>59</v>
      </c>
      <c r="E15" s="50" t="s">
        <v>84</v>
      </c>
      <c r="F15" s="39" t="s">
        <v>71</v>
      </c>
      <c r="I15" s="30" t="s">
        <v>85</v>
      </c>
      <c r="J15" s="20" t="s">
        <v>86</v>
      </c>
    </row>
    <row r="16" spans="1:14" ht="48">
      <c r="A16" s="44" t="s">
        <v>87</v>
      </c>
      <c r="B16" s="45" t="s">
        <v>88</v>
      </c>
      <c r="E16" s="50" t="s">
        <v>89</v>
      </c>
      <c r="F16" s="39" t="s">
        <v>71</v>
      </c>
      <c r="I16" t="s">
        <v>90</v>
      </c>
      <c r="J16" s="20" t="s">
        <v>91</v>
      </c>
    </row>
    <row r="17" spans="1:10" ht="15.95">
      <c r="A17" s="44" t="s">
        <v>92</v>
      </c>
      <c r="B17" s="45" t="s">
        <v>93</v>
      </c>
      <c r="C17" s="2"/>
      <c r="D17" s="19"/>
      <c r="E17" s="38" t="s">
        <v>94</v>
      </c>
      <c r="F17" s="39" t="s">
        <v>66</v>
      </c>
      <c r="I17" t="s">
        <v>95</v>
      </c>
      <c r="J17" s="20" t="s">
        <v>91</v>
      </c>
    </row>
    <row r="18" spans="1:10" ht="48">
      <c r="A18" s="44" t="s">
        <v>96</v>
      </c>
      <c r="B18" s="45" t="s">
        <v>97</v>
      </c>
      <c r="E18" s="38" t="s">
        <v>98</v>
      </c>
      <c r="F18" s="39" t="s">
        <v>66</v>
      </c>
      <c r="I18" t="s">
        <v>99</v>
      </c>
      <c r="J18" s="20" t="s">
        <v>91</v>
      </c>
    </row>
    <row r="19" spans="1:10" ht="32.1">
      <c r="A19" s="44" t="s">
        <v>100</v>
      </c>
      <c r="B19" s="46" t="s">
        <v>101</v>
      </c>
      <c r="F19" s="20"/>
      <c r="I19" s="52" t="s">
        <v>102</v>
      </c>
      <c r="J19" s="53" t="s">
        <v>103</v>
      </c>
    </row>
    <row r="20" spans="1:10" ht="32.1">
      <c r="A20" s="44" t="s">
        <v>104</v>
      </c>
      <c r="B20" s="45" t="s">
        <v>105</v>
      </c>
      <c r="F20" s="20"/>
      <c r="I20" s="52" t="s">
        <v>106</v>
      </c>
      <c r="J20" s="54" t="s">
        <v>78</v>
      </c>
    </row>
    <row r="21" spans="1:10" ht="48">
      <c r="A21" s="44" t="s">
        <v>107</v>
      </c>
      <c r="B21" s="45" t="s">
        <v>108</v>
      </c>
      <c r="E21" s="6"/>
      <c r="F21" s="20"/>
      <c r="I21" s="51" t="s">
        <v>109</v>
      </c>
      <c r="J21" s="45" t="s">
        <v>110</v>
      </c>
    </row>
    <row r="22" spans="1:10" ht="32.1">
      <c r="A22" s="44" t="s">
        <v>111</v>
      </c>
      <c r="B22" s="46" t="s">
        <v>28</v>
      </c>
      <c r="E22" s="6"/>
      <c r="F22" s="20"/>
      <c r="I22" s="51" t="s">
        <v>112</v>
      </c>
      <c r="J22" s="45" t="s">
        <v>63</v>
      </c>
    </row>
    <row r="23" spans="1:10" ht="15.95">
      <c r="A23" s="44" t="s">
        <v>82</v>
      </c>
      <c r="B23" s="46" t="s">
        <v>113</v>
      </c>
      <c r="E23" s="17"/>
      <c r="F23" s="23"/>
      <c r="I23" s="51" t="s">
        <v>114</v>
      </c>
      <c r="J23" s="45" t="s">
        <v>91</v>
      </c>
    </row>
    <row r="24" spans="1:10" ht="15.95">
      <c r="A24" s="44" t="s">
        <v>115</v>
      </c>
      <c r="B24" s="46" t="s">
        <v>101</v>
      </c>
      <c r="I24" s="51" t="s">
        <v>116</v>
      </c>
      <c r="J24" s="45" t="s">
        <v>117</v>
      </c>
    </row>
    <row r="25" spans="1:10" ht="159.94999999999999">
      <c r="A25" s="38" t="s">
        <v>118</v>
      </c>
      <c r="B25" s="39" t="s">
        <v>119</v>
      </c>
      <c r="I25" s="51" t="s">
        <v>120</v>
      </c>
      <c r="J25" s="45" t="s">
        <v>121</v>
      </c>
    </row>
    <row r="26" spans="1:10" ht="32.1">
      <c r="A26" s="38" t="s">
        <v>122</v>
      </c>
      <c r="B26" s="39" t="s">
        <v>123</v>
      </c>
      <c r="C26" s="2"/>
      <c r="I26" s="51" t="s">
        <v>124</v>
      </c>
      <c r="J26" s="45" t="s">
        <v>125</v>
      </c>
    </row>
    <row r="27" spans="1:10" ht="15.95">
      <c r="A27" s="44" t="s">
        <v>126</v>
      </c>
      <c r="B27" s="45" t="s">
        <v>13</v>
      </c>
      <c r="I27" s="51" t="s">
        <v>127</v>
      </c>
      <c r="J27" s="45" t="s">
        <v>128</v>
      </c>
    </row>
    <row r="28" spans="1:10" ht="15.95">
      <c r="A28" s="44" t="s">
        <v>129</v>
      </c>
      <c r="B28" s="45" t="s">
        <v>41</v>
      </c>
      <c r="E28" s="18"/>
      <c r="I28" s="31" t="s">
        <v>130</v>
      </c>
      <c r="J28" s="21" t="s">
        <v>91</v>
      </c>
    </row>
    <row r="29" spans="1:10" ht="15.95">
      <c r="A29" s="44" t="s">
        <v>131</v>
      </c>
      <c r="B29" s="45" t="s">
        <v>80</v>
      </c>
      <c r="E29" s="18"/>
      <c r="I29" s="31" t="s">
        <v>132</v>
      </c>
      <c r="J29" s="21" t="s">
        <v>91</v>
      </c>
    </row>
    <row r="30" spans="1:10" ht="15.95">
      <c r="A30" s="44" t="s">
        <v>133</v>
      </c>
      <c r="B30" s="45" t="s">
        <v>41</v>
      </c>
      <c r="I30" s="31" t="s">
        <v>134</v>
      </c>
      <c r="J30" s="21" t="s">
        <v>91</v>
      </c>
    </row>
    <row r="31" spans="1:10" ht="15.95">
      <c r="A31" s="44" t="s">
        <v>135</v>
      </c>
      <c r="B31" s="45" t="s">
        <v>41</v>
      </c>
      <c r="C31" s="2"/>
      <c r="D31" s="19"/>
      <c r="I31" s="31" t="s">
        <v>136</v>
      </c>
      <c r="J31" s="21" t="s">
        <v>91</v>
      </c>
    </row>
    <row r="32" spans="1:10" ht="32.1">
      <c r="A32" s="44" t="s">
        <v>137</v>
      </c>
      <c r="B32" s="45" t="s">
        <v>138</v>
      </c>
      <c r="E32" s="17"/>
      <c r="F32" s="23"/>
      <c r="I32" s="31" t="s">
        <v>139</v>
      </c>
      <c r="J32" s="21" t="s">
        <v>91</v>
      </c>
    </row>
    <row r="33" spans="1:11" ht="15.95">
      <c r="A33" s="44" t="s">
        <v>140</v>
      </c>
      <c r="B33" s="45" t="s">
        <v>13</v>
      </c>
      <c r="I33" s="31" t="s">
        <v>141</v>
      </c>
      <c r="J33" s="21" t="s">
        <v>91</v>
      </c>
    </row>
    <row r="34" spans="1:11" ht="32.1">
      <c r="A34" s="44" t="s">
        <v>142</v>
      </c>
      <c r="B34" s="45" t="s">
        <v>80</v>
      </c>
      <c r="I34" s="30" t="s">
        <v>143</v>
      </c>
      <c r="J34" s="20" t="s">
        <v>63</v>
      </c>
    </row>
    <row r="35" spans="1:11" ht="32.1">
      <c r="A35" s="44" t="s">
        <v>144</v>
      </c>
      <c r="B35" s="45" t="s">
        <v>80</v>
      </c>
      <c r="I35" s="30" t="s">
        <v>145</v>
      </c>
      <c r="J35" s="20" t="s">
        <v>63</v>
      </c>
    </row>
    <row r="36" spans="1:11" ht="15.95">
      <c r="A36" s="44" t="s">
        <v>146</v>
      </c>
      <c r="B36" s="45" t="s">
        <v>147</v>
      </c>
      <c r="I36" s="30" t="s">
        <v>148</v>
      </c>
      <c r="J36" s="21" t="s">
        <v>91</v>
      </c>
    </row>
    <row r="37" spans="1:11" ht="159.94999999999999">
      <c r="A37" s="44" t="s">
        <v>109</v>
      </c>
      <c r="B37" s="45" t="s">
        <v>149</v>
      </c>
      <c r="E37" s="14"/>
      <c r="I37" s="30" t="s">
        <v>150</v>
      </c>
      <c r="J37" s="20" t="s">
        <v>63</v>
      </c>
    </row>
    <row r="38" spans="1:11" ht="15.95">
      <c r="A38" s="44" t="s">
        <v>151</v>
      </c>
      <c r="B38" s="45" t="s">
        <v>108</v>
      </c>
      <c r="D38" s="20"/>
      <c r="E38" s="14"/>
      <c r="I38" s="30" t="s">
        <v>152</v>
      </c>
      <c r="J38" s="21" t="s">
        <v>91</v>
      </c>
    </row>
    <row r="39" spans="1:11">
      <c r="A39" s="44" t="s">
        <v>153</v>
      </c>
      <c r="B39" s="46" t="s">
        <v>154</v>
      </c>
      <c r="E39" s="14"/>
      <c r="I39" s="30" t="s">
        <v>155</v>
      </c>
      <c r="J39" s="21" t="s">
        <v>91</v>
      </c>
    </row>
    <row r="40" spans="1:11">
      <c r="A40" s="44" t="s">
        <v>156</v>
      </c>
      <c r="B40" s="46" t="s">
        <v>91</v>
      </c>
      <c r="E40" s="14"/>
      <c r="I40" s="31" t="s">
        <v>157</v>
      </c>
      <c r="J40" s="21" t="s">
        <v>101</v>
      </c>
    </row>
    <row r="41" spans="1:11">
      <c r="A41" s="44" t="s">
        <v>158</v>
      </c>
      <c r="B41" s="46" t="s">
        <v>91</v>
      </c>
      <c r="D41" s="22"/>
      <c r="I41" s="30" t="s">
        <v>158</v>
      </c>
      <c r="J41" s="21" t="s">
        <v>91</v>
      </c>
    </row>
    <row r="42" spans="1:11" ht="32.1">
      <c r="A42" s="44" t="s">
        <v>159</v>
      </c>
      <c r="B42" s="45" t="s">
        <v>160</v>
      </c>
      <c r="D42" s="22"/>
      <c r="I42" s="44" t="s">
        <v>47</v>
      </c>
      <c r="J42" s="46" t="s">
        <v>48</v>
      </c>
    </row>
    <row r="43" spans="1:11">
      <c r="D43" s="22"/>
      <c r="E43" s="12"/>
      <c r="I43" s="44" t="s">
        <v>64</v>
      </c>
      <c r="J43" s="46" t="s">
        <v>48</v>
      </c>
    </row>
    <row r="44" spans="1:11" ht="15.95">
      <c r="E44" s="12"/>
      <c r="I44" s="51" t="s">
        <v>161</v>
      </c>
      <c r="J44" s="45" t="s">
        <v>162</v>
      </c>
      <c r="K44" t="s">
        <v>163</v>
      </c>
    </row>
    <row r="45" spans="1:11">
      <c r="E45" s="12"/>
      <c r="I45" s="51" t="s">
        <v>164</v>
      </c>
      <c r="J45" s="46" t="s">
        <v>108</v>
      </c>
    </row>
    <row r="46" spans="1:11">
      <c r="I46" s="44" t="s">
        <v>74</v>
      </c>
      <c r="J46" s="46" t="s">
        <v>75</v>
      </c>
    </row>
    <row r="47" spans="1:11">
      <c r="I47" s="51" t="s">
        <v>42</v>
      </c>
      <c r="J47" s="46" t="s">
        <v>75</v>
      </c>
    </row>
    <row r="48" spans="1:11">
      <c r="I48" s="51" t="s">
        <v>165</v>
      </c>
      <c r="J48" s="46" t="s">
        <v>75</v>
      </c>
    </row>
  </sheetData>
  <mergeCells count="2">
    <mergeCell ref="A1:F1"/>
    <mergeCell ref="I1:N1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Q105"/>
  <sheetViews>
    <sheetView zoomScale="115" zoomScaleNormal="115" workbookViewId="0">
      <selection activeCell="E9" sqref="E9"/>
    </sheetView>
  </sheetViews>
  <sheetFormatPr defaultColWidth="11.42578125" defaultRowHeight="15"/>
  <cols>
    <col min="1" max="1" width="23.85546875" bestFit="1" customWidth="1"/>
    <col min="3" max="3" width="14.140625" bestFit="1" customWidth="1"/>
    <col min="4" max="4" width="11.28515625" customWidth="1"/>
    <col min="5" max="5" width="42.140625" bestFit="1" customWidth="1"/>
    <col min="6" max="6" width="20.42578125" bestFit="1" customWidth="1"/>
    <col min="7" max="7" width="18.140625" bestFit="1" customWidth="1"/>
    <col min="8" max="8" width="13.42578125" bestFit="1" customWidth="1"/>
    <col min="9" max="9" width="14.42578125" bestFit="1" customWidth="1"/>
    <col min="10" max="10" width="20.42578125" bestFit="1" customWidth="1"/>
    <col min="11" max="11" width="18.140625" bestFit="1" customWidth="1"/>
    <col min="12" max="12" width="10.42578125" bestFit="1" customWidth="1"/>
    <col min="13" max="13" width="16.85546875" bestFit="1" customWidth="1"/>
    <col min="14" max="15" width="13.42578125" bestFit="1" customWidth="1"/>
    <col min="16" max="16" width="14.7109375" bestFit="1" customWidth="1"/>
    <col min="17" max="17" width="16.7109375" bestFit="1" customWidth="1"/>
  </cols>
  <sheetData>
    <row r="1" spans="1:17">
      <c r="A1" s="60" t="s">
        <v>235</v>
      </c>
      <c r="B1" s="60"/>
      <c r="C1" s="60"/>
      <c r="E1" s="28" t="s">
        <v>236</v>
      </c>
      <c r="F1" s="28"/>
      <c r="G1" s="28"/>
      <c r="H1" s="2" t="s">
        <v>237</v>
      </c>
      <c r="I1" s="2" t="s">
        <v>238</v>
      </c>
      <c r="J1" s="2" t="s">
        <v>239</v>
      </c>
      <c r="K1" s="2" t="s">
        <v>240</v>
      </c>
      <c r="L1" s="2" t="s">
        <v>241</v>
      </c>
      <c r="M1" s="2" t="s">
        <v>242</v>
      </c>
      <c r="N1" s="2" t="s">
        <v>243</v>
      </c>
      <c r="O1" s="2" t="s">
        <v>244</v>
      </c>
      <c r="P1" s="2" t="s">
        <v>245</v>
      </c>
      <c r="Q1" s="2" t="s">
        <v>246</v>
      </c>
    </row>
    <row r="2" spans="1:17">
      <c r="A2" s="2" t="s">
        <v>247</v>
      </c>
      <c r="E2" s="2" t="s">
        <v>166</v>
      </c>
      <c r="F2" s="2" t="s">
        <v>167</v>
      </c>
      <c r="H2" s="59" t="s">
        <v>248</v>
      </c>
      <c r="I2" s="59"/>
      <c r="J2" s="59"/>
      <c r="K2" s="59"/>
      <c r="L2" s="59"/>
      <c r="M2" s="59"/>
      <c r="N2" s="59"/>
      <c r="O2" s="59"/>
      <c r="P2" s="59"/>
      <c r="Q2" s="59"/>
    </row>
    <row r="3" spans="1:17">
      <c r="A3" s="2" t="s">
        <v>166</v>
      </c>
      <c r="B3" s="2" t="s">
        <v>167</v>
      </c>
      <c r="E3" t="s">
        <v>42</v>
      </c>
      <c r="F3" t="s">
        <v>201</v>
      </c>
      <c r="G3">
        <v>1944</v>
      </c>
      <c r="H3" s="59"/>
      <c r="I3" s="59"/>
      <c r="J3" s="59"/>
      <c r="K3" s="59"/>
      <c r="L3" s="59"/>
      <c r="M3" s="59"/>
      <c r="N3" s="59"/>
      <c r="O3" s="59"/>
      <c r="P3" s="59"/>
      <c r="Q3" s="59"/>
    </row>
    <row r="4" spans="1:17">
      <c r="A4" t="s">
        <v>4</v>
      </c>
      <c r="B4" t="s">
        <v>249</v>
      </c>
      <c r="C4">
        <v>188</v>
      </c>
      <c r="E4" t="s">
        <v>85</v>
      </c>
      <c r="F4" t="s">
        <v>201</v>
      </c>
      <c r="G4">
        <v>1000</v>
      </c>
      <c r="H4" s="55"/>
      <c r="I4" s="55"/>
      <c r="J4" s="55"/>
      <c r="K4" s="55"/>
      <c r="L4" s="55"/>
      <c r="M4" s="55"/>
      <c r="N4" s="55"/>
    </row>
    <row r="5" spans="1:17">
      <c r="A5" t="s">
        <v>250</v>
      </c>
      <c r="B5" t="s">
        <v>201</v>
      </c>
      <c r="C5">
        <v>1944</v>
      </c>
      <c r="E5" t="s">
        <v>109</v>
      </c>
      <c r="F5" t="s">
        <v>201</v>
      </c>
      <c r="G5">
        <v>6659</v>
      </c>
    </row>
    <row r="6" spans="1:17">
      <c r="A6" t="s">
        <v>109</v>
      </c>
      <c r="B6" t="s">
        <v>201</v>
      </c>
      <c r="C6">
        <v>0</v>
      </c>
      <c r="E6" t="s">
        <v>4</v>
      </c>
      <c r="F6" t="s">
        <v>249</v>
      </c>
      <c r="G6">
        <f>SUM(C4,C34,C49,C79,C94)</f>
        <v>4592</v>
      </c>
    </row>
    <row r="7" spans="1:17">
      <c r="A7" t="s">
        <v>251</v>
      </c>
      <c r="B7" t="s">
        <v>201</v>
      </c>
      <c r="C7">
        <v>0</v>
      </c>
      <c r="F7" s="26"/>
      <c r="G7" s="27"/>
    </row>
    <row r="8" spans="1:17">
      <c r="A8" t="s">
        <v>252</v>
      </c>
      <c r="B8" t="s">
        <v>201</v>
      </c>
      <c r="C8">
        <v>0</v>
      </c>
      <c r="E8" s="2" t="s">
        <v>189</v>
      </c>
      <c r="F8" s="2" t="s">
        <v>167</v>
      </c>
    </row>
    <row r="9" spans="1:17">
      <c r="A9" s="2" t="s">
        <v>189</v>
      </c>
      <c r="B9" s="2" t="s">
        <v>167</v>
      </c>
      <c r="E9" t="s">
        <v>253</v>
      </c>
      <c r="F9" t="s">
        <v>201</v>
      </c>
      <c r="G9">
        <v>2707</v>
      </c>
    </row>
    <row r="10" spans="1:17">
      <c r="A10" t="s">
        <v>250</v>
      </c>
      <c r="B10" t="s">
        <v>201</v>
      </c>
      <c r="C10">
        <v>1924</v>
      </c>
      <c r="E10" t="s">
        <v>254</v>
      </c>
      <c r="F10" t="s">
        <v>201</v>
      </c>
      <c r="G10">
        <v>2707</v>
      </c>
    </row>
    <row r="11" spans="1:17">
      <c r="A11" t="s">
        <v>109</v>
      </c>
      <c r="B11" t="s">
        <v>201</v>
      </c>
      <c r="C11">
        <v>0</v>
      </c>
      <c r="E11" t="s">
        <v>255</v>
      </c>
      <c r="F11" t="s">
        <v>201</v>
      </c>
      <c r="G11">
        <v>4188</v>
      </c>
    </row>
    <row r="12" spans="1:17">
      <c r="A12" t="s">
        <v>256</v>
      </c>
      <c r="B12" t="s">
        <v>201</v>
      </c>
      <c r="C12">
        <v>0</v>
      </c>
    </row>
    <row r="13" spans="1:17">
      <c r="A13" s="6" t="s">
        <v>257</v>
      </c>
      <c r="B13" t="s">
        <v>201</v>
      </c>
      <c r="C13">
        <v>19</v>
      </c>
    </row>
    <row r="14" spans="1:17">
      <c r="A14" s="6" t="s">
        <v>258</v>
      </c>
      <c r="B14" t="s">
        <v>249</v>
      </c>
      <c r="C14">
        <v>188</v>
      </c>
    </row>
    <row r="15" spans="1:17">
      <c r="A15" s="6" t="s">
        <v>259</v>
      </c>
      <c r="B15" t="s">
        <v>201</v>
      </c>
      <c r="C15">
        <v>11</v>
      </c>
    </row>
    <row r="16" spans="1:17">
      <c r="E16" s="36" t="s">
        <v>260</v>
      </c>
    </row>
    <row r="17" spans="1:3">
      <c r="A17" s="2" t="s">
        <v>261</v>
      </c>
    </row>
    <row r="18" spans="1:3">
      <c r="A18" s="2" t="s">
        <v>166</v>
      </c>
      <c r="B18" s="2" t="s">
        <v>167</v>
      </c>
    </row>
    <row r="19" spans="1:3">
      <c r="A19" t="s">
        <v>4</v>
      </c>
      <c r="B19" t="s">
        <v>249</v>
      </c>
      <c r="C19">
        <v>52</v>
      </c>
    </row>
    <row r="20" spans="1:3">
      <c r="A20" t="s">
        <v>250</v>
      </c>
      <c r="B20" t="s">
        <v>201</v>
      </c>
      <c r="C20">
        <v>1924</v>
      </c>
    </row>
    <row r="21" spans="1:3">
      <c r="A21" t="s">
        <v>109</v>
      </c>
      <c r="B21" t="s">
        <v>201</v>
      </c>
      <c r="C21">
        <v>0</v>
      </c>
    </row>
    <row r="22" spans="1:3">
      <c r="A22" t="s">
        <v>251</v>
      </c>
      <c r="B22" t="s">
        <v>201</v>
      </c>
      <c r="C22">
        <v>0</v>
      </c>
    </row>
    <row r="23" spans="1:3">
      <c r="A23" t="s">
        <v>252</v>
      </c>
      <c r="B23" t="s">
        <v>201</v>
      </c>
      <c r="C23">
        <v>0</v>
      </c>
    </row>
    <row r="24" spans="1:3">
      <c r="A24" s="2" t="s">
        <v>189</v>
      </c>
      <c r="B24" s="2" t="s">
        <v>167</v>
      </c>
    </row>
    <row r="25" spans="1:3">
      <c r="A25" t="s">
        <v>250</v>
      </c>
      <c r="B25" t="s">
        <v>201</v>
      </c>
      <c r="C25">
        <v>1866</v>
      </c>
    </row>
    <row r="26" spans="1:3">
      <c r="A26" t="s">
        <v>109</v>
      </c>
      <c r="B26" t="s">
        <v>201</v>
      </c>
      <c r="C26">
        <v>0</v>
      </c>
    </row>
    <row r="27" spans="1:3">
      <c r="A27" t="s">
        <v>256</v>
      </c>
      <c r="B27" t="s">
        <v>201</v>
      </c>
      <c r="C27">
        <v>0</v>
      </c>
    </row>
    <row r="28" spans="1:3">
      <c r="A28" s="6" t="s">
        <v>257</v>
      </c>
      <c r="B28" t="s">
        <v>201</v>
      </c>
      <c r="C28">
        <v>58</v>
      </c>
    </row>
    <row r="29" spans="1:3">
      <c r="A29" s="6" t="s">
        <v>258</v>
      </c>
      <c r="B29" t="s">
        <v>249</v>
      </c>
      <c r="C29">
        <v>52</v>
      </c>
    </row>
    <row r="30" spans="1:3">
      <c r="A30" s="6" t="s">
        <v>259</v>
      </c>
      <c r="B30" t="s">
        <v>201</v>
      </c>
      <c r="C30">
        <v>3</v>
      </c>
    </row>
    <row r="32" spans="1:3">
      <c r="A32" s="2" t="s">
        <v>262</v>
      </c>
    </row>
    <row r="33" spans="1:3">
      <c r="A33" s="2" t="s">
        <v>166</v>
      </c>
      <c r="B33" s="2" t="s">
        <v>167</v>
      </c>
    </row>
    <row r="34" spans="1:3">
      <c r="A34" t="s">
        <v>4</v>
      </c>
      <c r="B34" t="s">
        <v>249</v>
      </c>
      <c r="C34">
        <v>846</v>
      </c>
    </row>
    <row r="35" spans="1:3">
      <c r="A35" t="s">
        <v>250</v>
      </c>
      <c r="B35" t="s">
        <v>201</v>
      </c>
      <c r="C35">
        <v>1866</v>
      </c>
    </row>
    <row r="36" spans="1:3">
      <c r="A36" t="s">
        <v>109</v>
      </c>
      <c r="B36" t="s">
        <v>201</v>
      </c>
      <c r="C36">
        <v>0</v>
      </c>
    </row>
    <row r="37" spans="1:3">
      <c r="A37" t="s">
        <v>251</v>
      </c>
      <c r="B37" t="s">
        <v>201</v>
      </c>
      <c r="C37">
        <v>0</v>
      </c>
    </row>
    <row r="38" spans="1:3">
      <c r="A38" t="s">
        <v>252</v>
      </c>
      <c r="B38" t="s">
        <v>201</v>
      </c>
      <c r="C38">
        <v>0</v>
      </c>
    </row>
    <row r="39" spans="1:3">
      <c r="A39" s="2" t="s">
        <v>189</v>
      </c>
      <c r="B39" s="2" t="s">
        <v>167</v>
      </c>
    </row>
    <row r="40" spans="1:3">
      <c r="A40" t="s">
        <v>250</v>
      </c>
      <c r="B40" t="s">
        <v>201</v>
      </c>
      <c r="C40">
        <v>1848</v>
      </c>
    </row>
    <row r="41" spans="1:3">
      <c r="A41" t="s">
        <v>109</v>
      </c>
      <c r="B41" t="s">
        <v>201</v>
      </c>
      <c r="C41">
        <v>0</v>
      </c>
    </row>
    <row r="42" spans="1:3">
      <c r="A42" t="s">
        <v>256</v>
      </c>
      <c r="B42" t="s">
        <v>201</v>
      </c>
      <c r="C42">
        <v>0</v>
      </c>
    </row>
    <row r="43" spans="1:3">
      <c r="A43" s="6" t="s">
        <v>257</v>
      </c>
      <c r="B43" t="s">
        <v>201</v>
      </c>
      <c r="C43">
        <v>19</v>
      </c>
    </row>
    <row r="44" spans="1:3">
      <c r="A44" s="6" t="s">
        <v>258</v>
      </c>
      <c r="B44" t="s">
        <v>249</v>
      </c>
      <c r="C44">
        <v>846</v>
      </c>
    </row>
    <row r="45" spans="1:3">
      <c r="A45" s="6" t="s">
        <v>259</v>
      </c>
      <c r="B45" t="s">
        <v>201</v>
      </c>
      <c r="C45">
        <v>62</v>
      </c>
    </row>
    <row r="46" spans="1:3">
      <c r="A46" s="6"/>
    </row>
    <row r="47" spans="1:3">
      <c r="A47" s="2" t="s">
        <v>263</v>
      </c>
    </row>
    <row r="48" spans="1:3">
      <c r="A48" s="2" t="s">
        <v>166</v>
      </c>
      <c r="B48" s="2" t="s">
        <v>167</v>
      </c>
    </row>
    <row r="49" spans="1:3">
      <c r="A49" t="s">
        <v>4</v>
      </c>
      <c r="B49" t="s">
        <v>249</v>
      </c>
      <c r="C49">
        <v>3185</v>
      </c>
    </row>
    <row r="50" spans="1:3">
      <c r="A50" t="s">
        <v>250</v>
      </c>
      <c r="B50" t="s">
        <v>201</v>
      </c>
      <c r="C50">
        <v>1848</v>
      </c>
    </row>
    <row r="51" spans="1:3">
      <c r="A51" t="s">
        <v>109</v>
      </c>
      <c r="B51" t="s">
        <v>201</v>
      </c>
      <c r="C51">
        <v>6659</v>
      </c>
    </row>
    <row r="52" spans="1:3">
      <c r="A52" t="s">
        <v>251</v>
      </c>
      <c r="B52" t="s">
        <v>201</v>
      </c>
      <c r="C52">
        <v>731</v>
      </c>
    </row>
    <row r="53" spans="1:3">
      <c r="A53" t="s">
        <v>252</v>
      </c>
      <c r="B53" t="s">
        <v>201</v>
      </c>
      <c r="C53">
        <v>1000</v>
      </c>
    </row>
    <row r="54" spans="1:3">
      <c r="A54" s="2" t="s">
        <v>189</v>
      </c>
      <c r="B54" s="2" t="s">
        <v>167</v>
      </c>
    </row>
    <row r="55" spans="1:3">
      <c r="A55" t="s">
        <v>250</v>
      </c>
      <c r="B55" t="s">
        <v>201</v>
      </c>
      <c r="C55">
        <v>2819</v>
      </c>
    </row>
    <row r="56" spans="1:3">
      <c r="A56" t="s">
        <v>109</v>
      </c>
      <c r="B56" t="s">
        <v>201</v>
      </c>
      <c r="C56">
        <v>7317</v>
      </c>
    </row>
    <row r="57" spans="1:3">
      <c r="A57" t="s">
        <v>256</v>
      </c>
      <c r="B57" t="s">
        <v>201</v>
      </c>
      <c r="C57">
        <v>0</v>
      </c>
    </row>
    <row r="58" spans="1:3">
      <c r="A58" s="6" t="s">
        <v>257</v>
      </c>
      <c r="B58" t="s">
        <v>201</v>
      </c>
      <c r="C58">
        <v>102</v>
      </c>
    </row>
    <row r="59" spans="1:3">
      <c r="A59" s="6" t="s">
        <v>258</v>
      </c>
      <c r="B59" t="s">
        <v>249</v>
      </c>
      <c r="C59">
        <v>3185</v>
      </c>
    </row>
    <row r="60" spans="1:3">
      <c r="A60" s="6" t="s">
        <v>259</v>
      </c>
      <c r="B60" t="s">
        <v>201</v>
      </c>
      <c r="C60">
        <v>166</v>
      </c>
    </row>
    <row r="62" spans="1:3">
      <c r="A62" s="2" t="s">
        <v>264</v>
      </c>
    </row>
    <row r="63" spans="1:3">
      <c r="A63" s="2" t="s">
        <v>166</v>
      </c>
      <c r="B63" s="2" t="s">
        <v>167</v>
      </c>
    </row>
    <row r="64" spans="1:3">
      <c r="A64" t="s">
        <v>4</v>
      </c>
      <c r="B64" t="s">
        <v>249</v>
      </c>
      <c r="C64">
        <v>8</v>
      </c>
    </row>
    <row r="65" spans="1:3">
      <c r="A65" t="s">
        <v>250</v>
      </c>
      <c r="B65" t="s">
        <v>201</v>
      </c>
      <c r="C65">
        <v>2819</v>
      </c>
    </row>
    <row r="66" spans="1:3">
      <c r="A66" t="s">
        <v>109</v>
      </c>
      <c r="B66" t="s">
        <v>201</v>
      </c>
      <c r="C66">
        <v>7317</v>
      </c>
    </row>
    <row r="67" spans="1:3">
      <c r="A67" t="s">
        <v>251</v>
      </c>
      <c r="B67" t="s">
        <v>201</v>
      </c>
      <c r="C67">
        <v>0</v>
      </c>
    </row>
    <row r="68" spans="1:3">
      <c r="A68" t="s">
        <v>252</v>
      </c>
      <c r="B68" t="s">
        <v>201</v>
      </c>
      <c r="C68">
        <v>0</v>
      </c>
    </row>
    <row r="69" spans="1:3">
      <c r="A69" s="2" t="s">
        <v>189</v>
      </c>
      <c r="B69" s="2" t="s">
        <v>167</v>
      </c>
    </row>
    <row r="70" spans="1:3">
      <c r="A70" t="s">
        <v>250</v>
      </c>
      <c r="B70" t="s">
        <v>201</v>
      </c>
      <c r="C70">
        <v>2791</v>
      </c>
    </row>
    <row r="71" spans="1:3">
      <c r="A71" t="s">
        <v>109</v>
      </c>
      <c r="B71" t="s">
        <v>201</v>
      </c>
      <c r="C71">
        <v>2791</v>
      </c>
    </row>
    <row r="72" spans="1:3">
      <c r="A72" t="s">
        <v>256</v>
      </c>
      <c r="B72" t="s">
        <v>201</v>
      </c>
      <c r="C72">
        <v>731</v>
      </c>
    </row>
    <row r="73" spans="1:3">
      <c r="A73" s="6" t="s">
        <v>257</v>
      </c>
      <c r="B73" t="s">
        <v>201</v>
      </c>
      <c r="C73">
        <v>3822</v>
      </c>
    </row>
    <row r="74" spans="1:3">
      <c r="A74" s="6" t="s">
        <v>258</v>
      </c>
      <c r="B74" t="s">
        <v>249</v>
      </c>
      <c r="C74">
        <v>8</v>
      </c>
    </row>
    <row r="75" spans="1:3">
      <c r="A75" s="6" t="s">
        <v>259</v>
      </c>
      <c r="B75" t="s">
        <v>201</v>
      </c>
      <c r="C75">
        <v>1</v>
      </c>
    </row>
    <row r="77" spans="1:3">
      <c r="A77" s="2" t="s">
        <v>265</v>
      </c>
    </row>
    <row r="78" spans="1:3">
      <c r="A78" s="2" t="s">
        <v>166</v>
      </c>
      <c r="B78" s="2" t="s">
        <v>167</v>
      </c>
    </row>
    <row r="79" spans="1:3">
      <c r="A79" t="s">
        <v>4</v>
      </c>
      <c r="B79" t="s">
        <v>249</v>
      </c>
      <c r="C79">
        <v>150</v>
      </c>
    </row>
    <row r="80" spans="1:3">
      <c r="A80" t="s">
        <v>250</v>
      </c>
      <c r="B80" t="s">
        <v>201</v>
      </c>
      <c r="C80">
        <v>2791</v>
      </c>
    </row>
    <row r="81" spans="1:3">
      <c r="A81" t="s">
        <v>109</v>
      </c>
      <c r="B81" t="s">
        <v>201</v>
      </c>
      <c r="C81">
        <v>2791</v>
      </c>
    </row>
    <row r="82" spans="1:3">
      <c r="A82" t="s">
        <v>251</v>
      </c>
      <c r="B82" t="s">
        <v>201</v>
      </c>
      <c r="C82">
        <v>0</v>
      </c>
    </row>
    <row r="83" spans="1:3">
      <c r="A83" t="s">
        <v>252</v>
      </c>
      <c r="B83" t="s">
        <v>201</v>
      </c>
      <c r="C83">
        <v>0</v>
      </c>
    </row>
    <row r="84" spans="1:3">
      <c r="A84" s="2" t="s">
        <v>189</v>
      </c>
      <c r="B84" s="2" t="s">
        <v>167</v>
      </c>
    </row>
    <row r="85" spans="1:3">
      <c r="A85" t="s">
        <v>250</v>
      </c>
      <c r="B85" t="s">
        <v>201</v>
      </c>
      <c r="C85">
        <v>2707</v>
      </c>
    </row>
    <row r="86" spans="1:3">
      <c r="A86" t="s">
        <v>109</v>
      </c>
      <c r="B86" t="s">
        <v>201</v>
      </c>
      <c r="C86">
        <v>2707</v>
      </c>
    </row>
    <row r="87" spans="1:3">
      <c r="A87" t="s">
        <v>256</v>
      </c>
      <c r="B87" t="s">
        <v>201</v>
      </c>
      <c r="C87">
        <v>0</v>
      </c>
    </row>
    <row r="88" spans="1:3">
      <c r="A88" s="6" t="s">
        <v>257</v>
      </c>
      <c r="B88" t="s">
        <v>201</v>
      </c>
      <c r="C88">
        <v>168</v>
      </c>
    </row>
    <row r="89" spans="1:3">
      <c r="A89" s="6" t="s">
        <v>258</v>
      </c>
      <c r="B89" t="s">
        <v>249</v>
      </c>
      <c r="C89">
        <v>150</v>
      </c>
    </row>
    <row r="90" spans="1:3">
      <c r="A90" s="6" t="s">
        <v>259</v>
      </c>
      <c r="B90" t="s">
        <v>201</v>
      </c>
      <c r="C90">
        <v>10</v>
      </c>
    </row>
    <row r="92" spans="1:3">
      <c r="A92" s="2" t="s">
        <v>266</v>
      </c>
    </row>
    <row r="93" spans="1:3">
      <c r="A93" s="2" t="s">
        <v>166</v>
      </c>
      <c r="B93" s="2" t="s">
        <v>167</v>
      </c>
    </row>
    <row r="94" spans="1:3">
      <c r="A94" t="s">
        <v>4</v>
      </c>
      <c r="B94" t="s">
        <v>249</v>
      </c>
      <c r="C94">
        <v>223</v>
      </c>
    </row>
    <row r="95" spans="1:3">
      <c r="A95" t="s">
        <v>250</v>
      </c>
      <c r="B95" t="s">
        <v>201</v>
      </c>
      <c r="C95">
        <v>2707</v>
      </c>
    </row>
    <row r="96" spans="1:3">
      <c r="A96" t="s">
        <v>109</v>
      </c>
      <c r="B96" t="s">
        <v>201</v>
      </c>
      <c r="C96">
        <v>2707</v>
      </c>
    </row>
    <row r="97" spans="1:3">
      <c r="A97" t="s">
        <v>251</v>
      </c>
      <c r="B97" t="s">
        <v>201</v>
      </c>
      <c r="C97">
        <v>0</v>
      </c>
    </row>
    <row r="98" spans="1:3">
      <c r="A98" t="s">
        <v>252</v>
      </c>
      <c r="B98" t="s">
        <v>201</v>
      </c>
      <c r="C98">
        <v>0</v>
      </c>
    </row>
    <row r="99" spans="1:3">
      <c r="A99" s="2" t="s">
        <v>189</v>
      </c>
      <c r="B99" s="2" t="s">
        <v>167</v>
      </c>
    </row>
    <row r="100" spans="1:3">
      <c r="A100" t="s">
        <v>250</v>
      </c>
      <c r="B100" t="s">
        <v>201</v>
      </c>
      <c r="C100">
        <v>2707</v>
      </c>
    </row>
    <row r="101" spans="1:3">
      <c r="A101" t="s">
        <v>109</v>
      </c>
      <c r="B101" t="s">
        <v>201</v>
      </c>
      <c r="C101">
        <v>2707</v>
      </c>
    </row>
    <row r="102" spans="1:3">
      <c r="A102" t="s">
        <v>256</v>
      </c>
      <c r="B102" t="s">
        <v>201</v>
      </c>
      <c r="C102">
        <v>0</v>
      </c>
    </row>
    <row r="103" spans="1:3">
      <c r="A103" s="6" t="s">
        <v>257</v>
      </c>
      <c r="B103" t="s">
        <v>201</v>
      </c>
      <c r="C103">
        <v>0</v>
      </c>
    </row>
    <row r="104" spans="1:3">
      <c r="A104" s="6" t="s">
        <v>258</v>
      </c>
      <c r="B104" t="s">
        <v>249</v>
      </c>
      <c r="C104">
        <v>223</v>
      </c>
    </row>
    <row r="105" spans="1:3">
      <c r="A105" s="6" t="s">
        <v>259</v>
      </c>
      <c r="B105" t="s">
        <v>201</v>
      </c>
      <c r="C105">
        <v>13</v>
      </c>
    </row>
  </sheetData>
  <mergeCells count="2">
    <mergeCell ref="H2:Q3"/>
    <mergeCell ref="A1:C1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E16"/>
  <sheetViews>
    <sheetView workbookViewId="0">
      <selection activeCell="D6" sqref="D6:D7"/>
    </sheetView>
  </sheetViews>
  <sheetFormatPr defaultColWidth="11.42578125" defaultRowHeight="15"/>
  <cols>
    <col min="1" max="1" width="21.85546875" bestFit="1" customWidth="1"/>
    <col min="3" max="3" width="27.28515625" bestFit="1" customWidth="1"/>
    <col min="4" max="4" width="20.140625" bestFit="1" customWidth="1"/>
  </cols>
  <sheetData>
    <row r="1" spans="1:5">
      <c r="A1" s="2" t="s">
        <v>166</v>
      </c>
      <c r="B1" s="2" t="s">
        <v>167</v>
      </c>
      <c r="C1" s="2" t="s">
        <v>267</v>
      </c>
      <c r="D1" s="2" t="s">
        <v>268</v>
      </c>
      <c r="E1" s="2"/>
    </row>
    <row r="2" spans="1:5">
      <c r="A2" t="s">
        <v>34</v>
      </c>
      <c r="B2" t="s">
        <v>201</v>
      </c>
      <c r="C2" s="1">
        <v>2.71</v>
      </c>
      <c r="D2" s="7" t="s">
        <v>170</v>
      </c>
    </row>
    <row r="3" spans="1:5">
      <c r="A3" t="s">
        <v>85</v>
      </c>
      <c r="B3" t="s">
        <v>201</v>
      </c>
      <c r="C3">
        <v>0.44</v>
      </c>
      <c r="D3">
        <v>0.65</v>
      </c>
    </row>
    <row r="4" spans="1:5">
      <c r="A4" t="s">
        <v>109</v>
      </c>
      <c r="B4" t="s">
        <v>201</v>
      </c>
      <c r="C4">
        <v>0.12</v>
      </c>
      <c r="D4">
        <v>6</v>
      </c>
    </row>
    <row r="5" spans="1:5">
      <c r="A5" t="s">
        <v>269</v>
      </c>
      <c r="B5" t="s">
        <v>201</v>
      </c>
      <c r="C5" s="7" t="s">
        <v>170</v>
      </c>
      <c r="D5">
        <v>0.63</v>
      </c>
    </row>
    <row r="6" spans="1:5">
      <c r="A6" t="s">
        <v>8</v>
      </c>
      <c r="B6" t="s">
        <v>270</v>
      </c>
      <c r="C6">
        <v>1.54</v>
      </c>
      <c r="D6">
        <v>0.28000000000000003</v>
      </c>
    </row>
    <row r="7" spans="1:5">
      <c r="A7" t="s">
        <v>29</v>
      </c>
      <c r="B7" t="s">
        <v>249</v>
      </c>
      <c r="C7">
        <v>2.48</v>
      </c>
      <c r="D7">
        <v>3.75</v>
      </c>
    </row>
    <row r="8" spans="1:5">
      <c r="A8" s="2" t="s">
        <v>189</v>
      </c>
      <c r="B8" s="2" t="s">
        <v>167</v>
      </c>
    </row>
    <row r="9" spans="1:5">
      <c r="A9" t="s">
        <v>271</v>
      </c>
      <c r="B9" t="s">
        <v>201</v>
      </c>
      <c r="C9">
        <v>1</v>
      </c>
      <c r="D9">
        <v>1</v>
      </c>
    </row>
    <row r="10" spans="1:5">
      <c r="A10" t="s">
        <v>26</v>
      </c>
      <c r="B10" t="s">
        <v>201</v>
      </c>
      <c r="C10">
        <v>0.02</v>
      </c>
      <c r="D10" s="7" t="s">
        <v>170</v>
      </c>
    </row>
    <row r="11" spans="1:5">
      <c r="A11" t="s">
        <v>16</v>
      </c>
      <c r="B11" t="s">
        <v>201</v>
      </c>
      <c r="C11" s="7" t="s">
        <v>170</v>
      </c>
      <c r="D11">
        <v>0.08</v>
      </c>
    </row>
    <row r="12" spans="1:5">
      <c r="A12" t="s">
        <v>85</v>
      </c>
      <c r="B12" t="s">
        <v>201</v>
      </c>
      <c r="C12" s="7" t="s">
        <v>170</v>
      </c>
      <c r="D12">
        <v>0.2</v>
      </c>
    </row>
    <row r="16" spans="1:5">
      <c r="C16" s="36" t="s">
        <v>272</v>
      </c>
    </row>
  </sheetData>
  <pageMargins left="0.7" right="0.7" top="0.78740157499999996" bottom="0.78740157499999996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1"/>
  <sheetViews>
    <sheetView topLeftCell="A3" workbookViewId="0">
      <selection activeCell="B17" sqref="B17:C17"/>
    </sheetView>
  </sheetViews>
  <sheetFormatPr defaultColWidth="11.42578125" defaultRowHeight="15"/>
  <cols>
    <col min="1" max="1" width="21.28515625" bestFit="1" customWidth="1"/>
    <col min="2" max="2" width="16.42578125" bestFit="1" customWidth="1"/>
    <col min="3" max="3" width="18.42578125" bestFit="1" customWidth="1"/>
  </cols>
  <sheetData>
    <row r="1" spans="1:3">
      <c r="B1" s="2"/>
      <c r="C1" s="2" t="s">
        <v>273</v>
      </c>
    </row>
    <row r="2" spans="1:3">
      <c r="A2" s="2" t="s">
        <v>166</v>
      </c>
      <c r="B2" s="2" t="s">
        <v>167</v>
      </c>
    </row>
    <row r="3" spans="1:3">
      <c r="A3" t="s">
        <v>109</v>
      </c>
      <c r="B3" t="s">
        <v>201</v>
      </c>
      <c r="C3">
        <v>2.39</v>
      </c>
    </row>
    <row r="4" spans="1:3">
      <c r="A4" t="s">
        <v>148</v>
      </c>
      <c r="B4" t="s">
        <v>201</v>
      </c>
      <c r="C4">
        <v>0.8</v>
      </c>
    </row>
    <row r="5" spans="1:3">
      <c r="A5" t="s">
        <v>8</v>
      </c>
      <c r="B5" t="s">
        <v>270</v>
      </c>
      <c r="C5">
        <f>2.38*C8</f>
        <v>1.1423999999999999</v>
      </c>
    </row>
    <row r="6" spans="1:3">
      <c r="A6" s="2" t="s">
        <v>189</v>
      </c>
      <c r="B6" s="2" t="s">
        <v>167</v>
      </c>
    </row>
    <row r="7" spans="1:3">
      <c r="A7" t="s">
        <v>143</v>
      </c>
      <c r="B7" t="s">
        <v>201</v>
      </c>
      <c r="C7">
        <v>0.01</v>
      </c>
    </row>
    <row r="8" spans="1:3">
      <c r="A8" t="s">
        <v>274</v>
      </c>
      <c r="B8" t="s">
        <v>201</v>
      </c>
      <c r="C8">
        <v>0.48</v>
      </c>
    </row>
    <row r="9" spans="1:3">
      <c r="A9" t="s">
        <v>109</v>
      </c>
      <c r="B9" t="s">
        <v>201</v>
      </c>
      <c r="C9">
        <v>2.14</v>
      </c>
    </row>
    <row r="10" spans="1:3">
      <c r="A10" t="s">
        <v>171</v>
      </c>
      <c r="B10" t="s">
        <v>201</v>
      </c>
      <c r="C10">
        <v>0.54</v>
      </c>
    </row>
    <row r="12" spans="1:3">
      <c r="C12" s="2" t="s">
        <v>275</v>
      </c>
    </row>
    <row r="13" spans="1:3">
      <c r="A13" s="2" t="s">
        <v>166</v>
      </c>
      <c r="B13" s="2" t="s">
        <v>167</v>
      </c>
    </row>
    <row r="14" spans="1:3">
      <c r="A14" t="s">
        <v>85</v>
      </c>
      <c r="B14" t="s">
        <v>201</v>
      </c>
      <c r="C14">
        <v>0.6</v>
      </c>
    </row>
    <row r="15" spans="1:3">
      <c r="A15" t="s">
        <v>109</v>
      </c>
      <c r="B15" t="s">
        <v>201</v>
      </c>
      <c r="C15">
        <v>2.14</v>
      </c>
    </row>
    <row r="16" spans="1:3">
      <c r="A16" t="s">
        <v>171</v>
      </c>
      <c r="B16" t="s">
        <v>201</v>
      </c>
      <c r="C16">
        <v>0.54</v>
      </c>
    </row>
    <row r="17" spans="1:3">
      <c r="A17" t="s">
        <v>8</v>
      </c>
      <c r="B17" s="58" t="s">
        <v>248</v>
      </c>
      <c r="C17" s="58"/>
    </row>
    <row r="18" spans="1:3">
      <c r="A18" s="2" t="s">
        <v>189</v>
      </c>
      <c r="B18" s="2" t="s">
        <v>167</v>
      </c>
    </row>
    <row r="19" spans="1:3">
      <c r="A19" t="s">
        <v>276</v>
      </c>
      <c r="B19" t="s">
        <v>201</v>
      </c>
      <c r="C19">
        <v>1</v>
      </c>
    </row>
    <row r="20" spans="1:3">
      <c r="A20" t="s">
        <v>277</v>
      </c>
      <c r="B20" t="s">
        <v>201</v>
      </c>
      <c r="C20">
        <v>0.13</v>
      </c>
    </row>
    <row r="21" spans="1:3">
      <c r="A21" t="s">
        <v>109</v>
      </c>
      <c r="B21" t="s">
        <v>201</v>
      </c>
      <c r="C21">
        <v>2.15</v>
      </c>
    </row>
  </sheetData>
  <mergeCells count="1">
    <mergeCell ref="B17:C17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59999389629810485"/>
  </sheetPr>
  <dimension ref="A1:H19"/>
  <sheetViews>
    <sheetView workbookViewId="0">
      <selection activeCell="A5" sqref="A5:XFD5"/>
    </sheetView>
  </sheetViews>
  <sheetFormatPr defaultColWidth="11.42578125" defaultRowHeight="15"/>
  <cols>
    <col min="1" max="1" width="31.42578125" bestFit="1" customWidth="1"/>
    <col min="3" max="4" width="18.7109375" bestFit="1" customWidth="1"/>
    <col min="5" max="5" width="14" customWidth="1"/>
    <col min="6" max="6" width="16.7109375" customWidth="1"/>
    <col min="7" max="7" width="16" customWidth="1"/>
    <col min="8" max="8" width="16.140625" customWidth="1"/>
  </cols>
  <sheetData>
    <row r="1" spans="1:8">
      <c r="C1" s="63" t="s">
        <v>278</v>
      </c>
      <c r="D1" s="63"/>
      <c r="E1" s="63" t="s">
        <v>279</v>
      </c>
      <c r="F1" s="63"/>
      <c r="G1" s="63" t="s">
        <v>280</v>
      </c>
      <c r="H1" s="63"/>
    </row>
    <row r="2" spans="1:8">
      <c r="A2" s="2" t="s">
        <v>166</v>
      </c>
      <c r="B2" s="2" t="s">
        <v>167</v>
      </c>
      <c r="C2" t="s">
        <v>281</v>
      </c>
      <c r="D2" t="s">
        <v>282</v>
      </c>
      <c r="E2" t="s">
        <v>281</v>
      </c>
      <c r="F2" t="s">
        <v>282</v>
      </c>
      <c r="G2" t="s">
        <v>283</v>
      </c>
      <c r="H2" s="6" t="s">
        <v>284</v>
      </c>
    </row>
    <row r="3" spans="1:8">
      <c r="A3" t="s">
        <v>85</v>
      </c>
      <c r="B3" t="s">
        <v>169</v>
      </c>
      <c r="C3" s="7">
        <v>0.44</v>
      </c>
      <c r="D3" s="7"/>
      <c r="E3" s="7">
        <v>0.44</v>
      </c>
      <c r="F3" s="7"/>
      <c r="G3" s="7" t="s">
        <v>285</v>
      </c>
      <c r="H3" s="7">
        <v>0.65</v>
      </c>
    </row>
    <row r="4" spans="1:8">
      <c r="A4" t="s">
        <v>109</v>
      </c>
      <c r="B4" t="s">
        <v>169</v>
      </c>
      <c r="C4" s="7">
        <v>6</v>
      </c>
      <c r="D4" s="8" t="s">
        <v>286</v>
      </c>
      <c r="E4" s="7">
        <v>6</v>
      </c>
      <c r="F4" s="8" t="s">
        <v>286</v>
      </c>
      <c r="G4" s="8" t="s">
        <v>286</v>
      </c>
      <c r="H4" s="7">
        <v>6</v>
      </c>
    </row>
    <row r="5" spans="1:8">
      <c r="A5" t="s">
        <v>287</v>
      </c>
      <c r="B5" t="s">
        <v>288</v>
      </c>
      <c r="C5" s="7">
        <v>5.34</v>
      </c>
      <c r="D5" s="7"/>
      <c r="E5" s="7">
        <v>1.05</v>
      </c>
      <c r="F5" s="7"/>
      <c r="G5" s="61" t="s">
        <v>170</v>
      </c>
      <c r="H5" s="61"/>
    </row>
    <row r="6" spans="1:8">
      <c r="A6" t="s">
        <v>6</v>
      </c>
      <c r="B6" t="s">
        <v>169</v>
      </c>
      <c r="C6" s="7">
        <v>5.9</v>
      </c>
      <c r="D6" s="7"/>
      <c r="E6" s="7">
        <v>5.9</v>
      </c>
      <c r="F6" s="7"/>
      <c r="G6" s="61" t="s">
        <v>170</v>
      </c>
      <c r="H6" s="61"/>
    </row>
    <row r="7" spans="1:8">
      <c r="A7" t="s">
        <v>269</v>
      </c>
      <c r="B7" t="s">
        <v>169</v>
      </c>
      <c r="C7" s="61" t="s">
        <v>170</v>
      </c>
      <c r="D7" s="61"/>
      <c r="E7" s="61" t="s">
        <v>170</v>
      </c>
      <c r="F7" s="61"/>
      <c r="G7" s="7" t="s">
        <v>289</v>
      </c>
      <c r="H7" s="7">
        <v>0.63</v>
      </c>
    </row>
    <row r="8" spans="1:8">
      <c r="A8" t="s">
        <v>290</v>
      </c>
      <c r="B8" t="s">
        <v>199</v>
      </c>
      <c r="C8" s="7">
        <v>37.5</v>
      </c>
      <c r="D8" s="7" t="s">
        <v>291</v>
      </c>
      <c r="E8" s="61" t="s">
        <v>170</v>
      </c>
      <c r="F8" s="61"/>
      <c r="G8" s="61" t="s">
        <v>170</v>
      </c>
      <c r="H8" s="61"/>
    </row>
    <row r="9" spans="1:8">
      <c r="A9" t="s">
        <v>292</v>
      </c>
      <c r="B9" t="s">
        <v>199</v>
      </c>
      <c r="C9" s="61" t="s">
        <v>170</v>
      </c>
      <c r="D9" s="61"/>
      <c r="E9" s="61" t="s">
        <v>170</v>
      </c>
      <c r="F9" s="61"/>
      <c r="G9" s="7" t="s">
        <v>293</v>
      </c>
      <c r="H9" s="7">
        <v>3.75</v>
      </c>
    </row>
    <row r="10" spans="1:8">
      <c r="A10" t="s">
        <v>8</v>
      </c>
      <c r="B10" t="s">
        <v>173</v>
      </c>
      <c r="C10" s="7">
        <v>0.28000000000000003</v>
      </c>
      <c r="D10" s="7" t="s">
        <v>294</v>
      </c>
      <c r="E10" s="7">
        <v>0.28000000000000003</v>
      </c>
      <c r="F10" s="7" t="s">
        <v>294</v>
      </c>
      <c r="G10" s="7" t="s">
        <v>294</v>
      </c>
      <c r="H10" s="7">
        <v>0.28000000000000003</v>
      </c>
    </row>
    <row r="11" spans="1:8">
      <c r="A11" s="2" t="s">
        <v>189</v>
      </c>
      <c r="B11" s="2" t="s">
        <v>167</v>
      </c>
      <c r="C11" s="7"/>
      <c r="E11" s="7"/>
      <c r="F11" s="7"/>
    </row>
    <row r="12" spans="1:8">
      <c r="A12" t="s">
        <v>295</v>
      </c>
      <c r="B12" t="s">
        <v>169</v>
      </c>
      <c r="C12" s="7">
        <v>1</v>
      </c>
      <c r="D12" s="7"/>
      <c r="E12" s="7">
        <v>1</v>
      </c>
      <c r="F12" s="7"/>
      <c r="G12" s="7"/>
      <c r="H12" s="7">
        <v>1</v>
      </c>
    </row>
    <row r="13" spans="1:8">
      <c r="A13" t="s">
        <v>124</v>
      </c>
      <c r="B13" t="s">
        <v>169</v>
      </c>
      <c r="C13" s="7">
        <v>5.2</v>
      </c>
      <c r="D13" s="7"/>
      <c r="E13" s="7">
        <v>5.2</v>
      </c>
      <c r="F13" s="7"/>
      <c r="G13" s="61" t="s">
        <v>170</v>
      </c>
      <c r="H13" s="61"/>
    </row>
    <row r="14" spans="1:8">
      <c r="A14" t="s">
        <v>127</v>
      </c>
      <c r="B14" t="s">
        <v>169</v>
      </c>
      <c r="C14" s="61" t="s">
        <v>170</v>
      </c>
      <c r="D14" s="61"/>
      <c r="E14" s="61" t="s">
        <v>170</v>
      </c>
      <c r="F14" s="61"/>
      <c r="G14" s="7" t="s">
        <v>296</v>
      </c>
      <c r="H14" s="7">
        <v>0.08</v>
      </c>
    </row>
    <row r="15" spans="1:8">
      <c r="A15" t="s">
        <v>85</v>
      </c>
      <c r="B15" t="s">
        <v>169</v>
      </c>
      <c r="C15" s="61" t="s">
        <v>170</v>
      </c>
      <c r="D15" s="61"/>
      <c r="E15" s="61" t="s">
        <v>170</v>
      </c>
      <c r="F15" s="61"/>
      <c r="G15" s="7" t="s">
        <v>297</v>
      </c>
      <c r="H15" s="7">
        <v>0.2</v>
      </c>
    </row>
    <row r="19" spans="3:6">
      <c r="C19" s="62" t="s">
        <v>272</v>
      </c>
      <c r="D19" s="62"/>
      <c r="E19" s="62"/>
      <c r="F19" s="62"/>
    </row>
  </sheetData>
  <mergeCells count="17">
    <mergeCell ref="E14:F14"/>
    <mergeCell ref="E15:F15"/>
    <mergeCell ref="C19:F19"/>
    <mergeCell ref="C1:D1"/>
    <mergeCell ref="E1:F1"/>
    <mergeCell ref="G1:H1"/>
    <mergeCell ref="C7:D7"/>
    <mergeCell ref="C9:D9"/>
    <mergeCell ref="G5:H5"/>
    <mergeCell ref="G6:H6"/>
    <mergeCell ref="G8:H8"/>
    <mergeCell ref="G13:H13"/>
    <mergeCell ref="C14:D14"/>
    <mergeCell ref="C15:D15"/>
    <mergeCell ref="E7:F7"/>
    <mergeCell ref="E8:F8"/>
    <mergeCell ref="E9:F9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9"/>
  <sheetViews>
    <sheetView workbookViewId="0">
      <selection activeCell="D18" sqref="D18"/>
    </sheetView>
  </sheetViews>
  <sheetFormatPr defaultColWidth="11.42578125" defaultRowHeight="15"/>
  <cols>
    <col min="1" max="1" width="40.85546875" bestFit="1" customWidth="1"/>
    <col min="6" max="6" width="11.85546875" bestFit="1" customWidth="1"/>
    <col min="7" max="7" width="12.85546875" bestFit="1" customWidth="1"/>
    <col min="8" max="8" width="12.7109375" bestFit="1" customWidth="1"/>
  </cols>
  <sheetData>
    <row r="1" spans="1:8">
      <c r="C1" s="2" t="s">
        <v>298</v>
      </c>
      <c r="D1" s="2" t="s">
        <v>299</v>
      </c>
      <c r="E1" s="2" t="s">
        <v>300</v>
      </c>
      <c r="F1" s="2" t="s">
        <v>301</v>
      </c>
      <c r="G1" s="2" t="s">
        <v>302</v>
      </c>
      <c r="H1" s="2" t="s">
        <v>303</v>
      </c>
    </row>
    <row r="2" spans="1:8">
      <c r="A2" s="2" t="s">
        <v>166</v>
      </c>
      <c r="B2" s="2" t="s">
        <v>167</v>
      </c>
    </row>
    <row r="3" spans="1:8">
      <c r="A3" t="s">
        <v>304</v>
      </c>
      <c r="B3" t="s">
        <v>169</v>
      </c>
      <c r="C3">
        <v>1000</v>
      </c>
      <c r="D3">
        <v>600</v>
      </c>
      <c r="E3">
        <v>400</v>
      </c>
      <c r="F3">
        <v>400</v>
      </c>
      <c r="G3">
        <v>400</v>
      </c>
      <c r="H3">
        <v>400</v>
      </c>
    </row>
    <row r="4" spans="1:8">
      <c r="A4" t="s">
        <v>222</v>
      </c>
      <c r="B4" t="s">
        <v>169</v>
      </c>
      <c r="D4">
        <v>200</v>
      </c>
      <c r="E4">
        <v>200</v>
      </c>
      <c r="F4">
        <v>400</v>
      </c>
      <c r="G4">
        <v>400</v>
      </c>
      <c r="H4">
        <v>400</v>
      </c>
    </row>
    <row r="5" spans="1:8">
      <c r="A5" t="s">
        <v>305</v>
      </c>
      <c r="B5" t="s">
        <v>169</v>
      </c>
      <c r="D5">
        <v>200</v>
      </c>
      <c r="E5">
        <v>400</v>
      </c>
      <c r="F5">
        <v>200</v>
      </c>
      <c r="G5">
        <v>200</v>
      </c>
      <c r="H5">
        <v>200</v>
      </c>
    </row>
    <row r="6" spans="1:8">
      <c r="A6" t="s">
        <v>306</v>
      </c>
      <c r="B6" t="s">
        <v>169</v>
      </c>
      <c r="C6">
        <v>119</v>
      </c>
      <c r="D6">
        <v>155.69999999999999</v>
      </c>
      <c r="E6">
        <v>116.3</v>
      </c>
      <c r="F6">
        <v>89.1</v>
      </c>
      <c r="G6">
        <v>98.5</v>
      </c>
      <c r="H6">
        <v>73.599999999999994</v>
      </c>
    </row>
    <row r="7" spans="1:8">
      <c r="A7" t="s">
        <v>307</v>
      </c>
      <c r="B7" t="s">
        <v>199</v>
      </c>
      <c r="C7">
        <f>1.4*C6</f>
        <v>166.6</v>
      </c>
      <c r="D7">
        <f t="shared" ref="D7:H7" si="0">1.4*D6</f>
        <v>217.97999999999996</v>
      </c>
      <c r="E7">
        <f t="shared" si="0"/>
        <v>162.82</v>
      </c>
      <c r="F7">
        <f t="shared" si="0"/>
        <v>124.73999999999998</v>
      </c>
      <c r="G7">
        <f t="shared" si="0"/>
        <v>137.89999999999998</v>
      </c>
      <c r="H7">
        <f t="shared" si="0"/>
        <v>103.03999999999999</v>
      </c>
    </row>
    <row r="8" spans="1:8">
      <c r="A8" t="s">
        <v>308</v>
      </c>
      <c r="C8" s="58" t="s">
        <v>248</v>
      </c>
      <c r="D8" s="58"/>
      <c r="E8" s="58"/>
      <c r="F8" s="58"/>
      <c r="G8" s="58"/>
      <c r="H8" s="58"/>
    </row>
    <row r="9" spans="1:8">
      <c r="A9" s="2" t="s">
        <v>189</v>
      </c>
      <c r="B9" s="2" t="s">
        <v>167</v>
      </c>
    </row>
    <row r="10" spans="1:8">
      <c r="A10" t="s">
        <v>309</v>
      </c>
      <c r="B10" t="s">
        <v>169</v>
      </c>
      <c r="C10">
        <v>707</v>
      </c>
      <c r="D10">
        <v>424.2</v>
      </c>
      <c r="E10">
        <v>282.8</v>
      </c>
      <c r="F10">
        <v>282.8</v>
      </c>
      <c r="G10">
        <v>282.8</v>
      </c>
      <c r="H10">
        <v>282.8</v>
      </c>
    </row>
    <row r="11" spans="1:8">
      <c r="A11" t="s">
        <v>310</v>
      </c>
      <c r="B11" t="s">
        <v>169</v>
      </c>
    </row>
    <row r="12" spans="1:8">
      <c r="A12" t="s">
        <v>311</v>
      </c>
      <c r="B12" t="s">
        <v>169</v>
      </c>
      <c r="D12">
        <v>280</v>
      </c>
      <c r="E12">
        <v>280</v>
      </c>
      <c r="F12">
        <v>560</v>
      </c>
      <c r="G12">
        <v>560</v>
      </c>
      <c r="H12">
        <v>560</v>
      </c>
    </row>
    <row r="13" spans="1:8">
      <c r="A13" t="s">
        <v>312</v>
      </c>
      <c r="B13" t="s">
        <v>169</v>
      </c>
      <c r="D13">
        <v>17.600000000000001</v>
      </c>
      <c r="E13">
        <v>12.8</v>
      </c>
      <c r="F13">
        <v>9.8000000000000007</v>
      </c>
      <c r="G13">
        <v>10.8</v>
      </c>
      <c r="H13">
        <v>8.1</v>
      </c>
    </row>
    <row r="19" spans="1:3">
      <c r="A19" s="2" t="s">
        <v>313</v>
      </c>
      <c r="B19" s="2" t="s">
        <v>314</v>
      </c>
      <c r="C19" s="2"/>
    </row>
  </sheetData>
  <mergeCells count="1">
    <mergeCell ref="C8:H8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59999389629810485"/>
  </sheetPr>
  <dimension ref="A1:L24"/>
  <sheetViews>
    <sheetView workbookViewId="0">
      <selection activeCell="L3" sqref="L3"/>
    </sheetView>
  </sheetViews>
  <sheetFormatPr defaultColWidth="11.42578125" defaultRowHeight="15"/>
  <cols>
    <col min="1" max="1" width="33.28515625" bestFit="1" customWidth="1"/>
  </cols>
  <sheetData>
    <row r="1" spans="1:12">
      <c r="A1" s="2" t="s">
        <v>166</v>
      </c>
      <c r="B1" s="2" t="s">
        <v>167</v>
      </c>
      <c r="C1" t="s">
        <v>315</v>
      </c>
    </row>
    <row r="2" spans="1:12">
      <c r="A2" t="s">
        <v>122</v>
      </c>
      <c r="B2" t="s">
        <v>169</v>
      </c>
      <c r="C2">
        <v>0.48199999999999998</v>
      </c>
    </row>
    <row r="3" spans="1:12">
      <c r="A3" t="s">
        <v>131</v>
      </c>
      <c r="B3" t="s">
        <v>169</v>
      </c>
      <c r="C3">
        <v>321</v>
      </c>
      <c r="E3" s="36" t="s">
        <v>316</v>
      </c>
      <c r="L3" t="s">
        <v>317</v>
      </c>
    </row>
    <row r="4" spans="1:12">
      <c r="A4" t="s">
        <v>79</v>
      </c>
      <c r="B4" t="s">
        <v>169</v>
      </c>
      <c r="C4">
        <v>65</v>
      </c>
    </row>
    <row r="5" spans="1:12">
      <c r="A5" t="s">
        <v>34</v>
      </c>
      <c r="B5" t="s">
        <v>169</v>
      </c>
      <c r="C5">
        <v>15</v>
      </c>
    </row>
    <row r="6" spans="1:12">
      <c r="A6" t="s">
        <v>142</v>
      </c>
      <c r="B6" t="s">
        <v>169</v>
      </c>
      <c r="C6">
        <v>930</v>
      </c>
    </row>
    <row r="7" spans="1:12">
      <c r="A7" t="s">
        <v>144</v>
      </c>
      <c r="B7" t="s">
        <v>169</v>
      </c>
      <c r="C7">
        <v>792</v>
      </c>
    </row>
    <row r="8" spans="1:12">
      <c r="A8" t="s">
        <v>318</v>
      </c>
      <c r="B8" t="s">
        <v>319</v>
      </c>
      <c r="C8">
        <v>735</v>
      </c>
    </row>
    <row r="9" spans="1:12">
      <c r="A9" t="s">
        <v>320</v>
      </c>
      <c r="B9" t="s">
        <v>321</v>
      </c>
      <c r="C9">
        <v>179</v>
      </c>
    </row>
    <row r="10" spans="1:12">
      <c r="A10" t="s">
        <v>322</v>
      </c>
      <c r="B10" t="s">
        <v>321</v>
      </c>
      <c r="C10">
        <v>118.4</v>
      </c>
    </row>
    <row r="11" spans="1:12">
      <c r="A11" t="s">
        <v>159</v>
      </c>
      <c r="B11" t="s">
        <v>323</v>
      </c>
      <c r="C11">
        <v>0.3</v>
      </c>
    </row>
    <row r="12" spans="1:12">
      <c r="A12" t="s">
        <v>324</v>
      </c>
      <c r="B12" t="s">
        <v>173</v>
      </c>
      <c r="C12">
        <v>9.6000000000000002E-2</v>
      </c>
    </row>
    <row r="13" spans="1:12">
      <c r="A13" t="s">
        <v>325</v>
      </c>
      <c r="B13" t="s">
        <v>173</v>
      </c>
      <c r="C13">
        <v>1.7999999999999999E-2</v>
      </c>
    </row>
    <row r="14" spans="1:12">
      <c r="A14" t="s">
        <v>326</v>
      </c>
      <c r="B14" t="s">
        <v>173</v>
      </c>
      <c r="C14">
        <v>4.88</v>
      </c>
    </row>
    <row r="15" spans="1:12" ht="29.25" customHeight="1">
      <c r="A15" t="s">
        <v>327</v>
      </c>
      <c r="B15" t="s">
        <v>176</v>
      </c>
      <c r="C15">
        <f>117.6*C3/10^3</f>
        <v>37.749600000000001</v>
      </c>
    </row>
    <row r="16" spans="1:12">
      <c r="A16" t="s">
        <v>81</v>
      </c>
      <c r="B16" t="s">
        <v>176</v>
      </c>
      <c r="C16">
        <f>107*C4/10^3</f>
        <v>6.9550000000000001</v>
      </c>
    </row>
    <row r="17" spans="1:3">
      <c r="A17" t="s">
        <v>328</v>
      </c>
      <c r="B17" t="s">
        <v>176</v>
      </c>
      <c r="C17">
        <f>52.5*C5/10^3</f>
        <v>0.78749999999999998</v>
      </c>
    </row>
    <row r="18" spans="1:3">
      <c r="A18" t="s">
        <v>329</v>
      </c>
      <c r="B18" t="s">
        <v>176</v>
      </c>
      <c r="C18">
        <f>31.6*C6/10^3</f>
        <v>29.388000000000002</v>
      </c>
    </row>
    <row r="19" spans="1:3">
      <c r="A19" t="s">
        <v>330</v>
      </c>
      <c r="B19" t="s">
        <v>176</v>
      </c>
      <c r="C19">
        <f>31.1*C7/10^3</f>
        <v>24.6312</v>
      </c>
    </row>
    <row r="20" spans="1:3">
      <c r="A20" t="s">
        <v>84</v>
      </c>
      <c r="B20" t="s">
        <v>176</v>
      </c>
      <c r="C20">
        <f>322*C2/10^3</f>
        <v>0.15520400000000001</v>
      </c>
    </row>
    <row r="21" spans="1:3" ht="16.5" customHeight="1">
      <c r="A21" s="4" t="s">
        <v>331</v>
      </c>
      <c r="B21" t="s">
        <v>176</v>
      </c>
      <c r="C21">
        <f>2012*61.2/(50000*20)</f>
        <v>0.1231344</v>
      </c>
    </row>
    <row r="22" spans="1:3">
      <c r="A22" s="2" t="s">
        <v>189</v>
      </c>
      <c r="B22" s="2" t="s">
        <v>167</v>
      </c>
    </row>
    <row r="23" spans="1:3">
      <c r="A23" t="s">
        <v>56</v>
      </c>
      <c r="B23" t="s">
        <v>323</v>
      </c>
      <c r="C23">
        <v>1</v>
      </c>
    </row>
    <row r="24" spans="1:3">
      <c r="A24" t="s">
        <v>116</v>
      </c>
      <c r="B24" t="s">
        <v>321</v>
      </c>
      <c r="C24">
        <v>118.4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8"/>
  <sheetViews>
    <sheetView workbookViewId="0">
      <selection activeCell="F20" sqref="F20"/>
    </sheetView>
  </sheetViews>
  <sheetFormatPr defaultColWidth="11.42578125" defaultRowHeight="15"/>
  <cols>
    <col min="1" max="1" width="15" bestFit="1" customWidth="1"/>
    <col min="3" max="3" width="20.85546875" bestFit="1" customWidth="1"/>
    <col min="5" max="5" width="19.7109375" bestFit="1" customWidth="1"/>
    <col min="6" max="6" width="15.85546875" bestFit="1" customWidth="1"/>
    <col min="7" max="7" width="12.85546875" bestFit="1" customWidth="1"/>
  </cols>
  <sheetData>
    <row r="1" spans="1:7">
      <c r="C1" s="2" t="s">
        <v>332</v>
      </c>
      <c r="D1" s="2" t="s">
        <v>333</v>
      </c>
      <c r="E1" s="2" t="s">
        <v>334</v>
      </c>
      <c r="F1" s="2" t="s">
        <v>335</v>
      </c>
      <c r="G1" s="2" t="s">
        <v>336</v>
      </c>
    </row>
    <row r="2" spans="1:7">
      <c r="A2" s="2" t="s">
        <v>166</v>
      </c>
      <c r="B2" s="2" t="s">
        <v>167</v>
      </c>
    </row>
    <row r="3" spans="1:7">
      <c r="A3" t="s">
        <v>85</v>
      </c>
      <c r="B3" t="s">
        <v>169</v>
      </c>
      <c r="C3">
        <v>1000</v>
      </c>
      <c r="D3">
        <v>1000</v>
      </c>
      <c r="E3">
        <v>1000</v>
      </c>
      <c r="F3">
        <v>1000</v>
      </c>
      <c r="G3">
        <v>1000</v>
      </c>
    </row>
    <row r="4" spans="1:7">
      <c r="A4" t="s">
        <v>337</v>
      </c>
      <c r="B4" t="s">
        <v>169</v>
      </c>
      <c r="C4">
        <v>8633</v>
      </c>
      <c r="D4">
        <v>2309</v>
      </c>
      <c r="E4">
        <v>5632</v>
      </c>
      <c r="F4">
        <v>2279</v>
      </c>
      <c r="G4">
        <v>4216</v>
      </c>
    </row>
    <row r="5" spans="1:7">
      <c r="A5" t="s">
        <v>99</v>
      </c>
      <c r="B5" t="s">
        <v>169</v>
      </c>
      <c r="C5">
        <v>17984</v>
      </c>
      <c r="D5">
        <v>848</v>
      </c>
      <c r="E5">
        <v>25071</v>
      </c>
      <c r="F5">
        <v>12839</v>
      </c>
      <c r="G5">
        <v>11843</v>
      </c>
    </row>
    <row r="6" spans="1:7">
      <c r="A6" t="s">
        <v>148</v>
      </c>
      <c r="B6" t="s">
        <v>169</v>
      </c>
      <c r="C6">
        <v>1050</v>
      </c>
    </row>
    <row r="7" spans="1:7">
      <c r="A7" t="s">
        <v>62</v>
      </c>
      <c r="B7" t="s">
        <v>169</v>
      </c>
      <c r="C7">
        <v>966</v>
      </c>
    </row>
    <row r="8" spans="1:7">
      <c r="A8" t="s">
        <v>338</v>
      </c>
      <c r="B8" t="s">
        <v>169</v>
      </c>
      <c r="D8">
        <v>396</v>
      </c>
    </row>
    <row r="9" spans="1:7">
      <c r="A9" t="s">
        <v>339</v>
      </c>
      <c r="B9" t="s">
        <v>169</v>
      </c>
      <c r="E9">
        <v>1827</v>
      </c>
      <c r="G9">
        <v>766</v>
      </c>
    </row>
    <row r="10" spans="1:7">
      <c r="A10" t="s">
        <v>171</v>
      </c>
      <c r="B10" t="s">
        <v>169</v>
      </c>
      <c r="G10">
        <v>799</v>
      </c>
    </row>
    <row r="11" spans="1:7">
      <c r="A11" t="s">
        <v>340</v>
      </c>
      <c r="B11" t="s">
        <v>169</v>
      </c>
      <c r="F11">
        <v>1036</v>
      </c>
    </row>
    <row r="12" spans="1:7">
      <c r="A12" t="s">
        <v>341</v>
      </c>
      <c r="B12" t="s">
        <v>169</v>
      </c>
      <c r="F12">
        <v>449</v>
      </c>
    </row>
    <row r="13" spans="1:7">
      <c r="A13" t="s">
        <v>14</v>
      </c>
      <c r="B13" t="s">
        <v>199</v>
      </c>
      <c r="C13">
        <v>13936</v>
      </c>
      <c r="D13">
        <v>14237</v>
      </c>
      <c r="E13">
        <v>229962</v>
      </c>
      <c r="F13">
        <v>105349</v>
      </c>
      <c r="G13">
        <v>14760</v>
      </c>
    </row>
    <row r="15" spans="1:7">
      <c r="A15" s="2" t="s">
        <v>1</v>
      </c>
      <c r="C15" s="58" t="s">
        <v>342</v>
      </c>
      <c r="D15" s="58"/>
      <c r="E15" s="58"/>
      <c r="F15" s="58"/>
      <c r="G15" s="58"/>
    </row>
    <row r="18" spans="1:2">
      <c r="A18" s="2"/>
      <c r="B18" s="2"/>
    </row>
  </sheetData>
  <mergeCells count="1">
    <mergeCell ref="C15:G15"/>
  </mergeCells>
  <pageMargins left="0.7" right="0.7" top="0.78740157499999996" bottom="0.78740157499999996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</sheetPr>
  <dimension ref="A1:D26"/>
  <sheetViews>
    <sheetView topLeftCell="A2" workbookViewId="0">
      <selection activeCell="D18" sqref="D18:D20"/>
    </sheetView>
  </sheetViews>
  <sheetFormatPr defaultColWidth="11.42578125" defaultRowHeight="15"/>
  <cols>
    <col min="1" max="1" width="46.7109375" bestFit="1" customWidth="1"/>
    <col min="3" max="3" width="24.140625" bestFit="1" customWidth="1"/>
  </cols>
  <sheetData>
    <row r="1" spans="1:4">
      <c r="C1" s="2" t="s">
        <v>333</v>
      </c>
      <c r="D1" s="2" t="s">
        <v>343</v>
      </c>
    </row>
    <row r="2" spans="1:4">
      <c r="A2" s="2" t="s">
        <v>166</v>
      </c>
      <c r="B2" s="2" t="s">
        <v>167</v>
      </c>
    </row>
    <row r="3" spans="1:4">
      <c r="A3" t="s">
        <v>52</v>
      </c>
      <c r="B3" t="s">
        <v>169</v>
      </c>
      <c r="C3">
        <v>2100</v>
      </c>
      <c r="D3">
        <v>2100</v>
      </c>
    </row>
    <row r="4" spans="1:4">
      <c r="A4" t="s">
        <v>58</v>
      </c>
      <c r="B4" t="s">
        <v>169</v>
      </c>
      <c r="C4">
        <v>25</v>
      </c>
      <c r="D4">
        <v>25</v>
      </c>
    </row>
    <row r="5" spans="1:4">
      <c r="A5" t="s">
        <v>69</v>
      </c>
      <c r="B5" t="s">
        <v>169</v>
      </c>
      <c r="C5">
        <v>404</v>
      </c>
      <c r="D5">
        <v>404</v>
      </c>
    </row>
    <row r="6" spans="1:4">
      <c r="A6" t="s">
        <v>62</v>
      </c>
      <c r="B6" t="s">
        <v>169</v>
      </c>
      <c r="D6">
        <v>146.80000000000001</v>
      </c>
    </row>
    <row r="7" spans="1:4">
      <c r="A7" t="s">
        <v>148</v>
      </c>
      <c r="B7" t="s">
        <v>169</v>
      </c>
      <c r="D7">
        <v>161</v>
      </c>
    </row>
    <row r="8" spans="1:4">
      <c r="A8" t="s">
        <v>85</v>
      </c>
      <c r="B8" t="s">
        <v>169</v>
      </c>
      <c r="C8">
        <v>1000</v>
      </c>
      <c r="D8">
        <v>1000</v>
      </c>
    </row>
    <row r="9" spans="1:4">
      <c r="A9" t="s">
        <v>344</v>
      </c>
      <c r="B9" t="s">
        <v>173</v>
      </c>
      <c r="C9">
        <v>4.4000000000000004</v>
      </c>
      <c r="D9">
        <v>4.4000000000000004</v>
      </c>
    </row>
    <row r="10" spans="1:4">
      <c r="A10" t="s">
        <v>345</v>
      </c>
      <c r="B10" t="s">
        <v>173</v>
      </c>
      <c r="C10">
        <v>38</v>
      </c>
      <c r="D10">
        <v>38</v>
      </c>
    </row>
    <row r="11" spans="1:4">
      <c r="A11" t="s">
        <v>346</v>
      </c>
      <c r="B11" t="s">
        <v>199</v>
      </c>
      <c r="C11">
        <v>11900</v>
      </c>
    </row>
    <row r="12" spans="1:4">
      <c r="A12" t="s">
        <v>347</v>
      </c>
      <c r="B12" t="s">
        <v>173</v>
      </c>
      <c r="C12">
        <v>290</v>
      </c>
    </row>
    <row r="13" spans="1:4">
      <c r="A13" t="s">
        <v>348</v>
      </c>
      <c r="B13" t="s">
        <v>199</v>
      </c>
      <c r="D13">
        <v>2970</v>
      </c>
    </row>
    <row r="14" spans="1:4">
      <c r="A14" t="s">
        <v>349</v>
      </c>
      <c r="B14" t="s">
        <v>199</v>
      </c>
      <c r="D14">
        <v>8050</v>
      </c>
    </row>
    <row r="15" spans="1:4">
      <c r="A15" t="s">
        <v>54</v>
      </c>
      <c r="B15" t="s">
        <v>176</v>
      </c>
      <c r="C15">
        <f>100*C3/10^3</f>
        <v>210</v>
      </c>
    </row>
    <row r="16" spans="1:4">
      <c r="A16" s="2" t="s">
        <v>189</v>
      </c>
      <c r="B16" s="2" t="s">
        <v>167</v>
      </c>
    </row>
    <row r="17" spans="1:4">
      <c r="A17" t="s">
        <v>72</v>
      </c>
      <c r="B17" t="s">
        <v>169</v>
      </c>
      <c r="C17">
        <v>1915</v>
      </c>
      <c r="D17" s="5" t="s">
        <v>342</v>
      </c>
    </row>
    <row r="18" spans="1:4">
      <c r="A18" t="s">
        <v>350</v>
      </c>
      <c r="B18" t="s">
        <v>199</v>
      </c>
      <c r="C18">
        <v>15700</v>
      </c>
    </row>
    <row r="19" spans="1:4">
      <c r="A19" t="s">
        <v>351</v>
      </c>
      <c r="B19" t="s">
        <v>199</v>
      </c>
      <c r="C19">
        <v>1940</v>
      </c>
    </row>
    <row r="20" spans="1:4">
      <c r="A20" t="s">
        <v>352</v>
      </c>
      <c r="B20" t="s">
        <v>173</v>
      </c>
      <c r="C20">
        <v>79</v>
      </c>
    </row>
    <row r="21" spans="1:4">
      <c r="A21" t="s">
        <v>353</v>
      </c>
      <c r="B21" t="s">
        <v>199</v>
      </c>
      <c r="D21">
        <v>2200</v>
      </c>
    </row>
    <row r="22" spans="1:4">
      <c r="A22" t="s">
        <v>208</v>
      </c>
      <c r="B22" t="s">
        <v>169</v>
      </c>
      <c r="C22">
        <v>1000</v>
      </c>
      <c r="D22">
        <v>1000</v>
      </c>
    </row>
    <row r="26" spans="1:4">
      <c r="C26" s="36" t="s">
        <v>354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0.59999389629810485"/>
  </sheetPr>
  <dimension ref="A2:C28"/>
  <sheetViews>
    <sheetView topLeftCell="A7" workbookViewId="0">
      <selection activeCell="A19" sqref="A19"/>
    </sheetView>
  </sheetViews>
  <sheetFormatPr defaultColWidth="11.42578125" defaultRowHeight="15"/>
  <cols>
    <col min="1" max="1" width="54.42578125" customWidth="1"/>
    <col min="3" max="3" width="23.85546875" bestFit="1" customWidth="1"/>
  </cols>
  <sheetData>
    <row r="2" spans="1:3">
      <c r="A2" s="2" t="s">
        <v>0</v>
      </c>
      <c r="B2" s="2" t="s">
        <v>167</v>
      </c>
    </row>
    <row r="3" spans="1:3">
      <c r="A3" t="s">
        <v>52</v>
      </c>
      <c r="B3" t="s">
        <v>169</v>
      </c>
      <c r="C3">
        <v>2529</v>
      </c>
    </row>
    <row r="4" spans="1:3">
      <c r="A4" t="s">
        <v>85</v>
      </c>
      <c r="B4" t="s">
        <v>169</v>
      </c>
      <c r="C4">
        <v>1000</v>
      </c>
    </row>
    <row r="5" spans="1:3">
      <c r="A5" t="s">
        <v>355</v>
      </c>
      <c r="B5" t="s">
        <v>169</v>
      </c>
      <c r="C5">
        <v>38</v>
      </c>
    </row>
    <row r="6" spans="1:3">
      <c r="A6" t="s">
        <v>109</v>
      </c>
      <c r="B6" t="s">
        <v>201</v>
      </c>
      <c r="C6">
        <v>0.4</v>
      </c>
    </row>
    <row r="7" spans="1:3">
      <c r="A7" t="s">
        <v>356</v>
      </c>
      <c r="B7" t="s">
        <v>201</v>
      </c>
      <c r="C7">
        <v>0.92</v>
      </c>
    </row>
    <row r="8" spans="1:3">
      <c r="A8" t="s">
        <v>357</v>
      </c>
      <c r="B8" t="s">
        <v>169</v>
      </c>
      <c r="C8">
        <v>1.5</v>
      </c>
    </row>
    <row r="9" spans="1:3">
      <c r="A9" t="s">
        <v>358</v>
      </c>
      <c r="B9" t="s">
        <v>249</v>
      </c>
      <c r="C9">
        <v>2.94</v>
      </c>
    </row>
    <row r="10" spans="1:3">
      <c r="A10" t="s">
        <v>359</v>
      </c>
      <c r="B10" t="s">
        <v>173</v>
      </c>
      <c r="C10">
        <v>327</v>
      </c>
    </row>
    <row r="11" spans="1:3">
      <c r="A11" t="s">
        <v>360</v>
      </c>
      <c r="B11" t="s">
        <v>249</v>
      </c>
      <c r="C11">
        <v>3.5</v>
      </c>
    </row>
    <row r="12" spans="1:3">
      <c r="A12" t="s">
        <v>361</v>
      </c>
      <c r="B12" t="s">
        <v>173</v>
      </c>
      <c r="C12">
        <v>120</v>
      </c>
    </row>
    <row r="13" spans="1:3">
      <c r="A13" t="s">
        <v>362</v>
      </c>
      <c r="B13" t="s">
        <v>173</v>
      </c>
      <c r="C13">
        <v>42.4</v>
      </c>
    </row>
    <row r="14" spans="1:3">
      <c r="A14" t="s">
        <v>363</v>
      </c>
      <c r="B14" t="s">
        <v>176</v>
      </c>
      <c r="C14">
        <f>200*C3/10^3</f>
        <v>505.8</v>
      </c>
    </row>
    <row r="15" spans="1:3">
      <c r="A15" t="s">
        <v>94</v>
      </c>
      <c r="B15" t="s">
        <v>176</v>
      </c>
      <c r="C15">
        <f>200*C5/10^3</f>
        <v>7.6</v>
      </c>
    </row>
    <row r="16" spans="1:3">
      <c r="A16" t="s">
        <v>98</v>
      </c>
      <c r="B16" t="s">
        <v>176</v>
      </c>
      <c r="C16">
        <f>200*C8/10^3</f>
        <v>0.3</v>
      </c>
    </row>
    <row r="17" spans="1:3">
      <c r="A17" s="2" t="s">
        <v>364</v>
      </c>
    </row>
    <row r="18" spans="1:3">
      <c r="A18" t="s">
        <v>159</v>
      </c>
      <c r="B18" t="s">
        <v>169</v>
      </c>
      <c r="C18">
        <v>136.69999999999999</v>
      </c>
    </row>
    <row r="19" spans="1:3">
      <c r="A19" t="s">
        <v>365</v>
      </c>
      <c r="B19" t="s">
        <v>169</v>
      </c>
      <c r="C19">
        <v>0.45500000000000002</v>
      </c>
    </row>
    <row r="20" spans="1:3">
      <c r="A20" t="s">
        <v>366</v>
      </c>
      <c r="B20" t="s">
        <v>176</v>
      </c>
      <c r="C20">
        <v>547</v>
      </c>
    </row>
    <row r="21" spans="1:3">
      <c r="A21" s="2" t="s">
        <v>1</v>
      </c>
      <c r="B21" s="2" t="s">
        <v>167</v>
      </c>
    </row>
    <row r="22" spans="1:3">
      <c r="A22" t="s">
        <v>72</v>
      </c>
      <c r="B22" t="s">
        <v>169</v>
      </c>
      <c r="C22">
        <v>1915</v>
      </c>
    </row>
    <row r="23" spans="1:3">
      <c r="A23" t="s">
        <v>367</v>
      </c>
      <c r="B23" t="s">
        <v>169</v>
      </c>
      <c r="C23">
        <v>1000</v>
      </c>
    </row>
    <row r="24" spans="1:3">
      <c r="A24" t="s">
        <v>157</v>
      </c>
      <c r="B24" t="s">
        <v>169</v>
      </c>
      <c r="C24">
        <v>457</v>
      </c>
    </row>
    <row r="25" spans="1:3">
      <c r="A25" t="s">
        <v>358</v>
      </c>
      <c r="B25" t="s">
        <v>249</v>
      </c>
      <c r="C25">
        <v>0.55000000000000004</v>
      </c>
    </row>
    <row r="26" spans="1:3">
      <c r="A26" t="s">
        <v>359</v>
      </c>
      <c r="B26" t="s">
        <v>173</v>
      </c>
      <c r="C26">
        <v>66</v>
      </c>
    </row>
    <row r="28" spans="1:3">
      <c r="C28" s="36" t="s">
        <v>368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59999389629810485"/>
  </sheetPr>
  <dimension ref="A1:O74"/>
  <sheetViews>
    <sheetView topLeftCell="A14" zoomScale="90" zoomScaleNormal="90" workbookViewId="0">
      <selection activeCell="J31" sqref="J31:J34"/>
    </sheetView>
  </sheetViews>
  <sheetFormatPr defaultColWidth="11.42578125" defaultRowHeight="15"/>
  <cols>
    <col min="1" max="1" width="22.42578125" bestFit="1" customWidth="1"/>
    <col min="2" max="2" width="20.85546875" bestFit="1" customWidth="1"/>
    <col min="7" max="7" width="34.28515625" customWidth="1"/>
    <col min="8" max="8" width="21.42578125" bestFit="1" customWidth="1"/>
    <col min="12" max="12" width="22.140625" customWidth="1"/>
    <col min="13" max="13" width="14.7109375" customWidth="1"/>
  </cols>
  <sheetData>
    <row r="1" spans="1:15">
      <c r="A1" s="66" t="s">
        <v>369</v>
      </c>
      <c r="B1" s="66"/>
      <c r="C1" s="66"/>
      <c r="D1" s="66"/>
      <c r="F1" s="66" t="s">
        <v>370</v>
      </c>
      <c r="G1" s="66"/>
      <c r="H1" s="66"/>
      <c r="I1" s="66"/>
      <c r="J1" s="66"/>
      <c r="L1" s="66" t="s">
        <v>371</v>
      </c>
      <c r="M1" s="66"/>
      <c r="N1" s="66"/>
      <c r="O1" s="66"/>
    </row>
    <row r="2" spans="1:15">
      <c r="A2" s="2" t="s">
        <v>372</v>
      </c>
    </row>
    <row r="3" spans="1:15">
      <c r="A3" s="63" t="s">
        <v>0</v>
      </c>
      <c r="B3" s="63"/>
      <c r="C3" s="2" t="s">
        <v>167</v>
      </c>
      <c r="G3" s="63" t="s">
        <v>0</v>
      </c>
      <c r="H3" s="63"/>
      <c r="I3" s="2" t="s">
        <v>167</v>
      </c>
      <c r="L3" s="63" t="s">
        <v>0</v>
      </c>
      <c r="M3" s="63"/>
      <c r="N3" s="2" t="s">
        <v>167</v>
      </c>
    </row>
    <row r="4" spans="1:15">
      <c r="A4" s="65" t="s">
        <v>373</v>
      </c>
      <c r="B4" t="s">
        <v>99</v>
      </c>
      <c r="C4" t="s">
        <v>169</v>
      </c>
      <c r="D4">
        <v>82456.649999999994</v>
      </c>
      <c r="G4" s="65" t="s">
        <v>373</v>
      </c>
      <c r="H4" t="s">
        <v>99</v>
      </c>
      <c r="I4" t="s">
        <v>169</v>
      </c>
      <c r="J4">
        <v>82456.649999999994</v>
      </c>
      <c r="M4" t="s">
        <v>148</v>
      </c>
      <c r="N4" t="s">
        <v>169</v>
      </c>
      <c r="O4">
        <v>393.82</v>
      </c>
    </row>
    <row r="5" spans="1:15">
      <c r="A5" s="65"/>
      <c r="B5" t="s">
        <v>374</v>
      </c>
      <c r="C5" t="s">
        <v>169</v>
      </c>
      <c r="D5">
        <v>2843.35</v>
      </c>
      <c r="G5" s="65"/>
      <c r="H5" t="s">
        <v>374</v>
      </c>
      <c r="I5" t="s">
        <v>169</v>
      </c>
      <c r="J5">
        <v>2843.35</v>
      </c>
      <c r="M5" t="s">
        <v>50</v>
      </c>
      <c r="N5" t="s">
        <v>169</v>
      </c>
      <c r="O5">
        <v>810.74</v>
      </c>
    </row>
    <row r="6" spans="1:15">
      <c r="A6" s="65" t="s">
        <v>375</v>
      </c>
      <c r="B6" s="6" t="s">
        <v>148</v>
      </c>
      <c r="C6" t="s">
        <v>169</v>
      </c>
      <c r="D6">
        <v>772.16</v>
      </c>
      <c r="G6" s="65" t="s">
        <v>375</v>
      </c>
      <c r="H6" s="6" t="s">
        <v>148</v>
      </c>
      <c r="I6" t="s">
        <v>169</v>
      </c>
      <c r="J6">
        <v>772.16</v>
      </c>
      <c r="M6" t="s">
        <v>155</v>
      </c>
      <c r="N6" t="s">
        <v>169</v>
      </c>
      <c r="O6">
        <v>0.53</v>
      </c>
    </row>
    <row r="7" spans="1:15">
      <c r="A7" s="65"/>
      <c r="B7" s="6" t="s">
        <v>99</v>
      </c>
      <c r="C7" t="s">
        <v>169</v>
      </c>
      <c r="D7">
        <v>250.17</v>
      </c>
      <c r="G7" s="65"/>
      <c r="H7" s="6" t="s">
        <v>99</v>
      </c>
      <c r="I7" t="s">
        <v>169</v>
      </c>
      <c r="J7">
        <v>250.17</v>
      </c>
      <c r="M7" t="s">
        <v>99</v>
      </c>
      <c r="N7" t="s">
        <v>169</v>
      </c>
      <c r="O7">
        <v>21092.28</v>
      </c>
    </row>
    <row r="8" spans="1:15">
      <c r="B8" s="9" t="s">
        <v>8</v>
      </c>
      <c r="C8" t="s">
        <v>173</v>
      </c>
      <c r="D8">
        <v>0.34</v>
      </c>
      <c r="G8" s="6" t="s">
        <v>376</v>
      </c>
      <c r="H8" t="s">
        <v>99</v>
      </c>
      <c r="I8" t="s">
        <v>169</v>
      </c>
      <c r="J8">
        <v>875.33</v>
      </c>
      <c r="L8" s="65" t="s">
        <v>373</v>
      </c>
      <c r="M8" t="s">
        <v>99</v>
      </c>
      <c r="N8" t="s">
        <v>169</v>
      </c>
      <c r="O8">
        <v>82456.649999999994</v>
      </c>
    </row>
    <row r="9" spans="1:15">
      <c r="A9" s="63" t="s">
        <v>1</v>
      </c>
      <c r="B9" s="63"/>
      <c r="C9" s="2" t="s">
        <v>167</v>
      </c>
      <c r="G9" s="65" t="s">
        <v>377</v>
      </c>
      <c r="H9" t="s">
        <v>85</v>
      </c>
      <c r="I9" t="s">
        <v>169</v>
      </c>
      <c r="J9">
        <f>0.189*44/30.052*872.39</f>
        <v>241.40806734992682</v>
      </c>
      <c r="L9" s="65"/>
      <c r="M9" t="s">
        <v>378</v>
      </c>
      <c r="N9" t="s">
        <v>169</v>
      </c>
      <c r="O9">
        <v>2843.35</v>
      </c>
    </row>
    <row r="10" spans="1:15">
      <c r="A10" s="65" t="s">
        <v>379</v>
      </c>
      <c r="B10" t="s">
        <v>99</v>
      </c>
      <c r="C10" t="s">
        <v>169</v>
      </c>
      <c r="D10">
        <v>82456.649999999994</v>
      </c>
      <c r="G10" s="65"/>
      <c r="H10" t="s">
        <v>90</v>
      </c>
      <c r="I10" t="s">
        <v>169</v>
      </c>
      <c r="J10">
        <f>0.077*32/30.052*872.39</f>
        <v>71.528316251830162</v>
      </c>
      <c r="M10" t="s">
        <v>8</v>
      </c>
      <c r="N10" t="s">
        <v>173</v>
      </c>
      <c r="O10">
        <v>290.5</v>
      </c>
    </row>
    <row r="11" spans="1:15">
      <c r="A11" s="65"/>
      <c r="B11" t="s">
        <v>148</v>
      </c>
      <c r="C11" t="s">
        <v>169</v>
      </c>
      <c r="D11">
        <v>2870.9</v>
      </c>
      <c r="G11" s="65"/>
      <c r="H11" t="s">
        <v>99</v>
      </c>
      <c r="I11" t="s">
        <v>169</v>
      </c>
      <c r="J11">
        <f>0.128*18/30.052*872.39</f>
        <v>66.883620391321728</v>
      </c>
      <c r="M11" t="s">
        <v>14</v>
      </c>
      <c r="N11" t="s">
        <v>199</v>
      </c>
      <c r="O11">
        <v>3391.45</v>
      </c>
    </row>
    <row r="12" spans="1:15">
      <c r="A12" s="65" t="s">
        <v>380</v>
      </c>
      <c r="B12" t="s">
        <v>99</v>
      </c>
      <c r="C12" t="s">
        <v>169</v>
      </c>
      <c r="D12">
        <v>250.17</v>
      </c>
      <c r="G12" s="65"/>
      <c r="H12" t="s">
        <v>95</v>
      </c>
      <c r="I12" t="s">
        <v>169</v>
      </c>
      <c r="J12">
        <f>0.606*28/30.052*872.39</f>
        <v>492.56999600692131</v>
      </c>
      <c r="L12" s="63" t="s">
        <v>1</v>
      </c>
      <c r="M12" s="63"/>
      <c r="N12" s="2" t="s">
        <v>167</v>
      </c>
    </row>
    <row r="13" spans="1:15">
      <c r="A13" s="65"/>
      <c r="B13" t="s">
        <v>130</v>
      </c>
      <c r="C13" t="s">
        <v>169</v>
      </c>
      <c r="D13">
        <v>218.43</v>
      </c>
      <c r="H13" t="s">
        <v>8</v>
      </c>
      <c r="I13" t="s">
        <v>173</v>
      </c>
      <c r="J13">
        <f>SUM(D8,D25,D39,D57,D68)</f>
        <v>836.25600000000009</v>
      </c>
      <c r="M13" t="s">
        <v>62</v>
      </c>
      <c r="N13" t="s">
        <v>169</v>
      </c>
      <c r="O13">
        <v>414.82</v>
      </c>
    </row>
    <row r="14" spans="1:15">
      <c r="A14" s="65"/>
      <c r="B14" t="s">
        <v>132</v>
      </c>
      <c r="C14" t="s">
        <v>169</v>
      </c>
      <c r="D14">
        <v>104.06</v>
      </c>
      <c r="H14" t="s">
        <v>14</v>
      </c>
      <c r="I14" t="s">
        <v>199</v>
      </c>
      <c r="J14">
        <f>D69</f>
        <v>106668</v>
      </c>
      <c r="M14" t="s">
        <v>150</v>
      </c>
      <c r="N14" t="s">
        <v>169</v>
      </c>
      <c r="O14">
        <v>139.15</v>
      </c>
    </row>
    <row r="15" spans="1:15">
      <c r="A15" s="65"/>
      <c r="B15" t="s">
        <v>134</v>
      </c>
      <c r="C15" t="s">
        <v>169</v>
      </c>
      <c r="D15">
        <v>32.979999999999997</v>
      </c>
      <c r="G15" s="63" t="s">
        <v>1</v>
      </c>
      <c r="H15" s="63"/>
      <c r="I15" s="2" t="s">
        <v>167</v>
      </c>
      <c r="M15" t="s">
        <v>152</v>
      </c>
      <c r="N15" t="s">
        <v>169</v>
      </c>
      <c r="O15">
        <v>275.67</v>
      </c>
    </row>
    <row r="16" spans="1:15">
      <c r="A16" s="65"/>
      <c r="B16" t="s">
        <v>136</v>
      </c>
      <c r="C16" t="s">
        <v>169</v>
      </c>
      <c r="D16">
        <v>31.33</v>
      </c>
      <c r="G16" s="70" t="s">
        <v>381</v>
      </c>
      <c r="H16" t="s">
        <v>99</v>
      </c>
      <c r="I16" t="s">
        <v>169</v>
      </c>
      <c r="J16">
        <v>250.17</v>
      </c>
      <c r="M16" t="s">
        <v>155</v>
      </c>
      <c r="N16" t="s">
        <v>169</v>
      </c>
      <c r="O16">
        <v>0.53</v>
      </c>
    </row>
    <row r="17" spans="1:15">
      <c r="A17" s="65"/>
      <c r="B17" t="s">
        <v>139</v>
      </c>
      <c r="C17" t="s">
        <v>169</v>
      </c>
      <c r="D17">
        <v>50.62</v>
      </c>
      <c r="G17" s="70"/>
      <c r="H17" t="s">
        <v>130</v>
      </c>
      <c r="I17" t="s">
        <v>169</v>
      </c>
      <c r="J17">
        <v>218.43</v>
      </c>
      <c r="L17" s="64" t="s">
        <v>382</v>
      </c>
      <c r="M17" t="s">
        <v>99</v>
      </c>
      <c r="N17" t="s">
        <v>169</v>
      </c>
      <c r="O17">
        <v>81632.08</v>
      </c>
    </row>
    <row r="18" spans="1:15">
      <c r="A18" s="65"/>
      <c r="B18" t="s">
        <v>141</v>
      </c>
      <c r="C18" t="s">
        <v>169</v>
      </c>
      <c r="D18">
        <v>307.18</v>
      </c>
      <c r="G18" s="70"/>
      <c r="H18" t="s">
        <v>132</v>
      </c>
      <c r="I18" t="s">
        <v>169</v>
      </c>
      <c r="J18">
        <v>104.06</v>
      </c>
      <c r="L18" s="64"/>
      <c r="M18" t="s">
        <v>378</v>
      </c>
      <c r="N18" t="s">
        <v>169</v>
      </c>
      <c r="O18">
        <v>28.43</v>
      </c>
    </row>
    <row r="19" spans="1:15">
      <c r="G19" s="70"/>
      <c r="H19" t="s">
        <v>134</v>
      </c>
      <c r="I19" t="s">
        <v>169</v>
      </c>
      <c r="J19">
        <v>32.979999999999997</v>
      </c>
      <c r="L19" s="64" t="s">
        <v>383</v>
      </c>
      <c r="M19" t="s">
        <v>99</v>
      </c>
      <c r="N19" t="s">
        <v>169</v>
      </c>
      <c r="O19">
        <v>824.57</v>
      </c>
    </row>
    <row r="20" spans="1:15">
      <c r="A20" s="63" t="s">
        <v>384</v>
      </c>
      <c r="B20" s="63"/>
      <c r="G20" s="70"/>
      <c r="H20" t="s">
        <v>136</v>
      </c>
      <c r="I20" t="s">
        <v>169</v>
      </c>
      <c r="J20">
        <v>31.33</v>
      </c>
      <c r="L20" s="64"/>
      <c r="M20" t="s">
        <v>378</v>
      </c>
      <c r="N20" t="s">
        <v>169</v>
      </c>
      <c r="O20">
        <v>2814.92</v>
      </c>
    </row>
    <row r="21" spans="1:15">
      <c r="A21" s="63" t="s">
        <v>0</v>
      </c>
      <c r="B21" s="63"/>
      <c r="C21" s="2" t="s">
        <v>167</v>
      </c>
      <c r="G21" s="70"/>
      <c r="H21" t="s">
        <v>139</v>
      </c>
      <c r="I21" t="s">
        <v>169</v>
      </c>
      <c r="J21">
        <v>50.62</v>
      </c>
      <c r="L21" s="14"/>
    </row>
    <row r="22" spans="1:15">
      <c r="A22" s="65" t="s">
        <v>379</v>
      </c>
      <c r="B22" t="s">
        <v>99</v>
      </c>
      <c r="C22" t="s">
        <v>169</v>
      </c>
      <c r="D22">
        <v>82456.649999999994</v>
      </c>
      <c r="G22" s="70"/>
      <c r="H22" t="s">
        <v>141</v>
      </c>
      <c r="I22" t="s">
        <v>169</v>
      </c>
      <c r="J22">
        <v>307.18</v>
      </c>
    </row>
    <row r="23" spans="1:15">
      <c r="A23" s="65"/>
      <c r="B23" t="s">
        <v>148</v>
      </c>
      <c r="C23" t="s">
        <v>169</v>
      </c>
      <c r="D23">
        <v>2870.9</v>
      </c>
      <c r="G23" s="68" t="s">
        <v>385</v>
      </c>
      <c r="H23" s="6" t="s">
        <v>143</v>
      </c>
      <c r="I23" s="6" t="s">
        <v>169</v>
      </c>
      <c r="J23">
        <v>4.96</v>
      </c>
    </row>
    <row r="24" spans="1:15">
      <c r="A24" s="6" t="s">
        <v>376</v>
      </c>
      <c r="B24" t="s">
        <v>99</v>
      </c>
      <c r="C24" t="s">
        <v>169</v>
      </c>
      <c r="D24">
        <v>875.33</v>
      </c>
      <c r="G24" s="68"/>
      <c r="H24" s="6" t="s">
        <v>145</v>
      </c>
      <c r="I24" s="6" t="s">
        <v>169</v>
      </c>
      <c r="J24">
        <v>168.98</v>
      </c>
    </row>
    <row r="25" spans="1:15">
      <c r="B25" s="6" t="s">
        <v>8</v>
      </c>
      <c r="C25" s="6" t="s">
        <v>173</v>
      </c>
      <c r="D25">
        <v>540.34</v>
      </c>
      <c r="G25" s="67" t="s">
        <v>386</v>
      </c>
      <c r="H25" s="11" t="s">
        <v>99</v>
      </c>
      <c r="I25" s="6" t="s">
        <v>169</v>
      </c>
      <c r="J25">
        <v>81632.08</v>
      </c>
    </row>
    <row r="26" spans="1:15">
      <c r="A26" s="63" t="s">
        <v>1</v>
      </c>
      <c r="B26" s="63"/>
      <c r="C26" s="2" t="s">
        <v>167</v>
      </c>
      <c r="G26" s="67"/>
      <c r="H26" s="11" t="s">
        <v>148</v>
      </c>
      <c r="I26" s="6" t="s">
        <v>169</v>
      </c>
      <c r="J26">
        <v>25.87</v>
      </c>
    </row>
    <row r="27" spans="1:15">
      <c r="A27" s="61"/>
      <c r="B27" s="6" t="s">
        <v>387</v>
      </c>
      <c r="C27" s="6" t="s">
        <v>169</v>
      </c>
      <c r="D27">
        <v>983.51</v>
      </c>
      <c r="G27" s="68" t="s">
        <v>388</v>
      </c>
      <c r="H27" s="11" t="s">
        <v>389</v>
      </c>
      <c r="I27" s="6" t="s">
        <v>169</v>
      </c>
      <c r="J27">
        <v>824.57</v>
      </c>
    </row>
    <row r="28" spans="1:15">
      <c r="A28" s="61"/>
      <c r="B28" s="6" t="s">
        <v>171</v>
      </c>
      <c r="C28" s="6" t="s">
        <v>169</v>
      </c>
      <c r="D28">
        <v>196.72</v>
      </c>
      <c r="G28" s="68"/>
      <c r="H28" s="11" t="s">
        <v>148</v>
      </c>
      <c r="I28" s="6" t="s">
        <v>169</v>
      </c>
      <c r="J28">
        <v>2561.69</v>
      </c>
    </row>
    <row r="29" spans="1:15">
      <c r="A29" s="61"/>
      <c r="B29" s="6" t="s">
        <v>99</v>
      </c>
      <c r="C29" s="6" t="s">
        <v>169</v>
      </c>
      <c r="D29">
        <v>786.79</v>
      </c>
      <c r="G29" t="s">
        <v>390</v>
      </c>
      <c r="H29" t="s">
        <v>99</v>
      </c>
      <c r="I29" t="s">
        <v>169</v>
      </c>
      <c r="J29">
        <v>52.58</v>
      </c>
    </row>
    <row r="30" spans="1:15">
      <c r="A30" s="61"/>
      <c r="B30" s="6" t="s">
        <v>143</v>
      </c>
      <c r="C30" s="6" t="s">
        <v>169</v>
      </c>
      <c r="D30">
        <v>4.96</v>
      </c>
      <c r="G30" t="s">
        <v>391</v>
      </c>
      <c r="H30" s="12" t="s">
        <v>392</v>
      </c>
      <c r="I30" s="6" t="s">
        <v>169</v>
      </c>
      <c r="J30">
        <v>414.82</v>
      </c>
    </row>
    <row r="31" spans="1:15">
      <c r="A31" s="61"/>
      <c r="B31" s="6" t="s">
        <v>145</v>
      </c>
      <c r="C31" s="6" t="s">
        <v>169</v>
      </c>
      <c r="D31">
        <v>168.98</v>
      </c>
      <c r="G31" s="61" t="s">
        <v>102</v>
      </c>
      <c r="H31" s="12" t="s">
        <v>85</v>
      </c>
      <c r="I31" s="6" t="s">
        <v>169</v>
      </c>
      <c r="J31">
        <v>24.14</v>
      </c>
    </row>
    <row r="32" spans="1:15">
      <c r="A32" s="64" t="s">
        <v>393</v>
      </c>
      <c r="B32" s="6" t="s">
        <v>99</v>
      </c>
      <c r="C32" s="6" t="s">
        <v>169</v>
      </c>
      <c r="D32">
        <v>82456.649999999994</v>
      </c>
      <c r="G32" s="61"/>
      <c r="H32" t="s">
        <v>90</v>
      </c>
      <c r="I32" t="s">
        <v>169</v>
      </c>
      <c r="J32">
        <v>71.53</v>
      </c>
    </row>
    <row r="33" spans="1:10">
      <c r="A33" s="64"/>
      <c r="B33" s="6" t="s">
        <v>148</v>
      </c>
      <c r="C33" s="6" t="s">
        <v>169</v>
      </c>
      <c r="D33">
        <v>2587.5700000000002</v>
      </c>
      <c r="G33" s="61"/>
      <c r="H33" t="s">
        <v>95</v>
      </c>
      <c r="I33" t="s">
        <v>169</v>
      </c>
      <c r="J33">
        <v>492.57</v>
      </c>
    </row>
    <row r="34" spans="1:10" ht="15" customHeight="1">
      <c r="G34" s="61"/>
      <c r="H34" t="s">
        <v>99</v>
      </c>
      <c r="I34" t="s">
        <v>169</v>
      </c>
      <c r="J34">
        <v>104.91</v>
      </c>
    </row>
    <row r="35" spans="1:10">
      <c r="A35" s="63" t="s">
        <v>394</v>
      </c>
      <c r="B35" s="63"/>
      <c r="G35" s="61" t="s">
        <v>395</v>
      </c>
      <c r="H35" s="12" t="s">
        <v>396</v>
      </c>
      <c r="I35" s="6" t="s">
        <v>169</v>
      </c>
      <c r="J35">
        <v>41.34</v>
      </c>
    </row>
    <row r="36" spans="1:10">
      <c r="A36" s="63" t="s">
        <v>0</v>
      </c>
      <c r="B36" s="63"/>
      <c r="C36" s="2" t="s">
        <v>167</v>
      </c>
      <c r="G36" s="61"/>
      <c r="H36" s="12" t="s">
        <v>397</v>
      </c>
      <c r="I36" s="6" t="s">
        <v>169</v>
      </c>
      <c r="J36">
        <v>654.32000000000005</v>
      </c>
    </row>
    <row r="37" spans="1:10">
      <c r="A37" s="64" t="s">
        <v>393</v>
      </c>
      <c r="B37" s="6" t="s">
        <v>99</v>
      </c>
      <c r="C37" s="6" t="s">
        <v>169</v>
      </c>
      <c r="D37">
        <v>82456.649999999994</v>
      </c>
    </row>
    <row r="38" spans="1:10">
      <c r="A38" s="64"/>
      <c r="B38" s="6" t="s">
        <v>148</v>
      </c>
      <c r="C38" s="6" t="s">
        <v>169</v>
      </c>
      <c r="D38">
        <v>2587.5700000000002</v>
      </c>
    </row>
    <row r="39" spans="1:10">
      <c r="B39" s="10" t="s">
        <v>8</v>
      </c>
      <c r="C39" s="6" t="s">
        <v>173</v>
      </c>
      <c r="D39">
        <v>265.87</v>
      </c>
    </row>
    <row r="40" spans="1:10">
      <c r="A40" s="63" t="s">
        <v>1</v>
      </c>
      <c r="B40" s="63"/>
      <c r="C40" s="2" t="s">
        <v>167</v>
      </c>
    </row>
    <row r="41" spans="1:10">
      <c r="A41" s="64" t="s">
        <v>398</v>
      </c>
      <c r="B41" s="11" t="s">
        <v>99</v>
      </c>
      <c r="C41" s="6" t="s">
        <v>169</v>
      </c>
      <c r="D41">
        <v>81632.08</v>
      </c>
    </row>
    <row r="42" spans="1:10">
      <c r="A42" s="64"/>
      <c r="B42" s="11" t="s">
        <v>148</v>
      </c>
      <c r="C42" s="6" t="s">
        <v>169</v>
      </c>
      <c r="D42">
        <v>25.87</v>
      </c>
      <c r="G42" s="13" t="s">
        <v>399</v>
      </c>
    </row>
    <row r="43" spans="1:10">
      <c r="A43" s="64" t="s">
        <v>400</v>
      </c>
      <c r="B43" s="11" t="s">
        <v>99</v>
      </c>
      <c r="C43" s="6" t="s">
        <v>169</v>
      </c>
      <c r="D43">
        <v>824.57</v>
      </c>
      <c r="G43" s="69" t="s">
        <v>401</v>
      </c>
    </row>
    <row r="44" spans="1:10">
      <c r="A44" s="64"/>
      <c r="B44" s="11" t="s">
        <v>148</v>
      </c>
      <c r="C44" s="6" t="s">
        <v>169</v>
      </c>
      <c r="D44">
        <v>2561.69</v>
      </c>
      <c r="G44" s="69"/>
    </row>
    <row r="45" spans="1:10">
      <c r="G45" s="4"/>
    </row>
    <row r="46" spans="1:10" ht="15.95">
      <c r="A46" s="63" t="s">
        <v>402</v>
      </c>
      <c r="B46" s="63"/>
      <c r="G46" s="37" t="s">
        <v>272</v>
      </c>
    </row>
    <row r="47" spans="1:10">
      <c r="A47" s="63" t="s">
        <v>0</v>
      </c>
      <c r="B47" s="63"/>
      <c r="C47" s="2" t="s">
        <v>167</v>
      </c>
    </row>
    <row r="48" spans="1:10">
      <c r="A48" s="64" t="s">
        <v>400</v>
      </c>
      <c r="B48" s="11" t="s">
        <v>99</v>
      </c>
      <c r="C48" s="6" t="s">
        <v>169</v>
      </c>
      <c r="D48">
        <v>824.57</v>
      </c>
    </row>
    <row r="49" spans="1:4">
      <c r="A49" s="64"/>
      <c r="B49" s="11" t="s">
        <v>148</v>
      </c>
      <c r="C49" s="6" t="s">
        <v>169</v>
      </c>
      <c r="D49">
        <v>2561.69</v>
      </c>
    </row>
    <row r="50" spans="1:4">
      <c r="A50" s="63" t="s">
        <v>1</v>
      </c>
      <c r="B50" s="63"/>
      <c r="C50" s="2" t="s">
        <v>167</v>
      </c>
    </row>
    <row r="51" spans="1:4">
      <c r="B51" s="11" t="s">
        <v>389</v>
      </c>
      <c r="C51" s="6" t="s">
        <v>169</v>
      </c>
      <c r="D51">
        <v>824.57</v>
      </c>
    </row>
    <row r="52" spans="1:4">
      <c r="B52" s="11" t="s">
        <v>148</v>
      </c>
      <c r="C52" s="6" t="s">
        <v>169</v>
      </c>
      <c r="D52">
        <v>2561.69</v>
      </c>
    </row>
    <row r="54" spans="1:4">
      <c r="A54" s="63" t="s">
        <v>403</v>
      </c>
      <c r="B54" s="63"/>
    </row>
    <row r="55" spans="1:4">
      <c r="A55" s="63" t="s">
        <v>0</v>
      </c>
      <c r="B55" s="63"/>
      <c r="C55" s="2" t="s">
        <v>167</v>
      </c>
    </row>
    <row r="56" spans="1:4">
      <c r="B56" t="s">
        <v>377</v>
      </c>
      <c r="C56" t="s">
        <v>169</v>
      </c>
      <c r="D56">
        <v>872.39</v>
      </c>
    </row>
    <row r="57" spans="1:4">
      <c r="B57" t="s">
        <v>404</v>
      </c>
      <c r="C57" t="s">
        <v>173</v>
      </c>
      <c r="D57">
        <v>6.0000000000000001E-3</v>
      </c>
    </row>
    <row r="58" spans="1:4">
      <c r="A58" s="63" t="s">
        <v>1</v>
      </c>
      <c r="B58" s="63"/>
      <c r="C58" s="2" t="s">
        <v>167</v>
      </c>
    </row>
    <row r="59" spans="1:4">
      <c r="B59" t="s">
        <v>405</v>
      </c>
      <c r="C59" t="s">
        <v>169</v>
      </c>
      <c r="D59">
        <v>820.11</v>
      </c>
    </row>
    <row r="60" spans="1:4">
      <c r="B60" t="s">
        <v>406</v>
      </c>
      <c r="C60" t="s">
        <v>169</v>
      </c>
      <c r="D60">
        <v>52.58</v>
      </c>
    </row>
    <row r="62" spans="1:4">
      <c r="A62" s="63" t="s">
        <v>407</v>
      </c>
      <c r="B62" s="63"/>
      <c r="C62" s="2"/>
    </row>
    <row r="63" spans="1:4">
      <c r="A63" s="63" t="s">
        <v>0</v>
      </c>
      <c r="B63" s="63"/>
      <c r="C63" s="2" t="s">
        <v>167</v>
      </c>
    </row>
    <row r="64" spans="1:4">
      <c r="B64" t="s">
        <v>405</v>
      </c>
      <c r="C64" t="s">
        <v>169</v>
      </c>
      <c r="D64">
        <v>820.11</v>
      </c>
    </row>
    <row r="65" spans="1:4">
      <c r="A65" s="61"/>
      <c r="B65" s="6" t="s">
        <v>387</v>
      </c>
      <c r="C65" s="6" t="s">
        <v>169</v>
      </c>
      <c r="D65">
        <v>983.51</v>
      </c>
    </row>
    <row r="66" spans="1:4">
      <c r="A66" s="61"/>
      <c r="B66" s="6" t="s">
        <v>171</v>
      </c>
      <c r="C66" s="6" t="s">
        <v>169</v>
      </c>
      <c r="D66">
        <v>196.72</v>
      </c>
    </row>
    <row r="67" spans="1:4">
      <c r="A67" s="61"/>
      <c r="B67" s="6" t="s">
        <v>99</v>
      </c>
      <c r="C67" s="6" t="s">
        <v>169</v>
      </c>
      <c r="D67">
        <v>786.79</v>
      </c>
    </row>
    <row r="68" spans="1:4">
      <c r="B68" s="6" t="s">
        <v>404</v>
      </c>
      <c r="C68" s="6" t="s">
        <v>173</v>
      </c>
      <c r="D68">
        <v>29.7</v>
      </c>
    </row>
    <row r="69" spans="1:4">
      <c r="B69" s="6" t="s">
        <v>408</v>
      </c>
      <c r="C69" s="6" t="s">
        <v>199</v>
      </c>
      <c r="D69">
        <v>106668</v>
      </c>
    </row>
    <row r="70" spans="1:4">
      <c r="A70" s="63" t="s">
        <v>1</v>
      </c>
      <c r="B70" s="63"/>
      <c r="C70" s="2" t="s">
        <v>167</v>
      </c>
    </row>
    <row r="71" spans="1:4">
      <c r="B71" s="12" t="s">
        <v>392</v>
      </c>
      <c r="C71" s="6" t="s">
        <v>169</v>
      </c>
      <c r="D71">
        <v>414.82</v>
      </c>
    </row>
    <row r="72" spans="1:4">
      <c r="B72" s="12" t="s">
        <v>102</v>
      </c>
      <c r="C72" s="6" t="s">
        <v>169</v>
      </c>
      <c r="D72">
        <v>693.15</v>
      </c>
    </row>
    <row r="73" spans="1:4">
      <c r="B73" s="12" t="s">
        <v>396</v>
      </c>
      <c r="C73" s="6" t="s">
        <v>169</v>
      </c>
      <c r="D73">
        <v>41.34</v>
      </c>
    </row>
    <row r="74" spans="1:4">
      <c r="B74" s="12" t="s">
        <v>409</v>
      </c>
      <c r="C74" s="6" t="s">
        <v>169</v>
      </c>
      <c r="D74">
        <v>654.32000000000005</v>
      </c>
    </row>
  </sheetData>
  <mergeCells count="50">
    <mergeCell ref="L19:L20"/>
    <mergeCell ref="G25:G26"/>
    <mergeCell ref="G27:G28"/>
    <mergeCell ref="G43:G44"/>
    <mergeCell ref="G35:G36"/>
    <mergeCell ref="G16:G22"/>
    <mergeCell ref="G23:G24"/>
    <mergeCell ref="G31:G34"/>
    <mergeCell ref="L1:O1"/>
    <mergeCell ref="L3:M3"/>
    <mergeCell ref="L8:L9"/>
    <mergeCell ref="L12:M12"/>
    <mergeCell ref="L17:L18"/>
    <mergeCell ref="A1:D1"/>
    <mergeCell ref="A47:B47"/>
    <mergeCell ref="A48:A49"/>
    <mergeCell ref="A50:B50"/>
    <mergeCell ref="A26:B26"/>
    <mergeCell ref="A27:A29"/>
    <mergeCell ref="A32:A33"/>
    <mergeCell ref="G3:H3"/>
    <mergeCell ref="G4:G5"/>
    <mergeCell ref="G6:G7"/>
    <mergeCell ref="F1:J1"/>
    <mergeCell ref="A46:B46"/>
    <mergeCell ref="G9:G12"/>
    <mergeCell ref="A3:B3"/>
    <mergeCell ref="A30:A31"/>
    <mergeCell ref="A9:B9"/>
    <mergeCell ref="A10:A11"/>
    <mergeCell ref="A12:A18"/>
    <mergeCell ref="A4:A5"/>
    <mergeCell ref="A6:A7"/>
    <mergeCell ref="A20:B20"/>
    <mergeCell ref="A22:A23"/>
    <mergeCell ref="A21:B21"/>
    <mergeCell ref="G15:H15"/>
    <mergeCell ref="A70:B70"/>
    <mergeCell ref="A62:B62"/>
    <mergeCell ref="A63:B63"/>
    <mergeCell ref="A65:A67"/>
    <mergeCell ref="A35:B35"/>
    <mergeCell ref="A36:B36"/>
    <mergeCell ref="A37:A38"/>
    <mergeCell ref="A40:B40"/>
    <mergeCell ref="A43:A44"/>
    <mergeCell ref="A54:B54"/>
    <mergeCell ref="A55:B55"/>
    <mergeCell ref="A58:B58"/>
    <mergeCell ref="A41:A42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F16"/>
  <sheetViews>
    <sheetView workbookViewId="0">
      <selection activeCell="C27" sqref="C27:D27"/>
    </sheetView>
  </sheetViews>
  <sheetFormatPr defaultColWidth="11.42578125" defaultRowHeight="15"/>
  <cols>
    <col min="1" max="1" width="33.140625" bestFit="1" customWidth="1"/>
    <col min="2" max="2" width="7.42578125" customWidth="1"/>
    <col min="3" max="3" width="9.85546875" bestFit="1" customWidth="1"/>
    <col min="4" max="5" width="9.42578125" bestFit="1" customWidth="1"/>
    <col min="6" max="6" width="18.7109375" bestFit="1" customWidth="1"/>
  </cols>
  <sheetData>
    <row r="1" spans="1:6">
      <c r="A1" s="2" t="s">
        <v>166</v>
      </c>
      <c r="B1" s="2" t="s">
        <v>167</v>
      </c>
      <c r="C1" s="32" t="s">
        <v>168</v>
      </c>
      <c r="D1" s="2" t="s">
        <v>12</v>
      </c>
      <c r="E1" s="2" t="s">
        <v>23</v>
      </c>
      <c r="F1" s="2" t="s">
        <v>32</v>
      </c>
    </row>
    <row r="2" spans="1:6">
      <c r="A2" t="s">
        <v>18</v>
      </c>
      <c r="B2" t="s">
        <v>169</v>
      </c>
      <c r="C2" s="33">
        <v>39</v>
      </c>
      <c r="D2">
        <v>101</v>
      </c>
      <c r="E2">
        <v>101</v>
      </c>
      <c r="F2" t="s">
        <v>170</v>
      </c>
    </row>
    <row r="3" spans="1:6">
      <c r="A3" t="s">
        <v>171</v>
      </c>
      <c r="B3" t="s">
        <v>169</v>
      </c>
      <c r="C3" s="34">
        <v>1.4</v>
      </c>
      <c r="D3" t="s">
        <v>170</v>
      </c>
      <c r="E3" t="s">
        <v>170</v>
      </c>
      <c r="F3" t="s">
        <v>170</v>
      </c>
    </row>
    <row r="4" spans="1:6">
      <c r="A4" t="s">
        <v>172</v>
      </c>
      <c r="B4" t="s">
        <v>169</v>
      </c>
      <c r="C4" s="33">
        <v>3</v>
      </c>
      <c r="D4" t="s">
        <v>170</v>
      </c>
      <c r="E4" t="s">
        <v>170</v>
      </c>
      <c r="F4" t="s">
        <v>170</v>
      </c>
    </row>
    <row r="5" spans="1:6">
      <c r="A5" t="s">
        <v>140</v>
      </c>
      <c r="B5" t="s">
        <v>169</v>
      </c>
      <c r="C5" s="33">
        <v>60</v>
      </c>
      <c r="D5">
        <v>101</v>
      </c>
      <c r="E5">
        <v>101</v>
      </c>
      <c r="F5">
        <v>108</v>
      </c>
    </row>
    <row r="6" spans="1:6">
      <c r="A6" t="s">
        <v>8</v>
      </c>
      <c r="B6" t="s">
        <v>173</v>
      </c>
      <c r="C6" s="33">
        <v>0.04</v>
      </c>
      <c r="D6" t="s">
        <v>170</v>
      </c>
      <c r="E6">
        <v>62</v>
      </c>
      <c r="F6" t="s">
        <v>170</v>
      </c>
    </row>
    <row r="7" spans="1:6">
      <c r="A7" t="s">
        <v>174</v>
      </c>
      <c r="B7" t="s">
        <v>169</v>
      </c>
      <c r="C7" s="33">
        <v>0.7</v>
      </c>
      <c r="D7">
        <v>2</v>
      </c>
      <c r="E7">
        <v>2</v>
      </c>
      <c r="F7" t="s">
        <v>170</v>
      </c>
    </row>
    <row r="8" spans="1:6">
      <c r="A8" t="s">
        <v>109</v>
      </c>
      <c r="B8" t="s">
        <v>169</v>
      </c>
      <c r="C8" s="33" t="s">
        <v>170</v>
      </c>
      <c r="D8">
        <v>19</v>
      </c>
      <c r="E8">
        <v>19</v>
      </c>
      <c r="F8" t="s">
        <v>170</v>
      </c>
    </row>
    <row r="9" spans="1:6">
      <c r="A9" t="s">
        <v>85</v>
      </c>
      <c r="B9" t="s">
        <v>169</v>
      </c>
      <c r="C9" s="33" t="s">
        <v>170</v>
      </c>
      <c r="D9">
        <v>17.399999999999999</v>
      </c>
      <c r="E9">
        <v>17.399999999999999</v>
      </c>
      <c r="F9" t="s">
        <v>170</v>
      </c>
    </row>
    <row r="10" spans="1:6">
      <c r="A10" t="s">
        <v>126</v>
      </c>
      <c r="B10" t="s">
        <v>169</v>
      </c>
      <c r="C10" s="33" t="s">
        <v>170</v>
      </c>
      <c r="D10" t="s">
        <v>170</v>
      </c>
      <c r="E10" t="s">
        <v>170</v>
      </c>
      <c r="F10">
        <v>20</v>
      </c>
    </row>
    <row r="11" spans="1:6">
      <c r="A11" t="s">
        <v>175</v>
      </c>
      <c r="B11" t="s">
        <v>176</v>
      </c>
      <c r="C11" s="33">
        <f>10*C2/10^3</f>
        <v>0.39</v>
      </c>
      <c r="D11">
        <f t="shared" ref="D11" si="0">10*D2/10^3</f>
        <v>1.01</v>
      </c>
      <c r="E11">
        <f>10*E2/10^3</f>
        <v>1.01</v>
      </c>
      <c r="F11" t="s">
        <v>170</v>
      </c>
    </row>
    <row r="12" spans="1:6">
      <c r="A12" t="s">
        <v>177</v>
      </c>
      <c r="B12" t="s">
        <v>176</v>
      </c>
      <c r="C12" s="33">
        <f>50*C5/10^3</f>
        <v>3</v>
      </c>
      <c r="D12" s="35"/>
      <c r="E12" s="35"/>
      <c r="F12">
        <f t="shared" ref="F12" si="1">50*F5/10^3</f>
        <v>5.4</v>
      </c>
    </row>
    <row r="13" spans="1:6">
      <c r="A13" t="s">
        <v>178</v>
      </c>
      <c r="B13" t="s">
        <v>179</v>
      </c>
      <c r="C13" s="33">
        <f>50*C2/10^3</f>
        <v>1.95</v>
      </c>
      <c r="D13">
        <f t="shared" ref="D13:E13" si="2">50*D2/10^3</f>
        <v>5.05</v>
      </c>
      <c r="E13">
        <f t="shared" si="2"/>
        <v>5.05</v>
      </c>
      <c r="F13" t="s">
        <v>170</v>
      </c>
    </row>
    <row r="14" spans="1:6">
      <c r="A14" t="s">
        <v>180</v>
      </c>
      <c r="B14" t="s">
        <v>176</v>
      </c>
      <c r="C14" s="33" t="s">
        <v>170</v>
      </c>
      <c r="D14" t="s">
        <v>170</v>
      </c>
      <c r="E14" t="s">
        <v>170</v>
      </c>
      <c r="F14">
        <f>50*F10/10^3</f>
        <v>1</v>
      </c>
    </row>
    <row r="15" spans="1:6">
      <c r="A15" s="2" t="s">
        <v>1</v>
      </c>
      <c r="B15" s="2" t="s">
        <v>167</v>
      </c>
      <c r="C15" s="32" t="s">
        <v>168</v>
      </c>
      <c r="D15" s="2" t="s">
        <v>12</v>
      </c>
      <c r="E15" s="2" t="s">
        <v>23</v>
      </c>
      <c r="F15" s="2" t="s">
        <v>32</v>
      </c>
    </row>
    <row r="16" spans="1:6">
      <c r="A16" t="s">
        <v>181</v>
      </c>
      <c r="B16" t="s">
        <v>169</v>
      </c>
      <c r="C16" s="33">
        <v>111</v>
      </c>
      <c r="D16">
        <v>107</v>
      </c>
      <c r="E16">
        <v>107</v>
      </c>
      <c r="F16">
        <v>134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59999389629810485"/>
  </sheetPr>
  <dimension ref="A1:O21"/>
  <sheetViews>
    <sheetView workbookViewId="0">
      <selection activeCell="E25" sqref="E25"/>
    </sheetView>
  </sheetViews>
  <sheetFormatPr defaultColWidth="11.42578125" defaultRowHeight="15"/>
  <cols>
    <col min="1" max="1" width="25" bestFit="1" customWidth="1"/>
    <col min="5" max="5" width="25" bestFit="1" customWidth="1"/>
    <col min="7" max="7" width="13.42578125" bestFit="1" customWidth="1"/>
    <col min="9" max="9" width="29.42578125" customWidth="1"/>
    <col min="10" max="10" width="14.28515625" customWidth="1"/>
    <col min="11" max="11" width="11.85546875" customWidth="1"/>
    <col min="13" max="13" width="32.85546875" customWidth="1"/>
    <col min="14" max="14" width="13" customWidth="1"/>
  </cols>
  <sheetData>
    <row r="1" spans="1:15">
      <c r="A1" s="66" t="s">
        <v>410</v>
      </c>
      <c r="B1" s="66"/>
      <c r="C1" s="66"/>
      <c r="E1" s="66" t="s">
        <v>411</v>
      </c>
      <c r="F1" s="66"/>
      <c r="G1" s="66"/>
      <c r="I1" s="66" t="s">
        <v>412</v>
      </c>
      <c r="J1" s="66"/>
      <c r="K1" s="66"/>
      <c r="M1" s="66" t="s">
        <v>413</v>
      </c>
      <c r="N1" s="66"/>
      <c r="O1" s="66"/>
    </row>
    <row r="2" spans="1:15">
      <c r="A2" s="2" t="s">
        <v>0</v>
      </c>
      <c r="B2" s="2" t="s">
        <v>167</v>
      </c>
      <c r="E2" s="2" t="s">
        <v>0</v>
      </c>
      <c r="F2" s="2" t="s">
        <v>167</v>
      </c>
      <c r="I2" s="2" t="s">
        <v>0</v>
      </c>
      <c r="J2" s="2" t="s">
        <v>167</v>
      </c>
      <c r="M2" s="2" t="s">
        <v>0</v>
      </c>
      <c r="N2" s="2" t="s">
        <v>167</v>
      </c>
    </row>
    <row r="3" spans="1:15">
      <c r="A3" t="s">
        <v>151</v>
      </c>
      <c r="B3" t="s">
        <v>414</v>
      </c>
      <c r="C3">
        <v>321.48</v>
      </c>
      <c r="E3" t="s">
        <v>151</v>
      </c>
      <c r="F3" t="s">
        <v>414</v>
      </c>
      <c r="G3">
        <v>359.15</v>
      </c>
      <c r="I3" t="s">
        <v>151</v>
      </c>
      <c r="J3" t="s">
        <v>414</v>
      </c>
      <c r="K3">
        <v>359.15</v>
      </c>
      <c r="M3" t="s">
        <v>151</v>
      </c>
      <c r="N3" t="s">
        <v>414</v>
      </c>
      <c r="O3">
        <v>359.15</v>
      </c>
    </row>
    <row r="4" spans="1:15">
      <c r="A4" t="s">
        <v>415</v>
      </c>
      <c r="B4" t="s">
        <v>414</v>
      </c>
      <c r="C4" s="25">
        <f>0.2958*44/31.9908*1.56</f>
        <v>0.63467346862222884</v>
      </c>
      <c r="E4" t="s">
        <v>415</v>
      </c>
      <c r="F4" t="s">
        <v>414</v>
      </c>
      <c r="G4" s="25">
        <f>0.2958*44/31.9908*1.56</f>
        <v>0.63467346862222884</v>
      </c>
      <c r="I4" t="s">
        <v>148</v>
      </c>
      <c r="J4" t="s">
        <v>414</v>
      </c>
      <c r="K4">
        <v>0.97</v>
      </c>
      <c r="M4" t="s">
        <v>107</v>
      </c>
      <c r="N4" t="s">
        <v>414</v>
      </c>
      <c r="O4">
        <v>0.9</v>
      </c>
    </row>
    <row r="5" spans="1:15">
      <c r="A5" t="s">
        <v>416</v>
      </c>
      <c r="B5" t="s">
        <v>414</v>
      </c>
      <c r="C5" s="25">
        <f>0.112*18/31.9908*1.56</f>
        <v>9.8308263625792411E-2</v>
      </c>
      <c r="E5" t="s">
        <v>416</v>
      </c>
      <c r="F5" t="s">
        <v>414</v>
      </c>
      <c r="G5" s="25">
        <f>0.112*18/31.9908*1.56</f>
        <v>9.8308263625792411E-2</v>
      </c>
      <c r="I5" t="s">
        <v>99</v>
      </c>
      <c r="J5" t="s">
        <v>414</v>
      </c>
      <c r="K5">
        <v>2.85</v>
      </c>
      <c r="M5" t="s">
        <v>50</v>
      </c>
      <c r="N5" t="s">
        <v>414</v>
      </c>
      <c r="O5">
        <v>0.4</v>
      </c>
    </row>
    <row r="6" spans="1:15">
      <c r="A6" t="s">
        <v>417</v>
      </c>
      <c r="B6" t="s">
        <v>414</v>
      </c>
      <c r="C6" s="25">
        <f>0.1022*32/31.9908*1.56</f>
        <v>0.15947784988184102</v>
      </c>
      <c r="E6" t="s">
        <v>417</v>
      </c>
      <c r="F6" t="s">
        <v>414</v>
      </c>
      <c r="G6" s="25">
        <f>0.1022*32/31.9908*1.56</f>
        <v>0.15947784988184102</v>
      </c>
      <c r="I6" t="s">
        <v>50</v>
      </c>
      <c r="J6" t="s">
        <v>414</v>
      </c>
      <c r="K6">
        <v>1.08</v>
      </c>
      <c r="M6" t="s">
        <v>418</v>
      </c>
      <c r="N6" t="s">
        <v>270</v>
      </c>
      <c r="O6">
        <v>0.45</v>
      </c>
    </row>
    <row r="7" spans="1:15">
      <c r="A7" t="s">
        <v>419</v>
      </c>
      <c r="B7" t="s">
        <v>414</v>
      </c>
      <c r="C7" s="25">
        <f>0.4889*28/31.9908*1.56</f>
        <v>0.66754041787013763</v>
      </c>
      <c r="E7" t="s">
        <v>419</v>
      </c>
      <c r="F7" t="s">
        <v>414</v>
      </c>
      <c r="G7" s="25">
        <f>0.4889*28/31.9908*1.56</f>
        <v>0.66754041787013763</v>
      </c>
      <c r="I7" t="s">
        <v>155</v>
      </c>
      <c r="J7" t="s">
        <v>414</v>
      </c>
      <c r="K7">
        <v>1E-3</v>
      </c>
      <c r="M7" t="s">
        <v>420</v>
      </c>
      <c r="N7" t="s">
        <v>270</v>
      </c>
      <c r="O7">
        <v>0.82</v>
      </c>
    </row>
    <row r="8" spans="1:15">
      <c r="A8" t="s">
        <v>421</v>
      </c>
      <c r="B8" t="s">
        <v>414</v>
      </c>
      <c r="C8">
        <v>2.14</v>
      </c>
      <c r="E8" t="s">
        <v>421</v>
      </c>
      <c r="F8" t="s">
        <v>414</v>
      </c>
      <c r="G8">
        <v>2.16</v>
      </c>
      <c r="I8" t="s">
        <v>418</v>
      </c>
      <c r="J8" t="s">
        <v>270</v>
      </c>
      <c r="K8">
        <v>0.52</v>
      </c>
      <c r="M8" t="s">
        <v>8</v>
      </c>
      <c r="N8" t="s">
        <v>270</v>
      </c>
      <c r="O8">
        <v>0.8</v>
      </c>
    </row>
    <row r="9" spans="1:15">
      <c r="A9" t="s">
        <v>422</v>
      </c>
      <c r="B9" t="s">
        <v>270</v>
      </c>
      <c r="C9">
        <v>0.31</v>
      </c>
      <c r="E9" t="s">
        <v>422</v>
      </c>
      <c r="F9" t="s">
        <v>270</v>
      </c>
      <c r="G9">
        <v>0.31</v>
      </c>
      <c r="I9" t="s">
        <v>420</v>
      </c>
      <c r="J9" t="s">
        <v>270</v>
      </c>
      <c r="K9">
        <v>1.37</v>
      </c>
      <c r="M9" s="2" t="s">
        <v>1</v>
      </c>
      <c r="N9" s="2" t="s">
        <v>167</v>
      </c>
    </row>
    <row r="10" spans="1:15">
      <c r="A10" t="s">
        <v>8</v>
      </c>
      <c r="B10" t="s">
        <v>270</v>
      </c>
      <c r="C10">
        <v>2.02</v>
      </c>
      <c r="E10" t="s">
        <v>8</v>
      </c>
      <c r="F10" t="s">
        <v>270</v>
      </c>
      <c r="G10">
        <v>1.94</v>
      </c>
      <c r="I10" t="s">
        <v>8</v>
      </c>
      <c r="J10" t="s">
        <v>270</v>
      </c>
      <c r="K10">
        <v>0.83</v>
      </c>
      <c r="M10" t="s">
        <v>382</v>
      </c>
      <c r="N10" t="s">
        <v>414</v>
      </c>
      <c r="O10">
        <v>224.23</v>
      </c>
    </row>
    <row r="11" spans="1:15">
      <c r="A11" s="2" t="s">
        <v>1</v>
      </c>
      <c r="B11" s="2" t="s">
        <v>167</v>
      </c>
      <c r="E11" s="2" t="s">
        <v>1</v>
      </c>
      <c r="F11" s="2" t="s">
        <v>167</v>
      </c>
      <c r="I11" s="2" t="s">
        <v>1</v>
      </c>
      <c r="J11" s="2" t="s">
        <v>167</v>
      </c>
      <c r="M11" t="s">
        <v>62</v>
      </c>
      <c r="N11" t="s">
        <v>414</v>
      </c>
      <c r="O11">
        <v>1</v>
      </c>
    </row>
    <row r="12" spans="1:15">
      <c r="A12" t="s">
        <v>423</v>
      </c>
      <c r="B12" t="s">
        <v>414</v>
      </c>
      <c r="C12">
        <v>224.23</v>
      </c>
      <c r="E12" t="s">
        <v>423</v>
      </c>
      <c r="F12" t="s">
        <v>414</v>
      </c>
      <c r="G12">
        <v>224.23</v>
      </c>
      <c r="I12" t="s">
        <v>382</v>
      </c>
      <c r="J12" t="s">
        <v>414</v>
      </c>
      <c r="K12">
        <v>224.23</v>
      </c>
      <c r="M12" t="s">
        <v>406</v>
      </c>
      <c r="N12" t="s">
        <v>414</v>
      </c>
      <c r="O12">
        <v>135.12</v>
      </c>
    </row>
    <row r="13" spans="1:15">
      <c r="A13" t="s">
        <v>62</v>
      </c>
      <c r="B13" t="s">
        <v>414</v>
      </c>
      <c r="C13">
        <v>1</v>
      </c>
      <c r="E13" t="s">
        <v>62</v>
      </c>
      <c r="F13" t="s">
        <v>414</v>
      </c>
      <c r="G13">
        <v>1</v>
      </c>
      <c r="I13" t="s">
        <v>62</v>
      </c>
      <c r="J13" t="s">
        <v>414</v>
      </c>
      <c r="K13">
        <v>1</v>
      </c>
      <c r="M13" t="s">
        <v>150</v>
      </c>
      <c r="N13" t="s">
        <v>414</v>
      </c>
      <c r="O13">
        <v>0.22</v>
      </c>
    </row>
    <row r="14" spans="1:15">
      <c r="A14" t="s">
        <v>143</v>
      </c>
      <c r="B14" t="s">
        <v>414</v>
      </c>
      <c r="C14">
        <v>0.01</v>
      </c>
      <c r="E14" t="s">
        <v>143</v>
      </c>
      <c r="F14" t="s">
        <v>414</v>
      </c>
      <c r="G14">
        <v>0.01</v>
      </c>
      <c r="I14" t="s">
        <v>120</v>
      </c>
      <c r="J14" t="s">
        <v>414</v>
      </c>
      <c r="K14">
        <v>135.05000000000001</v>
      </c>
    </row>
    <row r="15" spans="1:15">
      <c r="A15" t="s">
        <v>274</v>
      </c>
      <c r="B15" t="s">
        <v>414</v>
      </c>
      <c r="C15">
        <v>0.42</v>
      </c>
      <c r="E15" t="s">
        <v>274</v>
      </c>
      <c r="F15" t="s">
        <v>414</v>
      </c>
      <c r="G15">
        <v>0.42</v>
      </c>
      <c r="I15" t="s">
        <v>152</v>
      </c>
      <c r="J15" t="s">
        <v>414</v>
      </c>
      <c r="K15">
        <v>0.83</v>
      </c>
    </row>
    <row r="16" spans="1:15">
      <c r="A16" t="s">
        <v>102</v>
      </c>
      <c r="B16" t="s">
        <v>414</v>
      </c>
      <c r="C16">
        <v>1.1299999999999999</v>
      </c>
      <c r="E16" t="s">
        <v>102</v>
      </c>
      <c r="F16" t="s">
        <v>414</v>
      </c>
      <c r="G16">
        <v>1.1299999999999999</v>
      </c>
      <c r="I16" t="s">
        <v>164</v>
      </c>
      <c r="J16" t="s">
        <v>414</v>
      </c>
      <c r="K16">
        <v>0.4</v>
      </c>
    </row>
    <row r="17" spans="1:11">
      <c r="A17" t="s">
        <v>424</v>
      </c>
      <c r="B17" t="s">
        <v>414</v>
      </c>
      <c r="C17">
        <v>1.62</v>
      </c>
      <c r="E17" t="s">
        <v>424</v>
      </c>
      <c r="F17" t="s">
        <v>414</v>
      </c>
      <c r="G17">
        <v>1.62</v>
      </c>
      <c r="I17" t="s">
        <v>102</v>
      </c>
      <c r="J17" t="s">
        <v>414</v>
      </c>
      <c r="K17">
        <v>2.58</v>
      </c>
    </row>
    <row r="18" spans="1:11">
      <c r="A18" t="s">
        <v>406</v>
      </c>
      <c r="B18" t="s">
        <v>414</v>
      </c>
      <c r="C18">
        <v>96.78</v>
      </c>
      <c r="E18" t="s">
        <v>406</v>
      </c>
      <c r="F18" t="s">
        <v>414</v>
      </c>
      <c r="G18">
        <v>134.44999999999999</v>
      </c>
    </row>
    <row r="21" spans="1:11">
      <c r="A21" s="62" t="s">
        <v>272</v>
      </c>
      <c r="B21" s="62"/>
      <c r="C21" s="62"/>
      <c r="E21" s="62" t="s">
        <v>272</v>
      </c>
      <c r="F21" s="62"/>
      <c r="G21" s="62"/>
    </row>
  </sheetData>
  <mergeCells count="6">
    <mergeCell ref="A1:C1"/>
    <mergeCell ref="E1:G1"/>
    <mergeCell ref="I1:K1"/>
    <mergeCell ref="M1:O1"/>
    <mergeCell ref="A21:C21"/>
    <mergeCell ref="E21:G21"/>
  </mergeCells>
  <pageMargins left="0.7" right="0.7" top="0.78740157499999996" bottom="0.78740157499999996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AA16"/>
  <sheetViews>
    <sheetView topLeftCell="H1" workbookViewId="0">
      <selection activeCell="W20" sqref="W20"/>
    </sheetView>
  </sheetViews>
  <sheetFormatPr defaultColWidth="11.42578125" defaultRowHeight="15"/>
  <cols>
    <col min="1" max="1" width="35.28515625" customWidth="1"/>
    <col min="5" max="5" width="24.85546875" bestFit="1" customWidth="1"/>
    <col min="9" max="9" width="24.85546875" bestFit="1" customWidth="1"/>
    <col min="13" max="13" width="24.85546875" bestFit="1" customWidth="1"/>
    <col min="17" max="17" width="24.85546875" bestFit="1" customWidth="1"/>
    <col min="21" max="21" width="24.85546875" bestFit="1" customWidth="1"/>
    <col min="25" max="25" width="24.85546875" bestFit="1" customWidth="1"/>
  </cols>
  <sheetData>
    <row r="1" spans="1:27">
      <c r="A1" s="66" t="s">
        <v>425</v>
      </c>
      <c r="B1" s="66"/>
      <c r="C1" s="66"/>
      <c r="E1" s="66" t="s">
        <v>426</v>
      </c>
      <c r="F1" s="66"/>
      <c r="G1" s="66"/>
      <c r="I1" s="66" t="s">
        <v>427</v>
      </c>
      <c r="J1" s="66"/>
      <c r="K1" s="66"/>
      <c r="M1" s="66" t="s">
        <v>428</v>
      </c>
      <c r="N1" s="66"/>
      <c r="O1" s="66"/>
      <c r="Q1" s="66" t="s">
        <v>429</v>
      </c>
      <c r="R1" s="66"/>
      <c r="S1" s="66"/>
      <c r="U1" s="66" t="s">
        <v>430</v>
      </c>
      <c r="V1" s="66"/>
      <c r="W1" s="66"/>
      <c r="Y1" s="66" t="s">
        <v>431</v>
      </c>
      <c r="Z1" s="66"/>
      <c r="AA1" s="66"/>
    </row>
    <row r="2" spans="1:27">
      <c r="A2" s="2" t="s">
        <v>0</v>
      </c>
      <c r="B2" s="2" t="s">
        <v>167</v>
      </c>
      <c r="E2" s="2" t="s">
        <v>0</v>
      </c>
      <c r="F2" s="2" t="s">
        <v>167</v>
      </c>
      <c r="I2" s="2" t="s">
        <v>0</v>
      </c>
      <c r="J2" s="2" t="s">
        <v>167</v>
      </c>
      <c r="M2" s="2" t="s">
        <v>0</v>
      </c>
      <c r="N2" s="2" t="s">
        <v>167</v>
      </c>
      <c r="Q2" s="2" t="s">
        <v>0</v>
      </c>
      <c r="R2" s="2" t="s">
        <v>167</v>
      </c>
      <c r="U2" s="2" t="s">
        <v>0</v>
      </c>
      <c r="V2" s="2" t="s">
        <v>167</v>
      </c>
      <c r="Y2" s="2" t="s">
        <v>0</v>
      </c>
      <c r="Z2" s="2" t="s">
        <v>167</v>
      </c>
    </row>
    <row r="3" spans="1:27">
      <c r="A3" t="s">
        <v>47</v>
      </c>
      <c r="B3" t="s">
        <v>201</v>
      </c>
      <c r="C3">
        <v>2.2999999999999998</v>
      </c>
      <c r="E3" t="s">
        <v>47</v>
      </c>
      <c r="F3" t="s">
        <v>201</v>
      </c>
      <c r="G3">
        <v>3.44</v>
      </c>
      <c r="I3" t="s">
        <v>42</v>
      </c>
      <c r="J3" t="s">
        <v>201</v>
      </c>
      <c r="K3">
        <v>1.97</v>
      </c>
      <c r="M3" t="s">
        <v>42</v>
      </c>
      <c r="N3" t="s">
        <v>201</v>
      </c>
      <c r="O3">
        <v>1.6</v>
      </c>
      <c r="Q3" t="s">
        <v>165</v>
      </c>
      <c r="R3" t="s">
        <v>201</v>
      </c>
      <c r="S3">
        <v>4.05</v>
      </c>
      <c r="U3" t="s">
        <v>47</v>
      </c>
      <c r="V3" t="s">
        <v>201</v>
      </c>
      <c r="W3">
        <v>3.85</v>
      </c>
      <c r="Y3" t="s">
        <v>47</v>
      </c>
      <c r="Z3" t="s">
        <v>201</v>
      </c>
      <c r="AA3">
        <v>2.88</v>
      </c>
    </row>
    <row r="4" spans="1:27">
      <c r="A4" t="s">
        <v>64</v>
      </c>
      <c r="B4" t="s">
        <v>201</v>
      </c>
      <c r="C4">
        <v>0.25</v>
      </c>
      <c r="E4" t="s">
        <v>64</v>
      </c>
      <c r="F4" t="s">
        <v>201</v>
      </c>
      <c r="G4">
        <v>0.38</v>
      </c>
      <c r="I4" t="s">
        <v>74</v>
      </c>
      <c r="J4" t="s">
        <v>201</v>
      </c>
      <c r="K4">
        <v>0.5</v>
      </c>
      <c r="M4" t="s">
        <v>74</v>
      </c>
      <c r="N4" t="s">
        <v>201</v>
      </c>
      <c r="O4">
        <v>0.4</v>
      </c>
      <c r="Q4" t="s">
        <v>74</v>
      </c>
      <c r="R4" t="s">
        <v>201</v>
      </c>
      <c r="S4">
        <v>2.7</v>
      </c>
      <c r="U4" t="s">
        <v>64</v>
      </c>
      <c r="V4" t="s">
        <v>201</v>
      </c>
      <c r="W4">
        <v>0.43</v>
      </c>
      <c r="Y4" t="s">
        <v>64</v>
      </c>
      <c r="Z4" t="s">
        <v>201</v>
      </c>
      <c r="AA4">
        <v>0.43</v>
      </c>
    </row>
    <row r="5" spans="1:27">
      <c r="A5" t="s">
        <v>85</v>
      </c>
      <c r="B5" t="s">
        <v>201</v>
      </c>
      <c r="C5">
        <v>1</v>
      </c>
      <c r="E5" t="s">
        <v>85</v>
      </c>
      <c r="F5" t="s">
        <v>201</v>
      </c>
      <c r="G5">
        <v>1</v>
      </c>
      <c r="I5" t="s">
        <v>85</v>
      </c>
      <c r="J5" t="s">
        <v>201</v>
      </c>
      <c r="K5">
        <v>1</v>
      </c>
      <c r="M5" t="s">
        <v>85</v>
      </c>
      <c r="N5" t="s">
        <v>201</v>
      </c>
      <c r="O5">
        <v>1</v>
      </c>
      <c r="Q5" t="s">
        <v>85</v>
      </c>
      <c r="R5" t="s">
        <v>201</v>
      </c>
      <c r="S5">
        <v>1</v>
      </c>
      <c r="U5" t="s">
        <v>85</v>
      </c>
      <c r="V5" t="s">
        <v>201</v>
      </c>
      <c r="W5">
        <v>1</v>
      </c>
      <c r="Y5" t="s">
        <v>85</v>
      </c>
      <c r="Z5" t="s">
        <v>201</v>
      </c>
      <c r="AA5">
        <v>1</v>
      </c>
    </row>
    <row r="6" spans="1:27">
      <c r="A6" t="s">
        <v>8</v>
      </c>
      <c r="B6" t="s">
        <v>173</v>
      </c>
      <c r="C6">
        <v>475</v>
      </c>
      <c r="E6" t="s">
        <v>8</v>
      </c>
      <c r="F6" t="s">
        <v>173</v>
      </c>
      <c r="G6">
        <v>838</v>
      </c>
      <c r="I6" t="s">
        <v>8</v>
      </c>
      <c r="J6" t="s">
        <v>173</v>
      </c>
      <c r="K6">
        <v>879</v>
      </c>
      <c r="M6" t="s">
        <v>8</v>
      </c>
      <c r="N6" t="s">
        <v>173</v>
      </c>
      <c r="O6">
        <v>700</v>
      </c>
      <c r="Q6" t="s">
        <v>8</v>
      </c>
      <c r="R6" t="s">
        <v>173</v>
      </c>
      <c r="S6">
        <v>774.3</v>
      </c>
      <c r="U6" t="s">
        <v>8</v>
      </c>
      <c r="V6" t="s">
        <v>173</v>
      </c>
      <c r="W6">
        <v>259</v>
      </c>
      <c r="Y6" t="s">
        <v>8</v>
      </c>
      <c r="Z6" t="s">
        <v>173</v>
      </c>
      <c r="AA6">
        <v>1112</v>
      </c>
    </row>
    <row r="7" spans="1:27">
      <c r="A7" t="s">
        <v>14</v>
      </c>
      <c r="B7" t="s">
        <v>173</v>
      </c>
      <c r="C7">
        <v>942</v>
      </c>
      <c r="E7" t="s">
        <v>14</v>
      </c>
      <c r="F7" t="s">
        <v>173</v>
      </c>
      <c r="G7">
        <v>510</v>
      </c>
      <c r="I7" t="s">
        <v>14</v>
      </c>
      <c r="J7" t="s">
        <v>173</v>
      </c>
      <c r="K7">
        <v>530</v>
      </c>
      <c r="M7" t="s">
        <v>14</v>
      </c>
      <c r="N7" t="s">
        <v>173</v>
      </c>
      <c r="O7">
        <v>358</v>
      </c>
      <c r="Q7" t="s">
        <v>14</v>
      </c>
      <c r="R7" t="s">
        <v>173</v>
      </c>
      <c r="S7">
        <v>0</v>
      </c>
      <c r="U7" t="s">
        <v>14</v>
      </c>
      <c r="V7" t="s">
        <v>173</v>
      </c>
      <c r="W7">
        <v>3729</v>
      </c>
      <c r="Y7" t="s">
        <v>14</v>
      </c>
      <c r="Z7" t="s">
        <v>173</v>
      </c>
      <c r="AA7">
        <v>2947</v>
      </c>
    </row>
    <row r="8" spans="1:27">
      <c r="A8" t="s">
        <v>432</v>
      </c>
      <c r="B8" t="s">
        <v>176</v>
      </c>
      <c r="C8">
        <f>260*SUM(C3:C4)</f>
        <v>663</v>
      </c>
      <c r="E8" t="s">
        <v>432</v>
      </c>
      <c r="F8" t="s">
        <v>176</v>
      </c>
      <c r="G8">
        <f>260*SUM(G3:G4)</f>
        <v>993.19999999999993</v>
      </c>
      <c r="I8" t="s">
        <v>433</v>
      </c>
      <c r="J8" t="s">
        <v>176</v>
      </c>
      <c r="K8">
        <f>260*SUM(K3:K4)</f>
        <v>642.19999999999993</v>
      </c>
      <c r="M8" t="s">
        <v>433</v>
      </c>
      <c r="N8" t="s">
        <v>176</v>
      </c>
      <c r="O8">
        <f>260*SUM(O3:O4)</f>
        <v>520</v>
      </c>
      <c r="Q8" t="s">
        <v>434</v>
      </c>
      <c r="R8" t="s">
        <v>176</v>
      </c>
      <c r="S8">
        <f>260*SUM(S3:S4)</f>
        <v>1755</v>
      </c>
      <c r="U8" t="s">
        <v>432</v>
      </c>
      <c r="V8" t="s">
        <v>176</v>
      </c>
      <c r="W8">
        <f>260*SUM(W3:W4)</f>
        <v>1112.8</v>
      </c>
      <c r="Y8" t="s">
        <v>432</v>
      </c>
      <c r="Z8" t="s">
        <v>176</v>
      </c>
      <c r="AA8">
        <f>260*SUM(AA3:AA4)</f>
        <v>860.6</v>
      </c>
    </row>
    <row r="9" spans="1:27">
      <c r="A9" s="2" t="s">
        <v>1</v>
      </c>
      <c r="B9" s="2" t="s">
        <v>167</v>
      </c>
      <c r="E9" s="2" t="s">
        <v>1</v>
      </c>
      <c r="F9" s="2" t="s">
        <v>167</v>
      </c>
      <c r="I9" s="2" t="s">
        <v>1</v>
      </c>
      <c r="J9" s="2" t="s">
        <v>167</v>
      </c>
      <c r="M9" s="2" t="s">
        <v>1</v>
      </c>
      <c r="N9" s="2" t="s">
        <v>167</v>
      </c>
      <c r="Q9" s="2" t="s">
        <v>1</v>
      </c>
      <c r="R9" s="2" t="s">
        <v>167</v>
      </c>
      <c r="U9" s="2" t="s">
        <v>1</v>
      </c>
      <c r="V9" s="2" t="s">
        <v>167</v>
      </c>
      <c r="Y9" s="2" t="s">
        <v>1</v>
      </c>
      <c r="Z9" s="2" t="s">
        <v>167</v>
      </c>
    </row>
    <row r="10" spans="1:27">
      <c r="A10" t="s">
        <v>72</v>
      </c>
      <c r="B10" t="s">
        <v>201</v>
      </c>
      <c r="C10">
        <v>1.92</v>
      </c>
      <c r="E10" t="s">
        <v>72</v>
      </c>
      <c r="F10" t="s">
        <v>201</v>
      </c>
      <c r="G10">
        <v>1.92</v>
      </c>
      <c r="I10" t="s">
        <v>72</v>
      </c>
      <c r="J10" t="s">
        <v>201</v>
      </c>
      <c r="K10">
        <v>0.68</v>
      </c>
      <c r="M10" t="s">
        <v>72</v>
      </c>
      <c r="N10" t="s">
        <v>201</v>
      </c>
      <c r="O10">
        <v>1.92</v>
      </c>
      <c r="Q10" t="s">
        <v>50</v>
      </c>
      <c r="R10" t="s">
        <v>201</v>
      </c>
      <c r="S10">
        <v>2.27</v>
      </c>
      <c r="U10" t="s">
        <v>72</v>
      </c>
      <c r="V10" t="s">
        <v>201</v>
      </c>
      <c r="W10">
        <v>1.92</v>
      </c>
      <c r="Y10" t="s">
        <v>72</v>
      </c>
      <c r="Z10" t="s">
        <v>201</v>
      </c>
      <c r="AA10">
        <v>2.25</v>
      </c>
    </row>
    <row r="11" spans="1:27">
      <c r="A11" t="s">
        <v>435</v>
      </c>
      <c r="B11" t="s">
        <v>201</v>
      </c>
      <c r="C11">
        <v>0.91</v>
      </c>
      <c r="E11" t="s">
        <v>435</v>
      </c>
      <c r="F11" t="s">
        <v>201</v>
      </c>
      <c r="G11">
        <v>0.91</v>
      </c>
      <c r="I11" t="s">
        <v>435</v>
      </c>
      <c r="J11" t="s">
        <v>201</v>
      </c>
      <c r="K11">
        <v>1.92</v>
      </c>
      <c r="M11" t="s">
        <v>435</v>
      </c>
      <c r="N11" t="s">
        <v>201</v>
      </c>
      <c r="O11">
        <v>0.68</v>
      </c>
      <c r="Q11" t="s">
        <v>435</v>
      </c>
      <c r="R11" t="s">
        <v>201</v>
      </c>
      <c r="S11">
        <v>0.68</v>
      </c>
      <c r="U11" t="s">
        <v>435</v>
      </c>
      <c r="V11" t="s">
        <v>201</v>
      </c>
      <c r="W11">
        <v>1.67</v>
      </c>
      <c r="Y11" t="s">
        <v>435</v>
      </c>
      <c r="Z11" t="s">
        <v>201</v>
      </c>
      <c r="AA11">
        <v>1.1399999999999999</v>
      </c>
    </row>
    <row r="12" spans="1:27">
      <c r="A12" t="s">
        <v>47</v>
      </c>
      <c r="B12" t="s">
        <v>201</v>
      </c>
      <c r="C12">
        <v>0.18</v>
      </c>
      <c r="E12" t="s">
        <v>47</v>
      </c>
      <c r="F12" t="s">
        <v>201</v>
      </c>
      <c r="G12">
        <v>1.33</v>
      </c>
      <c r="I12" t="s">
        <v>42</v>
      </c>
      <c r="J12" t="s">
        <v>201</v>
      </c>
      <c r="K12">
        <v>0.37</v>
      </c>
      <c r="M12" t="s">
        <v>74</v>
      </c>
      <c r="N12" t="s">
        <v>201</v>
      </c>
      <c r="O12">
        <v>0.4</v>
      </c>
      <c r="Q12" t="s">
        <v>165</v>
      </c>
      <c r="R12" t="s">
        <v>201</v>
      </c>
      <c r="S12">
        <v>2.1</v>
      </c>
      <c r="U12" t="s">
        <v>64</v>
      </c>
      <c r="V12" t="s">
        <v>201</v>
      </c>
      <c r="W12">
        <v>0.43</v>
      </c>
      <c r="Y12" t="s">
        <v>64</v>
      </c>
      <c r="Z12" t="s">
        <v>201</v>
      </c>
      <c r="AA12">
        <v>0.43</v>
      </c>
    </row>
    <row r="13" spans="1:27">
      <c r="A13" t="s">
        <v>64</v>
      </c>
      <c r="B13" t="s">
        <v>201</v>
      </c>
      <c r="C13">
        <v>0.25</v>
      </c>
      <c r="E13" t="s">
        <v>64</v>
      </c>
      <c r="F13" t="s">
        <v>201</v>
      </c>
      <c r="G13">
        <v>0.38</v>
      </c>
      <c r="I13" t="s">
        <v>74</v>
      </c>
      <c r="J13" t="s">
        <v>201</v>
      </c>
      <c r="K13">
        <v>0.5</v>
      </c>
      <c r="Q13" t="s">
        <v>74</v>
      </c>
      <c r="R13" t="s">
        <v>201</v>
      </c>
      <c r="S13">
        <v>2.7</v>
      </c>
      <c r="U13" t="s">
        <v>47</v>
      </c>
      <c r="V13" t="s">
        <v>201</v>
      </c>
      <c r="W13">
        <v>1.26</v>
      </c>
      <c r="Y13" t="s">
        <v>47</v>
      </c>
      <c r="Z13" t="s">
        <v>201</v>
      </c>
      <c r="AA13">
        <v>0.49</v>
      </c>
    </row>
    <row r="15" spans="1:27">
      <c r="A15" s="62" t="s">
        <v>436</v>
      </c>
      <c r="B15" s="62"/>
      <c r="C15" s="62"/>
      <c r="E15" s="62" t="s">
        <v>436</v>
      </c>
      <c r="F15" s="62"/>
      <c r="G15" s="62"/>
      <c r="I15" s="62" t="s">
        <v>436</v>
      </c>
      <c r="J15" s="62"/>
      <c r="K15" s="62"/>
      <c r="M15" s="62" t="s">
        <v>436</v>
      </c>
      <c r="N15" s="62"/>
      <c r="O15" s="62"/>
      <c r="Q15" s="62" t="s">
        <v>436</v>
      </c>
      <c r="R15" s="62"/>
      <c r="S15" s="62"/>
      <c r="U15" s="62" t="s">
        <v>368</v>
      </c>
      <c r="V15" s="62"/>
      <c r="W15" s="62"/>
      <c r="Y15" s="62" t="s">
        <v>272</v>
      </c>
      <c r="Z15" s="62"/>
      <c r="AA15" s="62"/>
    </row>
    <row r="16" spans="1:27">
      <c r="A16" s="5" t="s">
        <v>437</v>
      </c>
    </row>
  </sheetData>
  <mergeCells count="14">
    <mergeCell ref="A15:C15"/>
    <mergeCell ref="U15:W15"/>
    <mergeCell ref="Y15:AA15"/>
    <mergeCell ref="E15:G15"/>
    <mergeCell ref="I15:K15"/>
    <mergeCell ref="M15:O15"/>
    <mergeCell ref="Q15:S15"/>
    <mergeCell ref="Y1:AA1"/>
    <mergeCell ref="A1:C1"/>
    <mergeCell ref="E1:G1"/>
    <mergeCell ref="I1:K1"/>
    <mergeCell ref="M1:O1"/>
    <mergeCell ref="Q1:S1"/>
    <mergeCell ref="U1:W1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59999389629810485"/>
  </sheetPr>
  <dimension ref="A1:K12"/>
  <sheetViews>
    <sheetView workbookViewId="0">
      <selection activeCell="D29" sqref="D29"/>
    </sheetView>
  </sheetViews>
  <sheetFormatPr defaultColWidth="11.42578125" defaultRowHeight="15"/>
  <cols>
    <col min="1" max="1" width="32.7109375" bestFit="1" customWidth="1"/>
  </cols>
  <sheetData>
    <row r="1" spans="1:11">
      <c r="C1" s="15" t="s">
        <v>438</v>
      </c>
      <c r="D1" s="15" t="s">
        <v>439</v>
      </c>
      <c r="E1" s="15" t="s">
        <v>440</v>
      </c>
      <c r="F1" s="15" t="s">
        <v>441</v>
      </c>
      <c r="G1" s="15" t="s">
        <v>442</v>
      </c>
      <c r="H1" s="15" t="s">
        <v>443</v>
      </c>
      <c r="I1" s="15" t="s">
        <v>444</v>
      </c>
      <c r="J1" s="15" t="s">
        <v>143</v>
      </c>
      <c r="K1" s="15" t="s">
        <v>445</v>
      </c>
    </row>
    <row r="2" spans="1:11">
      <c r="A2" s="2" t="s">
        <v>0</v>
      </c>
      <c r="B2" s="2" t="s">
        <v>167</v>
      </c>
    </row>
    <row r="3" spans="1:11">
      <c r="A3" t="s">
        <v>165</v>
      </c>
      <c r="B3" t="s">
        <v>201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>
      <c r="A4" t="s">
        <v>446</v>
      </c>
      <c r="B4" t="s">
        <v>323</v>
      </c>
      <c r="C4">
        <v>15</v>
      </c>
      <c r="D4">
        <v>20</v>
      </c>
      <c r="E4">
        <v>13.3</v>
      </c>
      <c r="F4">
        <v>20</v>
      </c>
      <c r="G4">
        <v>20</v>
      </c>
      <c r="H4">
        <v>15</v>
      </c>
      <c r="I4">
        <v>13.3</v>
      </c>
      <c r="J4">
        <v>15</v>
      </c>
      <c r="K4">
        <v>13.3</v>
      </c>
    </row>
    <row r="5" spans="1:11">
      <c r="A5" t="s">
        <v>85</v>
      </c>
      <c r="B5" t="s">
        <v>201</v>
      </c>
      <c r="C5">
        <v>0.14299999999999999</v>
      </c>
      <c r="D5">
        <v>0.14299999999999999</v>
      </c>
      <c r="E5">
        <v>0.16400000000000001</v>
      </c>
      <c r="F5">
        <v>0.254</v>
      </c>
      <c r="G5">
        <v>0.22</v>
      </c>
      <c r="H5">
        <v>0.28699999999999998</v>
      </c>
      <c r="I5">
        <v>0.23799999999999999</v>
      </c>
      <c r="J5">
        <v>0.316</v>
      </c>
      <c r="K5">
        <v>0.154</v>
      </c>
    </row>
    <row r="6" spans="1:11">
      <c r="A6" t="s">
        <v>8</v>
      </c>
      <c r="B6" t="s">
        <v>173</v>
      </c>
      <c r="C6">
        <v>62.97</v>
      </c>
      <c r="D6">
        <v>61.73</v>
      </c>
      <c r="E6">
        <v>58.28</v>
      </c>
      <c r="F6">
        <v>67.099999999999994</v>
      </c>
      <c r="G6">
        <v>63.87</v>
      </c>
      <c r="H6">
        <v>65.06</v>
      </c>
      <c r="I6">
        <v>59.12</v>
      </c>
      <c r="J6">
        <v>64.78</v>
      </c>
      <c r="K6">
        <v>54.64</v>
      </c>
    </row>
    <row r="7" spans="1:11">
      <c r="A7" s="2" t="s">
        <v>1</v>
      </c>
      <c r="B7" s="2" t="s">
        <v>167</v>
      </c>
    </row>
    <row r="8" spans="1:11">
      <c r="A8" t="s">
        <v>447</v>
      </c>
      <c r="B8" t="s">
        <v>201</v>
      </c>
      <c r="C8">
        <v>1.1419999999999999</v>
      </c>
      <c r="D8">
        <v>1.1439999999999999</v>
      </c>
      <c r="E8">
        <v>1.1639999999999999</v>
      </c>
      <c r="F8">
        <v>1.256</v>
      </c>
      <c r="G8">
        <v>1.218</v>
      </c>
      <c r="H8">
        <v>1.2869999999999999</v>
      </c>
      <c r="I8">
        <v>1.24</v>
      </c>
      <c r="J8">
        <v>1.3180000000000001</v>
      </c>
      <c r="K8">
        <v>1.155</v>
      </c>
    </row>
    <row r="12" spans="1:11">
      <c r="C12" s="62" t="s">
        <v>436</v>
      </c>
      <c r="D12" s="62"/>
      <c r="E12" s="62"/>
      <c r="F12" s="62"/>
      <c r="G12" s="62"/>
      <c r="H12" s="62"/>
      <c r="I12" s="62"/>
      <c r="J12" s="62"/>
      <c r="K12" s="62"/>
    </row>
  </sheetData>
  <mergeCells count="1">
    <mergeCell ref="C12:K12"/>
  </mergeCells>
  <pageMargins left="0.7" right="0.7" top="0.78740157499999996" bottom="0.78740157499999996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0.59999389629810485"/>
  </sheetPr>
  <dimension ref="A1:C15"/>
  <sheetViews>
    <sheetView tabSelected="1" workbookViewId="0">
      <selection activeCell="C25" sqref="C25"/>
    </sheetView>
  </sheetViews>
  <sheetFormatPr defaultColWidth="11.42578125" defaultRowHeight="15"/>
  <cols>
    <col min="1" max="1" width="55.85546875" bestFit="1" customWidth="1"/>
  </cols>
  <sheetData>
    <row r="1" spans="1:3">
      <c r="A1" s="2" t="s">
        <v>0</v>
      </c>
      <c r="B1" s="2" t="s">
        <v>167</v>
      </c>
    </row>
    <row r="2" spans="1:3">
      <c r="A2" t="s">
        <v>85</v>
      </c>
      <c r="B2" t="s">
        <v>169</v>
      </c>
      <c r="C2">
        <v>437</v>
      </c>
    </row>
    <row r="3" spans="1:3">
      <c r="A3" t="s">
        <v>448</v>
      </c>
      <c r="B3" t="s">
        <v>169</v>
      </c>
      <c r="C3">
        <v>2167</v>
      </c>
    </row>
    <row r="4" spans="1:3">
      <c r="A4" t="s">
        <v>449</v>
      </c>
      <c r="B4" t="s">
        <v>169</v>
      </c>
      <c r="C4">
        <v>1430</v>
      </c>
    </row>
    <row r="5" spans="1:3">
      <c r="A5" t="s">
        <v>109</v>
      </c>
      <c r="B5" t="s">
        <v>169</v>
      </c>
      <c r="C5">
        <v>3030</v>
      </c>
    </row>
    <row r="6" spans="1:3">
      <c r="A6" t="s">
        <v>450</v>
      </c>
      <c r="B6" t="s">
        <v>169</v>
      </c>
      <c r="C6">
        <v>1430</v>
      </c>
    </row>
    <row r="7" spans="1:3">
      <c r="A7" t="s">
        <v>8</v>
      </c>
      <c r="B7" t="s">
        <v>173</v>
      </c>
      <c r="C7">
        <v>172</v>
      </c>
    </row>
    <row r="8" spans="1:3">
      <c r="A8" t="s">
        <v>451</v>
      </c>
      <c r="B8" t="s">
        <v>173</v>
      </c>
      <c r="C8">
        <v>60</v>
      </c>
    </row>
    <row r="9" spans="1:3">
      <c r="A9" s="2" t="s">
        <v>1</v>
      </c>
      <c r="B9" s="2" t="s">
        <v>167</v>
      </c>
    </row>
    <row r="10" spans="1:3">
      <c r="A10" t="s">
        <v>406</v>
      </c>
      <c r="B10" t="s">
        <v>169</v>
      </c>
      <c r="C10">
        <v>2050</v>
      </c>
    </row>
    <row r="11" spans="1:3">
      <c r="A11" t="s">
        <v>452</v>
      </c>
      <c r="B11" t="s">
        <v>169</v>
      </c>
      <c r="C11">
        <v>1000</v>
      </c>
    </row>
    <row r="12" spans="1:3">
      <c r="A12" t="s">
        <v>453</v>
      </c>
      <c r="B12" t="s">
        <v>169</v>
      </c>
      <c r="C12">
        <v>1390</v>
      </c>
    </row>
    <row r="15" spans="1:3">
      <c r="A15" s="62" t="s">
        <v>454</v>
      </c>
      <c r="B15" s="62"/>
      <c r="C15" s="62"/>
    </row>
  </sheetData>
  <mergeCells count="1">
    <mergeCell ref="A15:C15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4"/>
  <sheetViews>
    <sheetView topLeftCell="A3" workbookViewId="0">
      <selection activeCell="D18" sqref="D18"/>
    </sheetView>
  </sheetViews>
  <sheetFormatPr defaultColWidth="11.42578125" defaultRowHeight="15"/>
  <cols>
    <col min="1" max="1" width="28.42578125" bestFit="1" customWidth="1"/>
  </cols>
  <sheetData>
    <row r="1" spans="1:8">
      <c r="A1" s="2" t="s">
        <v>0</v>
      </c>
      <c r="B1" s="2" t="s">
        <v>167</v>
      </c>
      <c r="C1" s="2" t="s">
        <v>455</v>
      </c>
      <c r="D1" s="2" t="s">
        <v>230</v>
      </c>
      <c r="E1" s="2" t="s">
        <v>456</v>
      </c>
      <c r="F1" s="2" t="s">
        <v>232</v>
      </c>
      <c r="G1" s="2" t="s">
        <v>457</v>
      </c>
      <c r="H1" s="2" t="s">
        <v>458</v>
      </c>
    </row>
    <row r="2" spans="1:8">
      <c r="A2" t="s">
        <v>459</v>
      </c>
      <c r="B2" t="s">
        <v>169</v>
      </c>
      <c r="C2">
        <v>4.03</v>
      </c>
    </row>
    <row r="3" spans="1:8">
      <c r="A3" t="s">
        <v>460</v>
      </c>
      <c r="B3" t="s">
        <v>169</v>
      </c>
      <c r="D3">
        <v>4.41</v>
      </c>
      <c r="E3">
        <v>3.12</v>
      </c>
    </row>
    <row r="4" spans="1:8">
      <c r="A4" t="s">
        <v>461</v>
      </c>
      <c r="B4" t="s">
        <v>169</v>
      </c>
      <c r="F4">
        <v>10.87</v>
      </c>
      <c r="G4">
        <v>10.87</v>
      </c>
      <c r="H4">
        <v>10.87</v>
      </c>
    </row>
    <row r="5" spans="1:8">
      <c r="A5" t="s">
        <v>109</v>
      </c>
      <c r="B5" t="s">
        <v>169</v>
      </c>
      <c r="C5">
        <v>40.299999999999997</v>
      </c>
      <c r="D5">
        <v>44.1</v>
      </c>
      <c r="E5">
        <v>64.2</v>
      </c>
      <c r="F5">
        <v>54.4</v>
      </c>
      <c r="G5">
        <v>94</v>
      </c>
      <c r="H5">
        <v>94</v>
      </c>
    </row>
    <row r="6" spans="1:8">
      <c r="A6" t="s">
        <v>462</v>
      </c>
      <c r="B6" t="s">
        <v>169</v>
      </c>
      <c r="F6">
        <v>6.39</v>
      </c>
    </row>
    <row r="7" spans="1:8">
      <c r="A7" t="s">
        <v>463</v>
      </c>
      <c r="B7" t="s">
        <v>169</v>
      </c>
      <c r="G7">
        <v>0.05</v>
      </c>
    </row>
    <row r="8" spans="1:8">
      <c r="A8" t="s">
        <v>464</v>
      </c>
      <c r="B8" t="s">
        <v>169</v>
      </c>
      <c r="H8">
        <v>7.0000000000000007E-2</v>
      </c>
    </row>
    <row r="9" spans="1:8">
      <c r="A9" t="s">
        <v>8</v>
      </c>
      <c r="B9" t="s">
        <v>173</v>
      </c>
      <c r="C9">
        <v>107.65</v>
      </c>
      <c r="D9">
        <v>13.27</v>
      </c>
      <c r="E9">
        <v>23.29</v>
      </c>
      <c r="F9">
        <v>15.89</v>
      </c>
      <c r="G9">
        <v>11.44</v>
      </c>
      <c r="H9">
        <v>11.44</v>
      </c>
    </row>
    <row r="10" spans="1:8">
      <c r="A10" t="s">
        <v>85</v>
      </c>
      <c r="C10" s="58" t="s">
        <v>342</v>
      </c>
      <c r="D10" s="58"/>
      <c r="E10" s="58"/>
      <c r="F10" s="58"/>
      <c r="G10" s="58"/>
      <c r="H10" s="58"/>
    </row>
    <row r="12" spans="1:8">
      <c r="A12" s="2" t="s">
        <v>1</v>
      </c>
      <c r="B12" s="2" t="s">
        <v>167</v>
      </c>
    </row>
    <row r="13" spans="1:8">
      <c r="A13" t="s">
        <v>465</v>
      </c>
      <c r="B13" t="s">
        <v>169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>
      <c r="A14" t="s">
        <v>466</v>
      </c>
      <c r="C14" s="58" t="s">
        <v>342</v>
      </c>
      <c r="D14" s="58"/>
      <c r="E14" s="58"/>
      <c r="F14" s="58"/>
      <c r="G14" s="58"/>
      <c r="H14" s="58"/>
    </row>
  </sheetData>
  <mergeCells count="2">
    <mergeCell ref="C10:H10"/>
    <mergeCell ref="C14:H14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9" tint="0.59999389629810485"/>
  </sheetPr>
  <dimension ref="A1:H29"/>
  <sheetViews>
    <sheetView topLeftCell="A7" zoomScale="134" zoomScaleNormal="134" workbookViewId="0">
      <selection activeCell="F17" sqref="F17"/>
    </sheetView>
  </sheetViews>
  <sheetFormatPr defaultColWidth="11.42578125" defaultRowHeight="15"/>
  <cols>
    <col min="1" max="1" width="31.140625" bestFit="1" customWidth="1"/>
    <col min="3" max="3" width="18.42578125" customWidth="1"/>
    <col min="4" max="4" width="13.140625" customWidth="1"/>
    <col min="5" max="5" width="17.140625" customWidth="1"/>
    <col min="6" max="6" width="12.42578125" customWidth="1"/>
  </cols>
  <sheetData>
    <row r="1" spans="1:6">
      <c r="A1" s="2" t="s">
        <v>0</v>
      </c>
      <c r="B1" s="2" t="s">
        <v>167</v>
      </c>
      <c r="C1" s="2" t="s">
        <v>467</v>
      </c>
      <c r="D1" s="2" t="s">
        <v>468</v>
      </c>
      <c r="E1" s="2" t="s">
        <v>469</v>
      </c>
      <c r="F1" s="2" t="s">
        <v>470</v>
      </c>
    </row>
    <row r="2" spans="1:6">
      <c r="A2" t="s">
        <v>52</v>
      </c>
      <c r="B2" t="s">
        <v>471</v>
      </c>
      <c r="C2">
        <v>550</v>
      </c>
      <c r="D2">
        <v>550</v>
      </c>
      <c r="E2">
        <v>550</v>
      </c>
      <c r="F2">
        <v>550</v>
      </c>
    </row>
    <row r="3" spans="1:6">
      <c r="A3" t="s">
        <v>472</v>
      </c>
      <c r="B3" t="s">
        <v>471</v>
      </c>
      <c r="C3">
        <v>620</v>
      </c>
      <c r="E3">
        <v>620</v>
      </c>
    </row>
    <row r="4" spans="1:6">
      <c r="A4" t="s">
        <v>473</v>
      </c>
      <c r="B4" t="s">
        <v>471</v>
      </c>
      <c r="D4">
        <v>2427</v>
      </c>
      <c r="F4">
        <v>2426</v>
      </c>
    </row>
    <row r="5" spans="1:6">
      <c r="A5" t="s">
        <v>474</v>
      </c>
      <c r="B5" t="s">
        <v>475</v>
      </c>
      <c r="C5">
        <v>135</v>
      </c>
      <c r="D5">
        <v>691</v>
      </c>
      <c r="E5">
        <v>814</v>
      </c>
      <c r="F5">
        <v>635</v>
      </c>
    </row>
    <row r="6" spans="1:6">
      <c r="A6" t="s">
        <v>476</v>
      </c>
      <c r="B6" t="s">
        <v>475</v>
      </c>
      <c r="C6">
        <v>46</v>
      </c>
      <c r="D6">
        <v>439</v>
      </c>
      <c r="E6">
        <v>0</v>
      </c>
      <c r="F6">
        <v>0</v>
      </c>
    </row>
    <row r="7" spans="1:6">
      <c r="A7" t="s">
        <v>54</v>
      </c>
    </row>
    <row r="8" spans="1:6">
      <c r="A8" s="2" t="s">
        <v>1</v>
      </c>
      <c r="B8" s="2" t="s">
        <v>167</v>
      </c>
    </row>
    <row r="9" spans="1:6">
      <c r="A9" t="s">
        <v>477</v>
      </c>
      <c r="B9" t="s">
        <v>471</v>
      </c>
      <c r="C9">
        <v>386</v>
      </c>
      <c r="D9">
        <v>386</v>
      </c>
    </row>
    <row r="10" spans="1:6">
      <c r="A10" t="s">
        <v>478</v>
      </c>
      <c r="B10" t="s">
        <v>471</v>
      </c>
      <c r="E10">
        <v>353</v>
      </c>
      <c r="F10">
        <v>353</v>
      </c>
    </row>
    <row r="11" spans="1:6">
      <c r="A11" t="s">
        <v>479</v>
      </c>
      <c r="B11" t="s">
        <v>471</v>
      </c>
      <c r="C11">
        <v>187</v>
      </c>
      <c r="D11">
        <v>187</v>
      </c>
      <c r="E11">
        <v>190</v>
      </c>
      <c r="F11">
        <v>189</v>
      </c>
    </row>
    <row r="12" spans="1:6">
      <c r="A12" t="s">
        <v>480</v>
      </c>
      <c r="B12" t="s">
        <v>471</v>
      </c>
      <c r="C12">
        <v>489</v>
      </c>
      <c r="D12">
        <v>2241</v>
      </c>
      <c r="E12">
        <v>400</v>
      </c>
      <c r="F12">
        <v>2294</v>
      </c>
    </row>
    <row r="14" spans="1:6">
      <c r="A14" s="24" t="s">
        <v>481</v>
      </c>
    </row>
    <row r="15" spans="1:6">
      <c r="A15" s="2" t="s">
        <v>0</v>
      </c>
      <c r="B15" s="2" t="s">
        <v>167</v>
      </c>
      <c r="C15" s="2" t="s">
        <v>467</v>
      </c>
      <c r="D15" s="2" t="s">
        <v>468</v>
      </c>
      <c r="E15" s="2" t="s">
        <v>469</v>
      </c>
      <c r="F15" s="2" t="s">
        <v>470</v>
      </c>
    </row>
    <row r="16" spans="1:6">
      <c r="A16" t="s">
        <v>52</v>
      </c>
      <c r="B16" t="s">
        <v>169</v>
      </c>
      <c r="C16" s="25">
        <f>C2/$C$11</f>
        <v>2.9411764705882355</v>
      </c>
      <c r="D16" s="25">
        <f>D2/$D$11</f>
        <v>2.9411764705882355</v>
      </c>
      <c r="E16" s="25">
        <f>E2/$E$11</f>
        <v>2.8947368421052633</v>
      </c>
      <c r="F16" s="25">
        <f>F2/$F$11</f>
        <v>2.9100529100529102</v>
      </c>
    </row>
    <row r="17" spans="1:8">
      <c r="A17" t="s">
        <v>482</v>
      </c>
      <c r="B17" t="s">
        <v>169</v>
      </c>
      <c r="C17" s="25">
        <f>0.2332*44/32.402*C3/$C$11</f>
        <v>1.0499279274699818</v>
      </c>
      <c r="D17" s="25">
        <f>0.052*44/29.2908*D4/$D$11</f>
        <v>1.0138015630685884</v>
      </c>
      <c r="E17" s="25">
        <f>0.2332*44/32.402*E3/$E$11</f>
        <v>1.0333501180888767</v>
      </c>
      <c r="F17" s="25">
        <f>0.052*44/29.2908*F4/$F$11</f>
        <v>1.0026602065057824</v>
      </c>
      <c r="H17" s="25"/>
    </row>
    <row r="18" spans="1:8">
      <c r="A18" t="s">
        <v>483</v>
      </c>
      <c r="B18" t="s">
        <v>169</v>
      </c>
      <c r="C18" s="25">
        <f>0.076*32/32.402*C3/$C$11</f>
        <v>0.24885240133391118</v>
      </c>
      <c r="D18" s="25">
        <f>0.1147*32/29.2908*D4/$D$11</f>
        <v>1.6263362137617776</v>
      </c>
      <c r="E18" s="25">
        <f>0.076*32/32.402*E3/$E$11</f>
        <v>0.24492315289179678</v>
      </c>
      <c r="F18" s="25">
        <f>0.1147*32/29.2908*F4/$F$11</f>
        <v>1.6084632963106749</v>
      </c>
      <c r="H18" s="25"/>
    </row>
    <row r="19" spans="1:8">
      <c r="A19" t="s">
        <v>484</v>
      </c>
      <c r="B19" t="s">
        <v>169</v>
      </c>
      <c r="C19" s="25">
        <f>0.7039*28/32.402*C3/$C$11</f>
        <v>2.0167276925864814</v>
      </c>
      <c r="D19" s="25">
        <f>0.8333*28/29.2908*D4/$D$11</f>
        <v>10.338471848838083</v>
      </c>
      <c r="E19" s="25">
        <f>0.7039*28/32.402*E3/$E$11</f>
        <v>1.9848846237561684</v>
      </c>
      <c r="F19" s="25">
        <f>0.8333*28/29.2908*F4/$F$11</f>
        <v>10.224855333162379</v>
      </c>
      <c r="H19" s="25"/>
    </row>
    <row r="20" spans="1:8">
      <c r="A20" t="s">
        <v>14</v>
      </c>
      <c r="B20" t="s">
        <v>173</v>
      </c>
      <c r="C20" s="25">
        <f>C5/$C$11/0.6402</f>
        <v>1.1276556290063098</v>
      </c>
      <c r="D20" s="25">
        <f>D5/$D$11/0.6402</f>
        <v>5.7719262195804459</v>
      </c>
      <c r="E20" s="25">
        <f>E5/$E$11/0.6402</f>
        <v>6.6919877012117928</v>
      </c>
      <c r="F20" s="25">
        <f>F5/$F$11/0.6402</f>
        <v>5.248029303012121</v>
      </c>
      <c r="H20" s="25"/>
    </row>
    <row r="21" spans="1:8">
      <c r="A21" t="s">
        <v>8</v>
      </c>
      <c r="B21" t="s">
        <v>173</v>
      </c>
      <c r="C21" s="25">
        <f>C6/$C$11</f>
        <v>0.24598930481283424</v>
      </c>
      <c r="D21" s="25">
        <f>D6/$D$11</f>
        <v>2.3475935828877006</v>
      </c>
      <c r="E21" s="25"/>
      <c r="F21" s="25"/>
    </row>
    <row r="22" spans="1:8">
      <c r="A22" t="s">
        <v>54</v>
      </c>
      <c r="B22" t="s">
        <v>176</v>
      </c>
      <c r="C22" s="25">
        <f>550*C16/10^3</f>
        <v>1.6176470588235294</v>
      </c>
      <c r="D22" s="25">
        <f t="shared" ref="D22:F22" si="0">550*D16/10^3</f>
        <v>1.6176470588235294</v>
      </c>
      <c r="E22" s="25">
        <f t="shared" si="0"/>
        <v>1.5921052631578947</v>
      </c>
      <c r="F22" s="25">
        <f t="shared" si="0"/>
        <v>1.6005291005291005</v>
      </c>
    </row>
    <row r="23" spans="1:8">
      <c r="A23" s="2" t="s">
        <v>1</v>
      </c>
      <c r="B23" s="2" t="s">
        <v>167</v>
      </c>
      <c r="C23" s="25"/>
      <c r="D23" s="25"/>
      <c r="E23" s="25"/>
      <c r="F23" s="25"/>
    </row>
    <row r="24" spans="1:8">
      <c r="A24" t="s">
        <v>477</v>
      </c>
      <c r="B24" t="s">
        <v>169</v>
      </c>
      <c r="C24" s="25">
        <f>C9/$C$11</f>
        <v>2.0641711229946522</v>
      </c>
      <c r="D24" s="25">
        <f>D9/$D$11</f>
        <v>2.0641711229946522</v>
      </c>
      <c r="E24" s="25"/>
      <c r="F24" s="25"/>
    </row>
    <row r="25" spans="1:8">
      <c r="A25" t="s">
        <v>478</v>
      </c>
      <c r="B25" t="s">
        <v>169</v>
      </c>
      <c r="C25" s="25"/>
      <c r="D25" s="25"/>
      <c r="E25" s="25">
        <f>E10/$E$11</f>
        <v>1.8578947368421053</v>
      </c>
      <c r="F25" s="25">
        <f>F10/$F$11</f>
        <v>1.8677248677248677</v>
      </c>
    </row>
    <row r="26" spans="1:8">
      <c r="A26" t="s">
        <v>479</v>
      </c>
      <c r="B26" t="s">
        <v>169</v>
      </c>
      <c r="C26" s="25">
        <f t="shared" ref="C26:C27" si="1">C11/$C$11</f>
        <v>1</v>
      </c>
      <c r="D26" s="25">
        <f t="shared" ref="D26:D27" si="2">D11/$D$11</f>
        <v>1</v>
      </c>
      <c r="E26" s="25">
        <f t="shared" ref="E26:E27" si="3">E11/$E$11</f>
        <v>1</v>
      </c>
      <c r="F26" s="25">
        <f t="shared" ref="F26:F27" si="4">F11/$F$11</f>
        <v>1</v>
      </c>
    </row>
    <row r="27" spans="1:8">
      <c r="A27" t="s">
        <v>480</v>
      </c>
      <c r="B27" t="s">
        <v>169</v>
      </c>
      <c r="C27" s="25">
        <f t="shared" si="1"/>
        <v>2.6149732620320854</v>
      </c>
      <c r="D27" s="25">
        <f t="shared" si="2"/>
        <v>11.983957219251337</v>
      </c>
      <c r="E27" s="25">
        <f t="shared" si="3"/>
        <v>2.1052631578947367</v>
      </c>
      <c r="F27" s="25">
        <f t="shared" si="4"/>
        <v>12.137566137566138</v>
      </c>
    </row>
    <row r="29" spans="1:8">
      <c r="C29" s="71" t="s">
        <v>368</v>
      </c>
      <c r="D29" s="71"/>
      <c r="E29" s="72" t="s">
        <v>436</v>
      </c>
      <c r="F29" s="73"/>
    </row>
  </sheetData>
  <mergeCells count="2">
    <mergeCell ref="C29:D29"/>
    <mergeCell ref="E29:F29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2"/>
  </sheetPr>
  <dimension ref="A1:J21"/>
  <sheetViews>
    <sheetView workbookViewId="0">
      <selection activeCell="E24" sqref="E24"/>
    </sheetView>
  </sheetViews>
  <sheetFormatPr defaultColWidth="11.42578125" defaultRowHeight="15"/>
  <cols>
    <col min="1" max="1" width="42.140625" bestFit="1" customWidth="1"/>
    <col min="3" max="4" width="11.42578125" customWidth="1"/>
    <col min="5" max="6" width="11.28515625" customWidth="1"/>
    <col min="7" max="7" width="11.42578125" customWidth="1"/>
    <col min="9" max="9" width="11.28515625" customWidth="1"/>
  </cols>
  <sheetData>
    <row r="1" spans="1:7">
      <c r="A1" s="2" t="s">
        <v>0</v>
      </c>
      <c r="B1" s="2" t="s">
        <v>167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>
      <c r="A2" s="6" t="s">
        <v>485</v>
      </c>
      <c r="B2" s="16" t="s">
        <v>201</v>
      </c>
      <c r="C2" s="74" t="s">
        <v>342</v>
      </c>
      <c r="D2" s="74"/>
      <c r="E2" s="74"/>
      <c r="F2" s="74"/>
      <c r="G2" s="74"/>
    </row>
    <row r="3" spans="1:7">
      <c r="A3" s="6" t="s">
        <v>486</v>
      </c>
      <c r="B3" s="16" t="s">
        <v>201</v>
      </c>
      <c r="C3" s="74"/>
      <c r="D3" s="74"/>
      <c r="E3" s="74"/>
      <c r="F3" s="74"/>
      <c r="G3" s="74"/>
    </row>
    <row r="4" spans="1:7">
      <c r="A4" s="6" t="s">
        <v>487</v>
      </c>
      <c r="B4" s="16" t="s">
        <v>201</v>
      </c>
      <c r="C4" s="74"/>
      <c r="D4" s="74"/>
      <c r="E4" s="74"/>
      <c r="F4" s="74"/>
      <c r="G4" s="74"/>
    </row>
    <row r="5" spans="1:7">
      <c r="A5" s="6" t="s">
        <v>488</v>
      </c>
      <c r="B5" s="16" t="s">
        <v>201</v>
      </c>
      <c r="C5" s="74"/>
      <c r="D5" s="74"/>
      <c r="E5" s="74"/>
      <c r="F5" s="74"/>
      <c r="G5" s="74"/>
    </row>
    <row r="6" spans="1:7">
      <c r="A6" s="6" t="s">
        <v>489</v>
      </c>
      <c r="B6" s="16" t="s">
        <v>201</v>
      </c>
      <c r="C6" s="74"/>
      <c r="D6" s="74"/>
      <c r="E6" s="74"/>
      <c r="F6" s="74"/>
      <c r="G6" s="74"/>
    </row>
    <row r="7" spans="1:7">
      <c r="A7" s="6" t="s">
        <v>490</v>
      </c>
      <c r="B7" t="s">
        <v>173</v>
      </c>
      <c r="C7">
        <v>300</v>
      </c>
      <c r="D7">
        <v>320</v>
      </c>
      <c r="E7">
        <v>180</v>
      </c>
      <c r="F7">
        <v>180</v>
      </c>
      <c r="G7">
        <v>190</v>
      </c>
    </row>
    <row r="8" spans="1:7">
      <c r="A8" s="6" t="s">
        <v>491</v>
      </c>
      <c r="B8" t="s">
        <v>173</v>
      </c>
      <c r="C8">
        <v>333</v>
      </c>
      <c r="D8">
        <v>333</v>
      </c>
      <c r="G8">
        <v>239</v>
      </c>
    </row>
    <row r="9" spans="1:7">
      <c r="A9" s="6" t="s">
        <v>492</v>
      </c>
      <c r="B9" t="s">
        <v>173</v>
      </c>
      <c r="E9">
        <v>2022</v>
      </c>
      <c r="F9">
        <v>829</v>
      </c>
    </row>
    <row r="10" spans="1:7">
      <c r="A10" s="6" t="s">
        <v>85</v>
      </c>
      <c r="B10" t="s">
        <v>201</v>
      </c>
      <c r="C10">
        <v>1</v>
      </c>
      <c r="D10">
        <v>1</v>
      </c>
      <c r="E10">
        <v>1</v>
      </c>
      <c r="F10">
        <v>1</v>
      </c>
      <c r="G10">
        <v>1</v>
      </c>
    </row>
    <row r="12" spans="1:7">
      <c r="A12" s="2" t="s">
        <v>1</v>
      </c>
      <c r="B12" s="2" t="s">
        <v>167</v>
      </c>
    </row>
    <row r="13" spans="1:7">
      <c r="A13" s="6" t="s">
        <v>209</v>
      </c>
      <c r="C13" s="58" t="s">
        <v>342</v>
      </c>
      <c r="D13" s="58"/>
      <c r="E13" s="58"/>
      <c r="F13" s="58"/>
      <c r="G13" s="58"/>
    </row>
    <row r="21" spans="10:10">
      <c r="J21" t="s">
        <v>163</v>
      </c>
    </row>
  </sheetData>
  <mergeCells count="2">
    <mergeCell ref="C13:G13"/>
    <mergeCell ref="C2:G6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H15"/>
  <sheetViews>
    <sheetView workbookViewId="0">
      <selection activeCell="A10" sqref="A10"/>
    </sheetView>
  </sheetViews>
  <sheetFormatPr defaultColWidth="11.42578125" defaultRowHeight="15"/>
  <cols>
    <col min="1" max="1" width="22.140625" bestFit="1" customWidth="1"/>
    <col min="2" max="2" width="4.42578125" bestFit="1" customWidth="1"/>
    <col min="3" max="3" width="20.28515625" bestFit="1" customWidth="1"/>
    <col min="4" max="4" width="21.7109375" bestFit="1" customWidth="1"/>
    <col min="5" max="5" width="29.42578125" bestFit="1" customWidth="1"/>
    <col min="6" max="6" width="14.42578125" bestFit="1" customWidth="1"/>
    <col min="7" max="7" width="8.7109375" bestFit="1" customWidth="1"/>
    <col min="8" max="8" width="17.42578125" bestFit="1" customWidth="1"/>
  </cols>
  <sheetData>
    <row r="1" spans="1:8" ht="32.1">
      <c r="A1" s="2" t="s">
        <v>166</v>
      </c>
      <c r="B1" s="2" t="s">
        <v>167</v>
      </c>
      <c r="C1" s="3" t="s">
        <v>182</v>
      </c>
      <c r="D1" s="3" t="s">
        <v>183</v>
      </c>
      <c r="E1" s="3" t="s">
        <v>184</v>
      </c>
      <c r="F1" s="2" t="s">
        <v>46</v>
      </c>
      <c r="G1" s="2"/>
      <c r="H1" s="2"/>
    </row>
    <row r="2" spans="1:8">
      <c r="A2" t="s">
        <v>18</v>
      </c>
      <c r="B2" t="s">
        <v>169</v>
      </c>
      <c r="C2">
        <v>44.2</v>
      </c>
      <c r="D2">
        <v>44.2</v>
      </c>
      <c r="E2">
        <v>44.2</v>
      </c>
      <c r="F2" t="s">
        <v>170</v>
      </c>
    </row>
    <row r="3" spans="1:8">
      <c r="A3" t="s">
        <v>185</v>
      </c>
      <c r="B3" t="s">
        <v>173</v>
      </c>
      <c r="C3">
        <v>5.8</v>
      </c>
      <c r="D3">
        <v>5.8</v>
      </c>
      <c r="E3">
        <v>5.8</v>
      </c>
      <c r="F3" t="s">
        <v>170</v>
      </c>
    </row>
    <row r="4" spans="1:8">
      <c r="A4" t="s">
        <v>186</v>
      </c>
      <c r="B4" t="s">
        <v>173</v>
      </c>
      <c r="C4">
        <v>2.5</v>
      </c>
      <c r="D4">
        <v>2.5</v>
      </c>
      <c r="E4">
        <v>2.5</v>
      </c>
      <c r="F4" t="s">
        <v>170</v>
      </c>
    </row>
    <row r="5" spans="1:8">
      <c r="A5" t="s">
        <v>109</v>
      </c>
      <c r="B5" t="s">
        <v>169</v>
      </c>
      <c r="C5">
        <v>9.8000000000000007</v>
      </c>
      <c r="D5">
        <v>9.8000000000000007</v>
      </c>
      <c r="E5">
        <v>9.8000000000000007</v>
      </c>
      <c r="F5">
        <v>7.2</v>
      </c>
    </row>
    <row r="6" spans="1:8">
      <c r="A6" t="s">
        <v>133</v>
      </c>
      <c r="B6" t="s">
        <v>169</v>
      </c>
      <c r="C6">
        <v>44.2</v>
      </c>
      <c r="D6">
        <v>44.2</v>
      </c>
      <c r="E6">
        <v>44.2</v>
      </c>
      <c r="F6">
        <v>24.8</v>
      </c>
    </row>
    <row r="7" spans="1:8">
      <c r="A7" t="s">
        <v>187</v>
      </c>
      <c r="B7" t="s">
        <v>173</v>
      </c>
      <c r="C7">
        <v>0.2</v>
      </c>
      <c r="D7">
        <v>0.2</v>
      </c>
      <c r="E7">
        <v>0.2</v>
      </c>
      <c r="F7" t="s">
        <v>170</v>
      </c>
    </row>
    <row r="8" spans="1:8">
      <c r="A8" t="s">
        <v>85</v>
      </c>
      <c r="B8" t="s">
        <v>169</v>
      </c>
      <c r="C8">
        <v>8.5</v>
      </c>
      <c r="D8">
        <v>8.5</v>
      </c>
      <c r="E8">
        <v>8.5</v>
      </c>
      <c r="F8" t="s">
        <v>170</v>
      </c>
    </row>
    <row r="9" spans="1:8">
      <c r="A9" t="s">
        <v>188</v>
      </c>
      <c r="B9" t="s">
        <v>173</v>
      </c>
      <c r="C9">
        <v>5.3</v>
      </c>
      <c r="D9">
        <v>0.3</v>
      </c>
      <c r="E9">
        <v>3.4</v>
      </c>
      <c r="F9" t="s">
        <v>170</v>
      </c>
    </row>
    <row r="10" spans="1:8">
      <c r="A10" t="s">
        <v>129</v>
      </c>
      <c r="B10" t="s">
        <v>169</v>
      </c>
      <c r="C10" t="s">
        <v>170</v>
      </c>
      <c r="D10" t="s">
        <v>170</v>
      </c>
      <c r="E10" t="s">
        <v>170</v>
      </c>
      <c r="F10">
        <v>14.4</v>
      </c>
    </row>
    <row r="11" spans="1:8">
      <c r="A11" t="s">
        <v>135</v>
      </c>
      <c r="B11" t="s">
        <v>169</v>
      </c>
      <c r="C11" t="s">
        <v>170</v>
      </c>
      <c r="D11" t="s">
        <v>170</v>
      </c>
      <c r="E11" t="s">
        <v>170</v>
      </c>
      <c r="F11">
        <v>48</v>
      </c>
    </row>
    <row r="12" spans="1:8" ht="32.1">
      <c r="A12" s="2" t="s">
        <v>189</v>
      </c>
      <c r="B12" s="2" t="s">
        <v>167</v>
      </c>
      <c r="C12" s="3" t="s">
        <v>182</v>
      </c>
      <c r="D12" s="3" t="s">
        <v>183</v>
      </c>
      <c r="E12" s="3" t="s">
        <v>184</v>
      </c>
      <c r="F12" s="2" t="s">
        <v>46</v>
      </c>
    </row>
    <row r="13" spans="1:8">
      <c r="A13" t="s">
        <v>40</v>
      </c>
      <c r="B13" t="s">
        <v>169</v>
      </c>
      <c r="C13">
        <v>92</v>
      </c>
      <c r="D13">
        <v>92</v>
      </c>
      <c r="E13">
        <v>92</v>
      </c>
    </row>
    <row r="14" spans="1:8">
      <c r="A14" t="s">
        <v>190</v>
      </c>
      <c r="B14" t="s">
        <v>169</v>
      </c>
      <c r="F14">
        <f>SUM(F5:F6,F10:F11,)</f>
        <v>94.4</v>
      </c>
    </row>
    <row r="15" spans="1:8">
      <c r="A15" t="s">
        <v>191</v>
      </c>
      <c r="B15" t="s">
        <v>169</v>
      </c>
      <c r="C15">
        <v>7.9</v>
      </c>
      <c r="D15">
        <v>7.9</v>
      </c>
      <c r="E15">
        <v>7.9</v>
      </c>
      <c r="F15" t="s">
        <v>170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/>
  <sheetData>
    <row r="1" spans="1:1">
      <c r="A1" s="5" t="s">
        <v>192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workbookViewId="0">
      <selection activeCell="I19" sqref="I19"/>
    </sheetView>
  </sheetViews>
  <sheetFormatPr defaultColWidth="11.42578125" defaultRowHeight="15"/>
  <cols>
    <col min="1" max="1" width="21.28515625" bestFit="1" customWidth="1"/>
    <col min="2" max="2" width="5.7109375" bestFit="1" customWidth="1"/>
    <col min="3" max="3" width="12.42578125" bestFit="1" customWidth="1"/>
  </cols>
  <sheetData>
    <row r="1" spans="1:7" ht="32.1">
      <c r="A1" s="2" t="s">
        <v>166</v>
      </c>
      <c r="B1" s="2" t="s">
        <v>193</v>
      </c>
      <c r="C1" s="3" t="s">
        <v>194</v>
      </c>
      <c r="D1" s="3" t="s">
        <v>195</v>
      </c>
      <c r="E1" s="3" t="s">
        <v>196</v>
      </c>
      <c r="F1" s="3" t="s">
        <v>197</v>
      </c>
      <c r="G1" s="3" t="s">
        <v>198</v>
      </c>
    </row>
    <row r="2" spans="1:7">
      <c r="A2" t="s">
        <v>8</v>
      </c>
      <c r="B2" t="s">
        <v>173</v>
      </c>
      <c r="C2">
        <v>437</v>
      </c>
      <c r="D2">
        <v>866</v>
      </c>
      <c r="E2">
        <v>369</v>
      </c>
      <c r="F2">
        <v>419</v>
      </c>
      <c r="G2">
        <v>419</v>
      </c>
    </row>
    <row r="3" spans="1:7">
      <c r="A3" t="s">
        <v>14</v>
      </c>
      <c r="B3" t="s">
        <v>199</v>
      </c>
      <c r="C3">
        <v>0.17</v>
      </c>
      <c r="D3" t="s">
        <v>170</v>
      </c>
      <c r="E3">
        <v>2.98</v>
      </c>
      <c r="F3">
        <v>6.23</v>
      </c>
      <c r="G3">
        <v>2.2200000000000002</v>
      </c>
    </row>
    <row r="4" spans="1:7">
      <c r="A4" t="s">
        <v>200</v>
      </c>
      <c r="B4" t="s">
        <v>201</v>
      </c>
      <c r="C4">
        <v>3.13</v>
      </c>
      <c r="D4">
        <v>1.78</v>
      </c>
      <c r="E4">
        <v>3.1</v>
      </c>
      <c r="F4">
        <v>3.1</v>
      </c>
      <c r="G4">
        <v>3.1</v>
      </c>
    </row>
    <row r="5" spans="1:7">
      <c r="A5" t="s">
        <v>202</v>
      </c>
      <c r="B5" t="s">
        <v>201</v>
      </c>
      <c r="C5" t="s">
        <v>170</v>
      </c>
      <c r="D5">
        <v>0.14680000000000001</v>
      </c>
      <c r="E5">
        <v>0.14680000000000001</v>
      </c>
      <c r="F5" t="s">
        <v>170</v>
      </c>
      <c r="G5" t="s">
        <v>170</v>
      </c>
    </row>
    <row r="6" spans="1:7">
      <c r="A6" t="s">
        <v>203</v>
      </c>
      <c r="B6" t="s">
        <v>201</v>
      </c>
      <c r="C6" t="s">
        <v>170</v>
      </c>
      <c r="D6">
        <v>0.161</v>
      </c>
      <c r="E6">
        <v>0.161</v>
      </c>
      <c r="F6" t="s">
        <v>170</v>
      </c>
      <c r="G6" t="s">
        <v>170</v>
      </c>
    </row>
    <row r="7" spans="1:7">
      <c r="A7" t="s">
        <v>204</v>
      </c>
      <c r="B7" t="s">
        <v>201</v>
      </c>
      <c r="C7" t="s">
        <v>170</v>
      </c>
      <c r="D7" t="s">
        <v>170</v>
      </c>
      <c r="E7" t="s">
        <v>170</v>
      </c>
      <c r="F7">
        <v>4.3700000000000003E-2</v>
      </c>
      <c r="G7">
        <v>4.3700000000000003E-2</v>
      </c>
    </row>
    <row r="8" spans="1:7">
      <c r="A8" s="5" t="s">
        <v>205</v>
      </c>
      <c r="B8" t="s">
        <v>206</v>
      </c>
    </row>
    <row r="9" spans="1:7">
      <c r="A9" s="5" t="s">
        <v>207</v>
      </c>
      <c r="B9" t="s">
        <v>206</v>
      </c>
    </row>
    <row r="10" spans="1:7" ht="32.1">
      <c r="A10" s="2" t="s">
        <v>166</v>
      </c>
      <c r="B10" s="2" t="s">
        <v>193</v>
      </c>
      <c r="C10" s="3" t="s">
        <v>194</v>
      </c>
      <c r="D10" s="3" t="s">
        <v>195</v>
      </c>
      <c r="E10" s="3" t="s">
        <v>196</v>
      </c>
      <c r="F10" s="3" t="s">
        <v>197</v>
      </c>
      <c r="G10" s="3" t="s">
        <v>198</v>
      </c>
    </row>
    <row r="11" spans="1:7">
      <c r="A11" t="s">
        <v>208</v>
      </c>
      <c r="B11" t="s">
        <v>201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>
      <c r="A12" s="5" t="s">
        <v>209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6"/>
  <sheetViews>
    <sheetView workbookViewId="0">
      <selection activeCell="L14" sqref="L14"/>
    </sheetView>
  </sheetViews>
  <sheetFormatPr defaultColWidth="11.42578125" defaultRowHeight="15"/>
  <cols>
    <col min="1" max="1" width="29.42578125" bestFit="1" customWidth="1"/>
    <col min="2" max="2" width="4.42578125" bestFit="1" customWidth="1"/>
    <col min="3" max="3" width="7.85546875" bestFit="1" customWidth="1"/>
    <col min="4" max="4" width="8.28515625" bestFit="1" customWidth="1"/>
    <col min="5" max="5" width="8.140625" bestFit="1" customWidth="1"/>
    <col min="6" max="6" width="7.7109375" bestFit="1" customWidth="1"/>
    <col min="7" max="7" width="7.85546875" bestFit="1" customWidth="1"/>
    <col min="8" max="8" width="3.85546875" bestFit="1" customWidth="1"/>
    <col min="9" max="9" width="8.42578125" bestFit="1" customWidth="1"/>
  </cols>
  <sheetData>
    <row r="1" spans="1:9">
      <c r="A1" s="2" t="s">
        <v>166</v>
      </c>
      <c r="B1" s="2" t="s">
        <v>167</v>
      </c>
      <c r="C1" s="2" t="s">
        <v>210</v>
      </c>
      <c r="D1" s="2" t="s">
        <v>211</v>
      </c>
      <c r="E1" s="2" t="s">
        <v>212</v>
      </c>
      <c r="F1" s="2" t="s">
        <v>213</v>
      </c>
      <c r="G1" s="2" t="s">
        <v>214</v>
      </c>
      <c r="H1" s="2" t="s">
        <v>215</v>
      </c>
      <c r="I1" s="2" t="s">
        <v>216</v>
      </c>
    </row>
    <row r="2" spans="1:9">
      <c r="A2" t="s">
        <v>217</v>
      </c>
      <c r="B2" t="s">
        <v>169</v>
      </c>
      <c r="C2">
        <v>890</v>
      </c>
      <c r="D2">
        <v>890</v>
      </c>
      <c r="E2">
        <v>890</v>
      </c>
      <c r="F2">
        <v>890</v>
      </c>
      <c r="G2">
        <v>890</v>
      </c>
      <c r="H2">
        <v>890</v>
      </c>
      <c r="I2" t="s">
        <v>170</v>
      </c>
    </row>
    <row r="3" spans="1:9">
      <c r="A3" t="s">
        <v>218</v>
      </c>
      <c r="B3" t="s">
        <v>169</v>
      </c>
      <c r="C3" t="s">
        <v>170</v>
      </c>
      <c r="D3" t="s">
        <v>170</v>
      </c>
      <c r="E3" t="s">
        <v>170</v>
      </c>
      <c r="F3" t="s">
        <v>170</v>
      </c>
      <c r="G3" t="s">
        <v>170</v>
      </c>
      <c r="H3" t="s">
        <v>170</v>
      </c>
      <c r="I3">
        <v>890</v>
      </c>
    </row>
    <row r="4" spans="1:9">
      <c r="A4" t="s">
        <v>219</v>
      </c>
      <c r="B4" t="s">
        <v>169</v>
      </c>
      <c r="C4">
        <v>592</v>
      </c>
      <c r="D4">
        <v>592</v>
      </c>
      <c r="E4">
        <v>592</v>
      </c>
      <c r="F4">
        <v>592</v>
      </c>
      <c r="G4">
        <v>592</v>
      </c>
      <c r="H4">
        <v>592</v>
      </c>
      <c r="I4">
        <v>592</v>
      </c>
    </row>
    <row r="5" spans="1:9">
      <c r="A5" t="s">
        <v>220</v>
      </c>
      <c r="B5" t="s">
        <v>169</v>
      </c>
      <c r="C5" t="s">
        <v>170</v>
      </c>
      <c r="D5">
        <v>74</v>
      </c>
      <c r="E5" t="s">
        <v>170</v>
      </c>
      <c r="F5" t="s">
        <v>170</v>
      </c>
      <c r="G5" t="s">
        <v>170</v>
      </c>
      <c r="H5" t="s">
        <v>170</v>
      </c>
      <c r="I5" t="s">
        <v>170</v>
      </c>
    </row>
    <row r="6" spans="1:9" ht="15.95">
      <c r="A6" s="4" t="s">
        <v>221</v>
      </c>
      <c r="B6" t="s">
        <v>169</v>
      </c>
      <c r="C6" t="s">
        <v>170</v>
      </c>
      <c r="D6" t="s">
        <v>170</v>
      </c>
      <c r="E6" t="s">
        <v>170</v>
      </c>
      <c r="F6" t="s">
        <v>170</v>
      </c>
      <c r="G6" t="s">
        <v>170</v>
      </c>
      <c r="H6">
        <v>370</v>
      </c>
      <c r="I6" t="s">
        <v>170</v>
      </c>
    </row>
    <row r="7" spans="1:9">
      <c r="A7" t="s">
        <v>222</v>
      </c>
      <c r="B7" t="s">
        <v>169</v>
      </c>
      <c r="C7" t="s">
        <v>170</v>
      </c>
      <c r="D7" t="s">
        <v>170</v>
      </c>
      <c r="E7">
        <v>74</v>
      </c>
      <c r="F7" t="s">
        <v>170</v>
      </c>
      <c r="G7" t="s">
        <v>170</v>
      </c>
      <c r="H7" t="s">
        <v>170</v>
      </c>
      <c r="I7" t="s">
        <v>170</v>
      </c>
    </row>
    <row r="8" spans="1:9">
      <c r="A8" t="s">
        <v>223</v>
      </c>
      <c r="B8" t="s">
        <v>169</v>
      </c>
      <c r="C8" t="s">
        <v>170</v>
      </c>
      <c r="D8" t="s">
        <v>170</v>
      </c>
      <c r="E8" t="s">
        <v>170</v>
      </c>
      <c r="F8">
        <v>74</v>
      </c>
      <c r="G8" t="s">
        <v>170</v>
      </c>
      <c r="H8" t="s">
        <v>170</v>
      </c>
      <c r="I8" t="s">
        <v>170</v>
      </c>
    </row>
    <row r="9" spans="1:9">
      <c r="A9" t="s">
        <v>224</v>
      </c>
      <c r="B9" t="s">
        <v>169</v>
      </c>
      <c r="C9" t="s">
        <v>170</v>
      </c>
      <c r="D9" t="s">
        <v>170</v>
      </c>
      <c r="E9" t="s">
        <v>170</v>
      </c>
      <c r="F9" t="s">
        <v>170</v>
      </c>
      <c r="G9">
        <v>74</v>
      </c>
      <c r="H9" t="s">
        <v>170</v>
      </c>
      <c r="I9" t="s">
        <v>170</v>
      </c>
    </row>
    <row r="10" spans="1:9">
      <c r="A10" t="s">
        <v>109</v>
      </c>
      <c r="B10" t="s">
        <v>169</v>
      </c>
      <c r="C10" t="s">
        <v>170</v>
      </c>
      <c r="D10" t="s">
        <v>170</v>
      </c>
      <c r="E10" t="s">
        <v>170</v>
      </c>
      <c r="F10" t="s">
        <v>170</v>
      </c>
      <c r="G10" t="s">
        <v>170</v>
      </c>
      <c r="H10" t="s">
        <v>170</v>
      </c>
      <c r="I10" t="s">
        <v>170</v>
      </c>
    </row>
    <row r="11" spans="1:9">
      <c r="A11" t="s">
        <v>85</v>
      </c>
      <c r="B11" t="s">
        <v>169</v>
      </c>
      <c r="C11">
        <v>60.3</v>
      </c>
      <c r="D11">
        <v>68.5</v>
      </c>
      <c r="E11">
        <v>44.4</v>
      </c>
      <c r="F11">
        <v>40.9</v>
      </c>
      <c r="G11">
        <v>42</v>
      </c>
      <c r="H11">
        <v>44.4</v>
      </c>
      <c r="I11">
        <v>66.599999999999994</v>
      </c>
    </row>
    <row r="12" spans="1:9">
      <c r="A12" t="s">
        <v>8</v>
      </c>
      <c r="C12" s="58" t="s">
        <v>225</v>
      </c>
      <c r="D12" s="58"/>
      <c r="E12" s="58"/>
      <c r="F12" s="58"/>
      <c r="G12" s="58"/>
      <c r="H12" s="58"/>
      <c r="I12" s="58"/>
    </row>
    <row r="13" spans="1:9">
      <c r="A13" t="s">
        <v>226</v>
      </c>
      <c r="C13" s="58"/>
      <c r="D13" s="58"/>
      <c r="E13" s="58"/>
      <c r="F13" s="58"/>
      <c r="G13" s="58"/>
      <c r="H13" s="58"/>
      <c r="I13" s="58"/>
    </row>
    <row r="14" spans="1:9">
      <c r="A14" t="s">
        <v>227</v>
      </c>
      <c r="C14" s="58"/>
      <c r="D14" s="58"/>
      <c r="E14" s="58"/>
      <c r="F14" s="58"/>
      <c r="G14" s="58"/>
      <c r="H14" s="58"/>
      <c r="I14" s="58"/>
    </row>
    <row r="15" spans="1:9">
      <c r="A15" s="2" t="s">
        <v>1</v>
      </c>
      <c r="B15" s="2" t="s">
        <v>167</v>
      </c>
      <c r="C15" s="2" t="s">
        <v>210</v>
      </c>
      <c r="D15" s="2" t="s">
        <v>211</v>
      </c>
      <c r="E15" s="2" t="s">
        <v>212</v>
      </c>
      <c r="F15" s="2" t="s">
        <v>213</v>
      </c>
      <c r="G15" s="2" t="s">
        <v>214</v>
      </c>
      <c r="H15" s="2" t="s">
        <v>215</v>
      </c>
      <c r="I15" s="2" t="s">
        <v>216</v>
      </c>
    </row>
    <row r="16" spans="1:9">
      <c r="B16" t="s">
        <v>169</v>
      </c>
    </row>
  </sheetData>
  <mergeCells count="1">
    <mergeCell ref="C12:I14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11.42578125" defaultRowHeight="15"/>
  <sheetData>
    <row r="1" spans="1:1">
      <c r="A1" s="5" t="s">
        <v>228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>
      <selection activeCell="C8" sqref="C8"/>
    </sheetView>
  </sheetViews>
  <sheetFormatPr defaultColWidth="11.42578125" defaultRowHeight="15"/>
  <cols>
    <col min="1" max="1" width="18.42578125" bestFit="1" customWidth="1"/>
  </cols>
  <sheetData>
    <row r="1" spans="1:6">
      <c r="A1" s="2" t="s">
        <v>166</v>
      </c>
      <c r="B1" s="2" t="s">
        <v>167</v>
      </c>
      <c r="C1" t="s">
        <v>229</v>
      </c>
      <c r="D1" t="s">
        <v>230</v>
      </c>
      <c r="E1" t="s">
        <v>231</v>
      </c>
      <c r="F1" t="s">
        <v>232</v>
      </c>
    </row>
    <row r="2" spans="1:6">
      <c r="A2" s="5" t="s">
        <v>233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5" sqref="J25"/>
    </sheetView>
  </sheetViews>
  <sheetFormatPr defaultColWidth="11.42578125" defaultRowHeight="15"/>
  <sheetData>
    <row r="1" spans="1:1">
      <c r="A1" s="5" t="s">
        <v>234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75B014E1987FD48AF520384B3D1C075" ma:contentTypeVersion="4" ma:contentTypeDescription="Ein neues Dokument erstellen." ma:contentTypeScope="" ma:versionID="40da7308a1e02958448d6b9dafbaa224">
  <xsd:schema xmlns:xsd="http://www.w3.org/2001/XMLSchema" xmlns:xs="http://www.w3.org/2001/XMLSchema" xmlns:p="http://schemas.microsoft.com/office/2006/metadata/properties" xmlns:ns2="32fd9960-50b0-4529-afa4-1efdaa588ec8" targetNamespace="http://schemas.microsoft.com/office/2006/metadata/properties" ma:root="true" ma:fieldsID="62c0cbb85f8d627700b9f417f80176c4" ns2:_="">
    <xsd:import namespace="32fd9960-50b0-4529-afa4-1efdaa588e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d9960-50b0-4529-afa4-1efdaa588e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512CF6-1FBC-46A7-9AF0-1D2159992606}"/>
</file>

<file path=customXml/itemProps2.xml><?xml version="1.0" encoding="utf-8"?>
<ds:datastoreItem xmlns:ds="http://schemas.openxmlformats.org/officeDocument/2006/customXml" ds:itemID="{86744C18-5452-4457-8035-F326D316264E}"/>
</file>

<file path=customXml/itemProps3.xml><?xml version="1.0" encoding="utf-8"?>
<ds:datastoreItem xmlns:ds="http://schemas.openxmlformats.org/officeDocument/2006/customXml" ds:itemID="{AAACE34A-63AC-4282-8652-B54309E213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Fraunhofer UMSICHT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Thonemann, Nils</dc:creator>
  <cp:keywords/>
  <dc:description/>
  <cp:lastModifiedBy>Fromme, Felix</cp:lastModifiedBy>
  <cp:revision/>
  <dcterms:created xsi:type="dcterms:W3CDTF">2021-04-08T13:26:07Z</dcterms:created>
  <dcterms:modified xsi:type="dcterms:W3CDTF">2021-05-27T12:09:20Z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0x010100375B014E1987FD48AF520384B3D1C075</vt:lpwstr>
  </property>
</Properties>
</file>