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niltho_dtu_dk/Documents/Dokumenter/BW2/Nukos_Meta_LCA/"/>
    </mc:Choice>
  </mc:AlternateContent>
  <xr:revisionPtr revIDLastSave="6" documentId="11_7CB9EE4738813657E5C93F33D6F01BEBFA0D14D9" xr6:coauthVersionLast="47" xr6:coauthVersionMax="47" xr10:uidLastSave="{AE0976E3-F968-4837-BEEB-FBE806451493}"/>
  <bookViews>
    <workbookView xWindow="-120" yWindow="-120" windowWidth="29040" windowHeight="15840" xr2:uid="{00000000-000D-0000-FFFF-FFFF00000000}"/>
  </bookViews>
  <sheets>
    <sheet name="Foreground_db_pessimistic" sheetId="6" r:id="rId1"/>
    <sheet name="Foreground_db_realistic" sheetId="7" r:id="rId2"/>
    <sheet name="Foreground_db_optimistic" sheetId="2" r:id="rId3"/>
    <sheet name="Background_db" sheetId="1" r:id="rId4"/>
  </sheets>
  <definedNames>
    <definedName name="_xlnm._FilterDatabase" localSheetId="3" hidden="1">Background_db!$A$1:$O$163</definedName>
    <definedName name="_xlnm._FilterDatabase" localSheetId="2" hidden="1">Foreground_db_optimistic!$A$1:$O$294</definedName>
    <definedName name="_xlnm._FilterDatabase" localSheetId="0" hidden="1">Foreground_db_pessimistic!$A$1:$O$264</definedName>
    <definedName name="_xlnm._FilterDatabase" localSheetId="1" hidden="1">Foreground_db_realistic!$A$1:$O$283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0" i="7" l="1"/>
  <c r="H223" i="7"/>
  <c r="H145" i="7"/>
  <c r="H138" i="7"/>
  <c r="H131" i="7"/>
  <c r="H122" i="7"/>
  <c r="H114" i="7"/>
  <c r="H49" i="7"/>
  <c r="H107" i="7"/>
  <c r="H100" i="7"/>
  <c r="H91" i="7"/>
  <c r="H84" i="7"/>
  <c r="H77" i="7"/>
  <c r="H70" i="7"/>
  <c r="H63" i="7"/>
  <c r="H56" i="7"/>
  <c r="H150" i="2"/>
  <c r="H149" i="2"/>
  <c r="H143" i="2"/>
  <c r="H142" i="2"/>
  <c r="H136" i="2"/>
  <c r="H135" i="2"/>
  <c r="H85" i="2"/>
  <c r="H84" i="2"/>
  <c r="H78" i="2"/>
  <c r="H77" i="2"/>
  <c r="H71" i="2"/>
  <c r="H70" i="2"/>
  <c r="H64" i="2"/>
  <c r="H63" i="2"/>
  <c r="H57" i="2"/>
  <c r="H56" i="2"/>
  <c r="H50" i="2"/>
  <c r="H49" i="2"/>
  <c r="H144" i="7"/>
  <c r="H137" i="7"/>
  <c r="H130" i="7"/>
  <c r="H83" i="7"/>
  <c r="H76" i="7"/>
  <c r="H69" i="7"/>
  <c r="H62" i="7"/>
  <c r="H55" i="7"/>
  <c r="H48" i="7"/>
  <c r="H135" i="6"/>
  <c r="H129" i="6"/>
  <c r="H123" i="6"/>
  <c r="H78" i="6"/>
  <c r="H72" i="6"/>
  <c r="H66" i="6"/>
  <c r="H60" i="6"/>
  <c r="H54" i="6"/>
  <c r="H48" i="6"/>
  <c r="H282" i="7"/>
  <c r="H281" i="7"/>
  <c r="H280" i="7"/>
  <c r="H277" i="7"/>
  <c r="H276" i="7"/>
  <c r="H275" i="7"/>
  <c r="H269" i="7"/>
  <c r="H268" i="7"/>
  <c r="H263" i="7"/>
  <c r="H262" i="7"/>
  <c r="H261" i="7"/>
  <c r="H260" i="7"/>
  <c r="H259" i="7"/>
  <c r="H258" i="7"/>
  <c r="H257" i="7"/>
  <c r="H256" i="7"/>
  <c r="H255" i="7"/>
  <c r="H254" i="7"/>
  <c r="H251" i="7"/>
  <c r="H250" i="7"/>
  <c r="H249" i="7"/>
  <c r="H248" i="7"/>
  <c r="H247" i="7"/>
  <c r="H246" i="7"/>
  <c r="H245" i="7"/>
  <c r="H244" i="7"/>
  <c r="H243" i="7"/>
  <c r="H240" i="7"/>
  <c r="H239" i="7"/>
  <c r="H238" i="7"/>
  <c r="H235" i="7"/>
  <c r="H234" i="7"/>
  <c r="H233" i="7"/>
  <c r="H232" i="7"/>
  <c r="H231" i="7"/>
  <c r="H230" i="7"/>
  <c r="H229" i="7"/>
  <c r="H228" i="7"/>
  <c r="H222" i="7"/>
  <c r="H221" i="7"/>
  <c r="H216" i="7"/>
  <c r="H215" i="7"/>
  <c r="H214" i="7"/>
  <c r="H213" i="7"/>
  <c r="H212" i="7"/>
  <c r="H211" i="7"/>
  <c r="H210" i="7"/>
  <c r="H209" i="7"/>
  <c r="H208" i="7"/>
  <c r="H207" i="7"/>
  <c r="H204" i="7"/>
  <c r="H203" i="7"/>
  <c r="H202" i="7"/>
  <c r="H201" i="7"/>
  <c r="H200" i="7"/>
  <c r="H199" i="7"/>
  <c r="H198" i="7"/>
  <c r="H197" i="7"/>
  <c r="H196" i="7"/>
  <c r="H195" i="7"/>
  <c r="H194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5" i="7"/>
  <c r="H174" i="7"/>
  <c r="H173" i="7"/>
  <c r="H172" i="7"/>
  <c r="H171" i="7"/>
  <c r="H170" i="7"/>
  <c r="H167" i="7"/>
  <c r="H166" i="7"/>
  <c r="H165" i="7"/>
  <c r="H164" i="7"/>
  <c r="H163" i="7"/>
  <c r="H162" i="7"/>
  <c r="H161" i="7"/>
  <c r="H158" i="7"/>
  <c r="H157" i="7"/>
  <c r="H156" i="7"/>
  <c r="H153" i="7"/>
  <c r="H152" i="7"/>
  <c r="H151" i="7"/>
  <c r="H150" i="7"/>
  <c r="H149" i="7"/>
  <c r="H148" i="7"/>
  <c r="H143" i="7"/>
  <c r="H142" i="7"/>
  <c r="H141" i="7"/>
  <c r="H136" i="7"/>
  <c r="H135" i="7"/>
  <c r="H134" i="7"/>
  <c r="H129" i="7"/>
  <c r="H128" i="7"/>
  <c r="H127" i="7"/>
  <c r="H120" i="7"/>
  <c r="H113" i="7"/>
  <c r="H106" i="7"/>
  <c r="H105" i="7"/>
  <c r="H99" i="7"/>
  <c r="H98" i="7"/>
  <c r="H93" i="7"/>
  <c r="H90" i="7"/>
  <c r="H89" i="7"/>
  <c r="H82" i="7"/>
  <c r="H81" i="7"/>
  <c r="H80" i="7"/>
  <c r="H75" i="7"/>
  <c r="H74" i="7"/>
  <c r="H73" i="7"/>
  <c r="H68" i="7"/>
  <c r="H67" i="7"/>
  <c r="H66" i="7"/>
  <c r="H61" i="7"/>
  <c r="H60" i="7"/>
  <c r="H59" i="7"/>
  <c r="H54" i="7"/>
  <c r="H53" i="7"/>
  <c r="H52" i="7"/>
  <c r="H47" i="7"/>
  <c r="H46" i="7"/>
  <c r="H45" i="7"/>
  <c r="H42" i="7"/>
  <c r="H41" i="7"/>
  <c r="H40" i="7"/>
  <c r="H39" i="7"/>
  <c r="H36" i="7"/>
  <c r="H35" i="7"/>
  <c r="H34" i="7"/>
  <c r="H33" i="7"/>
  <c r="H32" i="7"/>
  <c r="H31" i="7"/>
  <c r="H30" i="7"/>
  <c r="H29" i="7"/>
  <c r="H28" i="7"/>
  <c r="H27" i="7"/>
  <c r="H26" i="7"/>
  <c r="H23" i="7"/>
  <c r="H22" i="7"/>
  <c r="H21" i="7"/>
  <c r="H20" i="7"/>
  <c r="H19" i="7"/>
  <c r="H18" i="7"/>
  <c r="H17" i="7"/>
  <c r="H14" i="7"/>
  <c r="H13" i="7"/>
  <c r="H12" i="7"/>
  <c r="H11" i="7"/>
  <c r="H10" i="7"/>
  <c r="H7" i="7"/>
  <c r="H6" i="7"/>
  <c r="H5" i="7"/>
  <c r="H4" i="7"/>
  <c r="H264" i="6"/>
  <c r="H263" i="6"/>
  <c r="H262" i="6"/>
  <c r="H259" i="6"/>
  <c r="H258" i="6"/>
  <c r="H257" i="6"/>
  <c r="H251" i="6"/>
  <c r="H250" i="6"/>
  <c r="H245" i="6"/>
  <c r="H244" i="6"/>
  <c r="H243" i="6"/>
  <c r="H242" i="6"/>
  <c r="H241" i="6"/>
  <c r="H240" i="6"/>
  <c r="H239" i="6"/>
  <c r="H238" i="6"/>
  <c r="H237" i="6"/>
  <c r="H234" i="6"/>
  <c r="H233" i="6"/>
  <c r="H232" i="6"/>
  <c r="H231" i="6"/>
  <c r="H230" i="6"/>
  <c r="H229" i="6"/>
  <c r="H228" i="6"/>
  <c r="H227" i="6"/>
  <c r="H224" i="6"/>
  <c r="H223" i="6"/>
  <c r="H220" i="6"/>
  <c r="H219" i="6"/>
  <c r="H218" i="6"/>
  <c r="H217" i="6"/>
  <c r="H216" i="6"/>
  <c r="H215" i="6"/>
  <c r="H214" i="6"/>
  <c r="H208" i="6"/>
  <c r="H207" i="6"/>
  <c r="H202" i="6"/>
  <c r="H201" i="6"/>
  <c r="H200" i="6"/>
  <c r="H199" i="6"/>
  <c r="H198" i="6"/>
  <c r="H197" i="6"/>
  <c r="H196" i="6"/>
  <c r="H195" i="6"/>
  <c r="H194" i="6"/>
  <c r="H193" i="6"/>
  <c r="H190" i="6"/>
  <c r="H189" i="6"/>
  <c r="H188" i="6"/>
  <c r="H187" i="6"/>
  <c r="H186" i="6"/>
  <c r="H185" i="6"/>
  <c r="H184" i="6"/>
  <c r="H183" i="6"/>
  <c r="H182" i="6"/>
  <c r="H181" i="6"/>
  <c r="H180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1" i="6"/>
  <c r="H160" i="6"/>
  <c r="H159" i="6"/>
  <c r="H158" i="6"/>
  <c r="H157" i="6"/>
  <c r="H154" i="6"/>
  <c r="H153" i="6"/>
  <c r="H152" i="6"/>
  <c r="H151" i="6"/>
  <c r="H150" i="6"/>
  <c r="H149" i="6"/>
  <c r="H146" i="6"/>
  <c r="H145" i="6"/>
  <c r="H142" i="6"/>
  <c r="H141" i="6"/>
  <c r="H140" i="6"/>
  <c r="H139" i="6"/>
  <c r="H138" i="6"/>
  <c r="H134" i="6"/>
  <c r="H133" i="6"/>
  <c r="H132" i="6"/>
  <c r="H128" i="6"/>
  <c r="H127" i="6"/>
  <c r="H126" i="6"/>
  <c r="H122" i="6"/>
  <c r="H121" i="6"/>
  <c r="H120" i="6"/>
  <c r="H114" i="6"/>
  <c r="H107" i="6"/>
  <c r="H100" i="6"/>
  <c r="H99" i="6"/>
  <c r="H93" i="6"/>
  <c r="H92" i="6"/>
  <c r="H87" i="6"/>
  <c r="H84" i="6"/>
  <c r="H83" i="6"/>
  <c r="H77" i="6"/>
  <c r="H76" i="6"/>
  <c r="H75" i="6"/>
  <c r="H71" i="6"/>
  <c r="H70" i="6"/>
  <c r="H69" i="6"/>
  <c r="H65" i="6"/>
  <c r="H64" i="6"/>
  <c r="H63" i="6"/>
  <c r="H59" i="6"/>
  <c r="H58" i="6"/>
  <c r="H57" i="6"/>
  <c r="H53" i="6"/>
  <c r="H52" i="6"/>
  <c r="H51" i="6"/>
  <c r="H47" i="6"/>
  <c r="H46" i="6"/>
  <c r="H45" i="6"/>
  <c r="H42" i="6"/>
  <c r="H41" i="6"/>
  <c r="H40" i="6"/>
  <c r="H39" i="6"/>
  <c r="H36" i="6"/>
  <c r="H35" i="6"/>
  <c r="H34" i="6"/>
  <c r="H33" i="6"/>
  <c r="H32" i="6"/>
  <c r="H31" i="6"/>
  <c r="H30" i="6"/>
  <c r="H29" i="6"/>
  <c r="H28" i="6"/>
  <c r="H27" i="6"/>
  <c r="H26" i="6"/>
  <c r="H23" i="6"/>
  <c r="H22" i="6"/>
  <c r="H21" i="6"/>
  <c r="H20" i="6"/>
  <c r="H19" i="6"/>
  <c r="H18" i="6"/>
  <c r="H17" i="6"/>
  <c r="H14" i="6"/>
  <c r="H13" i="6"/>
  <c r="H12" i="6"/>
  <c r="H11" i="6"/>
  <c r="H10" i="6"/>
  <c r="H7" i="6"/>
  <c r="H6" i="6"/>
  <c r="H5" i="6"/>
  <c r="H4" i="6"/>
  <c r="H33" i="2"/>
  <c r="H292" i="2"/>
  <c r="H285" i="2"/>
  <c r="H203" i="2"/>
  <c r="H178" i="2"/>
  <c r="H177" i="2"/>
  <c r="H170" i="2"/>
  <c r="H100" i="1" l="1"/>
  <c r="H34" i="2" l="1"/>
  <c r="H133" i="2" l="1"/>
  <c r="H269" i="2"/>
  <c r="H268" i="2"/>
  <c r="H255" i="2"/>
  <c r="H256" i="2"/>
  <c r="H209" i="2"/>
  <c r="H117" i="2"/>
  <c r="H109" i="2"/>
  <c r="H100" i="2"/>
  <c r="H90" i="2"/>
  <c r="H219" i="2" l="1"/>
  <c r="H218" i="2"/>
  <c r="H215" i="2"/>
  <c r="H206" i="2"/>
  <c r="H205" i="2"/>
  <c r="H202" i="2"/>
  <c r="H190" i="2"/>
  <c r="H188" i="2"/>
  <c r="H189" i="2"/>
  <c r="H187" i="2"/>
  <c r="H266" i="2"/>
  <c r="H252" i="2"/>
  <c r="H253" i="2"/>
  <c r="H41" i="2"/>
  <c r="H226" i="2"/>
  <c r="H277" i="2"/>
  <c r="H276" i="2"/>
  <c r="H125" i="2"/>
  <c r="H91" i="2"/>
  <c r="H163" i="2"/>
  <c r="H162" i="2"/>
  <c r="H161" i="2"/>
  <c r="H293" i="2"/>
  <c r="H287" i="2"/>
  <c r="H246" i="2"/>
  <c r="H245" i="2"/>
  <c r="H244" i="2"/>
  <c r="H291" i="2"/>
  <c r="H290" i="2"/>
  <c r="H238" i="2"/>
  <c r="H108" i="2"/>
  <c r="H183" i="2"/>
  <c r="H28" i="2"/>
  <c r="H27" i="2"/>
  <c r="H169" i="2"/>
  <c r="H156" i="2"/>
  <c r="H153" i="2"/>
  <c r="H286" i="2"/>
  <c r="H284" i="2"/>
  <c r="H241" i="2"/>
  <c r="H240" i="2"/>
  <c r="H239" i="2"/>
  <c r="H237" i="2"/>
  <c r="H236" i="2"/>
  <c r="H235" i="2"/>
  <c r="H234" i="2"/>
  <c r="H83" i="2"/>
  <c r="H82" i="2"/>
  <c r="H81" i="2"/>
  <c r="H76" i="2"/>
  <c r="H75" i="2"/>
  <c r="H74" i="2"/>
  <c r="H69" i="2"/>
  <c r="H68" i="2"/>
  <c r="H67" i="2"/>
  <c r="H62" i="2"/>
  <c r="H61" i="2"/>
  <c r="H60" i="2"/>
  <c r="H48" i="2"/>
  <c r="H55" i="2"/>
  <c r="H54" i="2"/>
  <c r="H53" i="2"/>
  <c r="H47" i="2"/>
  <c r="H46" i="2"/>
  <c r="H148" i="2"/>
  <c r="H147" i="2"/>
  <c r="H146" i="2"/>
  <c r="H141" i="2"/>
  <c r="H140" i="2"/>
  <c r="H139" i="2"/>
  <c r="H134" i="2"/>
  <c r="H132" i="2"/>
  <c r="H227" i="2"/>
  <c r="H101" i="2"/>
  <c r="H95" i="2"/>
  <c r="H110" i="2"/>
  <c r="H221" i="2"/>
  <c r="H220" i="2"/>
  <c r="H217" i="2"/>
  <c r="H216" i="2"/>
  <c r="H214" i="2"/>
  <c r="H213" i="2"/>
  <c r="H212" i="2"/>
  <c r="H208" i="2"/>
  <c r="H207" i="2"/>
  <c r="H204" i="2"/>
  <c r="H201" i="2"/>
  <c r="H200" i="2"/>
  <c r="H199" i="2"/>
  <c r="H196" i="2"/>
  <c r="H195" i="2"/>
  <c r="H194" i="2"/>
  <c r="H185" i="2"/>
  <c r="H193" i="2"/>
  <c r="H192" i="2"/>
  <c r="H191" i="2"/>
  <c r="H184" i="2"/>
  <c r="H186" i="2"/>
  <c r="H271" i="2"/>
  <c r="H270" i="2"/>
  <c r="H267" i="2"/>
  <c r="H265" i="2"/>
  <c r="H264" i="2"/>
  <c r="H263" i="2"/>
  <c r="H262" i="2"/>
  <c r="H261" i="2"/>
  <c r="H258" i="2"/>
  <c r="H257" i="2"/>
  <c r="H254" i="2"/>
  <c r="H251" i="2"/>
  <c r="H250" i="2"/>
  <c r="H249" i="2"/>
  <c r="H36" i="2"/>
  <c r="H35" i="2"/>
  <c r="H32" i="2"/>
  <c r="H31" i="2"/>
  <c r="H30" i="2"/>
  <c r="H29" i="2"/>
  <c r="H43" i="2"/>
  <c r="H26" i="2"/>
  <c r="H179" i="2"/>
  <c r="H180" i="2"/>
  <c r="H176" i="2"/>
  <c r="H175" i="2"/>
  <c r="H172" i="2"/>
  <c r="H171" i="2"/>
  <c r="H168" i="2"/>
  <c r="H167" i="2"/>
  <c r="H166" i="2"/>
  <c r="H158" i="2"/>
  <c r="H157" i="2"/>
  <c r="H155" i="2"/>
  <c r="H154" i="2"/>
  <c r="H42" i="2"/>
  <c r="H40" i="2"/>
  <c r="H39" i="2"/>
  <c r="H85" i="1"/>
  <c r="H89" i="1"/>
  <c r="H80" i="1"/>
  <c r="H102" i="1"/>
  <c r="H67" i="1"/>
  <c r="H66" i="1"/>
  <c r="H65" i="1"/>
  <c r="H64" i="1"/>
  <c r="H62" i="1"/>
  <c r="H61" i="1"/>
  <c r="H51" i="1"/>
  <c r="H23" i="2"/>
  <c r="H4" i="2"/>
  <c r="H5" i="2"/>
  <c r="H6" i="2"/>
  <c r="H7" i="2"/>
  <c r="H10" i="2"/>
  <c r="H11" i="2"/>
  <c r="H12" i="2"/>
  <c r="H13" i="2"/>
  <c r="H14" i="2"/>
  <c r="H17" i="2"/>
  <c r="H18" i="2"/>
  <c r="H19" i="2"/>
  <c r="H20" i="2"/>
  <c r="H21" i="2"/>
  <c r="H22" i="2"/>
  <c r="H49" i="1"/>
</calcChain>
</file>

<file path=xl/sharedStrings.xml><?xml version="1.0" encoding="utf-8"?>
<sst xmlns="http://schemas.openxmlformats.org/spreadsheetml/2006/main" count="10045" uniqueCount="232">
  <si>
    <t>Activity database</t>
  </si>
  <si>
    <t>Activity code</t>
  </si>
  <si>
    <t>Activity name</t>
  </si>
  <si>
    <t>Activity unit</t>
  </si>
  <si>
    <t>Activity type</t>
  </si>
  <si>
    <t>Exchange database</t>
  </si>
  <si>
    <t>Exchange input</t>
  </si>
  <si>
    <t>Exchange amount</t>
  </si>
  <si>
    <t>Exchange unit</t>
  </si>
  <si>
    <t>Exchange type</t>
  </si>
  <si>
    <t>Exchange uncertainty type</t>
  </si>
  <si>
    <t>Exchange loc</t>
  </si>
  <si>
    <t>Exchange scale</t>
  </si>
  <si>
    <t>Exchange negative</t>
  </si>
  <si>
    <t>Notes</t>
  </si>
  <si>
    <t>Nukos_FG_pess</t>
  </si>
  <si>
    <t>Carbonation curing 1</t>
  </si>
  <si>
    <t>kilogram</t>
  </si>
  <si>
    <t>process</t>
  </si>
  <si>
    <t>production</t>
  </si>
  <si>
    <t>Di Maria et al. (2018)</t>
  </si>
  <si>
    <t>Nukos_BG</t>
  </si>
  <si>
    <t>Pure CO2</t>
  </si>
  <si>
    <t>technosphere</t>
  </si>
  <si>
    <t>AOD-slag</t>
  </si>
  <si>
    <t>Aggregates</t>
  </si>
  <si>
    <t>Water</t>
  </si>
  <si>
    <t>Paver OPC-concrete</t>
  </si>
  <si>
    <t>Carbonation curing 2</t>
  </si>
  <si>
    <t>Electricity</t>
  </si>
  <si>
    <t>kilowatt hour</t>
  </si>
  <si>
    <t>Carbonation curing 3</t>
  </si>
  <si>
    <t>Di Maria et al. (2020)</t>
  </si>
  <si>
    <t>Heat</t>
  </si>
  <si>
    <t>megajoule</t>
  </si>
  <si>
    <t>Sand</t>
  </si>
  <si>
    <t>PC-based blocks</t>
  </si>
  <si>
    <t>Grey Water</t>
  </si>
  <si>
    <t>Carbonation mixing 1</t>
  </si>
  <si>
    <t>Monkman et al. (2017)</t>
  </si>
  <si>
    <t>CEM I</t>
  </si>
  <si>
    <t>Fly ash</t>
  </si>
  <si>
    <t>BF-slag</t>
  </si>
  <si>
    <t>Coarse aggregates</t>
  </si>
  <si>
    <t>Fine aggregates</t>
  </si>
  <si>
    <t xml:space="preserve">Admixtures (Plasticizer) </t>
  </si>
  <si>
    <t>Natural Gas</t>
  </si>
  <si>
    <t>cubic meter</t>
  </si>
  <si>
    <t>Concrete</t>
  </si>
  <si>
    <t>Direct aqueous carbonation 1</t>
  </si>
  <si>
    <t>Kirchhofer et al. (2012)</t>
  </si>
  <si>
    <t>Olivine</t>
  </si>
  <si>
    <t>Waste Material (water+solid components)</t>
  </si>
  <si>
    <t>Direct aqueous carbonation 10</t>
  </si>
  <si>
    <t>Pan et al. (2016)</t>
  </si>
  <si>
    <t>Diluted CO2</t>
  </si>
  <si>
    <t>BOF-slag</t>
  </si>
  <si>
    <t>Wastewater</t>
  </si>
  <si>
    <t>Silicon dioxide (SiO2)</t>
  </si>
  <si>
    <t>Direct aqueous carbonation 11</t>
  </si>
  <si>
    <t>Direct aqueous carbonation 12</t>
  </si>
  <si>
    <t>Direct aqueous carbonation 13</t>
  </si>
  <si>
    <t>Direct aqueous carbonation 14</t>
  </si>
  <si>
    <t>Direct aqueous carbonation 15</t>
  </si>
  <si>
    <t>Direct aqueous carbonation 2</t>
  </si>
  <si>
    <t>Ostovari et al. (2020)</t>
  </si>
  <si>
    <t>Serpentine</t>
  </si>
  <si>
    <t>Magnetite</t>
  </si>
  <si>
    <t>Direct aqueous carbonation 3</t>
  </si>
  <si>
    <t>Direct aqueous carbonation 4</t>
  </si>
  <si>
    <t>Ostovari et al. (2020); Olivine + Impurity</t>
  </si>
  <si>
    <t>Impurity</t>
  </si>
  <si>
    <t>Direct aqueous carbonation 5</t>
  </si>
  <si>
    <t>Direct aqueous carbonation 6</t>
  </si>
  <si>
    <t>Direct aqueous carbonation 7</t>
  </si>
  <si>
    <t>Direct aqueous carbonation 8</t>
  </si>
  <si>
    <t>Direct aqueous carbonation 9</t>
  </si>
  <si>
    <t>Indirect aqueous carbonation 1</t>
  </si>
  <si>
    <t>Lee et al. (2020)</t>
  </si>
  <si>
    <t>Steam</t>
  </si>
  <si>
    <t>Lee et al. (2020); 2,75 MJ/kg</t>
  </si>
  <si>
    <t>Indirect aqueous carbonation 10</t>
  </si>
  <si>
    <t>Zevenhoven et al. (2017)</t>
  </si>
  <si>
    <t>Serpentinite</t>
  </si>
  <si>
    <t>Indirect aqueous carbonation 2</t>
  </si>
  <si>
    <t>Mattila et al. (2014)</t>
  </si>
  <si>
    <t>Ammonium chloride (NH4Cl)</t>
  </si>
  <si>
    <t>Mattila et al. (2014); 2,75 MJ/kg</t>
  </si>
  <si>
    <t>Slag residue</t>
  </si>
  <si>
    <t>Indirect aqueous carbonation 3</t>
  </si>
  <si>
    <t>Indirect aqueous carbonation 4</t>
  </si>
  <si>
    <t>Oh et al. (2018)</t>
  </si>
  <si>
    <t>Seawater</t>
  </si>
  <si>
    <t>Sodium chloride (NaCl)</t>
  </si>
  <si>
    <t>Hydrogen</t>
  </si>
  <si>
    <t>Chlorine</t>
  </si>
  <si>
    <t>Drinking water</t>
  </si>
  <si>
    <t>NaHCO3</t>
  </si>
  <si>
    <t>Carbon dioxide</t>
  </si>
  <si>
    <t>Indirect aqueous carbonation 5</t>
  </si>
  <si>
    <t>Oh et al. (2019)</t>
  </si>
  <si>
    <t>Brackish water (12000ppm)</t>
  </si>
  <si>
    <t>Indirect aqueous carbonation 6</t>
  </si>
  <si>
    <t>Indirect aqueous carbonation 7</t>
  </si>
  <si>
    <t>Indirect aqueous carbonation 8</t>
  </si>
  <si>
    <t>Teir et al. (2016)</t>
  </si>
  <si>
    <t>Hydrogen chloride (HCl) (33%)</t>
  </si>
  <si>
    <t>Teir et al. (2016); 2,75 MJ/kg steam</t>
  </si>
  <si>
    <t>Indirect aqueous carbonation 9</t>
  </si>
  <si>
    <t>Indirect solid carbonation 1</t>
  </si>
  <si>
    <t>Nduagu et al. (2012)</t>
  </si>
  <si>
    <t>Wollastonite</t>
  </si>
  <si>
    <t>Iron ore and other compounds</t>
  </si>
  <si>
    <t>Indirect solid carbonation 2</t>
  </si>
  <si>
    <t>Nduagu et al. (2013)</t>
  </si>
  <si>
    <t>Ammonium sulfate</t>
  </si>
  <si>
    <t>Indirect solid carbonation 3</t>
  </si>
  <si>
    <t>Indirect solid carbonation 4</t>
  </si>
  <si>
    <t>Indirect solid carbonation 5</t>
  </si>
  <si>
    <t>Nukos_FG_real</t>
  </si>
  <si>
    <t>Nukos_FG_opt</t>
  </si>
  <si>
    <t>MgCO3</t>
  </si>
  <si>
    <t>Kirchhofer et al. (2012), wässrige Lösung</t>
  </si>
  <si>
    <t>CaCO3</t>
  </si>
  <si>
    <t>Mg5(CO3)4(OH)2</t>
  </si>
  <si>
    <t>Input Material</t>
  </si>
  <si>
    <t>ecoinvent 3.7.1 cutoff</t>
  </si>
  <si>
    <t>fe12efa98a443f9dc7fc0948ef7f08b0</t>
  </si>
  <si>
    <t>market for iron ore, crude ore, 46% Fe' (kilogram, GLO, None)</t>
  </si>
  <si>
    <t>Sodium bicarbonate (NaHCO3)</t>
  </si>
  <si>
    <t>c48e4ad1a0df2db26447cf1b06b25125</t>
  </si>
  <si>
    <t>market for sodium bicarbonate' (kilogram, GLO, None)</t>
  </si>
  <si>
    <t>ee018182092ec8d22fc45ae78f06b217</t>
  </si>
  <si>
    <t>sodium chloride production, powder' (kilogram, RER, None)</t>
  </si>
  <si>
    <t>130e686d0785ad147f282e4e51abb86c</t>
  </si>
  <si>
    <t>market for ammonium chloride' (kilogram, GLO, None)</t>
  </si>
  <si>
    <t>Ammonia (NH3)</t>
  </si>
  <si>
    <t>89a33338ea9f012c09ca20826eeeb4b6</t>
  </si>
  <si>
    <t>market for ammonia, anhydrous, liquid' (kilogram, RER, None)</t>
  </si>
  <si>
    <t>dee541c098e5bf4e5f52fc80f9fb2081</t>
  </si>
  <si>
    <t>market for ammonium sulfate' (kilogram, RER, None)</t>
  </si>
  <si>
    <t>Calcium carbonate (CaCO3)</t>
  </si>
  <si>
    <t>152a3abceccd514fd7b45a8b4625f7cc</t>
  </si>
  <si>
    <t>market for calcium carbonate, precipitated' (kilogram, RER, None)</t>
  </si>
  <si>
    <t>b810c6504760d54a7c7d87e8836e3659</t>
  </si>
  <si>
    <t>market for hydrochloric acid, without water, in 30% solution state' (kilogram, RER, None)</t>
  </si>
  <si>
    <t>c0c018f99f72a1cfec2ba2b8d4bd3924</t>
  </si>
  <si>
    <t>market for silica sand' (kilogram, GLO, None)</t>
  </si>
  <si>
    <t>ebe91402242f8d1ff639c07d7701e068</t>
  </si>
  <si>
    <t>market for cement, Portland' (kilogram, Europe without Switzerland, None)</t>
  </si>
  <si>
    <t>3811f41971c3f0709eebb44d8fbede43</t>
  </si>
  <si>
    <t>market for sand' (kilogram, RoW, None)</t>
  </si>
  <si>
    <t>Gravel</t>
  </si>
  <si>
    <t>496748f8e2e88e96ee9b5e059a1d1490</t>
  </si>
  <si>
    <t>market for gravel, crushed' (kilogram, RoW, None)</t>
  </si>
  <si>
    <t>Lime (CaO)</t>
  </si>
  <si>
    <t>150900051539ba411dc6a3bf4755f024</t>
  </si>
  <si>
    <t>market for lime' (kilogram, RER, None)</t>
  </si>
  <si>
    <t>dfbf12aa982b2ea851c05377c32d6150</t>
  </si>
  <si>
    <t>market for plasticiser, for concrete, based on sulfonated melamine formaldehyde' (kilogram, GLO, None)</t>
  </si>
  <si>
    <t>biosphere3</t>
  </si>
  <si>
    <t>4f0f15b3-b227-4cdc-b0b3-6412d55695d5</t>
  </si>
  <si>
    <t>biosphere</t>
  </si>
  <si>
    <t>Water' (cubic meter, None, ('water', 'ocean'))('water', 'ocean')
https://great-home-decorations.com/brackish-water-definition-salinity-density/#:~:text=The%20warmer%20the%20temperature%2C%20the%20less%20dense%20your,degrees%20has%20a%20density%20of%20997.075%20kg%2Fm%203.</t>
  </si>
  <si>
    <t>Water' (cubic meter, None, ('water', 'ocean'))('water', 'ocean')</t>
  </si>
  <si>
    <t>92bc241a74245fe12b66d099e772231c</t>
  </si>
  <si>
    <t>Water' (cubic meter, None, ('water', 'ocean'))('water', 'ocean')
https://en.wikipedia.org/wiki/Seawater</t>
  </si>
  <si>
    <t>Energy</t>
  </si>
  <si>
    <t>409d4cb335316f2e07676a5bbf472e29</t>
  </si>
  <si>
    <t>market group for electricity, high voltage' (kilowatt hour, RER, None)</t>
  </si>
  <si>
    <t>e7ca9778ebe0f875ad238b2713d714bf</t>
  </si>
  <si>
    <t>market for steam, in chemical industry' (kilogram, RER, None)</t>
  </si>
  <si>
    <t>c45569e5a1df432abd08bddbae65163b</t>
  </si>
  <si>
    <t>market for heat, from steam, in chemical industry' (megajoule, RER, None)</t>
  </si>
  <si>
    <t>Output Material</t>
  </si>
  <si>
    <t>f46be3f9ceda9863f49b7a7ed20b127e</t>
  </si>
  <si>
    <t>market for concrete, 25-30MPa' (cubic meter, RoW, None)</t>
  </si>
  <si>
    <t>Output Material
https://ecoinvent.lca-data.com/datasetdetail/process.xhtml?uuid=35d1585c-5c48-4be3-ac26-d7df33aa11ee&amp;version=03.00.008&amp;stock=EF2_0_Chemicals</t>
  </si>
  <si>
    <t>35b2de441431306d20d7d72b26656859</t>
  </si>
  <si>
    <t>market for carbon dioxide, liquid' (kilogram, RER, None)</t>
  </si>
  <si>
    <t>03b22c2ecc9399265f1e39e6aeca93bb</t>
  </si>
  <si>
    <t>unit</t>
  </si>
  <si>
    <t>chemical factory construction, organics' (unit, RER, None)</t>
  </si>
  <si>
    <t>007e24c43447ae9f570bc35d545c4ff8</t>
  </si>
  <si>
    <t>market for nitrogen, liquid' (kilogram, RER, None)</t>
  </si>
  <si>
    <t>Wastewater treatment</t>
  </si>
  <si>
    <t>Magnesium hydroxide</t>
  </si>
  <si>
    <t>https://ecoinvent.lca-data.com/datasetdetail/process.xhtml?uuid=2f8b7b49-5d3e-43f7-9f87-162bda93a414&amp;version=03.00.008&amp;stock=EF2_0_Chemicals</t>
  </si>
  <si>
    <t>1db40f8b58995bec8ce3de08cf5cfded</t>
  </si>
  <si>
    <t>market for lime, hydrated, packed' (kilogram, RER, None)</t>
  </si>
  <si>
    <t>e78912dcce98d3bdf128fc26e73858a4</t>
  </si>
  <si>
    <t>market for tap water' (kilogram, Europe without Switzerland, None)</t>
  </si>
  <si>
    <t>Ultrapure water</t>
  </si>
  <si>
    <t>0a3b180fb7e9e02198e85bd55697a4dc</t>
  </si>
  <si>
    <t>market for water, ultrapure' (kilogram, RER, None)</t>
  </si>
  <si>
    <t>bdb7e88dc99275b9ef871b3f66c8b73b</t>
  </si>
  <si>
    <t>treatment of wastewater, unpolluted, capacity 5E9l/year' (cubic meter, RoW, None)
https://www.google.com/search?q=water+density&amp;client=firefox-b-d&amp;sxsrf=ALeKk01LXecyikZBuXxpWdnV81uVnylZCg%3A1623144133635&amp;ei=xTa_YL-cJoaZkgWYgKigAw&amp;oq=water+density&amp;gs_lcp=Cgdnd3Mtd2l6EAMyBAgAEEMyBQgAEMsBMgIIADICCAAyAggAMgIIADIFCAAQywEyBQgAEMsBMgUIABDLATIFCAAQywE6BwgjELADECc6BwgAEEcQsAM6BAguEEM6CAgAELEDEIMBOgQIIxAnOgcIABCHAhAUOgUIABCxAzoOCAAQsQMQgwEQxwEQrwE6CAgAEMcBEK8BOgoIABCxAxCDARBDOgoIABCHAhCxAxAUOgQIABAKOgIILjoHCAAQsQMQClC-nQFYjKkBYIuqAWgDcAJ4AoABugKIAfUQkgEIMC4xMC4yLjGYAQCgAQGqAQdnd3Mtd2l6yAEJwAEB&amp;sclient=gws-wiz&amp;ved=0ahUKEwj_koSM24fxAhWGjKQKHRgACjQQ4dUDCBA&amp;uact=5</t>
  </si>
  <si>
    <t>Input material received from fluegas (CO2 content)</t>
  </si>
  <si>
    <t>CO2 uptake</t>
  </si>
  <si>
    <t>Pure CO2 market mix (Thonemann &amp; Pizzol (2019) and Thonemann (2020))</t>
  </si>
  <si>
    <t>CO2 from ammonia</t>
  </si>
  <si>
    <t>CO2 from ammonia (Thonemann &amp; Pizzol (2019) and Thonemann (2020))</t>
  </si>
  <si>
    <t>CO2 from bioenergy</t>
  </si>
  <si>
    <t>CO2 from bioenergy (Thonemann &amp; Pizzol (2019) and Thonemann (2020))</t>
  </si>
  <si>
    <t>CO2 from H2</t>
  </si>
  <si>
    <t>CO2 from H2 (Thonemann &amp; Pizzol (2019) and Thonemann (2020))</t>
  </si>
  <si>
    <t>CO2 from fermentation</t>
  </si>
  <si>
    <t>CO2 from fermentation (Thonemann &amp; Pizzol (2019) and Thonemann (2020))</t>
  </si>
  <si>
    <t>Compressed air</t>
  </si>
  <si>
    <t>market for compressed air, 600 kPa gauge | compressed air, 600 kPa gauge | Cutoff, U - GLO</t>
  </si>
  <si>
    <t>Natural gas</t>
  </si>
  <si>
    <t>market group for natural gas, high pressure' (cubic meter, Europe without Switzerland, None)</t>
  </si>
  <si>
    <t>market for steam, in chemical industry | steam, in chemical industry | Cutoff, U - GLO</t>
  </si>
  <si>
    <t>Zeolite</t>
  </si>
  <si>
    <t>market for zeolite, powder | zeolite, powder | Cutoff, U - GLO</t>
  </si>
  <si>
    <t>Carbon dioxide, fossil' (kilogram, None, ('air',))</t>
  </si>
  <si>
    <t>349b29d1-3e58-4c66-98b9-9d1a076efd2e</t>
  </si>
  <si>
    <t>2b83e832d2da1d7a6a9f82e2eab700bf</t>
  </si>
  <si>
    <t>market for compressed air, 600 kPa gauge' (cubic meter, RER, None)</t>
  </si>
  <si>
    <t>5dce794f8a1f53ed3aca7925703868e7</t>
  </si>
  <si>
    <t>1bcb2515fbc78ce62a2482fbf6e4904c</t>
  </si>
  <si>
    <t>market for zeolite, powder' (kilogram, GLO, None)</t>
  </si>
  <si>
    <t>Oxygen</t>
  </si>
  <si>
    <t>market for oxygen, liquid' (kilogram, RER, None)</t>
  </si>
  <si>
    <t>e35c6fb800dc13069de3d251c25e20ab</t>
  </si>
  <si>
    <t>b657244061a842428d1518073e376b69</t>
  </si>
  <si>
    <t>market for hydrogen, gaseous' (kilogram, GLO, None)</t>
  </si>
  <si>
    <t>9227ee4c20afe0451c0b05dac90844de</t>
  </si>
  <si>
    <t>market for chlorine, gaseous' (kilogram, RER, None)</t>
  </si>
  <si>
    <t>Crushed limestone</t>
  </si>
  <si>
    <t>c3cd50c3552b0c24cc4ad66f7bde56f8</t>
  </si>
  <si>
    <t>limestone production, crushed, for mill' (kilogram, RoW)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</si>
</sst>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11" fontId="0" fillId="0" borderId="0" xfId="0" applyNumberFormat="1" applyFill="1"/>
    <xf numFmtId="0" fontId="18" fillId="0" borderId="0" xfId="0" applyFont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Font="1"/>
    <xf numFmtId="0" fontId="19" fillId="0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coinvent.lca-data.com/datasetdetail/process.xhtml?uuid=2f8b7b49-5d3e-43f7-9f87-162bda93a414&amp;version=03.00.008&amp;stock=EF2_0_Chemic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4"/>
  <sheetViews>
    <sheetView tabSelected="1" zoomScale="110" zoomScaleNormal="110" workbookViewId="0">
      <selection activeCell="B20" sqref="B20"/>
    </sheetView>
  </sheetViews>
  <sheetFormatPr defaultColWidth="11.42578125" defaultRowHeight="15" x14ac:dyDescent="0.25"/>
  <cols>
    <col min="1" max="1" width="16.28515625" bestFit="1" customWidth="1"/>
    <col min="2" max="2" width="31.7109375" bestFit="1" customWidth="1"/>
    <col min="3" max="3" width="29.7109375" bestFit="1" customWidth="1"/>
    <col min="4" max="4" width="11.7109375" bestFit="1" customWidth="1"/>
    <col min="5" max="5" width="12.140625" bestFit="1" customWidth="1"/>
    <col min="6" max="6" width="17.85546875" bestFit="1" customWidth="1"/>
    <col min="7" max="7" width="38.85546875" bestFit="1" customWidth="1"/>
    <col min="8" max="8" width="16.7109375" bestFit="1" customWidth="1"/>
    <col min="9" max="9" width="13.28515625" bestFit="1" customWidth="1"/>
    <col min="10" max="10" width="13.7109375" bestFit="1" customWidth="1"/>
    <col min="11" max="11" width="24.42578125" bestFit="1" customWidth="1"/>
    <col min="12" max="12" width="12.28515625" bestFit="1" customWidth="1"/>
    <col min="13" max="13" width="14.140625" bestFit="1" customWidth="1"/>
    <col min="14" max="14" width="17.42578125" bestFit="1" customWidth="1"/>
    <col min="15" max="15" width="37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16</v>
      </c>
      <c r="D2" t="s">
        <v>17</v>
      </c>
      <c r="E2" t="s">
        <v>18</v>
      </c>
      <c r="F2" t="s">
        <v>15</v>
      </c>
      <c r="G2" t="s">
        <v>16</v>
      </c>
      <c r="H2">
        <v>1</v>
      </c>
      <c r="I2" t="s">
        <v>17</v>
      </c>
      <c r="J2" t="s">
        <v>19</v>
      </c>
      <c r="O2" t="s">
        <v>20</v>
      </c>
    </row>
    <row r="3" spans="1:15" x14ac:dyDescent="0.25">
      <c r="A3" t="s">
        <v>15</v>
      </c>
      <c r="B3" t="s">
        <v>16</v>
      </c>
      <c r="C3" t="s">
        <v>16</v>
      </c>
      <c r="D3" t="s">
        <v>17</v>
      </c>
      <c r="E3" t="s">
        <v>18</v>
      </c>
      <c r="F3" t="s">
        <v>21</v>
      </c>
      <c r="G3" t="s">
        <v>22</v>
      </c>
      <c r="H3">
        <v>1</v>
      </c>
      <c r="I3" t="s">
        <v>17</v>
      </c>
      <c r="J3" t="s">
        <v>23</v>
      </c>
      <c r="O3" t="s">
        <v>20</v>
      </c>
    </row>
    <row r="4" spans="1:15" x14ac:dyDescent="0.25">
      <c r="A4" t="s">
        <v>15</v>
      </c>
      <c r="B4" t="s">
        <v>16</v>
      </c>
      <c r="C4" t="s">
        <v>16</v>
      </c>
      <c r="D4" t="s">
        <v>17</v>
      </c>
      <c r="E4" t="s">
        <v>18</v>
      </c>
      <c r="F4" t="s">
        <v>21</v>
      </c>
      <c r="G4" s="3" t="s">
        <v>24</v>
      </c>
      <c r="H4">
        <f>101/17.4</f>
        <v>5.8045977011494259</v>
      </c>
      <c r="I4" t="s">
        <v>17</v>
      </c>
      <c r="J4" t="s">
        <v>23</v>
      </c>
      <c r="O4" t="s">
        <v>20</v>
      </c>
    </row>
    <row r="5" spans="1:15" x14ac:dyDescent="0.25">
      <c r="A5" t="s">
        <v>15</v>
      </c>
      <c r="B5" t="s">
        <v>16</v>
      </c>
      <c r="C5" t="s">
        <v>16</v>
      </c>
      <c r="D5" t="s">
        <v>17</v>
      </c>
      <c r="E5" t="s">
        <v>18</v>
      </c>
      <c r="F5" t="s">
        <v>21</v>
      </c>
      <c r="G5" t="s">
        <v>25</v>
      </c>
      <c r="H5">
        <f>101/17.4</f>
        <v>5.8045977011494259</v>
      </c>
      <c r="I5" t="s">
        <v>17</v>
      </c>
      <c r="J5" t="s">
        <v>23</v>
      </c>
      <c r="O5" t="s">
        <v>20</v>
      </c>
    </row>
    <row r="6" spans="1:15" x14ac:dyDescent="0.25">
      <c r="A6" t="s">
        <v>15</v>
      </c>
      <c r="B6" t="s">
        <v>16</v>
      </c>
      <c r="C6" t="s">
        <v>16</v>
      </c>
      <c r="D6" t="s">
        <v>17</v>
      </c>
      <c r="E6" t="s">
        <v>18</v>
      </c>
      <c r="F6" t="s">
        <v>21</v>
      </c>
      <c r="G6" t="s">
        <v>26</v>
      </c>
      <c r="H6">
        <f>19/17.4</f>
        <v>1.0919540229885059</v>
      </c>
      <c r="I6" t="s">
        <v>17</v>
      </c>
      <c r="J6" t="s">
        <v>23</v>
      </c>
      <c r="O6" t="s">
        <v>20</v>
      </c>
    </row>
    <row r="7" spans="1:15" x14ac:dyDescent="0.25">
      <c r="A7" t="s">
        <v>15</v>
      </c>
      <c r="B7" t="s">
        <v>16</v>
      </c>
      <c r="C7" t="s">
        <v>16</v>
      </c>
      <c r="D7" t="s">
        <v>17</v>
      </c>
      <c r="E7" t="s">
        <v>18</v>
      </c>
      <c r="F7" t="s">
        <v>21</v>
      </c>
      <c r="G7" t="s">
        <v>27</v>
      </c>
      <c r="H7">
        <f>-134/17.4</f>
        <v>-7.7011494252873574</v>
      </c>
      <c r="I7" t="s">
        <v>17</v>
      </c>
      <c r="J7" t="s">
        <v>23</v>
      </c>
      <c r="O7" t="s">
        <v>20</v>
      </c>
    </row>
    <row r="8" spans="1:15" x14ac:dyDescent="0.25">
      <c r="A8" t="s">
        <v>15</v>
      </c>
      <c r="B8" t="s">
        <v>28</v>
      </c>
      <c r="C8" t="s">
        <v>28</v>
      </c>
      <c r="D8" t="s">
        <v>17</v>
      </c>
      <c r="E8" t="s">
        <v>18</v>
      </c>
      <c r="F8" t="s">
        <v>15</v>
      </c>
      <c r="G8" t="s">
        <v>28</v>
      </c>
      <c r="H8">
        <v>1</v>
      </c>
      <c r="I8" t="s">
        <v>17</v>
      </c>
      <c r="J8" t="s">
        <v>19</v>
      </c>
      <c r="O8" t="s">
        <v>20</v>
      </c>
    </row>
    <row r="9" spans="1:15" x14ac:dyDescent="0.25">
      <c r="A9" t="s">
        <v>15</v>
      </c>
      <c r="B9" t="s">
        <v>28</v>
      </c>
      <c r="C9" t="s">
        <v>28</v>
      </c>
      <c r="D9" t="s">
        <v>17</v>
      </c>
      <c r="E9" t="s">
        <v>18</v>
      </c>
      <c r="F9" t="s">
        <v>21</v>
      </c>
      <c r="G9" t="s">
        <v>22</v>
      </c>
      <c r="H9">
        <v>1</v>
      </c>
      <c r="I9" t="s">
        <v>17</v>
      </c>
      <c r="J9" t="s">
        <v>23</v>
      </c>
      <c r="O9" t="s">
        <v>20</v>
      </c>
    </row>
    <row r="10" spans="1:15" x14ac:dyDescent="0.25">
      <c r="A10" t="s">
        <v>15</v>
      </c>
      <c r="B10" t="s">
        <v>28</v>
      </c>
      <c r="C10" t="s">
        <v>28</v>
      </c>
      <c r="D10" t="s">
        <v>17</v>
      </c>
      <c r="E10" t="s">
        <v>18</v>
      </c>
      <c r="F10" t="s">
        <v>21</v>
      </c>
      <c r="G10" s="3" t="s">
        <v>24</v>
      </c>
      <c r="H10">
        <f>101/17.4</f>
        <v>5.8045977011494259</v>
      </c>
      <c r="I10" t="s">
        <v>17</v>
      </c>
      <c r="J10" t="s">
        <v>23</v>
      </c>
      <c r="O10" t="s">
        <v>20</v>
      </c>
    </row>
    <row r="11" spans="1:15" x14ac:dyDescent="0.25">
      <c r="A11" t="s">
        <v>15</v>
      </c>
      <c r="B11" t="s">
        <v>28</v>
      </c>
      <c r="C11" t="s">
        <v>28</v>
      </c>
      <c r="D11" t="s">
        <v>17</v>
      </c>
      <c r="E11" t="s">
        <v>18</v>
      </c>
      <c r="F11" t="s">
        <v>21</v>
      </c>
      <c r="G11" t="s">
        <v>25</v>
      </c>
      <c r="H11">
        <f>101/17.4</f>
        <v>5.8045977011494259</v>
      </c>
      <c r="I11" t="s">
        <v>17</v>
      </c>
      <c r="J11" t="s">
        <v>23</v>
      </c>
      <c r="O11" t="s">
        <v>20</v>
      </c>
    </row>
    <row r="12" spans="1:15" x14ac:dyDescent="0.25">
      <c r="A12" t="s">
        <v>15</v>
      </c>
      <c r="B12" t="s">
        <v>28</v>
      </c>
      <c r="C12" t="s">
        <v>28</v>
      </c>
      <c r="D12" t="s">
        <v>17</v>
      </c>
      <c r="E12" t="s">
        <v>18</v>
      </c>
      <c r="F12" t="s">
        <v>21</v>
      </c>
      <c r="G12" t="s">
        <v>29</v>
      </c>
      <c r="H12">
        <f>62/17.4</f>
        <v>3.563218390804598</v>
      </c>
      <c r="I12" t="s">
        <v>30</v>
      </c>
      <c r="J12" t="s">
        <v>23</v>
      </c>
      <c r="O12" t="s">
        <v>20</v>
      </c>
    </row>
    <row r="13" spans="1:15" x14ac:dyDescent="0.25">
      <c r="A13" t="s">
        <v>15</v>
      </c>
      <c r="B13" t="s">
        <v>28</v>
      </c>
      <c r="C13" t="s">
        <v>28</v>
      </c>
      <c r="D13" t="s">
        <v>17</v>
      </c>
      <c r="E13" t="s">
        <v>18</v>
      </c>
      <c r="F13" t="s">
        <v>21</v>
      </c>
      <c r="G13" t="s">
        <v>26</v>
      </c>
      <c r="H13">
        <f>19/17.4</f>
        <v>1.0919540229885059</v>
      </c>
      <c r="I13" t="s">
        <v>17</v>
      </c>
      <c r="J13" t="s">
        <v>23</v>
      </c>
      <c r="O13" t="s">
        <v>20</v>
      </c>
    </row>
    <row r="14" spans="1:15" x14ac:dyDescent="0.25">
      <c r="A14" t="s">
        <v>15</v>
      </c>
      <c r="B14" t="s">
        <v>28</v>
      </c>
      <c r="C14" t="s">
        <v>28</v>
      </c>
      <c r="D14" t="s">
        <v>17</v>
      </c>
      <c r="E14" t="s">
        <v>18</v>
      </c>
      <c r="F14" t="s">
        <v>21</v>
      </c>
      <c r="G14" t="s">
        <v>27</v>
      </c>
      <c r="H14">
        <f>-134/17.4</f>
        <v>-7.7011494252873574</v>
      </c>
      <c r="I14" t="s">
        <v>17</v>
      </c>
      <c r="J14" t="s">
        <v>23</v>
      </c>
      <c r="O14" t="s">
        <v>20</v>
      </c>
    </row>
    <row r="15" spans="1:15" ht="15" customHeight="1" x14ac:dyDescent="0.25">
      <c r="A15" t="s">
        <v>15</v>
      </c>
      <c r="B15" t="s">
        <v>31</v>
      </c>
      <c r="C15" t="s">
        <v>31</v>
      </c>
      <c r="D15" t="s">
        <v>17</v>
      </c>
      <c r="E15" t="s">
        <v>18</v>
      </c>
      <c r="F15" t="s">
        <v>15</v>
      </c>
      <c r="G15" t="s">
        <v>31</v>
      </c>
      <c r="H15">
        <v>1</v>
      </c>
      <c r="I15" t="s">
        <v>17</v>
      </c>
      <c r="J15" t="s">
        <v>19</v>
      </c>
      <c r="O15" t="s">
        <v>32</v>
      </c>
    </row>
    <row r="16" spans="1:15" ht="15" customHeight="1" x14ac:dyDescent="0.25">
      <c r="A16" t="s">
        <v>15</v>
      </c>
      <c r="B16" t="s">
        <v>31</v>
      </c>
      <c r="C16" t="s">
        <v>31</v>
      </c>
      <c r="D16" t="s">
        <v>17</v>
      </c>
      <c r="E16" t="s">
        <v>18</v>
      </c>
      <c r="F16" t="s">
        <v>21</v>
      </c>
      <c r="G16" t="s">
        <v>22</v>
      </c>
      <c r="H16">
        <v>1</v>
      </c>
      <c r="I16" t="s">
        <v>17</v>
      </c>
      <c r="J16" t="s">
        <v>23</v>
      </c>
      <c r="O16" t="s">
        <v>32</v>
      </c>
    </row>
    <row r="17" spans="1:15" x14ac:dyDescent="0.25">
      <c r="A17" t="s">
        <v>15</v>
      </c>
      <c r="B17" t="s">
        <v>31</v>
      </c>
      <c r="C17" t="s">
        <v>31</v>
      </c>
      <c r="D17" t="s">
        <v>17</v>
      </c>
      <c r="E17" t="s">
        <v>18</v>
      </c>
      <c r="F17" t="s">
        <v>21</v>
      </c>
      <c r="G17" s="3" t="s">
        <v>24</v>
      </c>
      <c r="H17">
        <f>44.2/8.5</f>
        <v>5.2</v>
      </c>
      <c r="I17" t="s">
        <v>17</v>
      </c>
      <c r="J17" t="s">
        <v>23</v>
      </c>
      <c r="O17" t="s">
        <v>32</v>
      </c>
    </row>
    <row r="18" spans="1:15" x14ac:dyDescent="0.25">
      <c r="A18" t="s">
        <v>15</v>
      </c>
      <c r="B18" t="s">
        <v>31</v>
      </c>
      <c r="C18" t="s">
        <v>31</v>
      </c>
      <c r="D18" t="s">
        <v>17</v>
      </c>
      <c r="E18" t="s">
        <v>18</v>
      </c>
      <c r="F18" t="s">
        <v>21</v>
      </c>
      <c r="G18" t="s">
        <v>33</v>
      </c>
      <c r="H18">
        <f>5.8*3.6/8.5</f>
        <v>2.4564705882352942</v>
      </c>
      <c r="I18" t="s">
        <v>34</v>
      </c>
      <c r="J18" t="s">
        <v>23</v>
      </c>
      <c r="O18" t="s">
        <v>32</v>
      </c>
    </row>
    <row r="19" spans="1:15" x14ac:dyDescent="0.25">
      <c r="A19" t="s">
        <v>15</v>
      </c>
      <c r="B19" t="s">
        <v>31</v>
      </c>
      <c r="C19" t="s">
        <v>31</v>
      </c>
      <c r="D19" t="s">
        <v>17</v>
      </c>
      <c r="E19" t="s">
        <v>18</v>
      </c>
      <c r="F19" t="s">
        <v>21</v>
      </c>
      <c r="G19" t="s">
        <v>29</v>
      </c>
      <c r="H19">
        <f>(2.5+0.2)/8.5</f>
        <v>0.31764705882352945</v>
      </c>
      <c r="I19" t="s">
        <v>30</v>
      </c>
      <c r="J19" t="s">
        <v>23</v>
      </c>
      <c r="O19" t="s">
        <v>32</v>
      </c>
    </row>
    <row r="20" spans="1:15" x14ac:dyDescent="0.25">
      <c r="A20" t="s">
        <v>15</v>
      </c>
      <c r="B20" t="s">
        <v>31</v>
      </c>
      <c r="C20" t="s">
        <v>31</v>
      </c>
      <c r="D20" t="s">
        <v>17</v>
      </c>
      <c r="E20" t="s">
        <v>18</v>
      </c>
      <c r="F20" t="s">
        <v>21</v>
      </c>
      <c r="G20" t="s">
        <v>26</v>
      </c>
      <c r="H20">
        <f>9.8/8.5</f>
        <v>1.1529411764705884</v>
      </c>
      <c r="I20" t="s">
        <v>17</v>
      </c>
      <c r="J20" t="s">
        <v>23</v>
      </c>
      <c r="O20" t="s">
        <v>32</v>
      </c>
    </row>
    <row r="21" spans="1:15" x14ac:dyDescent="0.25">
      <c r="A21" t="s">
        <v>15</v>
      </c>
      <c r="B21" t="s">
        <v>31</v>
      </c>
      <c r="C21" t="s">
        <v>31</v>
      </c>
      <c r="D21" t="s">
        <v>17</v>
      </c>
      <c r="E21" t="s">
        <v>18</v>
      </c>
      <c r="F21" t="s">
        <v>21</v>
      </c>
      <c r="G21" t="s">
        <v>35</v>
      </c>
      <c r="H21">
        <f>44.2/8.5</f>
        <v>5.2</v>
      </c>
      <c r="I21" t="s">
        <v>17</v>
      </c>
      <c r="J21" t="s">
        <v>23</v>
      </c>
      <c r="O21" t="s">
        <v>32</v>
      </c>
    </row>
    <row r="22" spans="1:15" x14ac:dyDescent="0.25">
      <c r="A22" t="s">
        <v>15</v>
      </c>
      <c r="B22" t="s">
        <v>31</v>
      </c>
      <c r="C22" t="s">
        <v>31</v>
      </c>
      <c r="D22" t="s">
        <v>17</v>
      </c>
      <c r="E22" t="s">
        <v>18</v>
      </c>
      <c r="F22" t="s">
        <v>21</v>
      </c>
      <c r="G22" t="s">
        <v>36</v>
      </c>
      <c r="H22">
        <f>-94.4/8.5</f>
        <v>-11.105882352941178</v>
      </c>
      <c r="I22" t="s">
        <v>17</v>
      </c>
      <c r="J22" t="s">
        <v>23</v>
      </c>
      <c r="O22" t="s">
        <v>32</v>
      </c>
    </row>
    <row r="23" spans="1:15" x14ac:dyDescent="0.25">
      <c r="A23" t="s">
        <v>15</v>
      </c>
      <c r="B23" t="s">
        <v>31</v>
      </c>
      <c r="C23" t="s">
        <v>31</v>
      </c>
      <c r="D23" t="s">
        <v>17</v>
      </c>
      <c r="E23" t="s">
        <v>18</v>
      </c>
      <c r="F23" t="s">
        <v>21</v>
      </c>
      <c r="G23" t="s">
        <v>37</v>
      </c>
      <c r="H23">
        <f>7.9/8.5</f>
        <v>0.92941176470588238</v>
      </c>
      <c r="I23" t="s">
        <v>17</v>
      </c>
      <c r="J23" t="s">
        <v>23</v>
      </c>
      <c r="O23" t="s">
        <v>32</v>
      </c>
    </row>
    <row r="24" spans="1:15" x14ac:dyDescent="0.25">
      <c r="A24" t="s">
        <v>15</v>
      </c>
      <c r="B24" t="s">
        <v>38</v>
      </c>
      <c r="C24" t="s">
        <v>38</v>
      </c>
      <c r="D24" t="s">
        <v>17</v>
      </c>
      <c r="E24" t="s">
        <v>18</v>
      </c>
      <c r="F24" t="s">
        <v>15</v>
      </c>
      <c r="G24" t="s">
        <v>38</v>
      </c>
      <c r="H24">
        <v>1</v>
      </c>
      <c r="I24" t="s">
        <v>17</v>
      </c>
      <c r="J24" t="s">
        <v>19</v>
      </c>
      <c r="O24" t="s">
        <v>39</v>
      </c>
    </row>
    <row r="25" spans="1:15" x14ac:dyDescent="0.25">
      <c r="A25" t="s">
        <v>15</v>
      </c>
      <c r="B25" t="s">
        <v>38</v>
      </c>
      <c r="C25" t="s">
        <v>38</v>
      </c>
      <c r="D25" t="s">
        <v>17</v>
      </c>
      <c r="E25" t="s">
        <v>18</v>
      </c>
      <c r="F25" t="s">
        <v>21</v>
      </c>
      <c r="G25" s="3" t="s">
        <v>22</v>
      </c>
      <c r="H25">
        <v>1</v>
      </c>
      <c r="I25" t="s">
        <v>17</v>
      </c>
      <c r="J25" t="s">
        <v>23</v>
      </c>
      <c r="O25" t="s">
        <v>39</v>
      </c>
    </row>
    <row r="26" spans="1:15" x14ac:dyDescent="0.25">
      <c r="A26" t="s">
        <v>15</v>
      </c>
      <c r="B26" t="s">
        <v>38</v>
      </c>
      <c r="C26" t="s">
        <v>38</v>
      </c>
      <c r="D26" t="s">
        <v>17</v>
      </c>
      <c r="E26" t="s">
        <v>18</v>
      </c>
      <c r="F26" t="s">
        <v>21</v>
      </c>
      <c r="G26" t="s">
        <v>40</v>
      </c>
      <c r="H26">
        <f>321/0.482</f>
        <v>665.97510373443981</v>
      </c>
      <c r="I26" t="s">
        <v>17</v>
      </c>
      <c r="J26" t="s">
        <v>23</v>
      </c>
      <c r="O26" t="s">
        <v>39</v>
      </c>
    </row>
    <row r="27" spans="1:15" x14ac:dyDescent="0.25">
      <c r="A27" t="s">
        <v>15</v>
      </c>
      <c r="B27" t="s">
        <v>38</v>
      </c>
      <c r="C27" t="s">
        <v>38</v>
      </c>
      <c r="D27" t="s">
        <v>17</v>
      </c>
      <c r="E27" t="s">
        <v>18</v>
      </c>
      <c r="F27" t="s">
        <v>21</v>
      </c>
      <c r="G27" t="s">
        <v>41</v>
      </c>
      <c r="H27">
        <f>65/0.482</f>
        <v>134.85477178423238</v>
      </c>
      <c r="I27" t="s">
        <v>17</v>
      </c>
      <c r="J27" t="s">
        <v>23</v>
      </c>
      <c r="O27" t="s">
        <v>39</v>
      </c>
    </row>
    <row r="28" spans="1:15" x14ac:dyDescent="0.25">
      <c r="A28" t="s">
        <v>15</v>
      </c>
      <c r="B28" t="s">
        <v>38</v>
      </c>
      <c r="C28" t="s">
        <v>38</v>
      </c>
      <c r="D28" t="s">
        <v>17</v>
      </c>
      <c r="E28" t="s">
        <v>18</v>
      </c>
      <c r="F28" t="s">
        <v>21</v>
      </c>
      <c r="G28" t="s">
        <v>42</v>
      </c>
      <c r="H28">
        <f>15/0.482</f>
        <v>31.120331950207468</v>
      </c>
      <c r="I28" t="s">
        <v>17</v>
      </c>
      <c r="J28" t="s">
        <v>23</v>
      </c>
      <c r="O28" t="s">
        <v>39</v>
      </c>
    </row>
    <row r="29" spans="1:15" x14ac:dyDescent="0.25">
      <c r="A29" t="s">
        <v>15</v>
      </c>
      <c r="B29" t="s">
        <v>38</v>
      </c>
      <c r="C29" t="s">
        <v>38</v>
      </c>
      <c r="D29" t="s">
        <v>17</v>
      </c>
      <c r="E29" t="s">
        <v>18</v>
      </c>
      <c r="F29" t="s">
        <v>21</v>
      </c>
      <c r="G29" t="s">
        <v>43</v>
      </c>
      <c r="H29">
        <f>930/0.482</f>
        <v>1929.4605809128632</v>
      </c>
      <c r="I29" t="s">
        <v>17</v>
      </c>
      <c r="J29" t="s">
        <v>23</v>
      </c>
      <c r="O29" t="s">
        <v>39</v>
      </c>
    </row>
    <row r="30" spans="1:15" x14ac:dyDescent="0.25">
      <c r="A30" t="s">
        <v>15</v>
      </c>
      <c r="B30" t="s">
        <v>38</v>
      </c>
      <c r="C30" t="s">
        <v>38</v>
      </c>
      <c r="D30" t="s">
        <v>17</v>
      </c>
      <c r="E30" t="s">
        <v>18</v>
      </c>
      <c r="F30" t="s">
        <v>21</v>
      </c>
      <c r="G30" t="s">
        <v>44</v>
      </c>
      <c r="H30">
        <f>792/0.482</f>
        <v>1643.1535269709543</v>
      </c>
      <c r="I30" t="s">
        <v>17</v>
      </c>
      <c r="J30" t="s">
        <v>23</v>
      </c>
      <c r="O30" t="s">
        <v>39</v>
      </c>
    </row>
    <row r="31" spans="1:15" ht="14.1" customHeight="1" x14ac:dyDescent="0.25">
      <c r="A31" t="s">
        <v>15</v>
      </c>
      <c r="B31" t="s">
        <v>38</v>
      </c>
      <c r="C31" t="s">
        <v>38</v>
      </c>
      <c r="D31" t="s">
        <v>17</v>
      </c>
      <c r="E31" t="s">
        <v>18</v>
      </c>
      <c r="F31" t="s">
        <v>21</v>
      </c>
      <c r="G31" t="s">
        <v>45</v>
      </c>
      <c r="H31">
        <f>0.735*1.3/0.482</f>
        <v>1.9823651452282158</v>
      </c>
      <c r="I31" t="s">
        <v>17</v>
      </c>
      <c r="J31" t="s">
        <v>23</v>
      </c>
      <c r="O31" t="s">
        <v>39</v>
      </c>
    </row>
    <row r="32" spans="1:15" ht="14.1" customHeight="1" x14ac:dyDescent="0.25">
      <c r="A32" t="s">
        <v>15</v>
      </c>
      <c r="B32" t="s">
        <v>38</v>
      </c>
      <c r="C32" t="s">
        <v>38</v>
      </c>
      <c r="D32" t="s">
        <v>17</v>
      </c>
      <c r="E32" t="s">
        <v>18</v>
      </c>
      <c r="F32" t="s">
        <v>21</v>
      </c>
      <c r="G32" t="s">
        <v>26</v>
      </c>
      <c r="H32">
        <f>(118.4+179)*0.997/0.482</f>
        <v>615.16141078838166</v>
      </c>
      <c r="I32" t="s">
        <v>17</v>
      </c>
      <c r="J32" t="s">
        <v>23</v>
      </c>
      <c r="O32" t="s">
        <v>39</v>
      </c>
    </row>
    <row r="33" spans="1:15" x14ac:dyDescent="0.25">
      <c r="A33" t="s">
        <v>15</v>
      </c>
      <c r="B33" t="s">
        <v>38</v>
      </c>
      <c r="C33" t="s">
        <v>38</v>
      </c>
      <c r="D33" t="s">
        <v>17</v>
      </c>
      <c r="E33" t="s">
        <v>18</v>
      </c>
      <c r="F33" t="s">
        <v>21</v>
      </c>
      <c r="G33" t="s">
        <v>46</v>
      </c>
      <c r="H33">
        <f>0.3/0.482</f>
        <v>0.62240663900414939</v>
      </c>
      <c r="I33" t="s">
        <v>47</v>
      </c>
      <c r="J33" t="s">
        <v>23</v>
      </c>
      <c r="O33" t="s">
        <v>39</v>
      </c>
    </row>
    <row r="34" spans="1:15" x14ac:dyDescent="0.25">
      <c r="A34" t="s">
        <v>15</v>
      </c>
      <c r="B34" t="s">
        <v>38</v>
      </c>
      <c r="C34" t="s">
        <v>38</v>
      </c>
      <c r="D34" t="s">
        <v>17</v>
      </c>
      <c r="E34" t="s">
        <v>18</v>
      </c>
      <c r="F34" t="s">
        <v>21</v>
      </c>
      <c r="G34" t="s">
        <v>29</v>
      </c>
      <c r="H34">
        <f>((0.018+4.88)/0.482)+0.0926</f>
        <v>10.254425726141077</v>
      </c>
      <c r="I34" t="s">
        <v>30</v>
      </c>
      <c r="J34" t="s">
        <v>23</v>
      </c>
      <c r="O34" t="s">
        <v>39</v>
      </c>
    </row>
    <row r="35" spans="1:15" x14ac:dyDescent="0.25">
      <c r="A35" t="s">
        <v>15</v>
      </c>
      <c r="B35" t="s">
        <v>38</v>
      </c>
      <c r="C35" t="s">
        <v>38</v>
      </c>
      <c r="D35" t="s">
        <v>17</v>
      </c>
      <c r="E35" t="s">
        <v>18</v>
      </c>
      <c r="F35" t="s">
        <v>21</v>
      </c>
      <c r="G35" t="s">
        <v>48</v>
      </c>
      <c r="H35">
        <f>-1/0.482</f>
        <v>-2.0746887966804981</v>
      </c>
      <c r="I35" t="s">
        <v>47</v>
      </c>
      <c r="J35" t="s">
        <v>23</v>
      </c>
      <c r="O35" t="s">
        <v>39</v>
      </c>
    </row>
    <row r="36" spans="1:15" x14ac:dyDescent="0.25">
      <c r="A36" t="s">
        <v>15</v>
      </c>
      <c r="B36" t="s">
        <v>38</v>
      </c>
      <c r="C36" t="s">
        <v>38</v>
      </c>
      <c r="D36" t="s">
        <v>17</v>
      </c>
      <c r="E36" t="s">
        <v>18</v>
      </c>
      <c r="F36" t="s">
        <v>21</v>
      </c>
      <c r="G36" t="s">
        <v>37</v>
      </c>
      <c r="H36">
        <f>118.4*0.997/0.482</f>
        <v>244.90622406639008</v>
      </c>
      <c r="I36" t="s">
        <v>17</v>
      </c>
      <c r="J36" t="s">
        <v>23</v>
      </c>
      <c r="O36" t="s">
        <v>39</v>
      </c>
    </row>
    <row r="37" spans="1:15" x14ac:dyDescent="0.25">
      <c r="A37" t="s">
        <v>15</v>
      </c>
      <c r="B37" t="s">
        <v>49</v>
      </c>
      <c r="C37" t="s">
        <v>49</v>
      </c>
      <c r="D37" t="s">
        <v>17</v>
      </c>
      <c r="E37" t="s">
        <v>18</v>
      </c>
      <c r="F37" t="s">
        <v>15</v>
      </c>
      <c r="G37" t="s">
        <v>49</v>
      </c>
      <c r="H37">
        <v>1</v>
      </c>
      <c r="I37" t="s">
        <v>17</v>
      </c>
      <c r="J37" t="s">
        <v>19</v>
      </c>
      <c r="O37" t="s">
        <v>50</v>
      </c>
    </row>
    <row r="38" spans="1:15" x14ac:dyDescent="0.25">
      <c r="A38" t="s">
        <v>15</v>
      </c>
      <c r="B38" t="s">
        <v>49</v>
      </c>
      <c r="C38" t="s">
        <v>49</v>
      </c>
      <c r="D38" t="s">
        <v>17</v>
      </c>
      <c r="E38" t="s">
        <v>18</v>
      </c>
      <c r="F38" t="s">
        <v>21</v>
      </c>
      <c r="G38" t="s">
        <v>22</v>
      </c>
      <c r="H38">
        <v>1</v>
      </c>
      <c r="I38" t="s">
        <v>17</v>
      </c>
      <c r="J38" t="s">
        <v>23</v>
      </c>
      <c r="O38" t="s">
        <v>50</v>
      </c>
    </row>
    <row r="39" spans="1:15" x14ac:dyDescent="0.25">
      <c r="A39" t="s">
        <v>15</v>
      </c>
      <c r="B39" t="s">
        <v>49</v>
      </c>
      <c r="C39" t="s">
        <v>49</v>
      </c>
      <c r="D39" t="s">
        <v>17</v>
      </c>
      <c r="E39" t="s">
        <v>18</v>
      </c>
      <c r="F39" t="s">
        <v>21</v>
      </c>
      <c r="G39" t="s">
        <v>51</v>
      </c>
      <c r="H39">
        <f>1944/1000</f>
        <v>1.944</v>
      </c>
      <c r="I39" t="s">
        <v>17</v>
      </c>
      <c r="J39" t="s">
        <v>23</v>
      </c>
      <c r="O39" t="s">
        <v>50</v>
      </c>
    </row>
    <row r="40" spans="1:15" x14ac:dyDescent="0.25">
      <c r="A40" t="s">
        <v>15</v>
      </c>
      <c r="B40" t="s">
        <v>49</v>
      </c>
      <c r="C40" t="s">
        <v>49</v>
      </c>
      <c r="D40" t="s">
        <v>17</v>
      </c>
      <c r="E40" t="s">
        <v>18</v>
      </c>
      <c r="F40" t="s">
        <v>21</v>
      </c>
      <c r="G40" t="s">
        <v>26</v>
      </c>
      <c r="H40">
        <f>6659/1000</f>
        <v>6.6589999999999998</v>
      </c>
      <c r="I40" t="s">
        <v>17</v>
      </c>
      <c r="J40" t="s">
        <v>23</v>
      </c>
      <c r="O40" t="s">
        <v>50</v>
      </c>
    </row>
    <row r="41" spans="1:15" x14ac:dyDescent="0.25">
      <c r="A41" t="s">
        <v>15</v>
      </c>
      <c r="B41" t="s">
        <v>49</v>
      </c>
      <c r="C41" t="s">
        <v>49</v>
      </c>
      <c r="D41" t="s">
        <v>17</v>
      </c>
      <c r="E41" t="s">
        <v>18</v>
      </c>
      <c r="F41" t="s">
        <v>21</v>
      </c>
      <c r="G41" t="s">
        <v>29</v>
      </c>
      <c r="H41">
        <f>4181/(1000*3.6)+0.1096</f>
        <v>1.2709888888888887</v>
      </c>
      <c r="I41" t="s">
        <v>30</v>
      </c>
      <c r="J41" t="s">
        <v>23</v>
      </c>
      <c r="O41" t="s">
        <v>50</v>
      </c>
    </row>
    <row r="42" spans="1:15" x14ac:dyDescent="0.25">
      <c r="A42" t="s">
        <v>15</v>
      </c>
      <c r="B42" t="s">
        <v>49</v>
      </c>
      <c r="C42" t="s">
        <v>49</v>
      </c>
      <c r="D42" t="s">
        <v>17</v>
      </c>
      <c r="E42" t="s">
        <v>18</v>
      </c>
      <c r="F42" t="s">
        <v>21</v>
      </c>
      <c r="G42" t="s">
        <v>52</v>
      </c>
      <c r="H42">
        <f>4188/1000</f>
        <v>4.1879999999999997</v>
      </c>
      <c r="I42" t="s">
        <v>17</v>
      </c>
      <c r="J42" t="s">
        <v>23</v>
      </c>
      <c r="O42" t="s">
        <v>50</v>
      </c>
    </row>
    <row r="43" spans="1:15" x14ac:dyDescent="0.25">
      <c r="A43" t="s">
        <v>15</v>
      </c>
      <c r="B43" t="s">
        <v>53</v>
      </c>
      <c r="C43" t="s">
        <v>53</v>
      </c>
      <c r="D43" t="s">
        <v>17</v>
      </c>
      <c r="E43" t="s">
        <v>18</v>
      </c>
      <c r="F43" t="s">
        <v>15</v>
      </c>
      <c r="G43" t="s">
        <v>53</v>
      </c>
      <c r="H43">
        <v>1</v>
      </c>
      <c r="I43" t="s">
        <v>17</v>
      </c>
      <c r="J43" t="s">
        <v>19</v>
      </c>
      <c r="O43" t="s">
        <v>54</v>
      </c>
    </row>
    <row r="44" spans="1:15" x14ac:dyDescent="0.25">
      <c r="A44" t="s">
        <v>15</v>
      </c>
      <c r="B44" t="s">
        <v>53</v>
      </c>
      <c r="C44" t="s">
        <v>53</v>
      </c>
      <c r="D44" t="s">
        <v>17</v>
      </c>
      <c r="E44" t="s">
        <v>18</v>
      </c>
      <c r="F44" t="s">
        <v>21</v>
      </c>
      <c r="G44" t="s">
        <v>55</v>
      </c>
      <c r="H44">
        <v>1</v>
      </c>
      <c r="I44" t="s">
        <v>17</v>
      </c>
      <c r="J44" t="s">
        <v>23</v>
      </c>
      <c r="O44" t="s">
        <v>54</v>
      </c>
    </row>
    <row r="45" spans="1:15" x14ac:dyDescent="0.25">
      <c r="A45" t="s">
        <v>15</v>
      </c>
      <c r="B45" t="s">
        <v>53</v>
      </c>
      <c r="C45" t="s">
        <v>53</v>
      </c>
      <c r="D45" t="s">
        <v>17</v>
      </c>
      <c r="E45" t="s">
        <v>18</v>
      </c>
      <c r="F45" t="s">
        <v>21</v>
      </c>
      <c r="G45" t="s">
        <v>56</v>
      </c>
      <c r="H45">
        <f>1/0.254</f>
        <v>3.9370078740157481</v>
      </c>
      <c r="I45" t="s">
        <v>17</v>
      </c>
      <c r="J45" t="s">
        <v>23</v>
      </c>
      <c r="O45" t="s">
        <v>54</v>
      </c>
    </row>
    <row r="46" spans="1:15" x14ac:dyDescent="0.25">
      <c r="A46" t="s">
        <v>15</v>
      </c>
      <c r="B46" t="s">
        <v>53</v>
      </c>
      <c r="C46" t="s">
        <v>53</v>
      </c>
      <c r="D46" t="s">
        <v>17</v>
      </c>
      <c r="E46" t="s">
        <v>18</v>
      </c>
      <c r="F46" t="s">
        <v>21</v>
      </c>
      <c r="G46" t="s">
        <v>57</v>
      </c>
      <c r="H46">
        <f>(20*0.997)/0.254</f>
        <v>78.503937007874015</v>
      </c>
      <c r="I46" t="s">
        <v>17</v>
      </c>
      <c r="J46" t="s">
        <v>23</v>
      </c>
      <c r="O46" t="s">
        <v>54</v>
      </c>
    </row>
    <row r="47" spans="1:15" x14ac:dyDescent="0.25">
      <c r="A47" t="s">
        <v>15</v>
      </c>
      <c r="B47" t="s">
        <v>53</v>
      </c>
      <c r="C47" t="s">
        <v>53</v>
      </c>
      <c r="D47" t="s">
        <v>17</v>
      </c>
      <c r="E47" t="s">
        <v>18</v>
      </c>
      <c r="F47" t="s">
        <v>21</v>
      </c>
      <c r="G47" t="s">
        <v>29</v>
      </c>
      <c r="H47">
        <f>67.1/(1000*0.254)</f>
        <v>0.26417322834645668</v>
      </c>
      <c r="I47" t="s">
        <v>30</v>
      </c>
      <c r="J47" t="s">
        <v>23</v>
      </c>
      <c r="O47" t="s">
        <v>54</v>
      </c>
    </row>
    <row r="48" spans="1:15" x14ac:dyDescent="0.25">
      <c r="A48" t="s">
        <v>15</v>
      </c>
      <c r="B48" t="s">
        <v>53</v>
      </c>
      <c r="C48" t="s">
        <v>53</v>
      </c>
      <c r="D48" t="s">
        <v>17</v>
      </c>
      <c r="E48" t="s">
        <v>18</v>
      </c>
      <c r="F48" t="s">
        <v>21</v>
      </c>
      <c r="G48" t="s">
        <v>58</v>
      </c>
      <c r="H48">
        <f>-0.68/(2.27+0.68+2.1+2.7)*1.256/0.254</f>
        <v>-0.4338735077470155</v>
      </c>
      <c r="I48" t="s">
        <v>17</v>
      </c>
      <c r="J48" t="s">
        <v>23</v>
      </c>
      <c r="O48" t="s">
        <v>54</v>
      </c>
    </row>
    <row r="49" spans="1:15" x14ac:dyDescent="0.25">
      <c r="A49" t="s">
        <v>15</v>
      </c>
      <c r="B49" t="s">
        <v>59</v>
      </c>
      <c r="C49" t="s">
        <v>59</v>
      </c>
      <c r="D49" t="s">
        <v>17</v>
      </c>
      <c r="E49" t="s">
        <v>18</v>
      </c>
      <c r="F49" t="s">
        <v>15</v>
      </c>
      <c r="G49" t="s">
        <v>59</v>
      </c>
      <c r="H49">
        <v>1</v>
      </c>
      <c r="I49" t="s">
        <v>17</v>
      </c>
      <c r="J49" t="s">
        <v>19</v>
      </c>
      <c r="O49" t="s">
        <v>54</v>
      </c>
    </row>
    <row r="50" spans="1:15" x14ac:dyDescent="0.25">
      <c r="A50" t="s">
        <v>15</v>
      </c>
      <c r="B50" t="s">
        <v>59</v>
      </c>
      <c r="C50" t="s">
        <v>59</v>
      </c>
      <c r="D50" t="s">
        <v>17</v>
      </c>
      <c r="E50" t="s">
        <v>18</v>
      </c>
      <c r="F50" t="s">
        <v>21</v>
      </c>
      <c r="G50" t="s">
        <v>55</v>
      </c>
      <c r="H50">
        <v>1</v>
      </c>
      <c r="I50" t="s">
        <v>17</v>
      </c>
      <c r="J50" t="s">
        <v>23</v>
      </c>
      <c r="O50" t="s">
        <v>54</v>
      </c>
    </row>
    <row r="51" spans="1:15" x14ac:dyDescent="0.25">
      <c r="A51" t="s">
        <v>15</v>
      </c>
      <c r="B51" t="s">
        <v>59</v>
      </c>
      <c r="C51" t="s">
        <v>59</v>
      </c>
      <c r="D51" t="s">
        <v>17</v>
      </c>
      <c r="E51" t="s">
        <v>18</v>
      </c>
      <c r="F51" t="s">
        <v>21</v>
      </c>
      <c r="G51" t="s">
        <v>56</v>
      </c>
      <c r="H51">
        <f>1/0.22</f>
        <v>4.5454545454545459</v>
      </c>
      <c r="I51" t="s">
        <v>17</v>
      </c>
      <c r="J51" t="s">
        <v>23</v>
      </c>
      <c r="O51" t="s">
        <v>54</v>
      </c>
    </row>
    <row r="52" spans="1:15" x14ac:dyDescent="0.25">
      <c r="A52" t="s">
        <v>15</v>
      </c>
      <c r="B52" t="s">
        <v>59</v>
      </c>
      <c r="C52" t="s">
        <v>59</v>
      </c>
      <c r="D52" t="s">
        <v>17</v>
      </c>
      <c r="E52" t="s">
        <v>18</v>
      </c>
      <c r="F52" t="s">
        <v>21</v>
      </c>
      <c r="G52" t="s">
        <v>57</v>
      </c>
      <c r="H52">
        <f>20*0.997/0.22</f>
        <v>90.63636363636364</v>
      </c>
      <c r="I52" t="s">
        <v>17</v>
      </c>
      <c r="J52" t="s">
        <v>23</v>
      </c>
      <c r="O52" t="s">
        <v>54</v>
      </c>
    </row>
    <row r="53" spans="1:15" x14ac:dyDescent="0.25">
      <c r="A53" t="s">
        <v>15</v>
      </c>
      <c r="B53" t="s">
        <v>59</v>
      </c>
      <c r="C53" t="s">
        <v>59</v>
      </c>
      <c r="D53" t="s">
        <v>17</v>
      </c>
      <c r="E53" t="s">
        <v>18</v>
      </c>
      <c r="F53" t="s">
        <v>21</v>
      </c>
      <c r="G53" t="s">
        <v>29</v>
      </c>
      <c r="H53">
        <f>63.87/(1000*0.22)</f>
        <v>0.29031818181818181</v>
      </c>
      <c r="I53" t="s">
        <v>30</v>
      </c>
      <c r="J53" t="s">
        <v>23</v>
      </c>
      <c r="O53" t="s">
        <v>54</v>
      </c>
    </row>
    <row r="54" spans="1:15" x14ac:dyDescent="0.25">
      <c r="A54" t="s">
        <v>15</v>
      </c>
      <c r="B54" t="s">
        <v>59</v>
      </c>
      <c r="C54" t="s">
        <v>59</v>
      </c>
      <c r="D54" t="s">
        <v>17</v>
      </c>
      <c r="E54" t="s">
        <v>18</v>
      </c>
      <c r="F54" t="s">
        <v>21</v>
      </c>
      <c r="G54" t="s">
        <v>58</v>
      </c>
      <c r="H54">
        <f>-0.68/(2.27+0.68+2.1+2.7)*1.218/0.22</f>
        <v>-0.48577126099706747</v>
      </c>
      <c r="I54" t="s">
        <v>17</v>
      </c>
      <c r="J54" t="s">
        <v>23</v>
      </c>
      <c r="O54" t="s">
        <v>54</v>
      </c>
    </row>
    <row r="55" spans="1:15" x14ac:dyDescent="0.25">
      <c r="A55" t="s">
        <v>15</v>
      </c>
      <c r="B55" t="s">
        <v>60</v>
      </c>
      <c r="C55" t="s">
        <v>60</v>
      </c>
      <c r="D55" t="s">
        <v>17</v>
      </c>
      <c r="E55" t="s">
        <v>18</v>
      </c>
      <c r="F55" t="s">
        <v>15</v>
      </c>
      <c r="G55" t="s">
        <v>60</v>
      </c>
      <c r="H55">
        <v>1</v>
      </c>
      <c r="I55" t="s">
        <v>17</v>
      </c>
      <c r="J55" t="s">
        <v>19</v>
      </c>
      <c r="O55" t="s">
        <v>54</v>
      </c>
    </row>
    <row r="56" spans="1:15" x14ac:dyDescent="0.25">
      <c r="A56" t="s">
        <v>15</v>
      </c>
      <c r="B56" t="s">
        <v>60</v>
      </c>
      <c r="C56" t="s">
        <v>60</v>
      </c>
      <c r="D56" t="s">
        <v>17</v>
      </c>
      <c r="E56" t="s">
        <v>18</v>
      </c>
      <c r="F56" t="s">
        <v>21</v>
      </c>
      <c r="G56" t="s">
        <v>55</v>
      </c>
      <c r="H56">
        <v>1</v>
      </c>
      <c r="I56" t="s">
        <v>17</v>
      </c>
      <c r="J56" t="s">
        <v>23</v>
      </c>
      <c r="O56" t="s">
        <v>54</v>
      </c>
    </row>
    <row r="57" spans="1:15" x14ac:dyDescent="0.25">
      <c r="A57" t="s">
        <v>15</v>
      </c>
      <c r="B57" t="s">
        <v>60</v>
      </c>
      <c r="C57" t="s">
        <v>60</v>
      </c>
      <c r="D57" t="s">
        <v>17</v>
      </c>
      <c r="E57" t="s">
        <v>18</v>
      </c>
      <c r="F57" t="s">
        <v>21</v>
      </c>
      <c r="G57" t="s">
        <v>56</v>
      </c>
      <c r="H57">
        <f>1/0.287</f>
        <v>3.4843205574912894</v>
      </c>
      <c r="I57" t="s">
        <v>17</v>
      </c>
      <c r="J57" t="s">
        <v>23</v>
      </c>
      <c r="O57" t="s">
        <v>54</v>
      </c>
    </row>
    <row r="58" spans="1:15" x14ac:dyDescent="0.25">
      <c r="A58" t="s">
        <v>15</v>
      </c>
      <c r="B58" t="s">
        <v>60</v>
      </c>
      <c r="C58" t="s">
        <v>60</v>
      </c>
      <c r="D58" t="s">
        <v>17</v>
      </c>
      <c r="E58" t="s">
        <v>18</v>
      </c>
      <c r="F58" t="s">
        <v>21</v>
      </c>
      <c r="G58" t="s">
        <v>57</v>
      </c>
      <c r="H58">
        <f>15*0.997/0.287</f>
        <v>52.108013937282237</v>
      </c>
      <c r="I58" t="s">
        <v>17</v>
      </c>
      <c r="J58" t="s">
        <v>23</v>
      </c>
      <c r="O58" t="s">
        <v>54</v>
      </c>
    </row>
    <row r="59" spans="1:15" x14ac:dyDescent="0.25">
      <c r="A59" t="s">
        <v>15</v>
      </c>
      <c r="B59" t="s">
        <v>60</v>
      </c>
      <c r="C59" t="s">
        <v>60</v>
      </c>
      <c r="D59" t="s">
        <v>17</v>
      </c>
      <c r="E59" t="s">
        <v>18</v>
      </c>
      <c r="F59" t="s">
        <v>21</v>
      </c>
      <c r="G59" t="s">
        <v>29</v>
      </c>
      <c r="H59">
        <f>65.06/(1000*0.287)</f>
        <v>0.22668989547038329</v>
      </c>
      <c r="I59" t="s">
        <v>30</v>
      </c>
      <c r="J59" t="s">
        <v>23</v>
      </c>
      <c r="O59" t="s">
        <v>54</v>
      </c>
    </row>
    <row r="60" spans="1:15" x14ac:dyDescent="0.25">
      <c r="A60" t="s">
        <v>15</v>
      </c>
      <c r="B60" t="s">
        <v>60</v>
      </c>
      <c r="C60" t="s">
        <v>60</v>
      </c>
      <c r="D60" t="s">
        <v>17</v>
      </c>
      <c r="E60" t="s">
        <v>18</v>
      </c>
      <c r="F60" t="s">
        <v>21</v>
      </c>
      <c r="G60" t="s">
        <v>58</v>
      </c>
      <c r="H60">
        <f>-0.68/(2.27+0.68+2.1+2.7)*1.287/0.287</f>
        <v>-0.39346296504439698</v>
      </c>
      <c r="I60" t="s">
        <v>17</v>
      </c>
      <c r="J60" t="s">
        <v>23</v>
      </c>
      <c r="O60" t="s">
        <v>54</v>
      </c>
    </row>
    <row r="61" spans="1:15" x14ac:dyDescent="0.25">
      <c r="A61" t="s">
        <v>15</v>
      </c>
      <c r="B61" t="s">
        <v>61</v>
      </c>
      <c r="C61" t="s">
        <v>61</v>
      </c>
      <c r="D61" t="s">
        <v>17</v>
      </c>
      <c r="E61" t="s">
        <v>18</v>
      </c>
      <c r="F61" t="s">
        <v>15</v>
      </c>
      <c r="G61" t="s">
        <v>61</v>
      </c>
      <c r="H61">
        <v>1</v>
      </c>
      <c r="I61" t="s">
        <v>17</v>
      </c>
      <c r="J61" t="s">
        <v>19</v>
      </c>
      <c r="O61" t="s">
        <v>54</v>
      </c>
    </row>
    <row r="62" spans="1:15" x14ac:dyDescent="0.25">
      <c r="A62" t="s">
        <v>15</v>
      </c>
      <c r="B62" t="s">
        <v>61</v>
      </c>
      <c r="C62" t="s">
        <v>61</v>
      </c>
      <c r="D62" t="s">
        <v>17</v>
      </c>
      <c r="E62" t="s">
        <v>18</v>
      </c>
      <c r="F62" t="s">
        <v>21</v>
      </c>
      <c r="G62" t="s">
        <v>55</v>
      </c>
      <c r="H62">
        <v>1</v>
      </c>
      <c r="I62" t="s">
        <v>17</v>
      </c>
      <c r="J62" t="s">
        <v>23</v>
      </c>
      <c r="O62" t="s">
        <v>54</v>
      </c>
    </row>
    <row r="63" spans="1:15" x14ac:dyDescent="0.25">
      <c r="A63" t="s">
        <v>15</v>
      </c>
      <c r="B63" t="s">
        <v>61</v>
      </c>
      <c r="C63" t="s">
        <v>61</v>
      </c>
      <c r="D63" t="s">
        <v>17</v>
      </c>
      <c r="E63" t="s">
        <v>18</v>
      </c>
      <c r="F63" t="s">
        <v>21</v>
      </c>
      <c r="G63" t="s">
        <v>56</v>
      </c>
      <c r="H63">
        <f>1/0.238</f>
        <v>4.2016806722689077</v>
      </c>
      <c r="I63" t="s">
        <v>17</v>
      </c>
      <c r="J63" t="s">
        <v>23</v>
      </c>
      <c r="O63" t="s">
        <v>54</v>
      </c>
    </row>
    <row r="64" spans="1:15" x14ac:dyDescent="0.25">
      <c r="A64" t="s">
        <v>15</v>
      </c>
      <c r="B64" t="s">
        <v>61</v>
      </c>
      <c r="C64" t="s">
        <v>61</v>
      </c>
      <c r="D64" t="s">
        <v>17</v>
      </c>
      <c r="E64" t="s">
        <v>18</v>
      </c>
      <c r="F64" t="s">
        <v>21</v>
      </c>
      <c r="G64" t="s">
        <v>57</v>
      </c>
      <c r="H64">
        <f>13.3*0.997/0.238</f>
        <v>55.714705882352952</v>
      </c>
      <c r="I64" t="s">
        <v>17</v>
      </c>
      <c r="J64" t="s">
        <v>23</v>
      </c>
      <c r="O64" t="s">
        <v>54</v>
      </c>
    </row>
    <row r="65" spans="1:15" x14ac:dyDescent="0.25">
      <c r="A65" t="s">
        <v>15</v>
      </c>
      <c r="B65" t="s">
        <v>61</v>
      </c>
      <c r="C65" t="s">
        <v>61</v>
      </c>
      <c r="D65" t="s">
        <v>17</v>
      </c>
      <c r="E65" t="s">
        <v>18</v>
      </c>
      <c r="F65" t="s">
        <v>21</v>
      </c>
      <c r="G65" t="s">
        <v>29</v>
      </c>
      <c r="H65">
        <f>59.12/(1000*0.238)</f>
        <v>0.2484033613445378</v>
      </c>
      <c r="I65" t="s">
        <v>30</v>
      </c>
      <c r="J65" t="s">
        <v>23</v>
      </c>
      <c r="O65" t="s">
        <v>54</v>
      </c>
    </row>
    <row r="66" spans="1:15" x14ac:dyDescent="0.25">
      <c r="A66" t="s">
        <v>15</v>
      </c>
      <c r="B66" t="s">
        <v>61</v>
      </c>
      <c r="C66" t="s">
        <v>61</v>
      </c>
      <c r="D66" t="s">
        <v>17</v>
      </c>
      <c r="E66" t="s">
        <v>18</v>
      </c>
      <c r="F66" t="s">
        <v>21</v>
      </c>
      <c r="G66" t="s">
        <v>58</v>
      </c>
      <c r="H66">
        <f>-0.68/(2.27+0.68+2.1+2.7)*1.24/0.238</f>
        <v>-0.45714285714285713</v>
      </c>
      <c r="I66" t="s">
        <v>17</v>
      </c>
      <c r="J66" t="s">
        <v>23</v>
      </c>
      <c r="O66" t="s">
        <v>54</v>
      </c>
    </row>
    <row r="67" spans="1:15" x14ac:dyDescent="0.25">
      <c r="A67" t="s">
        <v>15</v>
      </c>
      <c r="B67" t="s">
        <v>62</v>
      </c>
      <c r="C67" t="s">
        <v>62</v>
      </c>
      <c r="D67" t="s">
        <v>17</v>
      </c>
      <c r="E67" t="s">
        <v>18</v>
      </c>
      <c r="F67" t="s">
        <v>15</v>
      </c>
      <c r="G67" t="s">
        <v>62</v>
      </c>
      <c r="H67">
        <v>1</v>
      </c>
      <c r="I67" t="s">
        <v>17</v>
      </c>
      <c r="J67" t="s">
        <v>19</v>
      </c>
      <c r="O67" t="s">
        <v>54</v>
      </c>
    </row>
    <row r="68" spans="1:15" x14ac:dyDescent="0.25">
      <c r="A68" t="s">
        <v>15</v>
      </c>
      <c r="B68" t="s">
        <v>62</v>
      </c>
      <c r="C68" t="s">
        <v>62</v>
      </c>
      <c r="D68" t="s">
        <v>17</v>
      </c>
      <c r="E68" t="s">
        <v>18</v>
      </c>
      <c r="F68" t="s">
        <v>21</v>
      </c>
      <c r="G68" t="s">
        <v>55</v>
      </c>
      <c r="H68">
        <v>1</v>
      </c>
      <c r="I68" t="s">
        <v>17</v>
      </c>
      <c r="J68" t="s">
        <v>23</v>
      </c>
      <c r="O68" t="s">
        <v>54</v>
      </c>
    </row>
    <row r="69" spans="1:15" x14ac:dyDescent="0.25">
      <c r="A69" t="s">
        <v>15</v>
      </c>
      <c r="B69" t="s">
        <v>62</v>
      </c>
      <c r="C69" t="s">
        <v>62</v>
      </c>
      <c r="D69" t="s">
        <v>17</v>
      </c>
      <c r="E69" t="s">
        <v>18</v>
      </c>
      <c r="F69" t="s">
        <v>21</v>
      </c>
      <c r="G69" t="s">
        <v>56</v>
      </c>
      <c r="H69">
        <f>1/0.316</f>
        <v>3.1645569620253164</v>
      </c>
      <c r="I69" t="s">
        <v>17</v>
      </c>
      <c r="J69" t="s">
        <v>23</v>
      </c>
      <c r="O69" t="s">
        <v>54</v>
      </c>
    </row>
    <row r="70" spans="1:15" x14ac:dyDescent="0.25">
      <c r="A70" t="s">
        <v>15</v>
      </c>
      <c r="B70" t="s">
        <v>62</v>
      </c>
      <c r="C70" t="s">
        <v>62</v>
      </c>
      <c r="D70" t="s">
        <v>17</v>
      </c>
      <c r="E70" t="s">
        <v>18</v>
      </c>
      <c r="F70" t="s">
        <v>21</v>
      </c>
      <c r="G70" t="s">
        <v>57</v>
      </c>
      <c r="H70">
        <f>15*0.997/0.316</f>
        <v>47.325949367088604</v>
      </c>
      <c r="I70" t="s">
        <v>17</v>
      </c>
      <c r="J70" t="s">
        <v>23</v>
      </c>
      <c r="O70" t="s">
        <v>54</v>
      </c>
    </row>
    <row r="71" spans="1:15" x14ac:dyDescent="0.25">
      <c r="A71" t="s">
        <v>15</v>
      </c>
      <c r="B71" t="s">
        <v>62</v>
      </c>
      <c r="C71" t="s">
        <v>62</v>
      </c>
      <c r="D71" t="s">
        <v>17</v>
      </c>
      <c r="E71" t="s">
        <v>18</v>
      </c>
      <c r="F71" t="s">
        <v>21</v>
      </c>
      <c r="G71" t="s">
        <v>29</v>
      </c>
      <c r="H71">
        <f>64.78/(1000*0.316)</f>
        <v>0.20500000000000002</v>
      </c>
      <c r="I71" t="s">
        <v>30</v>
      </c>
      <c r="J71" t="s">
        <v>23</v>
      </c>
      <c r="O71" t="s">
        <v>54</v>
      </c>
    </row>
    <row r="72" spans="1:15" x14ac:dyDescent="0.25">
      <c r="A72" t="s">
        <v>15</v>
      </c>
      <c r="B72" t="s">
        <v>62</v>
      </c>
      <c r="C72" t="s">
        <v>62</v>
      </c>
      <c r="D72" t="s">
        <v>17</v>
      </c>
      <c r="E72" t="s">
        <v>18</v>
      </c>
      <c r="F72" t="s">
        <v>21</v>
      </c>
      <c r="G72" t="s">
        <v>58</v>
      </c>
      <c r="H72">
        <f>-0.68/(2.27+0.68+2.1+2.7)*1.318/0.316</f>
        <v>-0.36596161698652513</v>
      </c>
      <c r="I72" t="s">
        <v>17</v>
      </c>
      <c r="J72" t="s">
        <v>23</v>
      </c>
      <c r="O72" t="s">
        <v>54</v>
      </c>
    </row>
    <row r="73" spans="1:15" x14ac:dyDescent="0.25">
      <c r="A73" t="s">
        <v>15</v>
      </c>
      <c r="B73" t="s">
        <v>63</v>
      </c>
      <c r="C73" t="s">
        <v>63</v>
      </c>
      <c r="D73" t="s">
        <v>17</v>
      </c>
      <c r="E73" t="s">
        <v>18</v>
      </c>
      <c r="F73" t="s">
        <v>15</v>
      </c>
      <c r="G73" t="s">
        <v>63</v>
      </c>
      <c r="H73">
        <v>1</v>
      </c>
      <c r="I73" t="s">
        <v>17</v>
      </c>
      <c r="J73" t="s">
        <v>19</v>
      </c>
      <c r="O73" t="s">
        <v>54</v>
      </c>
    </row>
    <row r="74" spans="1:15" x14ac:dyDescent="0.25">
      <c r="A74" t="s">
        <v>15</v>
      </c>
      <c r="B74" t="s">
        <v>63</v>
      </c>
      <c r="C74" t="s">
        <v>63</v>
      </c>
      <c r="D74" t="s">
        <v>17</v>
      </c>
      <c r="E74" t="s">
        <v>18</v>
      </c>
      <c r="F74" t="s">
        <v>21</v>
      </c>
      <c r="G74" t="s">
        <v>55</v>
      </c>
      <c r="H74">
        <v>1</v>
      </c>
      <c r="I74" t="s">
        <v>17</v>
      </c>
      <c r="J74" t="s">
        <v>23</v>
      </c>
      <c r="O74" t="s">
        <v>54</v>
      </c>
    </row>
    <row r="75" spans="1:15" x14ac:dyDescent="0.25">
      <c r="A75" t="s">
        <v>15</v>
      </c>
      <c r="B75" t="s">
        <v>63</v>
      </c>
      <c r="C75" t="s">
        <v>63</v>
      </c>
      <c r="D75" t="s">
        <v>17</v>
      </c>
      <c r="E75" t="s">
        <v>18</v>
      </c>
      <c r="F75" t="s">
        <v>21</v>
      </c>
      <c r="G75" t="s">
        <v>56</v>
      </c>
      <c r="H75">
        <f>1/0.154</f>
        <v>6.4935064935064934</v>
      </c>
      <c r="I75" t="s">
        <v>17</v>
      </c>
      <c r="J75" t="s">
        <v>23</v>
      </c>
      <c r="O75" t="s">
        <v>54</v>
      </c>
    </row>
    <row r="76" spans="1:15" x14ac:dyDescent="0.25">
      <c r="A76" t="s">
        <v>15</v>
      </c>
      <c r="B76" t="s">
        <v>63</v>
      </c>
      <c r="C76" t="s">
        <v>63</v>
      </c>
      <c r="D76" t="s">
        <v>17</v>
      </c>
      <c r="E76" t="s">
        <v>18</v>
      </c>
      <c r="F76" t="s">
        <v>21</v>
      </c>
      <c r="G76" t="s">
        <v>57</v>
      </c>
      <c r="H76">
        <f>13.3*0.997/0.154</f>
        <v>86.104545454545459</v>
      </c>
      <c r="I76" t="s">
        <v>17</v>
      </c>
      <c r="J76" t="s">
        <v>23</v>
      </c>
      <c r="O76" t="s">
        <v>54</v>
      </c>
    </row>
    <row r="77" spans="1:15" x14ac:dyDescent="0.25">
      <c r="A77" t="s">
        <v>15</v>
      </c>
      <c r="B77" t="s">
        <v>63</v>
      </c>
      <c r="C77" t="s">
        <v>63</v>
      </c>
      <c r="D77" t="s">
        <v>17</v>
      </c>
      <c r="E77" t="s">
        <v>18</v>
      </c>
      <c r="F77" t="s">
        <v>21</v>
      </c>
      <c r="G77" t="s">
        <v>29</v>
      </c>
      <c r="H77">
        <f>54.64/(1000*0.154)</f>
        <v>0.35480519480519479</v>
      </c>
      <c r="I77" t="s">
        <v>30</v>
      </c>
      <c r="J77" t="s">
        <v>23</v>
      </c>
      <c r="O77" t="s">
        <v>54</v>
      </c>
    </row>
    <row r="78" spans="1:15" x14ac:dyDescent="0.25">
      <c r="A78" t="s">
        <v>15</v>
      </c>
      <c r="B78" t="s">
        <v>63</v>
      </c>
      <c r="C78" t="s">
        <v>63</v>
      </c>
      <c r="D78" t="s">
        <v>17</v>
      </c>
      <c r="E78" t="s">
        <v>18</v>
      </c>
      <c r="F78" t="s">
        <v>21</v>
      </c>
      <c r="G78" t="s">
        <v>58</v>
      </c>
      <c r="H78">
        <f>-0.68/(2.27+0.68+2.1+2.7)*1.155/0.154</f>
        <v>-0.65806451612903227</v>
      </c>
      <c r="I78" t="s">
        <v>17</v>
      </c>
      <c r="J78" t="s">
        <v>23</v>
      </c>
      <c r="O78" t="s">
        <v>54</v>
      </c>
    </row>
    <row r="79" spans="1:15" x14ac:dyDescent="0.25">
      <c r="A79" t="s">
        <v>15</v>
      </c>
      <c r="B79" t="s">
        <v>64</v>
      </c>
      <c r="C79" t="s">
        <v>64</v>
      </c>
      <c r="D79" t="s">
        <v>17</v>
      </c>
      <c r="E79" t="s">
        <v>18</v>
      </c>
      <c r="F79" t="s">
        <v>15</v>
      </c>
      <c r="G79" t="s">
        <v>64</v>
      </c>
      <c r="H79">
        <v>1</v>
      </c>
      <c r="I79" t="s">
        <v>17</v>
      </c>
      <c r="J79" t="s">
        <v>19</v>
      </c>
      <c r="O79" t="s">
        <v>65</v>
      </c>
    </row>
    <row r="80" spans="1:15" x14ac:dyDescent="0.25">
      <c r="A80" t="s">
        <v>15</v>
      </c>
      <c r="B80" t="s">
        <v>64</v>
      </c>
      <c r="C80" t="s">
        <v>64</v>
      </c>
      <c r="D80" t="s">
        <v>17</v>
      </c>
      <c r="E80" t="s">
        <v>18</v>
      </c>
      <c r="F80" t="s">
        <v>21</v>
      </c>
      <c r="G80" t="s">
        <v>22</v>
      </c>
      <c r="H80">
        <v>1</v>
      </c>
      <c r="I80" t="s">
        <v>17</v>
      </c>
      <c r="J80" t="s">
        <v>23</v>
      </c>
      <c r="O80" t="s">
        <v>65</v>
      </c>
    </row>
    <row r="81" spans="1:15" x14ac:dyDescent="0.25">
      <c r="A81" t="s">
        <v>15</v>
      </c>
      <c r="B81" t="s">
        <v>64</v>
      </c>
      <c r="C81" t="s">
        <v>64</v>
      </c>
      <c r="D81" t="s">
        <v>17</v>
      </c>
      <c r="E81" t="s">
        <v>18</v>
      </c>
      <c r="F81" t="s">
        <v>21</v>
      </c>
      <c r="G81" t="s">
        <v>66</v>
      </c>
      <c r="H81">
        <v>2.2999999999999998</v>
      </c>
      <c r="I81" t="s">
        <v>17</v>
      </c>
      <c r="J81" t="s">
        <v>23</v>
      </c>
      <c r="O81" t="s">
        <v>65</v>
      </c>
    </row>
    <row r="82" spans="1:15" x14ac:dyDescent="0.25">
      <c r="A82" t="s">
        <v>15</v>
      </c>
      <c r="B82" t="s">
        <v>64</v>
      </c>
      <c r="C82" t="s">
        <v>64</v>
      </c>
      <c r="D82" t="s">
        <v>17</v>
      </c>
      <c r="E82" t="s">
        <v>18</v>
      </c>
      <c r="F82" t="s">
        <v>21</v>
      </c>
      <c r="G82" t="s">
        <v>67</v>
      </c>
      <c r="H82">
        <v>0.25</v>
      </c>
      <c r="I82" t="s">
        <v>17</v>
      </c>
      <c r="J82" t="s">
        <v>23</v>
      </c>
      <c r="O82" t="s">
        <v>65</v>
      </c>
    </row>
    <row r="83" spans="1:15" x14ac:dyDescent="0.25">
      <c r="A83" t="s">
        <v>15</v>
      </c>
      <c r="B83" t="s">
        <v>64</v>
      </c>
      <c r="C83" t="s">
        <v>64</v>
      </c>
      <c r="D83" t="s">
        <v>17</v>
      </c>
      <c r="E83" t="s">
        <v>18</v>
      </c>
      <c r="F83" t="s">
        <v>21</v>
      </c>
      <c r="G83" t="s">
        <v>29</v>
      </c>
      <c r="H83">
        <f>364/1000+0.1195</f>
        <v>0.48349999999999999</v>
      </c>
      <c r="I83" t="s">
        <v>30</v>
      </c>
      <c r="J83" t="s">
        <v>23</v>
      </c>
      <c r="O83" t="s">
        <v>65</v>
      </c>
    </row>
    <row r="84" spans="1:15" x14ac:dyDescent="0.25">
      <c r="A84" t="s">
        <v>15</v>
      </c>
      <c r="B84" t="s">
        <v>64</v>
      </c>
      <c r="C84" t="s">
        <v>64</v>
      </c>
      <c r="D84" t="s">
        <v>17</v>
      </c>
      <c r="E84" t="s">
        <v>18</v>
      </c>
      <c r="F84" t="s">
        <v>21</v>
      </c>
      <c r="G84" t="s">
        <v>33</v>
      </c>
      <c r="H84">
        <f>292*3.6/1000</f>
        <v>1.0512000000000001</v>
      </c>
      <c r="I84" t="s">
        <v>34</v>
      </c>
      <c r="J84" t="s">
        <v>23</v>
      </c>
      <c r="O84" t="s">
        <v>65</v>
      </c>
    </row>
    <row r="85" spans="1:15" x14ac:dyDescent="0.25">
      <c r="A85" t="s">
        <v>15</v>
      </c>
      <c r="B85" t="s">
        <v>64</v>
      </c>
      <c r="C85" t="s">
        <v>64</v>
      </c>
      <c r="D85" t="s">
        <v>17</v>
      </c>
      <c r="E85" t="s">
        <v>18</v>
      </c>
      <c r="F85" t="s">
        <v>21</v>
      </c>
      <c r="G85" t="s">
        <v>58</v>
      </c>
      <c r="H85">
        <v>-0.91</v>
      </c>
      <c r="I85" t="s">
        <v>17</v>
      </c>
      <c r="J85" t="s">
        <v>23</v>
      </c>
      <c r="O85" t="s">
        <v>65</v>
      </c>
    </row>
    <row r="86" spans="1:15" x14ac:dyDescent="0.25">
      <c r="A86" t="s">
        <v>15</v>
      </c>
      <c r="B86" t="s">
        <v>64</v>
      </c>
      <c r="C86" t="s">
        <v>64</v>
      </c>
      <c r="D86" t="s">
        <v>17</v>
      </c>
      <c r="E86" t="s">
        <v>18</v>
      </c>
      <c r="F86" t="s">
        <v>21</v>
      </c>
      <c r="G86" t="s">
        <v>66</v>
      </c>
      <c r="H86">
        <v>-0.18</v>
      </c>
      <c r="I86" t="s">
        <v>17</v>
      </c>
      <c r="J86" t="s">
        <v>23</v>
      </c>
      <c r="O86" t="s">
        <v>65</v>
      </c>
    </row>
    <row r="87" spans="1:15" x14ac:dyDescent="0.25">
      <c r="A87" t="s">
        <v>15</v>
      </c>
      <c r="B87" t="s">
        <v>64</v>
      </c>
      <c r="C87" t="s">
        <v>64</v>
      </c>
      <c r="D87" t="s">
        <v>17</v>
      </c>
      <c r="E87" t="s">
        <v>18</v>
      </c>
      <c r="F87" t="s">
        <v>21</v>
      </c>
      <c r="G87" t="s">
        <v>67</v>
      </c>
      <c r="H87">
        <f>-0.25</f>
        <v>-0.25</v>
      </c>
      <c r="I87" t="s">
        <v>17</v>
      </c>
      <c r="J87" t="s">
        <v>23</v>
      </c>
      <c r="O87" t="s">
        <v>65</v>
      </c>
    </row>
    <row r="88" spans="1:15" x14ac:dyDescent="0.25">
      <c r="A88" t="s">
        <v>15</v>
      </c>
      <c r="B88" t="s">
        <v>68</v>
      </c>
      <c r="C88" t="s">
        <v>68</v>
      </c>
      <c r="D88" t="s">
        <v>17</v>
      </c>
      <c r="E88" t="s">
        <v>18</v>
      </c>
      <c r="F88" t="s">
        <v>15</v>
      </c>
      <c r="G88" t="s">
        <v>68</v>
      </c>
      <c r="H88">
        <v>1</v>
      </c>
      <c r="I88" t="s">
        <v>17</v>
      </c>
      <c r="J88" t="s">
        <v>19</v>
      </c>
      <c r="O88" t="s">
        <v>65</v>
      </c>
    </row>
    <row r="89" spans="1:15" x14ac:dyDescent="0.25">
      <c r="A89" t="s">
        <v>15</v>
      </c>
      <c r="B89" t="s">
        <v>68</v>
      </c>
      <c r="C89" t="s">
        <v>68</v>
      </c>
      <c r="D89" t="s">
        <v>17</v>
      </c>
      <c r="E89" t="s">
        <v>18</v>
      </c>
      <c r="F89" t="s">
        <v>21</v>
      </c>
      <c r="G89" t="s">
        <v>55</v>
      </c>
      <c r="H89">
        <v>1</v>
      </c>
      <c r="I89" t="s">
        <v>17</v>
      </c>
      <c r="J89" t="s">
        <v>23</v>
      </c>
      <c r="O89" t="s">
        <v>65</v>
      </c>
    </row>
    <row r="90" spans="1:15" x14ac:dyDescent="0.25">
      <c r="A90" t="s">
        <v>15</v>
      </c>
      <c r="B90" t="s">
        <v>68</v>
      </c>
      <c r="C90" t="s">
        <v>68</v>
      </c>
      <c r="D90" t="s">
        <v>17</v>
      </c>
      <c r="E90" t="s">
        <v>18</v>
      </c>
      <c r="F90" t="s">
        <v>21</v>
      </c>
      <c r="G90" t="s">
        <v>66</v>
      </c>
      <c r="H90">
        <v>3.44</v>
      </c>
      <c r="I90" t="s">
        <v>17</v>
      </c>
      <c r="J90" t="s">
        <v>23</v>
      </c>
      <c r="O90" t="s">
        <v>65</v>
      </c>
    </row>
    <row r="91" spans="1:15" x14ac:dyDescent="0.25">
      <c r="A91" t="s">
        <v>15</v>
      </c>
      <c r="B91" t="s">
        <v>68</v>
      </c>
      <c r="C91" t="s">
        <v>68</v>
      </c>
      <c r="D91" t="s">
        <v>17</v>
      </c>
      <c r="E91" t="s">
        <v>18</v>
      </c>
      <c r="F91" t="s">
        <v>21</v>
      </c>
      <c r="G91" t="s">
        <v>67</v>
      </c>
      <c r="H91">
        <v>0.38</v>
      </c>
      <c r="I91" t="s">
        <v>17</v>
      </c>
      <c r="J91" t="s">
        <v>23</v>
      </c>
      <c r="O91" t="s">
        <v>65</v>
      </c>
    </row>
    <row r="92" spans="1:15" x14ac:dyDescent="0.25">
      <c r="A92" t="s">
        <v>15</v>
      </c>
      <c r="B92" t="s">
        <v>68</v>
      </c>
      <c r="C92" t="s">
        <v>68</v>
      </c>
      <c r="D92" t="s">
        <v>17</v>
      </c>
      <c r="E92" t="s">
        <v>18</v>
      </c>
      <c r="F92" t="s">
        <v>21</v>
      </c>
      <c r="G92" t="s">
        <v>29</v>
      </c>
      <c r="H92">
        <f>434/1000+0.2227</f>
        <v>0.65670000000000006</v>
      </c>
      <c r="I92" t="s">
        <v>30</v>
      </c>
      <c r="J92" t="s">
        <v>23</v>
      </c>
      <c r="O92" t="s">
        <v>65</v>
      </c>
    </row>
    <row r="93" spans="1:15" x14ac:dyDescent="0.25">
      <c r="A93" t="s">
        <v>15</v>
      </c>
      <c r="B93" t="s">
        <v>68</v>
      </c>
      <c r="C93" t="s">
        <v>68</v>
      </c>
      <c r="D93" t="s">
        <v>17</v>
      </c>
      <c r="E93" t="s">
        <v>18</v>
      </c>
      <c r="F93" t="s">
        <v>21</v>
      </c>
      <c r="G93" t="s">
        <v>33</v>
      </c>
      <c r="H93">
        <f>510*3.6/1000</f>
        <v>1.8360000000000001</v>
      </c>
      <c r="I93" t="s">
        <v>34</v>
      </c>
      <c r="J93" t="s">
        <v>23</v>
      </c>
      <c r="O93" t="s">
        <v>65</v>
      </c>
    </row>
    <row r="94" spans="1:15" x14ac:dyDescent="0.25">
      <c r="A94" t="s">
        <v>15</v>
      </c>
      <c r="B94" t="s">
        <v>68</v>
      </c>
      <c r="C94" t="s">
        <v>68</v>
      </c>
      <c r="D94" t="s">
        <v>17</v>
      </c>
      <c r="E94" t="s">
        <v>18</v>
      </c>
      <c r="F94" t="s">
        <v>21</v>
      </c>
      <c r="G94" t="s">
        <v>58</v>
      </c>
      <c r="H94">
        <v>-0.91</v>
      </c>
      <c r="I94" t="s">
        <v>17</v>
      </c>
      <c r="J94" t="s">
        <v>23</v>
      </c>
      <c r="O94" t="s">
        <v>65</v>
      </c>
    </row>
    <row r="95" spans="1:15" x14ac:dyDescent="0.25">
      <c r="A95" t="s">
        <v>15</v>
      </c>
      <c r="B95" t="s">
        <v>68</v>
      </c>
      <c r="C95" t="s">
        <v>68</v>
      </c>
      <c r="D95" t="s">
        <v>17</v>
      </c>
      <c r="E95" t="s">
        <v>18</v>
      </c>
      <c r="F95" t="s">
        <v>21</v>
      </c>
      <c r="G95" t="s">
        <v>66</v>
      </c>
      <c r="H95">
        <v>-1.33</v>
      </c>
      <c r="I95" t="s">
        <v>17</v>
      </c>
      <c r="J95" t="s">
        <v>23</v>
      </c>
      <c r="O95" t="s">
        <v>65</v>
      </c>
    </row>
    <row r="96" spans="1:15" x14ac:dyDescent="0.25">
      <c r="A96" t="s">
        <v>15</v>
      </c>
      <c r="B96" t="s">
        <v>68</v>
      </c>
      <c r="C96" t="s">
        <v>68</v>
      </c>
      <c r="D96" t="s">
        <v>17</v>
      </c>
      <c r="E96" t="s">
        <v>18</v>
      </c>
      <c r="F96" t="s">
        <v>21</v>
      </c>
      <c r="G96" t="s">
        <v>67</v>
      </c>
      <c r="H96">
        <v>-0.38</v>
      </c>
      <c r="I96" t="s">
        <v>17</v>
      </c>
      <c r="J96" t="s">
        <v>23</v>
      </c>
      <c r="O96" t="s">
        <v>65</v>
      </c>
    </row>
    <row r="97" spans="1:15" x14ac:dyDescent="0.25">
      <c r="A97" t="s">
        <v>15</v>
      </c>
      <c r="B97" t="s">
        <v>69</v>
      </c>
      <c r="C97" t="s">
        <v>69</v>
      </c>
      <c r="D97" t="s">
        <v>17</v>
      </c>
      <c r="E97" t="s">
        <v>18</v>
      </c>
      <c r="F97" t="s">
        <v>15</v>
      </c>
      <c r="G97" t="s">
        <v>69</v>
      </c>
      <c r="H97">
        <v>1</v>
      </c>
      <c r="I97" t="s">
        <v>17</v>
      </c>
      <c r="J97" t="s">
        <v>19</v>
      </c>
      <c r="O97" t="s">
        <v>65</v>
      </c>
    </row>
    <row r="98" spans="1:15" x14ac:dyDescent="0.25">
      <c r="A98" t="s">
        <v>15</v>
      </c>
      <c r="B98" t="s">
        <v>69</v>
      </c>
      <c r="C98" t="s">
        <v>69</v>
      </c>
      <c r="D98" t="s">
        <v>17</v>
      </c>
      <c r="E98" t="s">
        <v>18</v>
      </c>
      <c r="F98" t="s">
        <v>21</v>
      </c>
      <c r="G98" t="s">
        <v>22</v>
      </c>
      <c r="H98">
        <v>1</v>
      </c>
      <c r="I98" t="s">
        <v>17</v>
      </c>
      <c r="J98" t="s">
        <v>23</v>
      </c>
      <c r="O98" t="s">
        <v>65</v>
      </c>
    </row>
    <row r="99" spans="1:15" x14ac:dyDescent="0.25">
      <c r="A99" t="s">
        <v>15</v>
      </c>
      <c r="B99" t="s">
        <v>69</v>
      </c>
      <c r="C99" t="s">
        <v>69</v>
      </c>
      <c r="D99" t="s">
        <v>17</v>
      </c>
      <c r="E99" t="s">
        <v>18</v>
      </c>
      <c r="F99" t="s">
        <v>21</v>
      </c>
      <c r="G99" t="s">
        <v>51</v>
      </c>
      <c r="H99">
        <f>1.97+0.5</f>
        <v>2.4699999999999998</v>
      </c>
      <c r="I99" t="s">
        <v>17</v>
      </c>
      <c r="J99" t="s">
        <v>23</v>
      </c>
      <c r="O99" t="s">
        <v>70</v>
      </c>
    </row>
    <row r="100" spans="1:15" x14ac:dyDescent="0.25">
      <c r="A100" t="s">
        <v>15</v>
      </c>
      <c r="B100" t="s">
        <v>69</v>
      </c>
      <c r="C100" t="s">
        <v>69</v>
      </c>
      <c r="D100" t="s">
        <v>17</v>
      </c>
      <c r="E100" t="s">
        <v>18</v>
      </c>
      <c r="F100" t="s">
        <v>21</v>
      </c>
      <c r="G100" t="s">
        <v>29</v>
      </c>
      <c r="H100">
        <f>763/1000+0.1309</f>
        <v>0.89390000000000003</v>
      </c>
      <c r="I100" t="s">
        <v>30</v>
      </c>
      <c r="J100" t="s">
        <v>23</v>
      </c>
      <c r="O100" t="s">
        <v>65</v>
      </c>
    </row>
    <row r="101" spans="1:15" x14ac:dyDescent="0.25">
      <c r="A101" t="s">
        <v>15</v>
      </c>
      <c r="B101" t="s">
        <v>69</v>
      </c>
      <c r="C101" t="s">
        <v>69</v>
      </c>
      <c r="D101" t="s">
        <v>17</v>
      </c>
      <c r="E101" t="s">
        <v>18</v>
      </c>
      <c r="F101" t="s">
        <v>21</v>
      </c>
      <c r="G101" t="s">
        <v>58</v>
      </c>
      <c r="H101">
        <v>-1.92</v>
      </c>
      <c r="I101" t="s">
        <v>17</v>
      </c>
      <c r="J101" t="s">
        <v>23</v>
      </c>
      <c r="O101" t="s">
        <v>65</v>
      </c>
    </row>
    <row r="102" spans="1:15" x14ac:dyDescent="0.25">
      <c r="A102" t="s">
        <v>15</v>
      </c>
      <c r="B102" t="s">
        <v>69</v>
      </c>
      <c r="C102" t="s">
        <v>69</v>
      </c>
      <c r="D102" t="s">
        <v>17</v>
      </c>
      <c r="E102" t="s">
        <v>18</v>
      </c>
      <c r="F102" t="s">
        <v>21</v>
      </c>
      <c r="G102" t="s">
        <v>51</v>
      </c>
      <c r="H102">
        <v>-0.37</v>
      </c>
      <c r="I102" t="s">
        <v>17</v>
      </c>
      <c r="J102" t="s">
        <v>23</v>
      </c>
      <c r="O102" t="s">
        <v>65</v>
      </c>
    </row>
    <row r="103" spans="1:15" x14ac:dyDescent="0.25">
      <c r="A103" t="s">
        <v>15</v>
      </c>
      <c r="B103" t="s">
        <v>69</v>
      </c>
      <c r="C103" t="s">
        <v>69</v>
      </c>
      <c r="D103" t="s">
        <v>17</v>
      </c>
      <c r="E103" t="s">
        <v>18</v>
      </c>
      <c r="F103" t="s">
        <v>21</v>
      </c>
      <c r="G103" t="s">
        <v>71</v>
      </c>
      <c r="H103">
        <v>-0.5</v>
      </c>
      <c r="I103" t="s">
        <v>17</v>
      </c>
      <c r="J103" t="s">
        <v>23</v>
      </c>
      <c r="O103" t="s">
        <v>65</v>
      </c>
    </row>
    <row r="104" spans="1:15" x14ac:dyDescent="0.25">
      <c r="A104" t="s">
        <v>15</v>
      </c>
      <c r="B104" t="s">
        <v>72</v>
      </c>
      <c r="C104" t="s">
        <v>72</v>
      </c>
      <c r="D104" t="s">
        <v>17</v>
      </c>
      <c r="E104" t="s">
        <v>18</v>
      </c>
      <c r="F104" t="s">
        <v>15</v>
      </c>
      <c r="G104" t="s">
        <v>72</v>
      </c>
      <c r="H104">
        <v>1</v>
      </c>
      <c r="I104" t="s">
        <v>17</v>
      </c>
      <c r="J104" t="s">
        <v>19</v>
      </c>
      <c r="O104" t="s">
        <v>65</v>
      </c>
    </row>
    <row r="105" spans="1:15" x14ac:dyDescent="0.25">
      <c r="A105" t="s">
        <v>15</v>
      </c>
      <c r="B105" t="s">
        <v>72</v>
      </c>
      <c r="C105" t="s">
        <v>72</v>
      </c>
      <c r="D105" t="s">
        <v>17</v>
      </c>
      <c r="E105" t="s">
        <v>18</v>
      </c>
      <c r="F105" t="s">
        <v>21</v>
      </c>
      <c r="G105" t="s">
        <v>22</v>
      </c>
      <c r="H105">
        <v>1</v>
      </c>
      <c r="I105" t="s">
        <v>17</v>
      </c>
      <c r="J105" t="s">
        <v>23</v>
      </c>
      <c r="O105" t="s">
        <v>65</v>
      </c>
    </row>
    <row r="106" spans="1:15" x14ac:dyDescent="0.25">
      <c r="A106" t="s">
        <v>15</v>
      </c>
      <c r="B106" t="s">
        <v>72</v>
      </c>
      <c r="C106" t="s">
        <v>72</v>
      </c>
      <c r="D106" t="s">
        <v>17</v>
      </c>
      <c r="E106" t="s">
        <v>18</v>
      </c>
      <c r="F106" t="s">
        <v>21</v>
      </c>
      <c r="G106" t="s">
        <v>51</v>
      </c>
      <c r="H106">
        <v>2</v>
      </c>
      <c r="I106" t="s">
        <v>17</v>
      </c>
      <c r="J106" t="s">
        <v>23</v>
      </c>
      <c r="O106" t="s">
        <v>70</v>
      </c>
    </row>
    <row r="107" spans="1:15" x14ac:dyDescent="0.25">
      <c r="A107" t="s">
        <v>15</v>
      </c>
      <c r="B107" t="s">
        <v>72</v>
      </c>
      <c r="C107" t="s">
        <v>72</v>
      </c>
      <c r="D107" t="s">
        <v>17</v>
      </c>
      <c r="E107" t="s">
        <v>18</v>
      </c>
      <c r="F107" t="s">
        <v>21</v>
      </c>
      <c r="G107" t="s">
        <v>29</v>
      </c>
      <c r="H107">
        <f>596/1000+0.1138</f>
        <v>0.70979999999999999</v>
      </c>
      <c r="I107" t="s">
        <v>30</v>
      </c>
      <c r="J107" t="s">
        <v>23</v>
      </c>
      <c r="O107" t="s">
        <v>65</v>
      </c>
    </row>
    <row r="108" spans="1:15" x14ac:dyDescent="0.25">
      <c r="A108" t="s">
        <v>15</v>
      </c>
      <c r="B108" t="s">
        <v>72</v>
      </c>
      <c r="C108" t="s">
        <v>72</v>
      </c>
      <c r="D108" t="s">
        <v>17</v>
      </c>
      <c r="E108" t="s">
        <v>18</v>
      </c>
      <c r="F108" t="s">
        <v>21</v>
      </c>
      <c r="G108" t="s">
        <v>58</v>
      </c>
      <c r="H108">
        <v>-0.68</v>
      </c>
      <c r="I108" t="s">
        <v>17</v>
      </c>
      <c r="J108" t="s">
        <v>23</v>
      </c>
      <c r="O108" t="s">
        <v>65</v>
      </c>
    </row>
    <row r="109" spans="1:15" x14ac:dyDescent="0.25">
      <c r="A109" t="s">
        <v>15</v>
      </c>
      <c r="B109" t="s">
        <v>72</v>
      </c>
      <c r="C109" t="s">
        <v>72</v>
      </c>
      <c r="D109" t="s">
        <v>17</v>
      </c>
      <c r="E109" t="s">
        <v>18</v>
      </c>
      <c r="F109" t="s">
        <v>21</v>
      </c>
      <c r="G109" t="s">
        <v>71</v>
      </c>
      <c r="H109">
        <v>-0.4</v>
      </c>
      <c r="I109" t="s">
        <v>17</v>
      </c>
      <c r="J109" t="s">
        <v>23</v>
      </c>
      <c r="O109" t="s">
        <v>65</v>
      </c>
    </row>
    <row r="110" spans="1:15" x14ac:dyDescent="0.25">
      <c r="A110" t="s">
        <v>15</v>
      </c>
      <c r="B110" t="s">
        <v>73</v>
      </c>
      <c r="C110" t="s">
        <v>73</v>
      </c>
      <c r="D110" t="s">
        <v>17</v>
      </c>
      <c r="E110" t="s">
        <v>18</v>
      </c>
      <c r="F110" t="s">
        <v>15</v>
      </c>
      <c r="G110" t="s">
        <v>73</v>
      </c>
      <c r="H110">
        <v>1</v>
      </c>
      <c r="I110" t="s">
        <v>17</v>
      </c>
      <c r="J110" t="s">
        <v>19</v>
      </c>
      <c r="O110" t="s">
        <v>65</v>
      </c>
    </row>
    <row r="111" spans="1:15" x14ac:dyDescent="0.25">
      <c r="A111" t="s">
        <v>15</v>
      </c>
      <c r="B111" t="s">
        <v>73</v>
      </c>
      <c r="C111" t="s">
        <v>73</v>
      </c>
      <c r="D111" t="s">
        <v>17</v>
      </c>
      <c r="E111" t="s">
        <v>18</v>
      </c>
      <c r="F111" t="s">
        <v>21</v>
      </c>
      <c r="G111" t="s">
        <v>55</v>
      </c>
      <c r="H111">
        <v>1</v>
      </c>
      <c r="I111" t="s">
        <v>17</v>
      </c>
      <c r="J111" t="s">
        <v>23</v>
      </c>
      <c r="O111" t="s">
        <v>65</v>
      </c>
    </row>
    <row r="112" spans="1:15" x14ac:dyDescent="0.25">
      <c r="A112" t="s">
        <v>15</v>
      </c>
      <c r="B112" t="s">
        <v>73</v>
      </c>
      <c r="C112" t="s">
        <v>73</v>
      </c>
      <c r="D112" t="s">
        <v>17</v>
      </c>
      <c r="E112" t="s">
        <v>18</v>
      </c>
      <c r="F112" t="s">
        <v>21</v>
      </c>
      <c r="G112" t="s">
        <v>56</v>
      </c>
      <c r="H112">
        <v>4.05</v>
      </c>
      <c r="I112" t="s">
        <v>17</v>
      </c>
      <c r="J112" t="s">
        <v>23</v>
      </c>
      <c r="O112" t="s">
        <v>65</v>
      </c>
    </row>
    <row r="113" spans="1:15" x14ac:dyDescent="0.25">
      <c r="A113" t="s">
        <v>15</v>
      </c>
      <c r="B113" t="s">
        <v>73</v>
      </c>
      <c r="C113" t="s">
        <v>73</v>
      </c>
      <c r="D113" t="s">
        <v>17</v>
      </c>
      <c r="E113" t="s">
        <v>18</v>
      </c>
      <c r="F113" t="s">
        <v>21</v>
      </c>
      <c r="G113" t="s">
        <v>71</v>
      </c>
      <c r="H113">
        <v>2.7</v>
      </c>
      <c r="I113" t="s">
        <v>17</v>
      </c>
      <c r="J113" t="s">
        <v>23</v>
      </c>
      <c r="O113" t="s">
        <v>65</v>
      </c>
    </row>
    <row r="114" spans="1:15" x14ac:dyDescent="0.25">
      <c r="A114" t="s">
        <v>15</v>
      </c>
      <c r="B114" t="s">
        <v>73</v>
      </c>
      <c r="C114" t="s">
        <v>73</v>
      </c>
      <c r="D114" t="s">
        <v>17</v>
      </c>
      <c r="E114" t="s">
        <v>18</v>
      </c>
      <c r="F114" t="s">
        <v>21</v>
      </c>
      <c r="G114" t="s">
        <v>29</v>
      </c>
      <c r="H114">
        <f>774/1000</f>
        <v>0.77400000000000002</v>
      </c>
      <c r="I114" t="s">
        <v>30</v>
      </c>
      <c r="J114" t="s">
        <v>23</v>
      </c>
      <c r="O114" t="s">
        <v>65</v>
      </c>
    </row>
    <row r="115" spans="1:15" x14ac:dyDescent="0.25">
      <c r="A115" t="s">
        <v>15</v>
      </c>
      <c r="B115" t="s">
        <v>73</v>
      </c>
      <c r="C115" t="s">
        <v>73</v>
      </c>
      <c r="D115" t="s">
        <v>17</v>
      </c>
      <c r="E115" t="s">
        <v>18</v>
      </c>
      <c r="F115" t="s">
        <v>21</v>
      </c>
      <c r="G115" t="s">
        <v>58</v>
      </c>
      <c r="H115">
        <v>-0.68</v>
      </c>
      <c r="I115" t="s">
        <v>17</v>
      </c>
      <c r="J115" t="s">
        <v>23</v>
      </c>
      <c r="O115" t="s">
        <v>65</v>
      </c>
    </row>
    <row r="116" spans="1:15" x14ac:dyDescent="0.25">
      <c r="A116" t="s">
        <v>15</v>
      </c>
      <c r="B116" t="s">
        <v>73</v>
      </c>
      <c r="C116" t="s">
        <v>73</v>
      </c>
      <c r="D116" t="s">
        <v>17</v>
      </c>
      <c r="E116" t="s">
        <v>18</v>
      </c>
      <c r="F116" t="s">
        <v>21</v>
      </c>
      <c r="G116" t="s">
        <v>56</v>
      </c>
      <c r="H116">
        <v>-2.1</v>
      </c>
      <c r="I116" t="s">
        <v>17</v>
      </c>
      <c r="J116" t="s">
        <v>23</v>
      </c>
      <c r="O116" t="s">
        <v>65</v>
      </c>
    </row>
    <row r="117" spans="1:15" x14ac:dyDescent="0.25">
      <c r="A117" t="s">
        <v>15</v>
      </c>
      <c r="B117" t="s">
        <v>73</v>
      </c>
      <c r="C117" t="s">
        <v>73</v>
      </c>
      <c r="D117" t="s">
        <v>17</v>
      </c>
      <c r="E117" t="s">
        <v>18</v>
      </c>
      <c r="F117" t="s">
        <v>21</v>
      </c>
      <c r="G117" t="s">
        <v>71</v>
      </c>
      <c r="H117">
        <v>-2.7</v>
      </c>
      <c r="I117" t="s">
        <v>17</v>
      </c>
      <c r="J117" t="s">
        <v>23</v>
      </c>
      <c r="O117" t="s">
        <v>65</v>
      </c>
    </row>
    <row r="118" spans="1:15" x14ac:dyDescent="0.25">
      <c r="A118" t="s">
        <v>15</v>
      </c>
      <c r="B118" t="s">
        <v>74</v>
      </c>
      <c r="C118" t="s">
        <v>74</v>
      </c>
      <c r="D118" t="s">
        <v>17</v>
      </c>
      <c r="E118" t="s">
        <v>18</v>
      </c>
      <c r="F118" t="s">
        <v>15</v>
      </c>
      <c r="G118" t="s">
        <v>74</v>
      </c>
      <c r="H118">
        <v>1</v>
      </c>
      <c r="I118" t="s">
        <v>17</v>
      </c>
      <c r="J118" t="s">
        <v>19</v>
      </c>
      <c r="O118" t="s">
        <v>54</v>
      </c>
    </row>
    <row r="119" spans="1:15" x14ac:dyDescent="0.25">
      <c r="A119" t="s">
        <v>15</v>
      </c>
      <c r="B119" t="s">
        <v>74</v>
      </c>
      <c r="C119" t="s">
        <v>74</v>
      </c>
      <c r="D119" t="s">
        <v>17</v>
      </c>
      <c r="E119" t="s">
        <v>18</v>
      </c>
      <c r="F119" t="s">
        <v>21</v>
      </c>
      <c r="G119" t="s">
        <v>55</v>
      </c>
      <c r="H119">
        <v>1</v>
      </c>
      <c r="I119" t="s">
        <v>17</v>
      </c>
      <c r="J119" t="s">
        <v>23</v>
      </c>
      <c r="O119" t="s">
        <v>54</v>
      </c>
    </row>
    <row r="120" spans="1:15" x14ac:dyDescent="0.25">
      <c r="A120" t="s">
        <v>15</v>
      </c>
      <c r="B120" t="s">
        <v>74</v>
      </c>
      <c r="C120" t="s">
        <v>74</v>
      </c>
      <c r="D120" t="s">
        <v>17</v>
      </c>
      <c r="E120" t="s">
        <v>18</v>
      </c>
      <c r="F120" t="s">
        <v>21</v>
      </c>
      <c r="G120" t="s">
        <v>56</v>
      </c>
      <c r="H120">
        <f>1/0.143</f>
        <v>6.9930069930069934</v>
      </c>
      <c r="I120" t="s">
        <v>17</v>
      </c>
      <c r="J120" t="s">
        <v>23</v>
      </c>
      <c r="O120" t="s">
        <v>54</v>
      </c>
    </row>
    <row r="121" spans="1:15" x14ac:dyDescent="0.25">
      <c r="A121" t="s">
        <v>15</v>
      </c>
      <c r="B121" t="s">
        <v>74</v>
      </c>
      <c r="C121" t="s">
        <v>74</v>
      </c>
      <c r="D121" t="s">
        <v>17</v>
      </c>
      <c r="E121" t="s">
        <v>18</v>
      </c>
      <c r="F121" t="s">
        <v>21</v>
      </c>
      <c r="G121" t="s">
        <v>57</v>
      </c>
      <c r="H121">
        <f>15*0.997/0.143</f>
        <v>104.58041958041959</v>
      </c>
      <c r="I121" t="s">
        <v>17</v>
      </c>
      <c r="J121" t="s">
        <v>23</v>
      </c>
      <c r="O121" t="s">
        <v>54</v>
      </c>
    </row>
    <row r="122" spans="1:15" x14ac:dyDescent="0.25">
      <c r="A122" t="s">
        <v>15</v>
      </c>
      <c r="B122" t="s">
        <v>74</v>
      </c>
      <c r="C122" t="s">
        <v>74</v>
      </c>
      <c r="D122" t="s">
        <v>17</v>
      </c>
      <c r="E122" t="s">
        <v>18</v>
      </c>
      <c r="F122" t="s">
        <v>21</v>
      </c>
      <c r="G122" t="s">
        <v>29</v>
      </c>
      <c r="H122">
        <f>62.97/(1000*0.143)</f>
        <v>0.44034965034965035</v>
      </c>
      <c r="I122" t="s">
        <v>30</v>
      </c>
      <c r="J122" t="s">
        <v>23</v>
      </c>
      <c r="O122" t="s">
        <v>54</v>
      </c>
    </row>
    <row r="123" spans="1:15" x14ac:dyDescent="0.25">
      <c r="A123" t="s">
        <v>15</v>
      </c>
      <c r="B123" t="s">
        <v>74</v>
      </c>
      <c r="C123" t="s">
        <v>74</v>
      </c>
      <c r="D123" t="s">
        <v>17</v>
      </c>
      <c r="E123" t="s">
        <v>18</v>
      </c>
      <c r="F123" t="s">
        <v>21</v>
      </c>
      <c r="G123" t="s">
        <v>58</v>
      </c>
      <c r="H123">
        <f>-0.68/(2.27+0.68+2.1+2.7)*1.142/0.143</f>
        <v>-0.70070832393413029</v>
      </c>
      <c r="I123" t="s">
        <v>17</v>
      </c>
      <c r="J123" t="s">
        <v>23</v>
      </c>
      <c r="O123" t="s">
        <v>54</v>
      </c>
    </row>
    <row r="124" spans="1:15" x14ac:dyDescent="0.25">
      <c r="A124" t="s">
        <v>15</v>
      </c>
      <c r="B124" t="s">
        <v>75</v>
      </c>
      <c r="C124" t="s">
        <v>75</v>
      </c>
      <c r="D124" t="s">
        <v>17</v>
      </c>
      <c r="E124" t="s">
        <v>18</v>
      </c>
      <c r="F124" t="s">
        <v>15</v>
      </c>
      <c r="G124" t="s">
        <v>75</v>
      </c>
      <c r="H124">
        <v>1</v>
      </c>
      <c r="I124" t="s">
        <v>17</v>
      </c>
      <c r="J124" t="s">
        <v>19</v>
      </c>
      <c r="O124" t="s">
        <v>54</v>
      </c>
    </row>
    <row r="125" spans="1:15" x14ac:dyDescent="0.25">
      <c r="A125" t="s">
        <v>15</v>
      </c>
      <c r="B125" t="s">
        <v>75</v>
      </c>
      <c r="C125" t="s">
        <v>75</v>
      </c>
      <c r="D125" t="s">
        <v>17</v>
      </c>
      <c r="E125" t="s">
        <v>18</v>
      </c>
      <c r="F125" t="s">
        <v>21</v>
      </c>
      <c r="G125" t="s">
        <v>55</v>
      </c>
      <c r="H125">
        <v>1</v>
      </c>
      <c r="I125" t="s">
        <v>17</v>
      </c>
      <c r="J125" t="s">
        <v>23</v>
      </c>
      <c r="O125" t="s">
        <v>54</v>
      </c>
    </row>
    <row r="126" spans="1:15" x14ac:dyDescent="0.25">
      <c r="A126" t="s">
        <v>15</v>
      </c>
      <c r="B126" t="s">
        <v>75</v>
      </c>
      <c r="C126" t="s">
        <v>75</v>
      </c>
      <c r="D126" t="s">
        <v>17</v>
      </c>
      <c r="E126" t="s">
        <v>18</v>
      </c>
      <c r="F126" t="s">
        <v>21</v>
      </c>
      <c r="G126" t="s">
        <v>56</v>
      </c>
      <c r="H126">
        <f>1/0.143</f>
        <v>6.9930069930069934</v>
      </c>
      <c r="I126" t="s">
        <v>17</v>
      </c>
      <c r="J126" t="s">
        <v>23</v>
      </c>
      <c r="O126" t="s">
        <v>54</v>
      </c>
    </row>
    <row r="127" spans="1:15" x14ac:dyDescent="0.25">
      <c r="A127" t="s">
        <v>15</v>
      </c>
      <c r="B127" t="s">
        <v>75</v>
      </c>
      <c r="C127" t="s">
        <v>75</v>
      </c>
      <c r="D127" t="s">
        <v>17</v>
      </c>
      <c r="E127" t="s">
        <v>18</v>
      </c>
      <c r="F127" t="s">
        <v>21</v>
      </c>
      <c r="G127" t="s">
        <v>57</v>
      </c>
      <c r="H127">
        <f>(20*0.997)/0.143</f>
        <v>139.44055944055947</v>
      </c>
      <c r="I127" t="s">
        <v>17</v>
      </c>
      <c r="J127" t="s">
        <v>23</v>
      </c>
      <c r="O127" t="s">
        <v>54</v>
      </c>
    </row>
    <row r="128" spans="1:15" x14ac:dyDescent="0.25">
      <c r="A128" t="s">
        <v>15</v>
      </c>
      <c r="B128" t="s">
        <v>75</v>
      </c>
      <c r="C128" t="s">
        <v>75</v>
      </c>
      <c r="D128" t="s">
        <v>17</v>
      </c>
      <c r="E128" t="s">
        <v>18</v>
      </c>
      <c r="F128" t="s">
        <v>21</v>
      </c>
      <c r="G128" t="s">
        <v>29</v>
      </c>
      <c r="H128">
        <f>61.73/(1000*0.143)</f>
        <v>0.43167832167832165</v>
      </c>
      <c r="I128" t="s">
        <v>30</v>
      </c>
      <c r="J128" t="s">
        <v>23</v>
      </c>
      <c r="O128" t="s">
        <v>54</v>
      </c>
    </row>
    <row r="129" spans="1:15" x14ac:dyDescent="0.25">
      <c r="A129" t="s">
        <v>15</v>
      </c>
      <c r="B129" t="s">
        <v>75</v>
      </c>
      <c r="C129" t="s">
        <v>75</v>
      </c>
      <c r="D129" t="s">
        <v>17</v>
      </c>
      <c r="E129" t="s">
        <v>18</v>
      </c>
      <c r="F129" t="s">
        <v>21</v>
      </c>
      <c r="G129" t="s">
        <v>58</v>
      </c>
      <c r="H129">
        <f>-0.68/(2.27+0.68+2.1+2.7)*1.144/0.143</f>
        <v>-0.70193548387096771</v>
      </c>
      <c r="I129" t="s">
        <v>17</v>
      </c>
      <c r="J129" t="s">
        <v>23</v>
      </c>
      <c r="O129" t="s">
        <v>54</v>
      </c>
    </row>
    <row r="130" spans="1:15" x14ac:dyDescent="0.25">
      <c r="A130" t="s">
        <v>15</v>
      </c>
      <c r="B130" t="s">
        <v>76</v>
      </c>
      <c r="C130" t="s">
        <v>76</v>
      </c>
      <c r="D130" t="s">
        <v>17</v>
      </c>
      <c r="E130" t="s">
        <v>18</v>
      </c>
      <c r="F130" t="s">
        <v>15</v>
      </c>
      <c r="G130" t="s">
        <v>76</v>
      </c>
      <c r="H130">
        <v>1</v>
      </c>
      <c r="I130" t="s">
        <v>17</v>
      </c>
      <c r="J130" t="s">
        <v>19</v>
      </c>
      <c r="O130" t="s">
        <v>54</v>
      </c>
    </row>
    <row r="131" spans="1:15" x14ac:dyDescent="0.25">
      <c r="A131" t="s">
        <v>15</v>
      </c>
      <c r="B131" t="s">
        <v>76</v>
      </c>
      <c r="C131" t="s">
        <v>76</v>
      </c>
      <c r="D131" t="s">
        <v>17</v>
      </c>
      <c r="E131" t="s">
        <v>18</v>
      </c>
      <c r="F131" t="s">
        <v>21</v>
      </c>
      <c r="G131" t="s">
        <v>55</v>
      </c>
      <c r="H131">
        <v>1</v>
      </c>
      <c r="I131" t="s">
        <v>17</v>
      </c>
      <c r="J131" t="s">
        <v>23</v>
      </c>
      <c r="O131" t="s">
        <v>54</v>
      </c>
    </row>
    <row r="132" spans="1:15" x14ac:dyDescent="0.25">
      <c r="A132" t="s">
        <v>15</v>
      </c>
      <c r="B132" t="s">
        <v>76</v>
      </c>
      <c r="C132" t="s">
        <v>76</v>
      </c>
      <c r="D132" t="s">
        <v>17</v>
      </c>
      <c r="E132" t="s">
        <v>18</v>
      </c>
      <c r="F132" t="s">
        <v>21</v>
      </c>
      <c r="G132" t="s">
        <v>56</v>
      </c>
      <c r="H132">
        <f>1/0.164</f>
        <v>6.0975609756097562</v>
      </c>
      <c r="I132" t="s">
        <v>17</v>
      </c>
      <c r="J132" t="s">
        <v>23</v>
      </c>
      <c r="O132" t="s">
        <v>54</v>
      </c>
    </row>
    <row r="133" spans="1:15" x14ac:dyDescent="0.25">
      <c r="A133" t="s">
        <v>15</v>
      </c>
      <c r="B133" t="s">
        <v>76</v>
      </c>
      <c r="C133" t="s">
        <v>76</v>
      </c>
      <c r="D133" t="s">
        <v>17</v>
      </c>
      <c r="E133" t="s">
        <v>18</v>
      </c>
      <c r="F133" t="s">
        <v>21</v>
      </c>
      <c r="G133" t="s">
        <v>57</v>
      </c>
      <c r="H133">
        <f>(13.3*0.997)/0.164</f>
        <v>80.854268292682931</v>
      </c>
      <c r="I133" t="s">
        <v>17</v>
      </c>
      <c r="J133" t="s">
        <v>23</v>
      </c>
      <c r="O133" t="s">
        <v>54</v>
      </c>
    </row>
    <row r="134" spans="1:15" x14ac:dyDescent="0.25">
      <c r="A134" t="s">
        <v>15</v>
      </c>
      <c r="B134" t="s">
        <v>76</v>
      </c>
      <c r="C134" t="s">
        <v>76</v>
      </c>
      <c r="D134" t="s">
        <v>17</v>
      </c>
      <c r="E134" t="s">
        <v>18</v>
      </c>
      <c r="F134" t="s">
        <v>21</v>
      </c>
      <c r="G134" t="s">
        <v>29</v>
      </c>
      <c r="H134">
        <f>58.28/(1000*0.164)</f>
        <v>0.35536585365853657</v>
      </c>
      <c r="I134" t="s">
        <v>30</v>
      </c>
      <c r="J134" t="s">
        <v>23</v>
      </c>
      <c r="O134" t="s">
        <v>54</v>
      </c>
    </row>
    <row r="135" spans="1:15" x14ac:dyDescent="0.25">
      <c r="A135" t="s">
        <v>15</v>
      </c>
      <c r="B135" t="s">
        <v>76</v>
      </c>
      <c r="C135" t="s">
        <v>76</v>
      </c>
      <c r="D135" t="s">
        <v>17</v>
      </c>
      <c r="E135" t="s">
        <v>18</v>
      </c>
      <c r="F135" t="s">
        <v>21</v>
      </c>
      <c r="G135" t="s">
        <v>58</v>
      </c>
      <c r="H135">
        <f>-0.68/(2.27+0.68+2.1+2.7)*1.164/0.164</f>
        <v>-0.62275373721479144</v>
      </c>
      <c r="I135" t="s">
        <v>17</v>
      </c>
      <c r="J135" t="s">
        <v>23</v>
      </c>
      <c r="O135" t="s">
        <v>54</v>
      </c>
    </row>
    <row r="136" spans="1:15" x14ac:dyDescent="0.25">
      <c r="A136" t="s">
        <v>15</v>
      </c>
      <c r="B136" t="s">
        <v>77</v>
      </c>
      <c r="C136" t="s">
        <v>77</v>
      </c>
      <c r="D136" t="s">
        <v>17</v>
      </c>
      <c r="E136" t="s">
        <v>18</v>
      </c>
      <c r="F136" t="s">
        <v>15</v>
      </c>
      <c r="G136" t="s">
        <v>77</v>
      </c>
      <c r="H136">
        <v>1</v>
      </c>
      <c r="I136" t="s">
        <v>17</v>
      </c>
      <c r="J136" t="s">
        <v>19</v>
      </c>
      <c r="O136" t="s">
        <v>78</v>
      </c>
    </row>
    <row r="137" spans="1:15" x14ac:dyDescent="0.25">
      <c r="A137" t="s">
        <v>15</v>
      </c>
      <c r="B137" t="s">
        <v>77</v>
      </c>
      <c r="C137" t="s">
        <v>77</v>
      </c>
      <c r="D137" t="s">
        <v>17</v>
      </c>
      <c r="E137" t="s">
        <v>18</v>
      </c>
      <c r="F137" t="s">
        <v>21</v>
      </c>
      <c r="G137" t="s">
        <v>55</v>
      </c>
      <c r="H137">
        <v>1</v>
      </c>
      <c r="I137" t="s">
        <v>17</v>
      </c>
      <c r="J137" t="s">
        <v>23</v>
      </c>
      <c r="O137" t="s">
        <v>78</v>
      </c>
    </row>
    <row r="138" spans="1:15" x14ac:dyDescent="0.25">
      <c r="A138" t="s">
        <v>15</v>
      </c>
      <c r="B138" t="s">
        <v>77</v>
      </c>
      <c r="C138" t="s">
        <v>77</v>
      </c>
      <c r="D138" t="s">
        <v>17</v>
      </c>
      <c r="E138" t="s">
        <v>18</v>
      </c>
      <c r="F138" t="s">
        <v>21</v>
      </c>
      <c r="G138" t="s">
        <v>42</v>
      </c>
      <c r="H138">
        <f>2.71/0.44</f>
        <v>6.1590909090909092</v>
      </c>
      <c r="I138" t="s">
        <v>17</v>
      </c>
      <c r="J138" t="s">
        <v>23</v>
      </c>
      <c r="O138" t="s">
        <v>78</v>
      </c>
    </row>
    <row r="139" spans="1:15" x14ac:dyDescent="0.25">
      <c r="A139" t="s">
        <v>15</v>
      </c>
      <c r="B139" t="s">
        <v>77</v>
      </c>
      <c r="C139" t="s">
        <v>77</v>
      </c>
      <c r="D139" t="s">
        <v>17</v>
      </c>
      <c r="E139" t="s">
        <v>18</v>
      </c>
      <c r="F139" t="s">
        <v>21</v>
      </c>
      <c r="G139" t="s">
        <v>26</v>
      </c>
      <c r="H139">
        <f>0.12/0.44</f>
        <v>0.27272727272727271</v>
      </c>
      <c r="I139" t="s">
        <v>17</v>
      </c>
      <c r="J139" t="s">
        <v>23</v>
      </c>
      <c r="O139" t="s">
        <v>78</v>
      </c>
    </row>
    <row r="140" spans="1:15" x14ac:dyDescent="0.25">
      <c r="A140" t="s">
        <v>15</v>
      </c>
      <c r="B140" t="s">
        <v>77</v>
      </c>
      <c r="C140" t="s">
        <v>77</v>
      </c>
      <c r="D140" t="s">
        <v>17</v>
      </c>
      <c r="E140" t="s">
        <v>18</v>
      </c>
      <c r="F140" t="s">
        <v>21</v>
      </c>
      <c r="G140" t="s">
        <v>29</v>
      </c>
      <c r="H140">
        <f>1.54/0.44</f>
        <v>3.5</v>
      </c>
      <c r="I140" t="s">
        <v>30</v>
      </c>
      <c r="J140" t="s">
        <v>23</v>
      </c>
      <c r="O140" t="s">
        <v>78</v>
      </c>
    </row>
    <row r="141" spans="1:15" x14ac:dyDescent="0.25">
      <c r="A141" t="s">
        <v>15</v>
      </c>
      <c r="B141" t="s">
        <v>77</v>
      </c>
      <c r="C141" t="s">
        <v>77</v>
      </c>
      <c r="D141" t="s">
        <v>17</v>
      </c>
      <c r="E141" t="s">
        <v>18</v>
      </c>
      <c r="F141" t="s">
        <v>21</v>
      </c>
      <c r="G141" t="s">
        <v>79</v>
      </c>
      <c r="H141">
        <f>2.48/(0.44*2.75)</f>
        <v>2.049586776859504</v>
      </c>
      <c r="I141" t="s">
        <v>17</v>
      </c>
      <c r="J141" t="s">
        <v>23</v>
      </c>
      <c r="O141" t="s">
        <v>80</v>
      </c>
    </row>
    <row r="142" spans="1:15" x14ac:dyDescent="0.25">
      <c r="A142" t="s">
        <v>15</v>
      </c>
      <c r="B142" t="s">
        <v>77</v>
      </c>
      <c r="C142" t="s">
        <v>77</v>
      </c>
      <c r="D142" t="s">
        <v>17</v>
      </c>
      <c r="E142" t="s">
        <v>18</v>
      </c>
      <c r="F142" t="s">
        <v>21</v>
      </c>
      <c r="G142" t="s">
        <v>71</v>
      </c>
      <c r="H142">
        <f>0.02/0.44</f>
        <v>4.5454545454545456E-2</v>
      </c>
      <c r="I142" t="s">
        <v>17</v>
      </c>
      <c r="J142" t="s">
        <v>23</v>
      </c>
      <c r="O142" t="s">
        <v>78</v>
      </c>
    </row>
    <row r="143" spans="1:15" x14ac:dyDescent="0.25">
      <c r="A143" t="s">
        <v>15</v>
      </c>
      <c r="B143" t="s">
        <v>81</v>
      </c>
      <c r="C143" t="s">
        <v>81</v>
      </c>
      <c r="D143" t="s">
        <v>17</v>
      </c>
      <c r="E143" t="s">
        <v>18</v>
      </c>
      <c r="F143" t="s">
        <v>15</v>
      </c>
      <c r="G143" t="s">
        <v>81</v>
      </c>
      <c r="H143">
        <v>1</v>
      </c>
      <c r="I143" t="s">
        <v>17</v>
      </c>
      <c r="J143" t="s">
        <v>19</v>
      </c>
      <c r="O143" t="s">
        <v>82</v>
      </c>
    </row>
    <row r="144" spans="1:15" x14ac:dyDescent="0.25">
      <c r="A144" t="s">
        <v>15</v>
      </c>
      <c r="B144" t="s">
        <v>81</v>
      </c>
      <c r="C144" t="s">
        <v>81</v>
      </c>
      <c r="D144" t="s">
        <v>17</v>
      </c>
      <c r="E144" t="s">
        <v>18</v>
      </c>
      <c r="F144" t="s">
        <v>21</v>
      </c>
      <c r="G144" s="3" t="s">
        <v>55</v>
      </c>
      <c r="H144">
        <v>1</v>
      </c>
      <c r="I144" t="s">
        <v>17</v>
      </c>
      <c r="J144" t="s">
        <v>23</v>
      </c>
      <c r="O144" t="s">
        <v>82</v>
      </c>
    </row>
    <row r="145" spans="1:15" x14ac:dyDescent="0.25">
      <c r="A145" t="s">
        <v>15</v>
      </c>
      <c r="B145" t="s">
        <v>81</v>
      </c>
      <c r="C145" t="s">
        <v>81</v>
      </c>
      <c r="D145" t="s">
        <v>17</v>
      </c>
      <c r="E145" t="s">
        <v>18</v>
      </c>
      <c r="F145" t="s">
        <v>21</v>
      </c>
      <c r="G145" s="3" t="s">
        <v>83</v>
      </c>
      <c r="H145">
        <f>2.9101/1.0027</f>
        <v>2.9022638875037399</v>
      </c>
      <c r="I145" t="s">
        <v>17</v>
      </c>
      <c r="J145" t="s">
        <v>23</v>
      </c>
      <c r="O145" t="s">
        <v>82</v>
      </c>
    </row>
    <row r="146" spans="1:15" x14ac:dyDescent="0.25">
      <c r="A146" t="s">
        <v>15</v>
      </c>
      <c r="B146" t="s">
        <v>81</v>
      </c>
      <c r="C146" t="s">
        <v>81</v>
      </c>
      <c r="D146" t="s">
        <v>17</v>
      </c>
      <c r="E146" t="s">
        <v>18</v>
      </c>
      <c r="F146" t="s">
        <v>21</v>
      </c>
      <c r="G146" s="3" t="s">
        <v>33</v>
      </c>
      <c r="H146">
        <f>5.248*3.6/1.0027</f>
        <v>18.841926797646359</v>
      </c>
      <c r="I146" t="s">
        <v>34</v>
      </c>
      <c r="J146" t="s">
        <v>23</v>
      </c>
      <c r="O146" t="s">
        <v>82</v>
      </c>
    </row>
    <row r="147" spans="1:15" x14ac:dyDescent="0.25">
      <c r="A147" t="s">
        <v>15</v>
      </c>
      <c r="B147" t="s">
        <v>84</v>
      </c>
      <c r="C147" t="s">
        <v>84</v>
      </c>
      <c r="D147" t="s">
        <v>17</v>
      </c>
      <c r="E147" t="s">
        <v>18</v>
      </c>
      <c r="F147" t="s">
        <v>15</v>
      </c>
      <c r="G147" t="s">
        <v>84</v>
      </c>
      <c r="H147">
        <v>1</v>
      </c>
      <c r="I147" t="s">
        <v>17</v>
      </c>
      <c r="J147" t="s">
        <v>19</v>
      </c>
      <c r="O147" t="s">
        <v>85</v>
      </c>
    </row>
    <row r="148" spans="1:15" x14ac:dyDescent="0.25">
      <c r="A148" t="s">
        <v>15</v>
      </c>
      <c r="B148" t="s">
        <v>84</v>
      </c>
      <c r="C148" t="s">
        <v>84</v>
      </c>
      <c r="D148" t="s">
        <v>17</v>
      </c>
      <c r="E148" t="s">
        <v>18</v>
      </c>
      <c r="F148" t="s">
        <v>21</v>
      </c>
      <c r="G148" t="s">
        <v>55</v>
      </c>
      <c r="H148">
        <v>1</v>
      </c>
      <c r="I148" t="s">
        <v>17</v>
      </c>
      <c r="J148" t="s">
        <v>23</v>
      </c>
      <c r="O148" t="s">
        <v>85</v>
      </c>
    </row>
    <row r="149" spans="1:15" x14ac:dyDescent="0.25">
      <c r="A149" t="s">
        <v>15</v>
      </c>
      <c r="B149" t="s">
        <v>84</v>
      </c>
      <c r="C149" t="s">
        <v>84</v>
      </c>
      <c r="D149" t="s">
        <v>17</v>
      </c>
      <c r="E149" t="s">
        <v>18</v>
      </c>
      <c r="F149" t="s">
        <v>21</v>
      </c>
      <c r="G149" t="s">
        <v>26</v>
      </c>
      <c r="H149">
        <f>6/0.44</f>
        <v>13.636363636363637</v>
      </c>
      <c r="I149" t="s">
        <v>17</v>
      </c>
      <c r="J149" t="s">
        <v>23</v>
      </c>
      <c r="O149" t="s">
        <v>85</v>
      </c>
    </row>
    <row r="150" spans="1:15" x14ac:dyDescent="0.25">
      <c r="A150" t="s">
        <v>15</v>
      </c>
      <c r="B150" t="s">
        <v>84</v>
      </c>
      <c r="C150" t="s">
        <v>84</v>
      </c>
      <c r="D150" t="s">
        <v>17</v>
      </c>
      <c r="E150" t="s">
        <v>18</v>
      </c>
      <c r="F150" t="s">
        <v>21</v>
      </c>
      <c r="G150" t="s">
        <v>86</v>
      </c>
      <c r="H150">
        <f>5.34/(1000*0.44)</f>
        <v>1.2136363636363636E-2</v>
      </c>
      <c r="I150" t="s">
        <v>17</v>
      </c>
      <c r="J150" t="s">
        <v>23</v>
      </c>
      <c r="O150" t="s">
        <v>85</v>
      </c>
    </row>
    <row r="151" spans="1:15" x14ac:dyDescent="0.25">
      <c r="A151" t="s">
        <v>15</v>
      </c>
      <c r="B151" t="s">
        <v>84</v>
      </c>
      <c r="C151" t="s">
        <v>84</v>
      </c>
      <c r="D151" t="s">
        <v>17</v>
      </c>
      <c r="E151" t="s">
        <v>18</v>
      </c>
      <c r="F151" t="s">
        <v>21</v>
      </c>
      <c r="G151" s="3" t="s">
        <v>56</v>
      </c>
      <c r="H151">
        <f>5.9/0.44</f>
        <v>13.40909090909091</v>
      </c>
      <c r="I151" t="s">
        <v>17</v>
      </c>
      <c r="J151" t="s">
        <v>23</v>
      </c>
      <c r="O151" t="s">
        <v>85</v>
      </c>
    </row>
    <row r="152" spans="1:15" x14ac:dyDescent="0.25">
      <c r="A152" t="s">
        <v>15</v>
      </c>
      <c r="B152" t="s">
        <v>84</v>
      </c>
      <c r="C152" t="s">
        <v>84</v>
      </c>
      <c r="D152" t="s">
        <v>17</v>
      </c>
      <c r="E152" t="s">
        <v>18</v>
      </c>
      <c r="F152" t="s">
        <v>21</v>
      </c>
      <c r="G152" t="s">
        <v>79</v>
      </c>
      <c r="H152">
        <f>37.5/(0.44*2.75)</f>
        <v>30.991735537190085</v>
      </c>
      <c r="I152" t="s">
        <v>17</v>
      </c>
      <c r="J152" t="s">
        <v>23</v>
      </c>
      <c r="O152" t="s">
        <v>87</v>
      </c>
    </row>
    <row r="153" spans="1:15" ht="15" customHeight="1" x14ac:dyDescent="0.25">
      <c r="A153" t="s">
        <v>15</v>
      </c>
      <c r="B153" t="s">
        <v>84</v>
      </c>
      <c r="C153" t="s">
        <v>84</v>
      </c>
      <c r="D153" t="s">
        <v>17</v>
      </c>
      <c r="E153" t="s">
        <v>18</v>
      </c>
      <c r="F153" t="s">
        <v>21</v>
      </c>
      <c r="G153" s="3" t="s">
        <v>29</v>
      </c>
      <c r="H153">
        <f>0.0469/0.44+0.0083</f>
        <v>0.11489090909090909</v>
      </c>
      <c r="I153" t="s">
        <v>30</v>
      </c>
      <c r="J153" t="s">
        <v>23</v>
      </c>
      <c r="O153" t="s">
        <v>85</v>
      </c>
    </row>
    <row r="154" spans="1:15" x14ac:dyDescent="0.25">
      <c r="A154" t="s">
        <v>15</v>
      </c>
      <c r="B154" t="s">
        <v>84</v>
      </c>
      <c r="C154" t="s">
        <v>84</v>
      </c>
      <c r="D154" t="s">
        <v>17</v>
      </c>
      <c r="E154" t="s">
        <v>18</v>
      </c>
      <c r="F154" t="s">
        <v>21</v>
      </c>
      <c r="G154" s="3" t="s">
        <v>88</v>
      </c>
      <c r="H154">
        <f>5.2/0.44</f>
        <v>11.818181818181818</v>
      </c>
      <c r="I154" t="s">
        <v>17</v>
      </c>
      <c r="J154" t="s">
        <v>23</v>
      </c>
      <c r="O154" t="s">
        <v>85</v>
      </c>
    </row>
    <row r="155" spans="1:15" x14ac:dyDescent="0.25">
      <c r="A155" t="s">
        <v>15</v>
      </c>
      <c r="B155" t="s">
        <v>89</v>
      </c>
      <c r="C155" t="s">
        <v>89</v>
      </c>
      <c r="D155" t="s">
        <v>17</v>
      </c>
      <c r="E155" t="s">
        <v>18</v>
      </c>
      <c r="F155" t="s">
        <v>15</v>
      </c>
      <c r="G155" t="s">
        <v>89</v>
      </c>
      <c r="H155">
        <v>1</v>
      </c>
      <c r="I155" t="s">
        <v>17</v>
      </c>
      <c r="J155" t="s">
        <v>19</v>
      </c>
      <c r="O155" t="s">
        <v>85</v>
      </c>
    </row>
    <row r="156" spans="1:15" x14ac:dyDescent="0.25">
      <c r="A156" t="s">
        <v>15</v>
      </c>
      <c r="B156" t="s">
        <v>89</v>
      </c>
      <c r="C156" t="s">
        <v>89</v>
      </c>
      <c r="D156" t="s">
        <v>17</v>
      </c>
      <c r="E156" t="s">
        <v>18</v>
      </c>
      <c r="F156" t="s">
        <v>21</v>
      </c>
      <c r="G156" s="3" t="s">
        <v>55</v>
      </c>
      <c r="H156">
        <v>1</v>
      </c>
      <c r="I156" t="s">
        <v>17</v>
      </c>
      <c r="J156" t="s">
        <v>23</v>
      </c>
      <c r="O156" t="s">
        <v>85</v>
      </c>
    </row>
    <row r="157" spans="1:15" x14ac:dyDescent="0.25">
      <c r="A157" t="s">
        <v>15</v>
      </c>
      <c r="B157" t="s">
        <v>89</v>
      </c>
      <c r="C157" t="s">
        <v>89</v>
      </c>
      <c r="D157" t="s">
        <v>17</v>
      </c>
      <c r="E157" t="s">
        <v>18</v>
      </c>
      <c r="F157" t="s">
        <v>21</v>
      </c>
      <c r="G157" s="3" t="s">
        <v>26</v>
      </c>
      <c r="H157">
        <f>6/0.44</f>
        <v>13.636363636363637</v>
      </c>
      <c r="I157" t="s">
        <v>17</v>
      </c>
      <c r="J157" t="s">
        <v>23</v>
      </c>
      <c r="O157" t="s">
        <v>85</v>
      </c>
    </row>
    <row r="158" spans="1:15" x14ac:dyDescent="0.25">
      <c r="A158" t="s">
        <v>15</v>
      </c>
      <c r="B158" t="s">
        <v>89</v>
      </c>
      <c r="C158" t="s">
        <v>89</v>
      </c>
      <c r="D158" t="s">
        <v>17</v>
      </c>
      <c r="E158" t="s">
        <v>18</v>
      </c>
      <c r="F158" t="s">
        <v>21</v>
      </c>
      <c r="G158" s="3" t="s">
        <v>86</v>
      </c>
      <c r="H158">
        <f>1.05/(1000*0.44)</f>
        <v>2.3863636363636366E-3</v>
      </c>
      <c r="I158" t="s">
        <v>17</v>
      </c>
      <c r="J158" t="s">
        <v>23</v>
      </c>
      <c r="O158" t="s">
        <v>85</v>
      </c>
    </row>
    <row r="159" spans="1:15" x14ac:dyDescent="0.25">
      <c r="A159" t="s">
        <v>15</v>
      </c>
      <c r="B159" t="s">
        <v>89</v>
      </c>
      <c r="C159" t="s">
        <v>89</v>
      </c>
      <c r="D159" t="s">
        <v>17</v>
      </c>
      <c r="E159" t="s">
        <v>18</v>
      </c>
      <c r="F159" t="s">
        <v>21</v>
      </c>
      <c r="G159" s="3" t="s">
        <v>56</v>
      </c>
      <c r="H159">
        <f>5.9/0.44</f>
        <v>13.40909090909091</v>
      </c>
      <c r="I159" t="s">
        <v>17</v>
      </c>
      <c r="J159" t="s">
        <v>23</v>
      </c>
      <c r="O159" t="s">
        <v>85</v>
      </c>
    </row>
    <row r="160" spans="1:15" x14ac:dyDescent="0.25">
      <c r="A160" t="s">
        <v>15</v>
      </c>
      <c r="B160" t="s">
        <v>89</v>
      </c>
      <c r="C160" t="s">
        <v>89</v>
      </c>
      <c r="D160" t="s">
        <v>17</v>
      </c>
      <c r="E160" t="s">
        <v>18</v>
      </c>
      <c r="F160" t="s">
        <v>21</v>
      </c>
      <c r="G160" s="3" t="s">
        <v>29</v>
      </c>
      <c r="H160">
        <f>0.111/0.44+0.0083</f>
        <v>0.26057272727272723</v>
      </c>
      <c r="I160" t="s">
        <v>30</v>
      </c>
      <c r="J160" t="s">
        <v>23</v>
      </c>
      <c r="O160" t="s">
        <v>85</v>
      </c>
    </row>
    <row r="161" spans="1:15" x14ac:dyDescent="0.25">
      <c r="A161" t="s">
        <v>15</v>
      </c>
      <c r="B161" t="s">
        <v>89</v>
      </c>
      <c r="C161" t="s">
        <v>89</v>
      </c>
      <c r="D161" t="s">
        <v>17</v>
      </c>
      <c r="E161" t="s">
        <v>18</v>
      </c>
      <c r="F161" t="s">
        <v>21</v>
      </c>
      <c r="G161" s="3" t="s">
        <v>88</v>
      </c>
      <c r="H161">
        <f>5.2/0.44</f>
        <v>11.818181818181818</v>
      </c>
      <c r="I161" t="s">
        <v>17</v>
      </c>
      <c r="J161" t="s">
        <v>23</v>
      </c>
      <c r="O161" t="s">
        <v>85</v>
      </c>
    </row>
    <row r="162" spans="1:15" x14ac:dyDescent="0.25">
      <c r="A162" t="s">
        <v>15</v>
      </c>
      <c r="B162" t="s">
        <v>90</v>
      </c>
      <c r="C162" t="s">
        <v>90</v>
      </c>
      <c r="D162" t="s">
        <v>17</v>
      </c>
      <c r="E162" t="s">
        <v>18</v>
      </c>
      <c r="F162" t="s">
        <v>15</v>
      </c>
      <c r="G162" t="s">
        <v>90</v>
      </c>
      <c r="H162">
        <v>1</v>
      </c>
      <c r="I162" t="s">
        <v>17</v>
      </c>
      <c r="J162" t="s">
        <v>19</v>
      </c>
      <c r="O162" t="s">
        <v>91</v>
      </c>
    </row>
    <row r="163" spans="1:15" x14ac:dyDescent="0.25">
      <c r="A163" t="s">
        <v>15</v>
      </c>
      <c r="B163" t="s">
        <v>90</v>
      </c>
      <c r="C163" t="s">
        <v>90</v>
      </c>
      <c r="D163" t="s">
        <v>17</v>
      </c>
      <c r="E163" t="s">
        <v>18</v>
      </c>
      <c r="F163" t="s">
        <v>21</v>
      </c>
      <c r="G163" t="s">
        <v>55</v>
      </c>
      <c r="H163">
        <v>1</v>
      </c>
      <c r="I163" t="s">
        <v>17</v>
      </c>
      <c r="J163" t="s">
        <v>23</v>
      </c>
      <c r="O163" t="s">
        <v>91</v>
      </c>
    </row>
    <row r="164" spans="1:15" x14ac:dyDescent="0.25">
      <c r="A164" t="s">
        <v>15</v>
      </c>
      <c r="B164" t="s">
        <v>90</v>
      </c>
      <c r="C164" t="s">
        <v>90</v>
      </c>
      <c r="D164" t="s">
        <v>17</v>
      </c>
      <c r="E164" t="s">
        <v>18</v>
      </c>
      <c r="F164" t="s">
        <v>21</v>
      </c>
      <c r="G164" t="s">
        <v>92</v>
      </c>
      <c r="H164">
        <f>(82456.65+2843.35)/241.408067</f>
        <v>353.3436187946445</v>
      </c>
      <c r="I164" t="s">
        <v>17</v>
      </c>
      <c r="J164" t="s">
        <v>23</v>
      </c>
      <c r="O164" t="s">
        <v>91</v>
      </c>
    </row>
    <row r="165" spans="1:15" x14ac:dyDescent="0.25">
      <c r="A165" t="s">
        <v>15</v>
      </c>
      <c r="B165" t="s">
        <v>90</v>
      </c>
      <c r="C165" t="s">
        <v>90</v>
      </c>
      <c r="D165" t="s">
        <v>17</v>
      </c>
      <c r="E165" t="s">
        <v>18</v>
      </c>
      <c r="F165" t="s">
        <v>21</v>
      </c>
      <c r="G165" t="s">
        <v>93</v>
      </c>
      <c r="H165">
        <f>772.16/241.4080673</f>
        <v>3.1985675070271355</v>
      </c>
      <c r="I165" t="s">
        <v>17</v>
      </c>
      <c r="J165" t="s">
        <v>23</v>
      </c>
      <c r="O165" t="s">
        <v>91</v>
      </c>
    </row>
    <row r="166" spans="1:15" x14ac:dyDescent="0.25">
      <c r="A166" t="s">
        <v>15</v>
      </c>
      <c r="B166" t="s">
        <v>90</v>
      </c>
      <c r="C166" t="s">
        <v>90</v>
      </c>
      <c r="D166" t="s">
        <v>17</v>
      </c>
      <c r="E166" t="s">
        <v>18</v>
      </c>
      <c r="F166" t="s">
        <v>21</v>
      </c>
      <c r="G166" t="s">
        <v>26</v>
      </c>
      <c r="H166">
        <f>875.33/241.4080673</f>
        <v>3.6259351636008894</v>
      </c>
      <c r="I166" t="s">
        <v>17</v>
      </c>
      <c r="J166" t="s">
        <v>23</v>
      </c>
      <c r="O166" t="s">
        <v>91</v>
      </c>
    </row>
    <row r="167" spans="1:15" x14ac:dyDescent="0.25">
      <c r="A167" t="s">
        <v>15</v>
      </c>
      <c r="B167" t="s">
        <v>90</v>
      </c>
      <c r="C167" t="s">
        <v>90</v>
      </c>
      <c r="D167" t="s">
        <v>17</v>
      </c>
      <c r="E167" t="s">
        <v>18</v>
      </c>
      <c r="F167" t="s">
        <v>21</v>
      </c>
      <c r="G167" t="s">
        <v>29</v>
      </c>
      <c r="H167">
        <f>836.256/241.4080673</f>
        <v>3.4640764467940377</v>
      </c>
      <c r="I167" t="s">
        <v>30</v>
      </c>
      <c r="J167" t="s">
        <v>23</v>
      </c>
      <c r="O167" t="s">
        <v>91</v>
      </c>
    </row>
    <row r="168" spans="1:15" x14ac:dyDescent="0.25">
      <c r="A168" t="s">
        <v>15</v>
      </c>
      <c r="B168" t="s">
        <v>90</v>
      </c>
      <c r="C168" t="s">
        <v>90</v>
      </c>
      <c r="D168" t="s">
        <v>17</v>
      </c>
      <c r="E168" t="s">
        <v>18</v>
      </c>
      <c r="F168" t="s">
        <v>21</v>
      </c>
      <c r="G168" t="s">
        <v>33</v>
      </c>
      <c r="H168">
        <f>106.668/241.4080673</f>
        <v>0.44185764458087773</v>
      </c>
      <c r="I168" t="s">
        <v>34</v>
      </c>
      <c r="J168" t="s">
        <v>23</v>
      </c>
      <c r="O168" t="s">
        <v>91</v>
      </c>
    </row>
    <row r="169" spans="1:15" x14ac:dyDescent="0.25">
      <c r="A169" t="s">
        <v>15</v>
      </c>
      <c r="B169" t="s">
        <v>90</v>
      </c>
      <c r="C169" t="s">
        <v>90</v>
      </c>
      <c r="D169" t="s">
        <v>17</v>
      </c>
      <c r="E169" t="s">
        <v>18</v>
      </c>
      <c r="F169" t="s">
        <v>21</v>
      </c>
      <c r="G169" s="3" t="s">
        <v>52</v>
      </c>
      <c r="H169">
        <f>(250.17+218.43+104.06+32.98+31.33+50.62+307.18)/241.4080673</f>
        <v>4.120699076571416</v>
      </c>
      <c r="I169" t="s">
        <v>17</v>
      </c>
      <c r="J169" t="s">
        <v>23</v>
      </c>
      <c r="O169" t="s">
        <v>91</v>
      </c>
    </row>
    <row r="170" spans="1:15" x14ac:dyDescent="0.25">
      <c r="A170" t="s">
        <v>15</v>
      </c>
      <c r="B170" t="s">
        <v>90</v>
      </c>
      <c r="C170" t="s">
        <v>90</v>
      </c>
      <c r="D170" t="s">
        <v>17</v>
      </c>
      <c r="E170" t="s">
        <v>18</v>
      </c>
      <c r="F170" t="s">
        <v>21</v>
      </c>
      <c r="G170" t="s">
        <v>94</v>
      </c>
      <c r="H170">
        <f>-4.96/241.4080673</f>
        <v>-2.0546123646465232E-2</v>
      </c>
      <c r="I170" t="s">
        <v>17</v>
      </c>
      <c r="J170" t="s">
        <v>23</v>
      </c>
      <c r="O170" t="s">
        <v>91</v>
      </c>
    </row>
    <row r="171" spans="1:15" x14ac:dyDescent="0.25">
      <c r="A171" t="s">
        <v>15</v>
      </c>
      <c r="B171" t="s">
        <v>90</v>
      </c>
      <c r="C171" t="s">
        <v>90</v>
      </c>
      <c r="D171" t="s">
        <v>17</v>
      </c>
      <c r="E171" t="s">
        <v>18</v>
      </c>
      <c r="F171" t="s">
        <v>21</v>
      </c>
      <c r="G171" t="s">
        <v>95</v>
      </c>
      <c r="H171">
        <f>-168.98/241.4080673</f>
        <v>-0.69997660761687397</v>
      </c>
      <c r="I171" t="s">
        <v>17</v>
      </c>
      <c r="J171" t="s">
        <v>23</v>
      </c>
      <c r="O171" t="s">
        <v>91</v>
      </c>
    </row>
    <row r="172" spans="1:15" x14ac:dyDescent="0.25">
      <c r="A172" t="s">
        <v>15</v>
      </c>
      <c r="B172" t="s">
        <v>90</v>
      </c>
      <c r="C172" t="s">
        <v>90</v>
      </c>
      <c r="D172" t="s">
        <v>17</v>
      </c>
      <c r="E172" t="s">
        <v>18</v>
      </c>
      <c r="F172" t="s">
        <v>21</v>
      </c>
      <c r="G172" t="s">
        <v>96</v>
      </c>
      <c r="H172">
        <f>-(81632.08+25.87)/241.4080673</f>
        <v>-338.25692286630556</v>
      </c>
      <c r="I172" t="s">
        <v>17</v>
      </c>
      <c r="J172" t="s">
        <v>23</v>
      </c>
      <c r="O172" t="s">
        <v>91</v>
      </c>
    </row>
    <row r="173" spans="1:15" x14ac:dyDescent="0.25">
      <c r="A173" t="s">
        <v>15</v>
      </c>
      <c r="B173" t="s">
        <v>90</v>
      </c>
      <c r="C173" t="s">
        <v>90</v>
      </c>
      <c r="D173" t="s">
        <v>17</v>
      </c>
      <c r="E173" t="s">
        <v>18</v>
      </c>
      <c r="F173" t="s">
        <v>21</v>
      </c>
      <c r="G173" t="s">
        <v>97</v>
      </c>
      <c r="H173">
        <f>-414.82/241.4080673</f>
        <v>-1.718335284481191</v>
      </c>
      <c r="I173" t="s">
        <v>17</v>
      </c>
      <c r="J173" t="s">
        <v>23</v>
      </c>
      <c r="O173" t="s">
        <v>91</v>
      </c>
    </row>
    <row r="174" spans="1:15" x14ac:dyDescent="0.25">
      <c r="A174" t="s">
        <v>15</v>
      </c>
      <c r="B174" t="s">
        <v>90</v>
      </c>
      <c r="C174" t="s">
        <v>90</v>
      </c>
      <c r="D174" t="s">
        <v>17</v>
      </c>
      <c r="E174" t="s">
        <v>18</v>
      </c>
      <c r="F174" t="s">
        <v>21</v>
      </c>
      <c r="G174" t="s">
        <v>93</v>
      </c>
      <c r="H174">
        <f>-2561.69/241.4080673</f>
        <v>-10.611451508853532</v>
      </c>
      <c r="I174" t="s">
        <v>17</v>
      </c>
      <c r="J174" t="s">
        <v>23</v>
      </c>
      <c r="O174" t="s">
        <v>91</v>
      </c>
    </row>
    <row r="175" spans="1:15" x14ac:dyDescent="0.25">
      <c r="A175" t="s">
        <v>15</v>
      </c>
      <c r="B175" t="s">
        <v>90</v>
      </c>
      <c r="C175" t="s">
        <v>90</v>
      </c>
      <c r="D175" t="s">
        <v>17</v>
      </c>
      <c r="E175" t="s">
        <v>18</v>
      </c>
      <c r="F175" t="s">
        <v>21</v>
      </c>
      <c r="G175" t="s">
        <v>26</v>
      </c>
      <c r="H175">
        <f>-(654.32)/241.4080673</f>
        <v>-2.7104313758780507</v>
      </c>
      <c r="I175" t="s">
        <v>17</v>
      </c>
      <c r="J175" t="s">
        <v>23</v>
      </c>
      <c r="O175" t="s">
        <v>91</v>
      </c>
    </row>
    <row r="176" spans="1:15" x14ac:dyDescent="0.25">
      <c r="A176" t="s">
        <v>15</v>
      </c>
      <c r="B176" t="s">
        <v>90</v>
      </c>
      <c r="C176" t="s">
        <v>90</v>
      </c>
      <c r="D176" t="s">
        <v>17</v>
      </c>
      <c r="E176" t="s">
        <v>18</v>
      </c>
      <c r="F176" t="s">
        <v>21</v>
      </c>
      <c r="G176" s="3" t="s">
        <v>57</v>
      </c>
      <c r="H176">
        <f>52.58/241.4080673</f>
        <v>0.21780548010708506</v>
      </c>
      <c r="I176" t="s">
        <v>17</v>
      </c>
      <c r="J176" t="s">
        <v>23</v>
      </c>
      <c r="O176" t="s">
        <v>91</v>
      </c>
    </row>
    <row r="177" spans="1:15" x14ac:dyDescent="0.25">
      <c r="A177" t="s">
        <v>15</v>
      </c>
      <c r="B177" t="s">
        <v>90</v>
      </c>
      <c r="C177" t="s">
        <v>90</v>
      </c>
      <c r="D177" t="s">
        <v>17</v>
      </c>
      <c r="E177" t="s">
        <v>18</v>
      </c>
      <c r="F177" t="s">
        <v>21</v>
      </c>
      <c r="G177" t="s">
        <v>98</v>
      </c>
      <c r="H177">
        <f>24.14/241.4080673</f>
        <v>9.9996658230982E-2</v>
      </c>
      <c r="I177" t="s">
        <v>17</v>
      </c>
      <c r="J177" t="s">
        <v>23</v>
      </c>
      <c r="O177" t="s">
        <v>91</v>
      </c>
    </row>
    <row r="178" spans="1:15" x14ac:dyDescent="0.25">
      <c r="A178" t="s">
        <v>15</v>
      </c>
      <c r="B178" t="s">
        <v>99</v>
      </c>
      <c r="C178" t="s">
        <v>99</v>
      </c>
      <c r="D178" t="s">
        <v>17</v>
      </c>
      <c r="E178" t="s">
        <v>18</v>
      </c>
      <c r="F178" t="s">
        <v>15</v>
      </c>
      <c r="G178" t="s">
        <v>99</v>
      </c>
      <c r="H178">
        <v>1</v>
      </c>
      <c r="I178" t="s">
        <v>17</v>
      </c>
      <c r="J178" t="s">
        <v>19</v>
      </c>
      <c r="O178" t="s">
        <v>100</v>
      </c>
    </row>
    <row r="179" spans="1:15" x14ac:dyDescent="0.25">
      <c r="A179" t="s">
        <v>15</v>
      </c>
      <c r="B179" t="s">
        <v>99</v>
      </c>
      <c r="C179" t="s">
        <v>99</v>
      </c>
      <c r="D179" t="s">
        <v>17</v>
      </c>
      <c r="E179" t="s">
        <v>18</v>
      </c>
      <c r="F179" t="s">
        <v>21</v>
      </c>
      <c r="G179" s="3" t="s">
        <v>55</v>
      </c>
      <c r="H179">
        <v>1</v>
      </c>
      <c r="I179" t="s">
        <v>17</v>
      </c>
      <c r="J179" t="s">
        <v>23</v>
      </c>
      <c r="O179" t="s">
        <v>100</v>
      </c>
    </row>
    <row r="180" spans="1:15" x14ac:dyDescent="0.25">
      <c r="A180" t="s">
        <v>15</v>
      </c>
      <c r="B180" t="s">
        <v>99</v>
      </c>
      <c r="C180" t="s">
        <v>99</v>
      </c>
      <c r="D180" t="s">
        <v>17</v>
      </c>
      <c r="E180" t="s">
        <v>18</v>
      </c>
      <c r="F180" t="s">
        <v>21</v>
      </c>
      <c r="G180" t="s">
        <v>101</v>
      </c>
      <c r="H180">
        <f>321.48/0.6347</f>
        <v>506.50701118638727</v>
      </c>
      <c r="I180" t="s">
        <v>17</v>
      </c>
      <c r="J180" t="s">
        <v>23</v>
      </c>
      <c r="O180" t="s">
        <v>100</v>
      </c>
    </row>
    <row r="181" spans="1:15" x14ac:dyDescent="0.25">
      <c r="A181" t="s">
        <v>15</v>
      </c>
      <c r="B181" t="s">
        <v>99</v>
      </c>
      <c r="C181" t="s">
        <v>99</v>
      </c>
      <c r="D181" t="s">
        <v>17</v>
      </c>
      <c r="E181" t="s">
        <v>18</v>
      </c>
      <c r="F181" t="s">
        <v>21</v>
      </c>
      <c r="G181" t="s">
        <v>26</v>
      </c>
      <c r="H181">
        <f>2.14/0.6347</f>
        <v>3.3716716559004252</v>
      </c>
      <c r="I181" t="s">
        <v>17</v>
      </c>
      <c r="J181" t="s">
        <v>23</v>
      </c>
      <c r="O181" t="s">
        <v>100</v>
      </c>
    </row>
    <row r="182" spans="1:15" x14ac:dyDescent="0.25">
      <c r="A182" t="s">
        <v>15</v>
      </c>
      <c r="B182" t="s">
        <v>99</v>
      </c>
      <c r="C182" t="s">
        <v>99</v>
      </c>
      <c r="D182" t="s">
        <v>17</v>
      </c>
      <c r="E182" t="s">
        <v>18</v>
      </c>
      <c r="F182" t="s">
        <v>21</v>
      </c>
      <c r="G182" t="s">
        <v>33</v>
      </c>
      <c r="H182">
        <f>(0.31*3600)/(0.6347*1000)</f>
        <v>1.7583110130770441</v>
      </c>
      <c r="I182" t="s">
        <v>34</v>
      </c>
      <c r="J182" t="s">
        <v>23</v>
      </c>
      <c r="O182" t="s">
        <v>100</v>
      </c>
    </row>
    <row r="183" spans="1:15" x14ac:dyDescent="0.25">
      <c r="A183" t="s">
        <v>15</v>
      </c>
      <c r="B183" t="s">
        <v>99</v>
      </c>
      <c r="C183" t="s">
        <v>99</v>
      </c>
      <c r="D183" t="s">
        <v>17</v>
      </c>
      <c r="E183" t="s">
        <v>18</v>
      </c>
      <c r="F183" t="s">
        <v>21</v>
      </c>
      <c r="G183" t="s">
        <v>29</v>
      </c>
      <c r="H183">
        <f>(2.02*1000)/(0.6347*1000)+0.0404</f>
        <v>3.22300595556956</v>
      </c>
      <c r="I183" t="s">
        <v>30</v>
      </c>
      <c r="J183" t="s">
        <v>23</v>
      </c>
      <c r="O183" t="s">
        <v>100</v>
      </c>
    </row>
    <row r="184" spans="1:15" x14ac:dyDescent="0.25">
      <c r="A184" t="s">
        <v>15</v>
      </c>
      <c r="B184" t="s">
        <v>99</v>
      </c>
      <c r="C184" t="s">
        <v>99</v>
      </c>
      <c r="D184" t="s">
        <v>17</v>
      </c>
      <c r="E184" t="s">
        <v>18</v>
      </c>
      <c r="F184" t="s">
        <v>21</v>
      </c>
      <c r="G184" t="s">
        <v>96</v>
      </c>
      <c r="H184">
        <f>-(224.23)/0.6347</f>
        <v>-353.28501654324873</v>
      </c>
      <c r="I184" t="s">
        <v>17</v>
      </c>
      <c r="J184" t="s">
        <v>23</v>
      </c>
      <c r="O184" t="s">
        <v>100</v>
      </c>
    </row>
    <row r="185" spans="1:15" x14ac:dyDescent="0.25">
      <c r="A185" t="s">
        <v>15</v>
      </c>
      <c r="B185" t="s">
        <v>99</v>
      </c>
      <c r="C185" t="s">
        <v>99</v>
      </c>
      <c r="D185" t="s">
        <v>17</v>
      </c>
      <c r="E185" t="s">
        <v>18</v>
      </c>
      <c r="F185" t="s">
        <v>21</v>
      </c>
      <c r="G185" t="s">
        <v>97</v>
      </c>
      <c r="H185">
        <f>-1/0.6347</f>
        <v>-1.5755475027572081</v>
      </c>
      <c r="I185" t="s">
        <v>17</v>
      </c>
      <c r="J185" t="s">
        <v>23</v>
      </c>
      <c r="O185" t="s">
        <v>100</v>
      </c>
    </row>
    <row r="186" spans="1:15" x14ac:dyDescent="0.25">
      <c r="A186" t="s">
        <v>15</v>
      </c>
      <c r="B186" t="s">
        <v>99</v>
      </c>
      <c r="C186" t="s">
        <v>99</v>
      </c>
      <c r="D186" t="s">
        <v>17</v>
      </c>
      <c r="E186" t="s">
        <v>18</v>
      </c>
      <c r="F186" t="s">
        <v>21</v>
      </c>
      <c r="G186" t="s">
        <v>94</v>
      </c>
      <c r="H186">
        <f>-0.01/0.6347</f>
        <v>-1.5755475027572081E-2</v>
      </c>
      <c r="I186" t="s">
        <v>17</v>
      </c>
      <c r="J186" t="s">
        <v>23</v>
      </c>
      <c r="O186" t="s">
        <v>100</v>
      </c>
    </row>
    <row r="187" spans="1:15" x14ac:dyDescent="0.25">
      <c r="A187" t="s">
        <v>15</v>
      </c>
      <c r="B187" t="s">
        <v>99</v>
      </c>
      <c r="C187" t="s">
        <v>99</v>
      </c>
      <c r="D187" t="s">
        <v>17</v>
      </c>
      <c r="E187" t="s">
        <v>18</v>
      </c>
      <c r="F187" t="s">
        <v>21</v>
      </c>
      <c r="G187" t="s">
        <v>95</v>
      </c>
      <c r="H187">
        <f>-0.42/0.6347</f>
        <v>-0.66172995115802735</v>
      </c>
      <c r="I187" t="s">
        <v>17</v>
      </c>
      <c r="J187" t="s">
        <v>23</v>
      </c>
      <c r="O187" t="s">
        <v>100</v>
      </c>
    </row>
    <row r="188" spans="1:15" x14ac:dyDescent="0.25">
      <c r="A188" t="s">
        <v>15</v>
      </c>
      <c r="B188" t="s">
        <v>99</v>
      </c>
      <c r="C188" t="s">
        <v>99</v>
      </c>
      <c r="D188" t="s">
        <v>17</v>
      </c>
      <c r="E188" t="s">
        <v>18</v>
      </c>
      <c r="F188" t="s">
        <v>21</v>
      </c>
      <c r="G188" t="s">
        <v>26</v>
      </c>
      <c r="H188">
        <f>-1.62/0.6347</f>
        <v>-2.5523869544666771</v>
      </c>
      <c r="I188" t="s">
        <v>17</v>
      </c>
      <c r="J188" t="s">
        <v>23</v>
      </c>
      <c r="O188" t="s">
        <v>100</v>
      </c>
    </row>
    <row r="189" spans="1:15" x14ac:dyDescent="0.25">
      <c r="A189" t="s">
        <v>15</v>
      </c>
      <c r="B189" t="s">
        <v>99</v>
      </c>
      <c r="C189" t="s">
        <v>99</v>
      </c>
      <c r="D189" t="s">
        <v>17</v>
      </c>
      <c r="E189" t="s">
        <v>18</v>
      </c>
      <c r="F189" t="s">
        <v>21</v>
      </c>
      <c r="G189" t="s">
        <v>57</v>
      </c>
      <c r="H189">
        <f>96.78/0.6347</f>
        <v>152.48148731684259</v>
      </c>
      <c r="I189" t="s">
        <v>17</v>
      </c>
      <c r="J189" t="s">
        <v>23</v>
      </c>
      <c r="O189" t="s">
        <v>100</v>
      </c>
    </row>
    <row r="190" spans="1:15" x14ac:dyDescent="0.25">
      <c r="A190" t="s">
        <v>15</v>
      </c>
      <c r="B190" t="s">
        <v>99</v>
      </c>
      <c r="C190" t="s">
        <v>99</v>
      </c>
      <c r="D190" t="s">
        <v>17</v>
      </c>
      <c r="E190" t="s">
        <v>18</v>
      </c>
      <c r="F190" t="s">
        <v>21</v>
      </c>
      <c r="G190" t="s">
        <v>98</v>
      </c>
      <c r="H190">
        <f>0.0254/0.6347</f>
        <v>4.0018906570033083E-2</v>
      </c>
      <c r="I190" t="s">
        <v>17</v>
      </c>
      <c r="J190" t="s">
        <v>23</v>
      </c>
      <c r="O190" t="s">
        <v>100</v>
      </c>
    </row>
    <row r="191" spans="1:15" x14ac:dyDescent="0.25">
      <c r="A191" t="s">
        <v>15</v>
      </c>
      <c r="B191" t="s">
        <v>102</v>
      </c>
      <c r="C191" t="s">
        <v>102</v>
      </c>
      <c r="D191" t="s">
        <v>17</v>
      </c>
      <c r="E191" t="s">
        <v>18</v>
      </c>
      <c r="F191" t="s">
        <v>15</v>
      </c>
      <c r="G191" t="s">
        <v>102</v>
      </c>
      <c r="H191">
        <v>1</v>
      </c>
      <c r="I191" t="s">
        <v>17</v>
      </c>
      <c r="J191" t="s">
        <v>19</v>
      </c>
      <c r="O191" t="s">
        <v>100</v>
      </c>
    </row>
    <row r="192" spans="1:15" x14ac:dyDescent="0.25">
      <c r="A192" t="s">
        <v>15</v>
      </c>
      <c r="B192" t="s">
        <v>102</v>
      </c>
      <c r="C192" t="s">
        <v>102</v>
      </c>
      <c r="D192" t="s">
        <v>17</v>
      </c>
      <c r="E192" t="s">
        <v>18</v>
      </c>
      <c r="F192" t="s">
        <v>21</v>
      </c>
      <c r="G192" t="s">
        <v>55</v>
      </c>
      <c r="H192">
        <v>1</v>
      </c>
      <c r="I192" t="s">
        <v>17</v>
      </c>
      <c r="J192" t="s">
        <v>23</v>
      </c>
      <c r="O192" t="s">
        <v>100</v>
      </c>
    </row>
    <row r="193" spans="1:15" x14ac:dyDescent="0.25">
      <c r="A193" t="s">
        <v>15</v>
      </c>
      <c r="B193" t="s">
        <v>102</v>
      </c>
      <c r="C193" t="s">
        <v>102</v>
      </c>
      <c r="D193" t="s">
        <v>17</v>
      </c>
      <c r="E193" t="s">
        <v>18</v>
      </c>
      <c r="F193" t="s">
        <v>21</v>
      </c>
      <c r="G193" t="s">
        <v>101</v>
      </c>
      <c r="H193">
        <f>359.15/0.6347</f>
        <v>565.85788561525123</v>
      </c>
      <c r="I193" t="s">
        <v>17</v>
      </c>
      <c r="J193" t="s">
        <v>23</v>
      </c>
      <c r="O193" t="s">
        <v>100</v>
      </c>
    </row>
    <row r="194" spans="1:15" x14ac:dyDescent="0.25">
      <c r="A194" t="s">
        <v>15</v>
      </c>
      <c r="B194" t="s">
        <v>102</v>
      </c>
      <c r="C194" t="s">
        <v>102</v>
      </c>
      <c r="D194" t="s">
        <v>17</v>
      </c>
      <c r="E194" t="s">
        <v>18</v>
      </c>
      <c r="F194" t="s">
        <v>21</v>
      </c>
      <c r="G194" t="s">
        <v>26</v>
      </c>
      <c r="H194">
        <f>2.16/0.6347</f>
        <v>3.4031826059555694</v>
      </c>
      <c r="I194" t="s">
        <v>17</v>
      </c>
      <c r="J194" t="s">
        <v>23</v>
      </c>
      <c r="O194" t="s">
        <v>100</v>
      </c>
    </row>
    <row r="195" spans="1:15" x14ac:dyDescent="0.25">
      <c r="A195" t="s">
        <v>15</v>
      </c>
      <c r="B195" t="s">
        <v>102</v>
      </c>
      <c r="C195" t="s">
        <v>102</v>
      </c>
      <c r="D195" t="s">
        <v>17</v>
      </c>
      <c r="E195" t="s">
        <v>18</v>
      </c>
      <c r="F195" t="s">
        <v>21</v>
      </c>
      <c r="G195" t="s">
        <v>33</v>
      </c>
      <c r="H195">
        <f>(0.31*3600)/(0.6347*1000)</f>
        <v>1.7583110130770441</v>
      </c>
      <c r="I195" t="s">
        <v>34</v>
      </c>
      <c r="J195" t="s">
        <v>23</v>
      </c>
      <c r="O195" t="s">
        <v>100</v>
      </c>
    </row>
    <row r="196" spans="1:15" x14ac:dyDescent="0.25">
      <c r="A196" t="s">
        <v>15</v>
      </c>
      <c r="B196" t="s">
        <v>102</v>
      </c>
      <c r="C196" t="s">
        <v>102</v>
      </c>
      <c r="D196" t="s">
        <v>17</v>
      </c>
      <c r="E196" t="s">
        <v>18</v>
      </c>
      <c r="F196" t="s">
        <v>21</v>
      </c>
      <c r="G196" t="s">
        <v>29</v>
      </c>
      <c r="H196">
        <f>(1.94*1000)/(0.6347*1000)+0.0404</f>
        <v>3.0969621553489834</v>
      </c>
      <c r="I196" t="s">
        <v>30</v>
      </c>
      <c r="J196" t="s">
        <v>23</v>
      </c>
      <c r="O196" t="s">
        <v>100</v>
      </c>
    </row>
    <row r="197" spans="1:15" x14ac:dyDescent="0.25">
      <c r="A197" t="s">
        <v>15</v>
      </c>
      <c r="B197" t="s">
        <v>102</v>
      </c>
      <c r="C197" t="s">
        <v>102</v>
      </c>
      <c r="D197" t="s">
        <v>17</v>
      </c>
      <c r="E197" t="s">
        <v>18</v>
      </c>
      <c r="F197" t="s">
        <v>21</v>
      </c>
      <c r="G197" t="s">
        <v>96</v>
      </c>
      <c r="H197">
        <f>-224.23/0.6347</f>
        <v>-353.28501654324873</v>
      </c>
      <c r="I197" t="s">
        <v>17</v>
      </c>
      <c r="J197" t="s">
        <v>23</v>
      </c>
      <c r="O197" t="s">
        <v>100</v>
      </c>
    </row>
    <row r="198" spans="1:15" x14ac:dyDescent="0.25">
      <c r="A198" t="s">
        <v>15</v>
      </c>
      <c r="B198" t="s">
        <v>102</v>
      </c>
      <c r="C198" t="s">
        <v>102</v>
      </c>
      <c r="D198" t="s">
        <v>17</v>
      </c>
      <c r="E198" t="s">
        <v>18</v>
      </c>
      <c r="F198" t="s">
        <v>21</v>
      </c>
      <c r="G198" t="s">
        <v>97</v>
      </c>
      <c r="H198">
        <f>-1/0.6347</f>
        <v>-1.5755475027572081</v>
      </c>
      <c r="I198" t="s">
        <v>17</v>
      </c>
      <c r="J198" t="s">
        <v>23</v>
      </c>
      <c r="O198" t="s">
        <v>100</v>
      </c>
    </row>
    <row r="199" spans="1:15" x14ac:dyDescent="0.25">
      <c r="A199" t="s">
        <v>15</v>
      </c>
      <c r="B199" t="s">
        <v>102</v>
      </c>
      <c r="C199" t="s">
        <v>102</v>
      </c>
      <c r="D199" t="s">
        <v>17</v>
      </c>
      <c r="E199" t="s">
        <v>18</v>
      </c>
      <c r="F199" t="s">
        <v>21</v>
      </c>
      <c r="G199" t="s">
        <v>94</v>
      </c>
      <c r="H199">
        <f>-0.01/0.6347</f>
        <v>-1.5755475027572081E-2</v>
      </c>
      <c r="I199" t="s">
        <v>17</v>
      </c>
      <c r="J199" t="s">
        <v>23</v>
      </c>
      <c r="O199" t="s">
        <v>100</v>
      </c>
    </row>
    <row r="200" spans="1:15" x14ac:dyDescent="0.25">
      <c r="A200" t="s">
        <v>15</v>
      </c>
      <c r="B200" t="s">
        <v>102</v>
      </c>
      <c r="C200" t="s">
        <v>102</v>
      </c>
      <c r="D200" t="s">
        <v>17</v>
      </c>
      <c r="E200" t="s">
        <v>18</v>
      </c>
      <c r="F200" t="s">
        <v>21</v>
      </c>
      <c r="G200" t="s">
        <v>95</v>
      </c>
      <c r="H200">
        <f>-0.42/0.6347</f>
        <v>-0.66172995115802735</v>
      </c>
      <c r="I200" t="s">
        <v>17</v>
      </c>
      <c r="J200" t="s">
        <v>23</v>
      </c>
      <c r="O200" t="s">
        <v>100</v>
      </c>
    </row>
    <row r="201" spans="1:15" x14ac:dyDescent="0.25">
      <c r="A201" t="s">
        <v>15</v>
      </c>
      <c r="B201" t="s">
        <v>102</v>
      </c>
      <c r="C201" t="s">
        <v>102</v>
      </c>
      <c r="D201" t="s">
        <v>17</v>
      </c>
      <c r="E201" t="s">
        <v>18</v>
      </c>
      <c r="F201" t="s">
        <v>21</v>
      </c>
      <c r="G201" t="s">
        <v>26</v>
      </c>
      <c r="H201">
        <f>-1.62/0.6347</f>
        <v>-2.5523869544666771</v>
      </c>
      <c r="I201" t="s">
        <v>17</v>
      </c>
      <c r="J201" t="s">
        <v>23</v>
      </c>
      <c r="O201" t="s">
        <v>100</v>
      </c>
    </row>
    <row r="202" spans="1:15" x14ac:dyDescent="0.25">
      <c r="A202" t="s">
        <v>15</v>
      </c>
      <c r="B202" t="s">
        <v>102</v>
      </c>
      <c r="C202" t="s">
        <v>102</v>
      </c>
      <c r="D202" t="s">
        <v>17</v>
      </c>
      <c r="E202" t="s">
        <v>18</v>
      </c>
      <c r="F202" t="s">
        <v>21</v>
      </c>
      <c r="G202" t="s">
        <v>57</v>
      </c>
      <c r="H202">
        <f>134.45/0.6347</f>
        <v>211.83236174570661</v>
      </c>
      <c r="I202" t="s">
        <v>17</v>
      </c>
      <c r="J202" t="s">
        <v>23</v>
      </c>
      <c r="O202" t="s">
        <v>100</v>
      </c>
    </row>
    <row r="203" spans="1:15" x14ac:dyDescent="0.25">
      <c r="A203" t="s">
        <v>15</v>
      </c>
      <c r="B203" t="s">
        <v>103</v>
      </c>
      <c r="C203" t="s">
        <v>103</v>
      </c>
      <c r="D203" t="s">
        <v>17</v>
      </c>
      <c r="E203" t="s">
        <v>18</v>
      </c>
      <c r="F203" t="s">
        <v>15</v>
      </c>
      <c r="G203" t="s">
        <v>103</v>
      </c>
      <c r="H203">
        <v>1</v>
      </c>
      <c r="I203" t="s">
        <v>17</v>
      </c>
      <c r="J203" t="s">
        <v>19</v>
      </c>
      <c r="O203" t="s">
        <v>65</v>
      </c>
    </row>
    <row r="204" spans="1:15" x14ac:dyDescent="0.25">
      <c r="A204" t="s">
        <v>15</v>
      </c>
      <c r="B204" t="s">
        <v>103</v>
      </c>
      <c r="C204" t="s">
        <v>103</v>
      </c>
      <c r="D204" t="s">
        <v>17</v>
      </c>
      <c r="E204" t="s">
        <v>18</v>
      </c>
      <c r="F204" t="s">
        <v>21</v>
      </c>
      <c r="G204" t="s">
        <v>55</v>
      </c>
      <c r="H204">
        <v>1</v>
      </c>
      <c r="I204" t="s">
        <v>17</v>
      </c>
      <c r="J204" t="s">
        <v>23</v>
      </c>
      <c r="O204" t="s">
        <v>65</v>
      </c>
    </row>
    <row r="205" spans="1:15" x14ac:dyDescent="0.25">
      <c r="A205" t="s">
        <v>15</v>
      </c>
      <c r="B205" t="s">
        <v>103</v>
      </c>
      <c r="C205" t="s">
        <v>103</v>
      </c>
      <c r="D205" t="s">
        <v>17</v>
      </c>
      <c r="E205" t="s">
        <v>18</v>
      </c>
      <c r="F205" t="s">
        <v>21</v>
      </c>
      <c r="G205" t="s">
        <v>66</v>
      </c>
      <c r="H205">
        <v>2.88</v>
      </c>
      <c r="I205" t="s">
        <v>17</v>
      </c>
      <c r="J205" t="s">
        <v>23</v>
      </c>
      <c r="O205" t="s">
        <v>65</v>
      </c>
    </row>
    <row r="206" spans="1:15" x14ac:dyDescent="0.25">
      <c r="A206" t="s">
        <v>15</v>
      </c>
      <c r="B206" t="s">
        <v>103</v>
      </c>
      <c r="C206" t="s">
        <v>103</v>
      </c>
      <c r="D206" t="s">
        <v>17</v>
      </c>
      <c r="E206" t="s">
        <v>18</v>
      </c>
      <c r="F206" t="s">
        <v>21</v>
      </c>
      <c r="G206" t="s">
        <v>67</v>
      </c>
      <c r="H206">
        <v>0.43</v>
      </c>
      <c r="I206" t="s">
        <v>17</v>
      </c>
      <c r="J206" t="s">
        <v>23</v>
      </c>
      <c r="O206" t="s">
        <v>65</v>
      </c>
    </row>
    <row r="207" spans="1:15" x14ac:dyDescent="0.25">
      <c r="A207" t="s">
        <v>15</v>
      </c>
      <c r="B207" t="s">
        <v>103</v>
      </c>
      <c r="C207" t="s">
        <v>103</v>
      </c>
      <c r="D207" t="s">
        <v>17</v>
      </c>
      <c r="E207" t="s">
        <v>18</v>
      </c>
      <c r="F207" t="s">
        <v>21</v>
      </c>
      <c r="G207" t="s">
        <v>29</v>
      </c>
      <c r="H207">
        <f>1095/1000</f>
        <v>1.095</v>
      </c>
      <c r="I207" t="s">
        <v>30</v>
      </c>
      <c r="J207" t="s">
        <v>23</v>
      </c>
      <c r="O207" t="s">
        <v>65</v>
      </c>
    </row>
    <row r="208" spans="1:15" x14ac:dyDescent="0.25">
      <c r="A208" t="s">
        <v>15</v>
      </c>
      <c r="B208" t="s">
        <v>103</v>
      </c>
      <c r="C208" t="s">
        <v>103</v>
      </c>
      <c r="D208" t="s">
        <v>17</v>
      </c>
      <c r="E208" t="s">
        <v>18</v>
      </c>
      <c r="F208" t="s">
        <v>21</v>
      </c>
      <c r="G208" t="s">
        <v>33</v>
      </c>
      <c r="H208">
        <f>2947*3.6/1000</f>
        <v>10.609200000000001</v>
      </c>
      <c r="I208" t="s">
        <v>34</v>
      </c>
      <c r="J208" t="s">
        <v>23</v>
      </c>
      <c r="O208" t="s">
        <v>65</v>
      </c>
    </row>
    <row r="209" spans="1:15" x14ac:dyDescent="0.25">
      <c r="A209" t="s">
        <v>15</v>
      </c>
      <c r="B209" t="s">
        <v>103</v>
      </c>
      <c r="C209" t="s">
        <v>103</v>
      </c>
      <c r="D209" t="s">
        <v>17</v>
      </c>
      <c r="E209" t="s">
        <v>18</v>
      </c>
      <c r="F209" t="s">
        <v>21</v>
      </c>
      <c r="G209" t="s">
        <v>58</v>
      </c>
      <c r="H209">
        <v>-1.1399999999999999</v>
      </c>
      <c r="I209" t="s">
        <v>17</v>
      </c>
      <c r="J209" t="s">
        <v>23</v>
      </c>
      <c r="O209" t="s">
        <v>65</v>
      </c>
    </row>
    <row r="210" spans="1:15" x14ac:dyDescent="0.25">
      <c r="A210" t="s">
        <v>15</v>
      </c>
      <c r="B210" t="s">
        <v>103</v>
      </c>
      <c r="C210" t="s">
        <v>103</v>
      </c>
      <c r="D210" t="s">
        <v>17</v>
      </c>
      <c r="E210" t="s">
        <v>18</v>
      </c>
      <c r="F210" t="s">
        <v>21</v>
      </c>
      <c r="G210" t="s">
        <v>67</v>
      </c>
      <c r="H210">
        <v>-0.43</v>
      </c>
      <c r="I210" t="s">
        <v>17</v>
      </c>
      <c r="J210" t="s">
        <v>23</v>
      </c>
      <c r="O210" t="s">
        <v>65</v>
      </c>
    </row>
    <row r="211" spans="1:15" x14ac:dyDescent="0.25">
      <c r="A211" t="s">
        <v>15</v>
      </c>
      <c r="B211" t="s">
        <v>103</v>
      </c>
      <c r="C211" t="s">
        <v>103</v>
      </c>
      <c r="D211" t="s">
        <v>17</v>
      </c>
      <c r="E211" t="s">
        <v>18</v>
      </c>
      <c r="F211" t="s">
        <v>21</v>
      </c>
      <c r="G211" t="s">
        <v>66</v>
      </c>
      <c r="H211">
        <v>-0.49</v>
      </c>
      <c r="I211" t="s">
        <v>17</v>
      </c>
      <c r="J211" t="s">
        <v>23</v>
      </c>
      <c r="O211" t="s">
        <v>65</v>
      </c>
    </row>
    <row r="212" spans="1:15" x14ac:dyDescent="0.25">
      <c r="A212" t="s">
        <v>15</v>
      </c>
      <c r="B212" t="s">
        <v>104</v>
      </c>
      <c r="C212" t="s">
        <v>104</v>
      </c>
      <c r="D212" t="s">
        <v>17</v>
      </c>
      <c r="E212" t="s">
        <v>18</v>
      </c>
      <c r="F212" t="s">
        <v>15</v>
      </c>
      <c r="G212" t="s">
        <v>104</v>
      </c>
      <c r="H212">
        <v>1</v>
      </c>
      <c r="I212" t="s">
        <v>17</v>
      </c>
      <c r="J212" t="s">
        <v>19</v>
      </c>
      <c r="O212" t="s">
        <v>105</v>
      </c>
    </row>
    <row r="213" spans="1:15" x14ac:dyDescent="0.25">
      <c r="A213" t="s">
        <v>15</v>
      </c>
      <c r="B213" t="s">
        <v>104</v>
      </c>
      <c r="C213" t="s">
        <v>104</v>
      </c>
      <c r="D213" t="s">
        <v>17</v>
      </c>
      <c r="E213" t="s">
        <v>18</v>
      </c>
      <c r="F213" t="s">
        <v>21</v>
      </c>
      <c r="G213" t="s">
        <v>55</v>
      </c>
      <c r="H213">
        <v>1</v>
      </c>
      <c r="I213" t="s">
        <v>17</v>
      </c>
      <c r="J213" t="s">
        <v>23</v>
      </c>
      <c r="O213" t="s">
        <v>105</v>
      </c>
    </row>
    <row r="214" spans="1:15" x14ac:dyDescent="0.25">
      <c r="A214" t="s">
        <v>15</v>
      </c>
      <c r="B214" t="s">
        <v>104</v>
      </c>
      <c r="C214" t="s">
        <v>104</v>
      </c>
      <c r="D214" t="s">
        <v>17</v>
      </c>
      <c r="E214" t="s">
        <v>18</v>
      </c>
      <c r="F214" t="s">
        <v>21</v>
      </c>
      <c r="G214" s="3" t="s">
        <v>24</v>
      </c>
      <c r="H214">
        <f>2167/437</f>
        <v>4.9588100686498855</v>
      </c>
      <c r="I214" t="s">
        <v>17</v>
      </c>
      <c r="J214" t="s">
        <v>23</v>
      </c>
      <c r="O214" t="s">
        <v>105</v>
      </c>
    </row>
    <row r="215" spans="1:15" x14ac:dyDescent="0.25">
      <c r="A215" t="s">
        <v>15</v>
      </c>
      <c r="B215" t="s">
        <v>104</v>
      </c>
      <c r="C215" t="s">
        <v>104</v>
      </c>
      <c r="D215" t="s">
        <v>17</v>
      </c>
      <c r="E215" t="s">
        <v>18</v>
      </c>
      <c r="F215" t="s">
        <v>21</v>
      </c>
      <c r="G215" t="s">
        <v>26</v>
      </c>
      <c r="H215">
        <f>3030/437</f>
        <v>6.9336384439359264</v>
      </c>
      <c r="I215" t="s">
        <v>17</v>
      </c>
      <c r="J215" t="s">
        <v>23</v>
      </c>
      <c r="O215" t="s">
        <v>105</v>
      </c>
    </row>
    <row r="216" spans="1:15" x14ac:dyDescent="0.25">
      <c r="A216" t="s">
        <v>15</v>
      </c>
      <c r="B216" t="s">
        <v>104</v>
      </c>
      <c r="C216" t="s">
        <v>104</v>
      </c>
      <c r="D216" t="s">
        <v>17</v>
      </c>
      <c r="E216" t="s">
        <v>18</v>
      </c>
      <c r="F216" t="s">
        <v>21</v>
      </c>
      <c r="G216" t="s">
        <v>106</v>
      </c>
      <c r="H216">
        <f>1430/437</f>
        <v>3.2723112128146452</v>
      </c>
      <c r="I216" t="s">
        <v>17</v>
      </c>
      <c r="J216" t="s">
        <v>23</v>
      </c>
      <c r="O216" t="s">
        <v>105</v>
      </c>
    </row>
    <row r="217" spans="1:15" x14ac:dyDescent="0.25">
      <c r="A217" t="s">
        <v>15</v>
      </c>
      <c r="B217" t="s">
        <v>104</v>
      </c>
      <c r="C217" t="s">
        <v>104</v>
      </c>
      <c r="D217" t="s">
        <v>17</v>
      </c>
      <c r="E217" t="s">
        <v>18</v>
      </c>
      <c r="F217" t="s">
        <v>21</v>
      </c>
      <c r="G217" t="s">
        <v>29</v>
      </c>
      <c r="H217">
        <f>172/437</f>
        <v>0.39359267734553777</v>
      </c>
      <c r="I217" t="s">
        <v>30</v>
      </c>
      <c r="J217" t="s">
        <v>23</v>
      </c>
      <c r="O217" t="s">
        <v>105</v>
      </c>
    </row>
    <row r="218" spans="1:15" x14ac:dyDescent="0.25">
      <c r="A218" t="s">
        <v>15</v>
      </c>
      <c r="B218" t="s">
        <v>104</v>
      </c>
      <c r="C218" t="s">
        <v>104</v>
      </c>
      <c r="D218" t="s">
        <v>17</v>
      </c>
      <c r="E218" t="s">
        <v>18</v>
      </c>
      <c r="F218" t="s">
        <v>21</v>
      </c>
      <c r="G218" t="s">
        <v>79</v>
      </c>
      <c r="H218">
        <f>60*3.6/(437*2.75)</f>
        <v>0.17973788225504472</v>
      </c>
      <c r="I218" t="s">
        <v>17</v>
      </c>
      <c r="J218" t="s">
        <v>23</v>
      </c>
      <c r="O218" t="s">
        <v>107</v>
      </c>
    </row>
    <row r="219" spans="1:15" x14ac:dyDescent="0.25">
      <c r="A219" t="s">
        <v>15</v>
      </c>
      <c r="B219" t="s">
        <v>104</v>
      </c>
      <c r="C219" t="s">
        <v>104</v>
      </c>
      <c r="D219" t="s">
        <v>17</v>
      </c>
      <c r="E219" t="s">
        <v>18</v>
      </c>
      <c r="F219" t="s">
        <v>21</v>
      </c>
      <c r="G219" t="s">
        <v>57</v>
      </c>
      <c r="H219">
        <f>2050/437</f>
        <v>4.6910755148741421</v>
      </c>
      <c r="I219" t="s">
        <v>17</v>
      </c>
      <c r="J219" t="s">
        <v>23</v>
      </c>
      <c r="O219" t="s">
        <v>105</v>
      </c>
    </row>
    <row r="220" spans="1:15" x14ac:dyDescent="0.25">
      <c r="A220" t="s">
        <v>15</v>
      </c>
      <c r="B220" t="s">
        <v>104</v>
      </c>
      <c r="C220" t="s">
        <v>104</v>
      </c>
      <c r="D220" t="s">
        <v>17</v>
      </c>
      <c r="E220" t="s">
        <v>18</v>
      </c>
      <c r="F220" t="s">
        <v>21</v>
      </c>
      <c r="G220" s="3" t="s">
        <v>88</v>
      </c>
      <c r="H220">
        <f>1390/437</f>
        <v>3.1807780320366135</v>
      </c>
      <c r="I220" t="s">
        <v>17</v>
      </c>
      <c r="J220" t="s">
        <v>23</v>
      </c>
      <c r="O220" t="s">
        <v>105</v>
      </c>
    </row>
    <row r="221" spans="1:15" x14ac:dyDescent="0.25">
      <c r="A221" t="s">
        <v>15</v>
      </c>
      <c r="B221" t="s">
        <v>108</v>
      </c>
      <c r="C221" t="s">
        <v>108</v>
      </c>
      <c r="D221" t="s">
        <v>17</v>
      </c>
      <c r="E221" t="s">
        <v>18</v>
      </c>
      <c r="F221" t="s">
        <v>15</v>
      </c>
      <c r="G221" t="s">
        <v>108</v>
      </c>
      <c r="H221">
        <v>1</v>
      </c>
      <c r="I221" t="s">
        <v>17</v>
      </c>
      <c r="J221" t="s">
        <v>19</v>
      </c>
      <c r="O221" t="s">
        <v>82</v>
      </c>
    </row>
    <row r="222" spans="1:15" x14ac:dyDescent="0.25">
      <c r="A222" t="s">
        <v>15</v>
      </c>
      <c r="B222" t="s">
        <v>108</v>
      </c>
      <c r="C222" t="s">
        <v>108</v>
      </c>
      <c r="D222" t="s">
        <v>17</v>
      </c>
      <c r="E222" t="s">
        <v>18</v>
      </c>
      <c r="F222" t="s">
        <v>21</v>
      </c>
      <c r="G222" s="3" t="s">
        <v>55</v>
      </c>
      <c r="H222">
        <v>1</v>
      </c>
      <c r="I222" t="s">
        <v>17</v>
      </c>
      <c r="J222" t="s">
        <v>23</v>
      </c>
      <c r="O222" t="s">
        <v>82</v>
      </c>
    </row>
    <row r="223" spans="1:15" x14ac:dyDescent="0.25">
      <c r="A223" t="s">
        <v>15</v>
      </c>
      <c r="B223" t="s">
        <v>108</v>
      </c>
      <c r="C223" t="s">
        <v>108</v>
      </c>
      <c r="D223" t="s">
        <v>17</v>
      </c>
      <c r="E223" t="s">
        <v>18</v>
      </c>
      <c r="F223" t="s">
        <v>21</v>
      </c>
      <c r="G223" s="3" t="s">
        <v>83</v>
      </c>
      <c r="H223">
        <f>2.8947/1.0334</f>
        <v>2.8011418618153665</v>
      </c>
      <c r="I223" t="s">
        <v>17</v>
      </c>
      <c r="J223" t="s">
        <v>23</v>
      </c>
      <c r="O223" t="s">
        <v>82</v>
      </c>
    </row>
    <row r="224" spans="1:15" x14ac:dyDescent="0.25">
      <c r="A224" t="s">
        <v>15</v>
      </c>
      <c r="B224" t="s">
        <v>108</v>
      </c>
      <c r="C224" t="s">
        <v>108</v>
      </c>
      <c r="D224" t="s">
        <v>17</v>
      </c>
      <c r="E224" t="s">
        <v>18</v>
      </c>
      <c r="F224" t="s">
        <v>21</v>
      </c>
      <c r="G224" s="3" t="s">
        <v>33</v>
      </c>
      <c r="H224">
        <f>6.692*3.6/1.0334</f>
        <v>23.312560479969033</v>
      </c>
      <c r="I224" t="s">
        <v>34</v>
      </c>
      <c r="J224" t="s">
        <v>23</v>
      </c>
      <c r="O224" t="s">
        <v>82</v>
      </c>
    </row>
    <row r="225" spans="1:15" x14ac:dyDescent="0.25">
      <c r="A225" t="s">
        <v>15</v>
      </c>
      <c r="B225" t="s">
        <v>109</v>
      </c>
      <c r="C225" t="s">
        <v>109</v>
      </c>
      <c r="D225" t="s">
        <v>17</v>
      </c>
      <c r="E225" t="s">
        <v>18</v>
      </c>
      <c r="F225" t="s">
        <v>15</v>
      </c>
      <c r="G225" t="s">
        <v>109</v>
      </c>
      <c r="H225">
        <v>1</v>
      </c>
      <c r="I225" t="s">
        <v>17</v>
      </c>
      <c r="J225" t="s">
        <v>19</v>
      </c>
      <c r="O225" t="s">
        <v>110</v>
      </c>
    </row>
    <row r="226" spans="1:15" x14ac:dyDescent="0.25">
      <c r="A226" t="s">
        <v>15</v>
      </c>
      <c r="B226" t="s">
        <v>109</v>
      </c>
      <c r="C226" t="s">
        <v>109</v>
      </c>
      <c r="D226" t="s">
        <v>17</v>
      </c>
      <c r="E226" t="s">
        <v>18</v>
      </c>
      <c r="F226" t="s">
        <v>21</v>
      </c>
      <c r="G226" t="s">
        <v>22</v>
      </c>
      <c r="H226">
        <v>1</v>
      </c>
      <c r="I226" t="s">
        <v>17</v>
      </c>
      <c r="J226" t="s">
        <v>23</v>
      </c>
      <c r="O226" t="s">
        <v>110</v>
      </c>
    </row>
    <row r="227" spans="1:15" x14ac:dyDescent="0.25">
      <c r="A227" t="s">
        <v>15</v>
      </c>
      <c r="B227" t="s">
        <v>109</v>
      </c>
      <c r="C227" t="s">
        <v>109</v>
      </c>
      <c r="D227" t="s">
        <v>17</v>
      </c>
      <c r="E227" t="s">
        <v>18</v>
      </c>
      <c r="F227" t="s">
        <v>21</v>
      </c>
      <c r="G227" t="s">
        <v>83</v>
      </c>
      <c r="H227">
        <f>2100/1000</f>
        <v>2.1</v>
      </c>
      <c r="I227" t="s">
        <v>17</v>
      </c>
      <c r="J227" t="s">
        <v>23</v>
      </c>
      <c r="O227" t="s">
        <v>110</v>
      </c>
    </row>
    <row r="228" spans="1:15" x14ac:dyDescent="0.25">
      <c r="A228" t="s">
        <v>15</v>
      </c>
      <c r="B228" t="s">
        <v>109</v>
      </c>
      <c r="C228" t="s">
        <v>109</v>
      </c>
      <c r="D228" t="s">
        <v>17</v>
      </c>
      <c r="E228" t="s">
        <v>18</v>
      </c>
      <c r="F228" t="s">
        <v>21</v>
      </c>
      <c r="G228" t="s">
        <v>111</v>
      </c>
      <c r="H228">
        <f>25/1000</f>
        <v>2.5000000000000001E-2</v>
      </c>
      <c r="I228" t="s">
        <v>17</v>
      </c>
      <c r="J228" t="s">
        <v>23</v>
      </c>
      <c r="O228" t="s">
        <v>110</v>
      </c>
    </row>
    <row r="229" spans="1:15" x14ac:dyDescent="0.25">
      <c r="A229" t="s">
        <v>15</v>
      </c>
      <c r="B229" t="s">
        <v>109</v>
      </c>
      <c r="C229" t="s">
        <v>109</v>
      </c>
      <c r="D229" t="s">
        <v>17</v>
      </c>
      <c r="E229" t="s">
        <v>18</v>
      </c>
      <c r="F229" t="s">
        <v>21</v>
      </c>
      <c r="G229" t="s">
        <v>112</v>
      </c>
      <c r="H229">
        <f>404/1000</f>
        <v>0.40400000000000003</v>
      </c>
      <c r="I229" t="s">
        <v>17</v>
      </c>
      <c r="J229" t="s">
        <v>23</v>
      </c>
      <c r="O229" t="s">
        <v>110</v>
      </c>
    </row>
    <row r="230" spans="1:15" x14ac:dyDescent="0.25">
      <c r="A230" t="s">
        <v>15</v>
      </c>
      <c r="B230" t="s">
        <v>109</v>
      </c>
      <c r="C230" t="s">
        <v>109</v>
      </c>
      <c r="D230" t="s">
        <v>17</v>
      </c>
      <c r="E230" t="s">
        <v>18</v>
      </c>
      <c r="F230" t="s">
        <v>21</v>
      </c>
      <c r="G230" t="s">
        <v>29</v>
      </c>
      <c r="H230">
        <f>(38+290)/1000 +0.1314</f>
        <v>0.45940000000000003</v>
      </c>
      <c r="I230" t="s">
        <v>30</v>
      </c>
      <c r="J230" t="s">
        <v>23</v>
      </c>
      <c r="O230" t="s">
        <v>110</v>
      </c>
    </row>
    <row r="231" spans="1:15" x14ac:dyDescent="0.25">
      <c r="A231" t="s">
        <v>15</v>
      </c>
      <c r="B231" t="s">
        <v>109</v>
      </c>
      <c r="C231" t="s">
        <v>109</v>
      </c>
      <c r="D231" t="s">
        <v>17</v>
      </c>
      <c r="E231" t="s">
        <v>18</v>
      </c>
      <c r="F231" t="s">
        <v>21</v>
      </c>
      <c r="G231" t="s">
        <v>33</v>
      </c>
      <c r="H231">
        <f>11900/1000</f>
        <v>11.9</v>
      </c>
      <c r="I231" t="s">
        <v>34</v>
      </c>
      <c r="J231" t="s">
        <v>23</v>
      </c>
      <c r="O231" t="s">
        <v>110</v>
      </c>
    </row>
    <row r="232" spans="1:15" x14ac:dyDescent="0.25">
      <c r="A232" t="s">
        <v>15</v>
      </c>
      <c r="B232" t="s">
        <v>109</v>
      </c>
      <c r="C232" t="s">
        <v>109</v>
      </c>
      <c r="D232" t="s">
        <v>17</v>
      </c>
      <c r="E232" t="s">
        <v>18</v>
      </c>
      <c r="F232" t="s">
        <v>21</v>
      </c>
      <c r="G232" t="s">
        <v>67</v>
      </c>
      <c r="H232">
        <f>-(231.533/88.851)*(4/12)*(450/1000)</f>
        <v>-0.39087854948171658</v>
      </c>
      <c r="I232" t="s">
        <v>17</v>
      </c>
      <c r="J232" t="s">
        <v>23</v>
      </c>
      <c r="O232" t="s">
        <v>110</v>
      </c>
    </row>
    <row r="233" spans="1:15" x14ac:dyDescent="0.25">
      <c r="A233" t="s">
        <v>15</v>
      </c>
      <c r="B233" t="s">
        <v>109</v>
      </c>
      <c r="C233" t="s">
        <v>109</v>
      </c>
      <c r="D233" t="s">
        <v>17</v>
      </c>
      <c r="E233" t="s">
        <v>18</v>
      </c>
      <c r="F233" t="s">
        <v>21</v>
      </c>
      <c r="G233" t="s">
        <v>33</v>
      </c>
      <c r="H233">
        <f>-(15700+1940)/1000</f>
        <v>-17.64</v>
      </c>
      <c r="I233" t="s">
        <v>34</v>
      </c>
      <c r="J233" t="s">
        <v>23</v>
      </c>
      <c r="O233" t="s">
        <v>110</v>
      </c>
    </row>
    <row r="234" spans="1:15" x14ac:dyDescent="0.25">
      <c r="A234" t="s">
        <v>15</v>
      </c>
      <c r="B234" t="s">
        <v>109</v>
      </c>
      <c r="C234" t="s">
        <v>109</v>
      </c>
      <c r="D234" t="s">
        <v>17</v>
      </c>
      <c r="E234" t="s">
        <v>18</v>
      </c>
      <c r="F234" t="s">
        <v>21</v>
      </c>
      <c r="G234" t="s">
        <v>29</v>
      </c>
      <c r="H234">
        <f>-79/1000</f>
        <v>-7.9000000000000001E-2</v>
      </c>
      <c r="I234" t="s">
        <v>30</v>
      </c>
      <c r="J234" t="s">
        <v>23</v>
      </c>
      <c r="O234" t="s">
        <v>110</v>
      </c>
    </row>
    <row r="235" spans="1:15" ht="15" customHeight="1" x14ac:dyDescent="0.25">
      <c r="A235" t="s">
        <v>15</v>
      </c>
      <c r="B235" t="s">
        <v>113</v>
      </c>
      <c r="C235" t="s">
        <v>113</v>
      </c>
      <c r="D235" t="s">
        <v>17</v>
      </c>
      <c r="E235" t="s">
        <v>18</v>
      </c>
      <c r="F235" t="s">
        <v>15</v>
      </c>
      <c r="G235" t="s">
        <v>113</v>
      </c>
      <c r="H235">
        <v>1</v>
      </c>
      <c r="I235" t="s">
        <v>17</v>
      </c>
      <c r="J235" t="s">
        <v>19</v>
      </c>
      <c r="O235" t="s">
        <v>114</v>
      </c>
    </row>
    <row r="236" spans="1:15" x14ac:dyDescent="0.25">
      <c r="A236" t="s">
        <v>15</v>
      </c>
      <c r="B236" t="s">
        <v>113</v>
      </c>
      <c r="C236" t="s">
        <v>113</v>
      </c>
      <c r="D236" t="s">
        <v>17</v>
      </c>
      <c r="E236" t="s">
        <v>18</v>
      </c>
      <c r="F236" t="s">
        <v>21</v>
      </c>
      <c r="G236" t="s">
        <v>22</v>
      </c>
      <c r="H236">
        <v>1</v>
      </c>
      <c r="I236" t="s">
        <v>17</v>
      </c>
      <c r="J236" t="s">
        <v>23</v>
      </c>
      <c r="O236" t="s">
        <v>114</v>
      </c>
    </row>
    <row r="237" spans="1:15" x14ac:dyDescent="0.25">
      <c r="A237" t="s">
        <v>15</v>
      </c>
      <c r="B237" t="s">
        <v>113</v>
      </c>
      <c r="C237" t="s">
        <v>113</v>
      </c>
      <c r="D237" t="s">
        <v>17</v>
      </c>
      <c r="E237" t="s">
        <v>18</v>
      </c>
      <c r="F237" t="s">
        <v>21</v>
      </c>
      <c r="G237" t="s">
        <v>83</v>
      </c>
      <c r="H237">
        <f>2529/1000</f>
        <v>2.5289999999999999</v>
      </c>
      <c r="I237" t="s">
        <v>17</v>
      </c>
      <c r="J237" t="s">
        <v>23</v>
      </c>
      <c r="O237" t="s">
        <v>114</v>
      </c>
    </row>
    <row r="238" spans="1:15" x14ac:dyDescent="0.25">
      <c r="A238" t="s">
        <v>15</v>
      </c>
      <c r="B238" t="s">
        <v>113</v>
      </c>
      <c r="C238" t="s">
        <v>113</v>
      </c>
      <c r="D238" t="s">
        <v>17</v>
      </c>
      <c r="E238" t="s">
        <v>18</v>
      </c>
      <c r="F238" t="s">
        <v>21</v>
      </c>
      <c r="G238" t="s">
        <v>115</v>
      </c>
      <c r="H238">
        <f>38/1000</f>
        <v>3.7999999999999999E-2</v>
      </c>
      <c r="I238" t="s">
        <v>17</v>
      </c>
      <c r="J238" t="s">
        <v>23</v>
      </c>
      <c r="O238" t="s">
        <v>114</v>
      </c>
    </row>
    <row r="239" spans="1:15" x14ac:dyDescent="0.25">
      <c r="A239" t="s">
        <v>15</v>
      </c>
      <c r="B239" t="s">
        <v>113</v>
      </c>
      <c r="C239" t="s">
        <v>113</v>
      </c>
      <c r="D239" t="s">
        <v>17</v>
      </c>
      <c r="E239" t="s">
        <v>18</v>
      </c>
      <c r="F239" t="s">
        <v>21</v>
      </c>
      <c r="G239" t="s">
        <v>26</v>
      </c>
      <c r="H239">
        <f>400/1000</f>
        <v>0.4</v>
      </c>
      <c r="I239" t="s">
        <v>17</v>
      </c>
      <c r="J239" t="s">
        <v>23</v>
      </c>
      <c r="O239" t="s">
        <v>114</v>
      </c>
    </row>
    <row r="240" spans="1:15" x14ac:dyDescent="0.25">
      <c r="A240" t="s">
        <v>15</v>
      </c>
      <c r="B240" t="s">
        <v>113</v>
      </c>
      <c r="C240" t="s">
        <v>113</v>
      </c>
      <c r="D240" t="s">
        <v>17</v>
      </c>
      <c r="E240" t="s">
        <v>18</v>
      </c>
      <c r="F240" t="s">
        <v>21</v>
      </c>
      <c r="G240" t="s">
        <v>58</v>
      </c>
      <c r="H240">
        <f>920/1000</f>
        <v>0.92</v>
      </c>
      <c r="I240" t="s">
        <v>17</v>
      </c>
      <c r="J240" t="s">
        <v>23</v>
      </c>
      <c r="O240" t="s">
        <v>114</v>
      </c>
    </row>
    <row r="241" spans="1:15" x14ac:dyDescent="0.25">
      <c r="A241" t="s">
        <v>15</v>
      </c>
      <c r="B241" t="s">
        <v>113</v>
      </c>
      <c r="C241" t="s">
        <v>113</v>
      </c>
      <c r="D241" t="s">
        <v>17</v>
      </c>
      <c r="E241" t="s">
        <v>18</v>
      </c>
      <c r="F241" t="s">
        <v>21</v>
      </c>
      <c r="G241" t="s">
        <v>33</v>
      </c>
      <c r="H241">
        <f>2940/1000</f>
        <v>2.94</v>
      </c>
      <c r="I241" t="s">
        <v>34</v>
      </c>
      <c r="J241" t="s">
        <v>23</v>
      </c>
      <c r="O241" t="s">
        <v>114</v>
      </c>
    </row>
    <row r="242" spans="1:15" x14ac:dyDescent="0.25">
      <c r="A242" t="s">
        <v>15</v>
      </c>
      <c r="B242" t="s">
        <v>113</v>
      </c>
      <c r="C242" t="s">
        <v>113</v>
      </c>
      <c r="D242" t="s">
        <v>17</v>
      </c>
      <c r="E242" t="s">
        <v>18</v>
      </c>
      <c r="F242" t="s">
        <v>21</v>
      </c>
      <c r="G242" t="s">
        <v>29</v>
      </c>
      <c r="H242">
        <f>(327+42.4)/1000+0.0598</f>
        <v>0.42919999999999997</v>
      </c>
      <c r="I242" t="s">
        <v>30</v>
      </c>
      <c r="J242" t="s">
        <v>23</v>
      </c>
      <c r="O242" t="s">
        <v>114</v>
      </c>
    </row>
    <row r="243" spans="1:15" x14ac:dyDescent="0.25">
      <c r="A243" t="s">
        <v>15</v>
      </c>
      <c r="B243" t="s">
        <v>113</v>
      </c>
      <c r="C243" t="s">
        <v>113</v>
      </c>
      <c r="D243" t="s">
        <v>17</v>
      </c>
      <c r="E243" t="s">
        <v>18</v>
      </c>
      <c r="F243" t="s">
        <v>21</v>
      </c>
      <c r="G243" t="s">
        <v>67</v>
      </c>
      <c r="H243">
        <f>-(231.533/88.851)*(4/12)*(450/1000)</f>
        <v>-0.39087854948171658</v>
      </c>
      <c r="I243" t="s">
        <v>17</v>
      </c>
      <c r="J243" t="s">
        <v>23</v>
      </c>
      <c r="O243" t="s">
        <v>114</v>
      </c>
    </row>
    <row r="244" spans="1:15" x14ac:dyDescent="0.25">
      <c r="A244" t="s">
        <v>15</v>
      </c>
      <c r="B244" t="s">
        <v>113</v>
      </c>
      <c r="C244" t="s">
        <v>113</v>
      </c>
      <c r="D244" t="s">
        <v>17</v>
      </c>
      <c r="E244" t="s">
        <v>18</v>
      </c>
      <c r="F244" t="s">
        <v>21</v>
      </c>
      <c r="G244" t="s">
        <v>33</v>
      </c>
      <c r="H244">
        <f>-550/1000</f>
        <v>-0.55000000000000004</v>
      </c>
      <c r="I244" t="s">
        <v>34</v>
      </c>
      <c r="J244" t="s">
        <v>23</v>
      </c>
      <c r="O244" t="s">
        <v>114</v>
      </c>
    </row>
    <row r="245" spans="1:15" x14ac:dyDescent="0.25">
      <c r="A245" t="s">
        <v>15</v>
      </c>
      <c r="B245" t="s">
        <v>113</v>
      </c>
      <c r="C245" t="s">
        <v>113</v>
      </c>
      <c r="D245" t="s">
        <v>17</v>
      </c>
      <c r="E245" t="s">
        <v>18</v>
      </c>
      <c r="F245" t="s">
        <v>21</v>
      </c>
      <c r="G245" t="s">
        <v>29</v>
      </c>
      <c r="H245">
        <f>-66/1000</f>
        <v>-6.6000000000000003E-2</v>
      </c>
      <c r="I245" t="s">
        <v>30</v>
      </c>
      <c r="J245" t="s">
        <v>23</v>
      </c>
      <c r="O245" t="s">
        <v>114</v>
      </c>
    </row>
    <row r="246" spans="1:15" x14ac:dyDescent="0.25">
      <c r="A246" t="s">
        <v>15</v>
      </c>
      <c r="B246" t="s">
        <v>116</v>
      </c>
      <c r="C246" t="s">
        <v>116</v>
      </c>
      <c r="D246" t="s">
        <v>17</v>
      </c>
      <c r="E246" t="s">
        <v>18</v>
      </c>
      <c r="F246" t="s">
        <v>15</v>
      </c>
      <c r="G246" t="s">
        <v>116</v>
      </c>
      <c r="H246">
        <v>1</v>
      </c>
      <c r="I246" t="s">
        <v>17</v>
      </c>
      <c r="J246" t="s">
        <v>19</v>
      </c>
      <c r="O246" t="s">
        <v>65</v>
      </c>
    </row>
    <row r="247" spans="1:15" x14ac:dyDescent="0.25">
      <c r="A247" t="s">
        <v>15</v>
      </c>
      <c r="B247" t="s">
        <v>116</v>
      </c>
      <c r="C247" t="s">
        <v>116</v>
      </c>
      <c r="D247" t="s">
        <v>17</v>
      </c>
      <c r="E247" t="s">
        <v>18</v>
      </c>
      <c r="F247" t="s">
        <v>21</v>
      </c>
      <c r="G247" t="s">
        <v>22</v>
      </c>
      <c r="H247">
        <v>1</v>
      </c>
      <c r="I247" t="s">
        <v>17</v>
      </c>
      <c r="J247" t="s">
        <v>23</v>
      </c>
      <c r="O247" t="s">
        <v>65</v>
      </c>
    </row>
    <row r="248" spans="1:15" ht="15" customHeight="1" x14ac:dyDescent="0.25">
      <c r="A248" t="s">
        <v>15</v>
      </c>
      <c r="B248" t="s">
        <v>116</v>
      </c>
      <c r="C248" t="s">
        <v>116</v>
      </c>
      <c r="D248" t="s">
        <v>17</v>
      </c>
      <c r="E248" t="s">
        <v>18</v>
      </c>
      <c r="F248" t="s">
        <v>21</v>
      </c>
      <c r="G248" t="s">
        <v>66</v>
      </c>
      <c r="H248">
        <v>3.85</v>
      </c>
      <c r="I248" t="s">
        <v>17</v>
      </c>
      <c r="J248" t="s">
        <v>23</v>
      </c>
      <c r="O248" t="s">
        <v>65</v>
      </c>
    </row>
    <row r="249" spans="1:15" x14ac:dyDescent="0.25">
      <c r="A249" t="s">
        <v>15</v>
      </c>
      <c r="B249" t="s">
        <v>116</v>
      </c>
      <c r="C249" t="s">
        <v>116</v>
      </c>
      <c r="D249" t="s">
        <v>17</v>
      </c>
      <c r="E249" t="s">
        <v>18</v>
      </c>
      <c r="F249" t="s">
        <v>21</v>
      </c>
      <c r="G249" t="s">
        <v>67</v>
      </c>
      <c r="H249">
        <v>0.43</v>
      </c>
      <c r="I249" t="s">
        <v>17</v>
      </c>
      <c r="J249" t="s">
        <v>23</v>
      </c>
      <c r="O249" t="s">
        <v>65</v>
      </c>
    </row>
    <row r="250" spans="1:15" x14ac:dyDescent="0.25">
      <c r="A250" t="s">
        <v>15</v>
      </c>
      <c r="B250" t="s">
        <v>116</v>
      </c>
      <c r="C250" t="s">
        <v>116</v>
      </c>
      <c r="D250" t="s">
        <v>17</v>
      </c>
      <c r="E250" t="s">
        <v>18</v>
      </c>
      <c r="F250" t="s">
        <v>21</v>
      </c>
      <c r="G250" t="s">
        <v>29</v>
      </c>
      <c r="H250">
        <f>161/1000</f>
        <v>0.161</v>
      </c>
      <c r="I250" t="s">
        <v>30</v>
      </c>
      <c r="J250" t="s">
        <v>23</v>
      </c>
      <c r="O250" t="s">
        <v>65</v>
      </c>
    </row>
    <row r="251" spans="1:15" x14ac:dyDescent="0.25">
      <c r="A251" t="s">
        <v>15</v>
      </c>
      <c r="B251" t="s">
        <v>116</v>
      </c>
      <c r="C251" t="s">
        <v>116</v>
      </c>
      <c r="D251" t="s">
        <v>17</v>
      </c>
      <c r="E251" t="s">
        <v>18</v>
      </c>
      <c r="F251" t="s">
        <v>21</v>
      </c>
      <c r="G251" t="s">
        <v>33</v>
      </c>
      <c r="H251">
        <f>2896*3.6/1000</f>
        <v>10.425600000000001</v>
      </c>
      <c r="I251" t="s">
        <v>34</v>
      </c>
      <c r="J251" t="s">
        <v>23</v>
      </c>
      <c r="O251" t="s">
        <v>65</v>
      </c>
    </row>
    <row r="252" spans="1:15" x14ac:dyDescent="0.25">
      <c r="A252" t="s">
        <v>15</v>
      </c>
      <c r="B252" t="s">
        <v>116</v>
      </c>
      <c r="C252" t="s">
        <v>116</v>
      </c>
      <c r="D252" t="s">
        <v>17</v>
      </c>
      <c r="E252" t="s">
        <v>18</v>
      </c>
      <c r="F252" t="s">
        <v>21</v>
      </c>
      <c r="G252" t="s">
        <v>58</v>
      </c>
      <c r="H252">
        <v>-1.67</v>
      </c>
      <c r="I252" t="s">
        <v>17</v>
      </c>
      <c r="J252" t="s">
        <v>23</v>
      </c>
      <c r="O252" t="s">
        <v>65</v>
      </c>
    </row>
    <row r="253" spans="1:15" x14ac:dyDescent="0.25">
      <c r="A253" t="s">
        <v>15</v>
      </c>
      <c r="B253" t="s">
        <v>116</v>
      </c>
      <c r="C253" t="s">
        <v>116</v>
      </c>
      <c r="D253" t="s">
        <v>17</v>
      </c>
      <c r="E253" t="s">
        <v>18</v>
      </c>
      <c r="F253" t="s">
        <v>21</v>
      </c>
      <c r="G253" t="s">
        <v>67</v>
      </c>
      <c r="H253">
        <v>-0.43</v>
      </c>
      <c r="I253" t="s">
        <v>17</v>
      </c>
      <c r="J253" t="s">
        <v>23</v>
      </c>
      <c r="O253" t="s">
        <v>65</v>
      </c>
    </row>
    <row r="254" spans="1:15" x14ac:dyDescent="0.25">
      <c r="A254" t="s">
        <v>15</v>
      </c>
      <c r="B254" t="s">
        <v>116</v>
      </c>
      <c r="C254" t="s">
        <v>116</v>
      </c>
      <c r="D254" t="s">
        <v>17</v>
      </c>
      <c r="E254" t="s">
        <v>18</v>
      </c>
      <c r="F254" t="s">
        <v>21</v>
      </c>
      <c r="G254" t="s">
        <v>66</v>
      </c>
      <c r="H254">
        <v>-1.26</v>
      </c>
      <c r="I254" t="s">
        <v>17</v>
      </c>
      <c r="J254" t="s">
        <v>23</v>
      </c>
      <c r="O254" t="s">
        <v>65</v>
      </c>
    </row>
    <row r="255" spans="1:15" x14ac:dyDescent="0.25">
      <c r="A255" t="s">
        <v>15</v>
      </c>
      <c r="B255" t="s">
        <v>117</v>
      </c>
      <c r="C255" t="s">
        <v>117</v>
      </c>
      <c r="D255" t="s">
        <v>17</v>
      </c>
      <c r="E255" t="s">
        <v>18</v>
      </c>
      <c r="F255" t="s">
        <v>15</v>
      </c>
      <c r="G255" t="s">
        <v>117</v>
      </c>
      <c r="H255">
        <v>1</v>
      </c>
      <c r="I255" t="s">
        <v>17</v>
      </c>
      <c r="J255" t="s">
        <v>19</v>
      </c>
      <c r="O255" t="s">
        <v>82</v>
      </c>
    </row>
    <row r="256" spans="1:15" x14ac:dyDescent="0.25">
      <c r="A256" t="s">
        <v>15</v>
      </c>
      <c r="B256" t="s">
        <v>117</v>
      </c>
      <c r="C256" t="s">
        <v>117</v>
      </c>
      <c r="D256" t="s">
        <v>17</v>
      </c>
      <c r="E256" t="s">
        <v>18</v>
      </c>
      <c r="F256" t="s">
        <v>21</v>
      </c>
      <c r="G256" s="3" t="s">
        <v>55</v>
      </c>
      <c r="H256">
        <v>1</v>
      </c>
      <c r="I256" t="s">
        <v>17</v>
      </c>
      <c r="J256" t="s">
        <v>23</v>
      </c>
      <c r="O256" t="s">
        <v>82</v>
      </c>
    </row>
    <row r="257" spans="1:15" x14ac:dyDescent="0.25">
      <c r="A257" t="s">
        <v>15</v>
      </c>
      <c r="B257" t="s">
        <v>117</v>
      </c>
      <c r="C257" t="s">
        <v>117</v>
      </c>
      <c r="D257" t="s">
        <v>17</v>
      </c>
      <c r="E257" t="s">
        <v>18</v>
      </c>
      <c r="F257" t="s">
        <v>21</v>
      </c>
      <c r="G257" s="3" t="s">
        <v>83</v>
      </c>
      <c r="H257">
        <f>2.9412/1.0499</f>
        <v>2.8014096580626724</v>
      </c>
      <c r="I257" t="s">
        <v>17</v>
      </c>
      <c r="J257" t="s">
        <v>23</v>
      </c>
      <c r="O257" t="s">
        <v>82</v>
      </c>
    </row>
    <row r="258" spans="1:15" ht="15" customHeight="1" x14ac:dyDescent="0.25">
      <c r="A258" t="s">
        <v>15</v>
      </c>
      <c r="B258" t="s">
        <v>117</v>
      </c>
      <c r="C258" t="s">
        <v>117</v>
      </c>
      <c r="D258" t="s">
        <v>17</v>
      </c>
      <c r="E258" t="s">
        <v>18</v>
      </c>
      <c r="F258" t="s">
        <v>21</v>
      </c>
      <c r="G258" s="3" t="s">
        <v>29</v>
      </c>
      <c r="H258">
        <f>0.4591</f>
        <v>0.45910000000000001</v>
      </c>
      <c r="I258" t="s">
        <v>30</v>
      </c>
      <c r="J258" t="s">
        <v>23</v>
      </c>
      <c r="O258" t="s">
        <v>82</v>
      </c>
    </row>
    <row r="259" spans="1:15" ht="15" customHeight="1" x14ac:dyDescent="0.25">
      <c r="A259" t="s">
        <v>15</v>
      </c>
      <c r="B259" t="s">
        <v>117</v>
      </c>
      <c r="C259" t="s">
        <v>117</v>
      </c>
      <c r="D259" t="s">
        <v>17</v>
      </c>
      <c r="E259" t="s">
        <v>18</v>
      </c>
      <c r="F259" t="s">
        <v>21</v>
      </c>
      <c r="G259" s="3" t="s">
        <v>33</v>
      </c>
      <c r="H259">
        <f>1.1277*3.6/1.0499</f>
        <v>3.8667682636441558</v>
      </c>
      <c r="I259" t="s">
        <v>34</v>
      </c>
      <c r="J259" t="s">
        <v>23</v>
      </c>
      <c r="O259" t="s">
        <v>82</v>
      </c>
    </row>
    <row r="260" spans="1:15" x14ac:dyDescent="0.25">
      <c r="A260" t="s">
        <v>15</v>
      </c>
      <c r="B260" t="s">
        <v>118</v>
      </c>
      <c r="C260" t="s">
        <v>118</v>
      </c>
      <c r="D260" t="s">
        <v>17</v>
      </c>
      <c r="E260" t="s">
        <v>18</v>
      </c>
      <c r="F260" t="s">
        <v>15</v>
      </c>
      <c r="G260" t="s">
        <v>118</v>
      </c>
      <c r="H260">
        <v>1</v>
      </c>
      <c r="I260" t="s">
        <v>17</v>
      </c>
      <c r="J260" t="s">
        <v>19</v>
      </c>
      <c r="O260" t="s">
        <v>82</v>
      </c>
    </row>
    <row r="261" spans="1:15" x14ac:dyDescent="0.25">
      <c r="A261" t="s">
        <v>15</v>
      </c>
      <c r="B261" t="s">
        <v>118</v>
      </c>
      <c r="C261" t="s">
        <v>118</v>
      </c>
      <c r="D261" t="s">
        <v>17</v>
      </c>
      <c r="E261" t="s">
        <v>18</v>
      </c>
      <c r="F261" t="s">
        <v>21</v>
      </c>
      <c r="G261" s="3" t="s">
        <v>55</v>
      </c>
      <c r="H261">
        <v>1</v>
      </c>
      <c r="I261" t="s">
        <v>17</v>
      </c>
      <c r="J261" t="s">
        <v>23</v>
      </c>
      <c r="O261" t="s">
        <v>82</v>
      </c>
    </row>
    <row r="262" spans="1:15" x14ac:dyDescent="0.25">
      <c r="A262" t="s">
        <v>15</v>
      </c>
      <c r="B262" t="s">
        <v>118</v>
      </c>
      <c r="C262" t="s">
        <v>118</v>
      </c>
      <c r="D262" t="s">
        <v>17</v>
      </c>
      <c r="E262" t="s">
        <v>18</v>
      </c>
      <c r="F262" t="s">
        <v>21</v>
      </c>
      <c r="G262" s="3" t="s">
        <v>83</v>
      </c>
      <c r="H262">
        <f>2.9412/1.0138</f>
        <v>2.9011639376602876</v>
      </c>
      <c r="I262" t="s">
        <v>17</v>
      </c>
      <c r="J262" t="s">
        <v>23</v>
      </c>
      <c r="O262" t="s">
        <v>82</v>
      </c>
    </row>
    <row r="263" spans="1:15" x14ac:dyDescent="0.25">
      <c r="A263" t="s">
        <v>15</v>
      </c>
      <c r="B263" t="s">
        <v>118</v>
      </c>
      <c r="C263" t="s">
        <v>118</v>
      </c>
      <c r="D263" t="s">
        <v>17</v>
      </c>
      <c r="E263" t="s">
        <v>18</v>
      </c>
      <c r="F263" t="s">
        <v>21</v>
      </c>
      <c r="G263" s="3" t="s">
        <v>33</v>
      </c>
      <c r="H263">
        <f>5.7719*3.6/1.0138</f>
        <v>20.49599526533833</v>
      </c>
      <c r="I263" t="s">
        <v>34</v>
      </c>
      <c r="J263" t="s">
        <v>23</v>
      </c>
      <c r="O263" t="s">
        <v>82</v>
      </c>
    </row>
    <row r="264" spans="1:15" x14ac:dyDescent="0.25">
      <c r="A264" t="s">
        <v>15</v>
      </c>
      <c r="B264" t="s">
        <v>118</v>
      </c>
      <c r="C264" t="s">
        <v>118</v>
      </c>
      <c r="D264" t="s">
        <v>17</v>
      </c>
      <c r="E264" t="s">
        <v>18</v>
      </c>
      <c r="F264" t="s">
        <v>21</v>
      </c>
      <c r="G264" s="3" t="s">
        <v>29</v>
      </c>
      <c r="H264">
        <f>3.0503</f>
        <v>3.0503</v>
      </c>
      <c r="I264" t="s">
        <v>30</v>
      </c>
      <c r="J264" t="s">
        <v>23</v>
      </c>
      <c r="O264" t="s">
        <v>82</v>
      </c>
    </row>
  </sheetData>
  <autoFilter ref="A1:O264" xr:uid="{00000000-0009-0000-0000-000000000000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2"/>
  <sheetViews>
    <sheetView zoomScale="130" zoomScaleNormal="130" workbookViewId="0">
      <selection activeCell="G26" sqref="G26"/>
    </sheetView>
  </sheetViews>
  <sheetFormatPr defaultColWidth="11.42578125" defaultRowHeight="15" x14ac:dyDescent="0.25"/>
  <cols>
    <col min="1" max="1" width="16.28515625" bestFit="1" customWidth="1"/>
    <col min="2" max="2" width="31.7109375" bestFit="1" customWidth="1"/>
    <col min="3" max="3" width="29.7109375" bestFit="1" customWidth="1"/>
    <col min="4" max="4" width="11.7109375" bestFit="1" customWidth="1"/>
    <col min="5" max="5" width="12.140625" bestFit="1" customWidth="1"/>
    <col min="6" max="6" width="17.85546875" bestFit="1" customWidth="1"/>
    <col min="7" max="7" width="38.85546875" bestFit="1" customWidth="1"/>
    <col min="8" max="8" width="16.7109375" bestFit="1" customWidth="1"/>
    <col min="9" max="9" width="13.28515625" bestFit="1" customWidth="1"/>
    <col min="10" max="10" width="13.7109375" bestFit="1" customWidth="1"/>
    <col min="11" max="11" width="24.42578125" bestFit="1" customWidth="1"/>
    <col min="12" max="12" width="12.28515625" bestFit="1" customWidth="1"/>
    <col min="13" max="13" width="14.140625" bestFit="1" customWidth="1"/>
    <col min="14" max="14" width="17.42578125" bestFit="1" customWidth="1"/>
    <col min="15" max="15" width="37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119</v>
      </c>
      <c r="B2" t="s">
        <v>16</v>
      </c>
      <c r="C2" t="s">
        <v>16</v>
      </c>
      <c r="D2" t="s">
        <v>17</v>
      </c>
      <c r="E2" t="s">
        <v>18</v>
      </c>
      <c r="F2" t="s">
        <v>119</v>
      </c>
      <c r="G2" t="s">
        <v>16</v>
      </c>
      <c r="H2">
        <v>1</v>
      </c>
      <c r="I2" t="s">
        <v>17</v>
      </c>
      <c r="J2" t="s">
        <v>19</v>
      </c>
      <c r="O2" t="s">
        <v>20</v>
      </c>
    </row>
    <row r="3" spans="1:15" x14ac:dyDescent="0.25">
      <c r="A3" t="s">
        <v>119</v>
      </c>
      <c r="B3" t="s">
        <v>16</v>
      </c>
      <c r="C3" t="s">
        <v>16</v>
      </c>
      <c r="D3" t="s">
        <v>17</v>
      </c>
      <c r="E3" t="s">
        <v>18</v>
      </c>
      <c r="F3" t="s">
        <v>21</v>
      </c>
      <c r="G3" t="s">
        <v>22</v>
      </c>
      <c r="H3">
        <v>1</v>
      </c>
      <c r="I3" t="s">
        <v>17</v>
      </c>
      <c r="J3" t="s">
        <v>23</v>
      </c>
      <c r="O3" t="s">
        <v>20</v>
      </c>
    </row>
    <row r="4" spans="1:15" x14ac:dyDescent="0.25">
      <c r="A4" t="s">
        <v>119</v>
      </c>
      <c r="B4" t="s">
        <v>16</v>
      </c>
      <c r="C4" t="s">
        <v>16</v>
      </c>
      <c r="D4" t="s">
        <v>17</v>
      </c>
      <c r="E4" t="s">
        <v>18</v>
      </c>
      <c r="F4" t="s">
        <v>21</v>
      </c>
      <c r="G4" s="3" t="s">
        <v>24</v>
      </c>
      <c r="H4">
        <f>101/17.4</f>
        <v>5.8045977011494259</v>
      </c>
      <c r="I4" t="s">
        <v>17</v>
      </c>
      <c r="J4" t="s">
        <v>23</v>
      </c>
      <c r="O4" t="s">
        <v>20</v>
      </c>
    </row>
    <row r="5" spans="1:15" x14ac:dyDescent="0.25">
      <c r="A5" t="s">
        <v>119</v>
      </c>
      <c r="B5" t="s">
        <v>16</v>
      </c>
      <c r="C5" t="s">
        <v>16</v>
      </c>
      <c r="D5" t="s">
        <v>17</v>
      </c>
      <c r="E5" t="s">
        <v>18</v>
      </c>
      <c r="F5" t="s">
        <v>21</v>
      </c>
      <c r="G5" t="s">
        <v>25</v>
      </c>
      <c r="H5">
        <f>101/17.4</f>
        <v>5.8045977011494259</v>
      </c>
      <c r="I5" t="s">
        <v>17</v>
      </c>
      <c r="J5" t="s">
        <v>23</v>
      </c>
      <c r="O5" t="s">
        <v>20</v>
      </c>
    </row>
    <row r="6" spans="1:15" x14ac:dyDescent="0.25">
      <c r="A6" t="s">
        <v>119</v>
      </c>
      <c r="B6" t="s">
        <v>16</v>
      </c>
      <c r="C6" t="s">
        <v>16</v>
      </c>
      <c r="D6" t="s">
        <v>17</v>
      </c>
      <c r="E6" t="s">
        <v>18</v>
      </c>
      <c r="F6" t="s">
        <v>21</v>
      </c>
      <c r="G6" t="s">
        <v>26</v>
      </c>
      <c r="H6">
        <f>19/17.4</f>
        <v>1.0919540229885059</v>
      </c>
      <c r="I6" t="s">
        <v>17</v>
      </c>
      <c r="J6" t="s">
        <v>23</v>
      </c>
      <c r="O6" t="s">
        <v>20</v>
      </c>
    </row>
    <row r="7" spans="1:15" x14ac:dyDescent="0.25">
      <c r="A7" t="s">
        <v>119</v>
      </c>
      <c r="B7" t="s">
        <v>16</v>
      </c>
      <c r="C7" t="s">
        <v>16</v>
      </c>
      <c r="D7" t="s">
        <v>17</v>
      </c>
      <c r="E7" t="s">
        <v>18</v>
      </c>
      <c r="F7" t="s">
        <v>21</v>
      </c>
      <c r="G7" t="s">
        <v>27</v>
      </c>
      <c r="H7">
        <f>-134/17.4</f>
        <v>-7.7011494252873574</v>
      </c>
      <c r="I7" t="s">
        <v>17</v>
      </c>
      <c r="J7" t="s">
        <v>23</v>
      </c>
      <c r="O7" t="s">
        <v>20</v>
      </c>
    </row>
    <row r="8" spans="1:15" x14ac:dyDescent="0.25">
      <c r="A8" t="s">
        <v>119</v>
      </c>
      <c r="B8" t="s">
        <v>28</v>
      </c>
      <c r="C8" t="s">
        <v>28</v>
      </c>
      <c r="D8" t="s">
        <v>17</v>
      </c>
      <c r="E8" t="s">
        <v>18</v>
      </c>
      <c r="F8" t="s">
        <v>119</v>
      </c>
      <c r="G8" t="s">
        <v>28</v>
      </c>
      <c r="H8">
        <v>1</v>
      </c>
      <c r="I8" t="s">
        <v>17</v>
      </c>
      <c r="J8" t="s">
        <v>19</v>
      </c>
      <c r="O8" t="s">
        <v>20</v>
      </c>
    </row>
    <row r="9" spans="1:15" x14ac:dyDescent="0.25">
      <c r="A9" t="s">
        <v>119</v>
      </c>
      <c r="B9" t="s">
        <v>28</v>
      </c>
      <c r="C9" t="s">
        <v>28</v>
      </c>
      <c r="D9" t="s">
        <v>17</v>
      </c>
      <c r="E9" t="s">
        <v>18</v>
      </c>
      <c r="F9" t="s">
        <v>21</v>
      </c>
      <c r="G9" t="s">
        <v>22</v>
      </c>
      <c r="H9">
        <v>1</v>
      </c>
      <c r="I9" t="s">
        <v>17</v>
      </c>
      <c r="J9" t="s">
        <v>23</v>
      </c>
      <c r="O9" t="s">
        <v>20</v>
      </c>
    </row>
    <row r="10" spans="1:15" x14ac:dyDescent="0.25">
      <c r="A10" t="s">
        <v>119</v>
      </c>
      <c r="B10" t="s">
        <v>28</v>
      </c>
      <c r="C10" t="s">
        <v>28</v>
      </c>
      <c r="D10" t="s">
        <v>17</v>
      </c>
      <c r="E10" t="s">
        <v>18</v>
      </c>
      <c r="F10" t="s">
        <v>21</v>
      </c>
      <c r="G10" s="3" t="s">
        <v>24</v>
      </c>
      <c r="H10">
        <f>101/17.4</f>
        <v>5.8045977011494259</v>
      </c>
      <c r="I10" t="s">
        <v>17</v>
      </c>
      <c r="J10" t="s">
        <v>23</v>
      </c>
      <c r="O10" t="s">
        <v>20</v>
      </c>
    </row>
    <row r="11" spans="1:15" x14ac:dyDescent="0.25">
      <c r="A11" t="s">
        <v>119</v>
      </c>
      <c r="B11" t="s">
        <v>28</v>
      </c>
      <c r="C11" t="s">
        <v>28</v>
      </c>
      <c r="D11" t="s">
        <v>17</v>
      </c>
      <c r="E11" t="s">
        <v>18</v>
      </c>
      <c r="F11" t="s">
        <v>21</v>
      </c>
      <c r="G11" t="s">
        <v>25</v>
      </c>
      <c r="H11">
        <f>101/17.4</f>
        <v>5.8045977011494259</v>
      </c>
      <c r="I11" t="s">
        <v>17</v>
      </c>
      <c r="J11" t="s">
        <v>23</v>
      </c>
      <c r="O11" t="s">
        <v>20</v>
      </c>
    </row>
    <row r="12" spans="1:15" x14ac:dyDescent="0.25">
      <c r="A12" t="s">
        <v>119</v>
      </c>
      <c r="B12" t="s">
        <v>28</v>
      </c>
      <c r="C12" t="s">
        <v>28</v>
      </c>
      <c r="D12" t="s">
        <v>17</v>
      </c>
      <c r="E12" t="s">
        <v>18</v>
      </c>
      <c r="F12" t="s">
        <v>21</v>
      </c>
      <c r="G12" t="s">
        <v>29</v>
      </c>
      <c r="H12">
        <f>62/17.4</f>
        <v>3.563218390804598</v>
      </c>
      <c r="I12" t="s">
        <v>30</v>
      </c>
      <c r="J12" t="s">
        <v>23</v>
      </c>
      <c r="O12" t="s">
        <v>20</v>
      </c>
    </row>
    <row r="13" spans="1:15" x14ac:dyDescent="0.25">
      <c r="A13" t="s">
        <v>119</v>
      </c>
      <c r="B13" t="s">
        <v>28</v>
      </c>
      <c r="C13" t="s">
        <v>28</v>
      </c>
      <c r="D13" t="s">
        <v>17</v>
      </c>
      <c r="E13" t="s">
        <v>18</v>
      </c>
      <c r="F13" t="s">
        <v>21</v>
      </c>
      <c r="G13" t="s">
        <v>26</v>
      </c>
      <c r="H13">
        <f>19/17.4</f>
        <v>1.0919540229885059</v>
      </c>
      <c r="I13" t="s">
        <v>17</v>
      </c>
      <c r="J13" t="s">
        <v>23</v>
      </c>
      <c r="O13" t="s">
        <v>20</v>
      </c>
    </row>
    <row r="14" spans="1:15" x14ac:dyDescent="0.25">
      <c r="A14" t="s">
        <v>119</v>
      </c>
      <c r="B14" t="s">
        <v>28</v>
      </c>
      <c r="C14" t="s">
        <v>28</v>
      </c>
      <c r="D14" t="s">
        <v>17</v>
      </c>
      <c r="E14" t="s">
        <v>18</v>
      </c>
      <c r="F14" t="s">
        <v>21</v>
      </c>
      <c r="G14" t="s">
        <v>27</v>
      </c>
      <c r="H14">
        <f>-134/17.4</f>
        <v>-7.7011494252873574</v>
      </c>
      <c r="I14" t="s">
        <v>17</v>
      </c>
      <c r="J14" t="s">
        <v>23</v>
      </c>
      <c r="O14" t="s">
        <v>20</v>
      </c>
    </row>
    <row r="15" spans="1:15" ht="15" customHeight="1" x14ac:dyDescent="0.25">
      <c r="A15" t="s">
        <v>119</v>
      </c>
      <c r="B15" t="s">
        <v>31</v>
      </c>
      <c r="C15" t="s">
        <v>31</v>
      </c>
      <c r="D15" t="s">
        <v>17</v>
      </c>
      <c r="E15" t="s">
        <v>18</v>
      </c>
      <c r="F15" t="s">
        <v>119</v>
      </c>
      <c r="G15" t="s">
        <v>31</v>
      </c>
      <c r="H15">
        <v>1</v>
      </c>
      <c r="I15" t="s">
        <v>17</v>
      </c>
      <c r="J15" t="s">
        <v>19</v>
      </c>
      <c r="O15" t="s">
        <v>32</v>
      </c>
    </row>
    <row r="16" spans="1:15" ht="15" customHeight="1" x14ac:dyDescent="0.25">
      <c r="A16" t="s">
        <v>119</v>
      </c>
      <c r="B16" t="s">
        <v>31</v>
      </c>
      <c r="C16" t="s">
        <v>31</v>
      </c>
      <c r="D16" t="s">
        <v>17</v>
      </c>
      <c r="E16" t="s">
        <v>18</v>
      </c>
      <c r="F16" t="s">
        <v>21</v>
      </c>
      <c r="G16" t="s">
        <v>22</v>
      </c>
      <c r="H16">
        <v>1</v>
      </c>
      <c r="I16" t="s">
        <v>17</v>
      </c>
      <c r="J16" t="s">
        <v>23</v>
      </c>
      <c r="O16" t="s">
        <v>32</v>
      </c>
    </row>
    <row r="17" spans="1:15" x14ac:dyDescent="0.25">
      <c r="A17" t="s">
        <v>119</v>
      </c>
      <c r="B17" t="s">
        <v>31</v>
      </c>
      <c r="C17" t="s">
        <v>31</v>
      </c>
      <c r="D17" t="s">
        <v>17</v>
      </c>
      <c r="E17" t="s">
        <v>18</v>
      </c>
      <c r="F17" t="s">
        <v>21</v>
      </c>
      <c r="G17" s="3" t="s">
        <v>24</v>
      </c>
      <c r="H17">
        <f>44.2/8.5</f>
        <v>5.2</v>
      </c>
      <c r="I17" t="s">
        <v>17</v>
      </c>
      <c r="J17" t="s">
        <v>23</v>
      </c>
      <c r="O17" t="s">
        <v>32</v>
      </c>
    </row>
    <row r="18" spans="1:15" x14ac:dyDescent="0.25">
      <c r="A18" t="s">
        <v>119</v>
      </c>
      <c r="B18" t="s">
        <v>31</v>
      </c>
      <c r="C18" t="s">
        <v>31</v>
      </c>
      <c r="D18" t="s">
        <v>17</v>
      </c>
      <c r="E18" t="s">
        <v>18</v>
      </c>
      <c r="F18" t="s">
        <v>21</v>
      </c>
      <c r="G18" t="s">
        <v>33</v>
      </c>
      <c r="H18">
        <f>5.8*3.6/8.5</f>
        <v>2.4564705882352942</v>
      </c>
      <c r="I18" t="s">
        <v>34</v>
      </c>
      <c r="J18" t="s">
        <v>23</v>
      </c>
      <c r="O18" t="s">
        <v>32</v>
      </c>
    </row>
    <row r="19" spans="1:15" x14ac:dyDescent="0.25">
      <c r="A19" t="s">
        <v>119</v>
      </c>
      <c r="B19" t="s">
        <v>31</v>
      </c>
      <c r="C19" t="s">
        <v>31</v>
      </c>
      <c r="D19" t="s">
        <v>17</v>
      </c>
      <c r="E19" t="s">
        <v>18</v>
      </c>
      <c r="F19" t="s">
        <v>21</v>
      </c>
      <c r="G19" t="s">
        <v>29</v>
      </c>
      <c r="H19">
        <f>(2.5+0.2)/8.5</f>
        <v>0.31764705882352945</v>
      </c>
      <c r="I19" t="s">
        <v>30</v>
      </c>
      <c r="J19" t="s">
        <v>23</v>
      </c>
      <c r="O19" t="s">
        <v>32</v>
      </c>
    </row>
    <row r="20" spans="1:15" x14ac:dyDescent="0.25">
      <c r="A20" t="s">
        <v>119</v>
      </c>
      <c r="B20" t="s">
        <v>31</v>
      </c>
      <c r="C20" t="s">
        <v>31</v>
      </c>
      <c r="D20" t="s">
        <v>17</v>
      </c>
      <c r="E20" t="s">
        <v>18</v>
      </c>
      <c r="F20" t="s">
        <v>21</v>
      </c>
      <c r="G20" t="s">
        <v>26</v>
      </c>
      <c r="H20">
        <f>9.8/8.5</f>
        <v>1.1529411764705884</v>
      </c>
      <c r="I20" t="s">
        <v>17</v>
      </c>
      <c r="J20" t="s">
        <v>23</v>
      </c>
      <c r="O20" t="s">
        <v>32</v>
      </c>
    </row>
    <row r="21" spans="1:15" x14ac:dyDescent="0.25">
      <c r="A21" t="s">
        <v>119</v>
      </c>
      <c r="B21" t="s">
        <v>31</v>
      </c>
      <c r="C21" t="s">
        <v>31</v>
      </c>
      <c r="D21" t="s">
        <v>17</v>
      </c>
      <c r="E21" t="s">
        <v>18</v>
      </c>
      <c r="F21" t="s">
        <v>21</v>
      </c>
      <c r="G21" t="s">
        <v>35</v>
      </c>
      <c r="H21">
        <f>44.2/8.5</f>
        <v>5.2</v>
      </c>
      <c r="I21" t="s">
        <v>17</v>
      </c>
      <c r="J21" t="s">
        <v>23</v>
      </c>
      <c r="O21" t="s">
        <v>32</v>
      </c>
    </row>
    <row r="22" spans="1:15" x14ac:dyDescent="0.25">
      <c r="A22" t="s">
        <v>119</v>
      </c>
      <c r="B22" t="s">
        <v>31</v>
      </c>
      <c r="C22" t="s">
        <v>31</v>
      </c>
      <c r="D22" t="s">
        <v>17</v>
      </c>
      <c r="E22" t="s">
        <v>18</v>
      </c>
      <c r="F22" t="s">
        <v>21</v>
      </c>
      <c r="G22" t="s">
        <v>36</v>
      </c>
      <c r="H22">
        <f>-94.4/8.5</f>
        <v>-11.105882352941178</v>
      </c>
      <c r="I22" t="s">
        <v>17</v>
      </c>
      <c r="J22" t="s">
        <v>23</v>
      </c>
      <c r="O22" t="s">
        <v>32</v>
      </c>
    </row>
    <row r="23" spans="1:15" x14ac:dyDescent="0.25">
      <c r="A23" t="s">
        <v>119</v>
      </c>
      <c r="B23" t="s">
        <v>31</v>
      </c>
      <c r="C23" t="s">
        <v>31</v>
      </c>
      <c r="D23" t="s">
        <v>17</v>
      </c>
      <c r="E23" t="s">
        <v>18</v>
      </c>
      <c r="F23" t="s">
        <v>21</v>
      </c>
      <c r="G23" t="s">
        <v>37</v>
      </c>
      <c r="H23">
        <f>7.9/8.5</f>
        <v>0.92941176470588238</v>
      </c>
      <c r="I23" t="s">
        <v>17</v>
      </c>
      <c r="J23" t="s">
        <v>23</v>
      </c>
      <c r="O23" t="s">
        <v>32</v>
      </c>
    </row>
    <row r="24" spans="1:15" x14ac:dyDescent="0.25">
      <c r="A24" t="s">
        <v>119</v>
      </c>
      <c r="B24" t="s">
        <v>38</v>
      </c>
      <c r="C24" t="s">
        <v>38</v>
      </c>
      <c r="D24" t="s">
        <v>17</v>
      </c>
      <c r="E24" t="s">
        <v>18</v>
      </c>
      <c r="F24" t="s">
        <v>119</v>
      </c>
      <c r="G24" t="s">
        <v>38</v>
      </c>
      <c r="H24">
        <v>1</v>
      </c>
      <c r="I24" t="s">
        <v>17</v>
      </c>
      <c r="J24" t="s">
        <v>19</v>
      </c>
      <c r="O24" t="s">
        <v>39</v>
      </c>
    </row>
    <row r="25" spans="1:15" x14ac:dyDescent="0.25">
      <c r="A25" t="s">
        <v>119</v>
      </c>
      <c r="B25" t="s">
        <v>38</v>
      </c>
      <c r="C25" t="s">
        <v>38</v>
      </c>
      <c r="D25" t="s">
        <v>17</v>
      </c>
      <c r="E25" t="s">
        <v>18</v>
      </c>
      <c r="F25" t="s">
        <v>21</v>
      </c>
      <c r="G25" s="3" t="s">
        <v>22</v>
      </c>
      <c r="H25">
        <v>1</v>
      </c>
      <c r="I25" t="s">
        <v>17</v>
      </c>
      <c r="J25" t="s">
        <v>23</v>
      </c>
      <c r="O25" t="s">
        <v>39</v>
      </c>
    </row>
    <row r="26" spans="1:15" x14ac:dyDescent="0.25">
      <c r="A26" t="s">
        <v>119</v>
      </c>
      <c r="B26" t="s">
        <v>38</v>
      </c>
      <c r="C26" t="s">
        <v>38</v>
      </c>
      <c r="D26" t="s">
        <v>17</v>
      </c>
      <c r="E26" t="s">
        <v>18</v>
      </c>
      <c r="F26" t="s">
        <v>21</v>
      </c>
      <c r="G26" t="s">
        <v>40</v>
      </c>
      <c r="H26">
        <f>321/0.482</f>
        <v>665.97510373443981</v>
      </c>
      <c r="I26" t="s">
        <v>17</v>
      </c>
      <c r="J26" t="s">
        <v>23</v>
      </c>
      <c r="O26" t="s">
        <v>39</v>
      </c>
    </row>
    <row r="27" spans="1:15" x14ac:dyDescent="0.25">
      <c r="A27" t="s">
        <v>119</v>
      </c>
      <c r="B27" t="s">
        <v>38</v>
      </c>
      <c r="C27" t="s">
        <v>38</v>
      </c>
      <c r="D27" t="s">
        <v>17</v>
      </c>
      <c r="E27" t="s">
        <v>18</v>
      </c>
      <c r="F27" t="s">
        <v>21</v>
      </c>
      <c r="G27" t="s">
        <v>41</v>
      </c>
      <c r="H27">
        <f>65/0.482</f>
        <v>134.85477178423238</v>
      </c>
      <c r="I27" t="s">
        <v>17</v>
      </c>
      <c r="J27" t="s">
        <v>23</v>
      </c>
      <c r="O27" t="s">
        <v>39</v>
      </c>
    </row>
    <row r="28" spans="1:15" x14ac:dyDescent="0.25">
      <c r="A28" t="s">
        <v>119</v>
      </c>
      <c r="B28" t="s">
        <v>38</v>
      </c>
      <c r="C28" t="s">
        <v>38</v>
      </c>
      <c r="D28" t="s">
        <v>17</v>
      </c>
      <c r="E28" t="s">
        <v>18</v>
      </c>
      <c r="F28" t="s">
        <v>21</v>
      </c>
      <c r="G28" t="s">
        <v>42</v>
      </c>
      <c r="H28">
        <f>15/0.482</f>
        <v>31.120331950207468</v>
      </c>
      <c r="I28" t="s">
        <v>17</v>
      </c>
      <c r="J28" t="s">
        <v>23</v>
      </c>
      <c r="O28" t="s">
        <v>39</v>
      </c>
    </row>
    <row r="29" spans="1:15" x14ac:dyDescent="0.25">
      <c r="A29" t="s">
        <v>119</v>
      </c>
      <c r="B29" t="s">
        <v>38</v>
      </c>
      <c r="C29" t="s">
        <v>38</v>
      </c>
      <c r="D29" t="s">
        <v>17</v>
      </c>
      <c r="E29" t="s">
        <v>18</v>
      </c>
      <c r="F29" t="s">
        <v>21</v>
      </c>
      <c r="G29" t="s">
        <v>43</v>
      </c>
      <c r="H29">
        <f>930/0.482</f>
        <v>1929.4605809128632</v>
      </c>
      <c r="I29" t="s">
        <v>17</v>
      </c>
      <c r="J29" t="s">
        <v>23</v>
      </c>
      <c r="O29" t="s">
        <v>39</v>
      </c>
    </row>
    <row r="30" spans="1:15" x14ac:dyDescent="0.25">
      <c r="A30" t="s">
        <v>119</v>
      </c>
      <c r="B30" t="s">
        <v>38</v>
      </c>
      <c r="C30" t="s">
        <v>38</v>
      </c>
      <c r="D30" t="s">
        <v>17</v>
      </c>
      <c r="E30" t="s">
        <v>18</v>
      </c>
      <c r="F30" t="s">
        <v>21</v>
      </c>
      <c r="G30" t="s">
        <v>44</v>
      </c>
      <c r="H30">
        <f>792/0.482</f>
        <v>1643.1535269709543</v>
      </c>
      <c r="I30" t="s">
        <v>17</v>
      </c>
      <c r="J30" t="s">
        <v>23</v>
      </c>
      <c r="O30" t="s">
        <v>39</v>
      </c>
    </row>
    <row r="31" spans="1:15" ht="14.1" customHeight="1" x14ac:dyDescent="0.25">
      <c r="A31" t="s">
        <v>119</v>
      </c>
      <c r="B31" t="s">
        <v>38</v>
      </c>
      <c r="C31" t="s">
        <v>38</v>
      </c>
      <c r="D31" t="s">
        <v>17</v>
      </c>
      <c r="E31" t="s">
        <v>18</v>
      </c>
      <c r="F31" t="s">
        <v>21</v>
      </c>
      <c r="G31" t="s">
        <v>45</v>
      </c>
      <c r="H31">
        <f>0.735*1.3/0.482</f>
        <v>1.9823651452282158</v>
      </c>
      <c r="I31" t="s">
        <v>17</v>
      </c>
      <c r="J31" t="s">
        <v>23</v>
      </c>
      <c r="O31" t="s">
        <v>39</v>
      </c>
    </row>
    <row r="32" spans="1:15" ht="14.1" customHeight="1" x14ac:dyDescent="0.25">
      <c r="A32" t="s">
        <v>119</v>
      </c>
      <c r="B32" t="s">
        <v>38</v>
      </c>
      <c r="C32" t="s">
        <v>38</v>
      </c>
      <c r="D32" t="s">
        <v>17</v>
      </c>
      <c r="E32" t="s">
        <v>18</v>
      </c>
      <c r="F32" t="s">
        <v>21</v>
      </c>
      <c r="G32" t="s">
        <v>26</v>
      </c>
      <c r="H32">
        <f>(118.4+179)*0.997/0.482</f>
        <v>615.16141078838166</v>
      </c>
      <c r="I32" t="s">
        <v>17</v>
      </c>
      <c r="J32" t="s">
        <v>23</v>
      </c>
      <c r="O32" t="s">
        <v>39</v>
      </c>
    </row>
    <row r="33" spans="1:15" x14ac:dyDescent="0.25">
      <c r="A33" t="s">
        <v>119</v>
      </c>
      <c r="B33" t="s">
        <v>38</v>
      </c>
      <c r="C33" t="s">
        <v>38</v>
      </c>
      <c r="D33" t="s">
        <v>17</v>
      </c>
      <c r="E33" t="s">
        <v>18</v>
      </c>
      <c r="F33" t="s">
        <v>21</v>
      </c>
      <c r="G33" t="s">
        <v>46</v>
      </c>
      <c r="H33">
        <f>0.3/0.482</f>
        <v>0.62240663900414939</v>
      </c>
      <c r="I33" t="s">
        <v>47</v>
      </c>
      <c r="J33" t="s">
        <v>23</v>
      </c>
      <c r="O33" t="s">
        <v>39</v>
      </c>
    </row>
    <row r="34" spans="1:15" x14ac:dyDescent="0.25">
      <c r="A34" t="s">
        <v>119</v>
      </c>
      <c r="B34" t="s">
        <v>38</v>
      </c>
      <c r="C34" t="s">
        <v>38</v>
      </c>
      <c r="D34" t="s">
        <v>17</v>
      </c>
      <c r="E34" t="s">
        <v>18</v>
      </c>
      <c r="F34" t="s">
        <v>21</v>
      </c>
      <c r="G34" t="s">
        <v>29</v>
      </c>
      <c r="H34">
        <f>((0.018+4.88)/0.482)+0.0926</f>
        <v>10.254425726141077</v>
      </c>
      <c r="I34" t="s">
        <v>30</v>
      </c>
      <c r="J34" t="s">
        <v>23</v>
      </c>
      <c r="O34" t="s">
        <v>39</v>
      </c>
    </row>
    <row r="35" spans="1:15" x14ac:dyDescent="0.25">
      <c r="A35" t="s">
        <v>119</v>
      </c>
      <c r="B35" t="s">
        <v>38</v>
      </c>
      <c r="C35" t="s">
        <v>38</v>
      </c>
      <c r="D35" t="s">
        <v>17</v>
      </c>
      <c r="E35" t="s">
        <v>18</v>
      </c>
      <c r="F35" t="s">
        <v>21</v>
      </c>
      <c r="G35" t="s">
        <v>48</v>
      </c>
      <c r="H35">
        <f>-1/0.482</f>
        <v>-2.0746887966804981</v>
      </c>
      <c r="I35" t="s">
        <v>47</v>
      </c>
      <c r="J35" t="s">
        <v>23</v>
      </c>
      <c r="O35" t="s">
        <v>39</v>
      </c>
    </row>
    <row r="36" spans="1:15" x14ac:dyDescent="0.25">
      <c r="A36" t="s">
        <v>119</v>
      </c>
      <c r="B36" t="s">
        <v>38</v>
      </c>
      <c r="C36" t="s">
        <v>38</v>
      </c>
      <c r="D36" t="s">
        <v>17</v>
      </c>
      <c r="E36" t="s">
        <v>18</v>
      </c>
      <c r="F36" t="s">
        <v>21</v>
      </c>
      <c r="G36" t="s">
        <v>37</v>
      </c>
      <c r="H36">
        <f>118.4*0.997/0.482</f>
        <v>244.90622406639008</v>
      </c>
      <c r="I36" t="s">
        <v>17</v>
      </c>
      <c r="J36" t="s">
        <v>23</v>
      </c>
      <c r="O36" t="s">
        <v>39</v>
      </c>
    </row>
    <row r="37" spans="1:15" x14ac:dyDescent="0.25">
      <c r="A37" t="s">
        <v>119</v>
      </c>
      <c r="B37" t="s">
        <v>49</v>
      </c>
      <c r="C37" t="s">
        <v>49</v>
      </c>
      <c r="D37" t="s">
        <v>17</v>
      </c>
      <c r="E37" t="s">
        <v>18</v>
      </c>
      <c r="F37" t="s">
        <v>119</v>
      </c>
      <c r="G37" t="s">
        <v>49</v>
      </c>
      <c r="H37">
        <v>1</v>
      </c>
      <c r="I37" t="s">
        <v>17</v>
      </c>
      <c r="J37" t="s">
        <v>19</v>
      </c>
      <c r="O37" t="s">
        <v>50</v>
      </c>
    </row>
    <row r="38" spans="1:15" x14ac:dyDescent="0.25">
      <c r="A38" t="s">
        <v>119</v>
      </c>
      <c r="B38" t="s">
        <v>49</v>
      </c>
      <c r="C38" t="s">
        <v>49</v>
      </c>
      <c r="D38" t="s">
        <v>17</v>
      </c>
      <c r="E38" t="s">
        <v>18</v>
      </c>
      <c r="F38" t="s">
        <v>21</v>
      </c>
      <c r="G38" t="s">
        <v>22</v>
      </c>
      <c r="H38">
        <v>1</v>
      </c>
      <c r="I38" t="s">
        <v>17</v>
      </c>
      <c r="J38" t="s">
        <v>23</v>
      </c>
      <c r="O38" t="s">
        <v>50</v>
      </c>
    </row>
    <row r="39" spans="1:15" x14ac:dyDescent="0.25">
      <c r="A39" t="s">
        <v>119</v>
      </c>
      <c r="B39" t="s">
        <v>49</v>
      </c>
      <c r="C39" t="s">
        <v>49</v>
      </c>
      <c r="D39" t="s">
        <v>17</v>
      </c>
      <c r="E39" t="s">
        <v>18</v>
      </c>
      <c r="F39" t="s">
        <v>21</v>
      </c>
      <c r="G39" t="s">
        <v>51</v>
      </c>
      <c r="H39">
        <f>1944/1000</f>
        <v>1.944</v>
      </c>
      <c r="I39" t="s">
        <v>17</v>
      </c>
      <c r="J39" t="s">
        <v>23</v>
      </c>
      <c r="O39" t="s">
        <v>50</v>
      </c>
    </row>
    <row r="40" spans="1:15" x14ac:dyDescent="0.25">
      <c r="A40" t="s">
        <v>119</v>
      </c>
      <c r="B40" t="s">
        <v>49</v>
      </c>
      <c r="C40" t="s">
        <v>49</v>
      </c>
      <c r="D40" t="s">
        <v>17</v>
      </c>
      <c r="E40" t="s">
        <v>18</v>
      </c>
      <c r="F40" t="s">
        <v>21</v>
      </c>
      <c r="G40" t="s">
        <v>26</v>
      </c>
      <c r="H40">
        <f>6659/1000</f>
        <v>6.6589999999999998</v>
      </c>
      <c r="I40" t="s">
        <v>17</v>
      </c>
      <c r="J40" t="s">
        <v>23</v>
      </c>
      <c r="O40" t="s">
        <v>50</v>
      </c>
    </row>
    <row r="41" spans="1:15" x14ac:dyDescent="0.25">
      <c r="A41" t="s">
        <v>119</v>
      </c>
      <c r="B41" t="s">
        <v>49</v>
      </c>
      <c r="C41" t="s">
        <v>49</v>
      </c>
      <c r="D41" t="s">
        <v>17</v>
      </c>
      <c r="E41" t="s">
        <v>18</v>
      </c>
      <c r="F41" t="s">
        <v>21</v>
      </c>
      <c r="G41" t="s">
        <v>29</v>
      </c>
      <c r="H41">
        <f>4181/(1000*3.6)+0.1096</f>
        <v>1.2709888888888887</v>
      </c>
      <c r="I41" t="s">
        <v>30</v>
      </c>
      <c r="J41" t="s">
        <v>23</v>
      </c>
      <c r="O41" t="s">
        <v>50</v>
      </c>
    </row>
    <row r="42" spans="1:15" x14ac:dyDescent="0.25">
      <c r="A42" t="s">
        <v>119</v>
      </c>
      <c r="B42" t="s">
        <v>49</v>
      </c>
      <c r="C42" t="s">
        <v>49</v>
      </c>
      <c r="D42" t="s">
        <v>17</v>
      </c>
      <c r="E42" t="s">
        <v>18</v>
      </c>
      <c r="F42" t="s">
        <v>21</v>
      </c>
      <c r="G42" t="s">
        <v>52</v>
      </c>
      <c r="H42">
        <f>4188/1000</f>
        <v>4.1879999999999997</v>
      </c>
      <c r="I42" t="s">
        <v>17</v>
      </c>
      <c r="J42" t="s">
        <v>23</v>
      </c>
      <c r="O42" t="s">
        <v>50</v>
      </c>
    </row>
    <row r="43" spans="1:15" x14ac:dyDescent="0.25">
      <c r="A43" t="s">
        <v>119</v>
      </c>
      <c r="B43" t="s">
        <v>53</v>
      </c>
      <c r="C43" t="s">
        <v>53</v>
      </c>
      <c r="D43" t="s">
        <v>17</v>
      </c>
      <c r="E43" t="s">
        <v>18</v>
      </c>
      <c r="F43" t="s">
        <v>119</v>
      </c>
      <c r="G43" t="s">
        <v>53</v>
      </c>
      <c r="H43">
        <v>1</v>
      </c>
      <c r="I43" t="s">
        <v>17</v>
      </c>
      <c r="J43" t="s">
        <v>19</v>
      </c>
      <c r="O43" t="s">
        <v>54</v>
      </c>
    </row>
    <row r="44" spans="1:15" x14ac:dyDescent="0.25">
      <c r="A44" t="s">
        <v>119</v>
      </c>
      <c r="B44" t="s">
        <v>53</v>
      </c>
      <c r="C44" t="s">
        <v>53</v>
      </c>
      <c r="D44" t="s">
        <v>17</v>
      </c>
      <c r="E44" t="s">
        <v>18</v>
      </c>
      <c r="F44" t="s">
        <v>21</v>
      </c>
      <c r="G44" t="s">
        <v>55</v>
      </c>
      <c r="H44">
        <v>1</v>
      </c>
      <c r="I44" t="s">
        <v>17</v>
      </c>
      <c r="J44" t="s">
        <v>23</v>
      </c>
      <c r="O44" t="s">
        <v>54</v>
      </c>
    </row>
    <row r="45" spans="1:15" x14ac:dyDescent="0.25">
      <c r="A45" t="s">
        <v>119</v>
      </c>
      <c r="B45" t="s">
        <v>53</v>
      </c>
      <c r="C45" t="s">
        <v>53</v>
      </c>
      <c r="D45" t="s">
        <v>17</v>
      </c>
      <c r="E45" t="s">
        <v>18</v>
      </c>
      <c r="F45" t="s">
        <v>21</v>
      </c>
      <c r="G45" t="s">
        <v>56</v>
      </c>
      <c r="H45">
        <f>1/0.254</f>
        <v>3.9370078740157481</v>
      </c>
      <c r="I45" t="s">
        <v>17</v>
      </c>
      <c r="J45" t="s">
        <v>23</v>
      </c>
      <c r="O45" t="s">
        <v>54</v>
      </c>
    </row>
    <row r="46" spans="1:15" x14ac:dyDescent="0.25">
      <c r="A46" t="s">
        <v>119</v>
      </c>
      <c r="B46" t="s">
        <v>53</v>
      </c>
      <c r="C46" t="s">
        <v>53</v>
      </c>
      <c r="D46" t="s">
        <v>17</v>
      </c>
      <c r="E46" t="s">
        <v>18</v>
      </c>
      <c r="F46" t="s">
        <v>21</v>
      </c>
      <c r="G46" t="s">
        <v>57</v>
      </c>
      <c r="H46">
        <f>(20*0.997)/0.254</f>
        <v>78.503937007874015</v>
      </c>
      <c r="I46" t="s">
        <v>17</v>
      </c>
      <c r="J46" t="s">
        <v>23</v>
      </c>
      <c r="O46" t="s">
        <v>54</v>
      </c>
    </row>
    <row r="47" spans="1:15" x14ac:dyDescent="0.25">
      <c r="A47" t="s">
        <v>119</v>
      </c>
      <c r="B47" t="s">
        <v>53</v>
      </c>
      <c r="C47" t="s">
        <v>53</v>
      </c>
      <c r="D47" t="s">
        <v>17</v>
      </c>
      <c r="E47" t="s">
        <v>18</v>
      </c>
      <c r="F47" t="s">
        <v>21</v>
      </c>
      <c r="G47" t="s">
        <v>29</v>
      </c>
      <c r="H47">
        <f>67.1/(1000*0.254)</f>
        <v>0.26417322834645668</v>
      </c>
      <c r="I47" t="s">
        <v>30</v>
      </c>
      <c r="J47" t="s">
        <v>23</v>
      </c>
      <c r="O47" t="s">
        <v>54</v>
      </c>
    </row>
    <row r="48" spans="1:15" x14ac:dyDescent="0.25">
      <c r="A48" t="s">
        <v>119</v>
      </c>
      <c r="B48" t="s">
        <v>53</v>
      </c>
      <c r="C48" t="s">
        <v>53</v>
      </c>
      <c r="D48" t="s">
        <v>17</v>
      </c>
      <c r="E48" t="s">
        <v>18</v>
      </c>
      <c r="F48" t="s">
        <v>21</v>
      </c>
      <c r="G48" t="s">
        <v>40</v>
      </c>
      <c r="H48">
        <f>-2.27/(2.27+0.68+2.1+2.7)*1.256/0.254</f>
        <v>-1.4483718567437132</v>
      </c>
      <c r="I48" t="s">
        <v>17</v>
      </c>
      <c r="J48" t="s">
        <v>23</v>
      </c>
      <c r="O48" t="s">
        <v>54</v>
      </c>
    </row>
    <row r="49" spans="1:15" x14ac:dyDescent="0.25">
      <c r="A49" t="s">
        <v>119</v>
      </c>
      <c r="B49" t="s">
        <v>53</v>
      </c>
      <c r="C49" t="s">
        <v>53</v>
      </c>
      <c r="D49" t="s">
        <v>17</v>
      </c>
      <c r="E49" t="s">
        <v>18</v>
      </c>
      <c r="F49" t="s">
        <v>21</v>
      </c>
      <c r="G49" t="s">
        <v>40</v>
      </c>
      <c r="H49">
        <f>-0.68/(2.27+0.68+2.1+2.7)*1.256*0.95/0.254</f>
        <v>-0.41217983235966471</v>
      </c>
      <c r="I49" t="s">
        <v>17</v>
      </c>
      <c r="J49" t="s">
        <v>23</v>
      </c>
      <c r="O49" t="s">
        <v>54</v>
      </c>
    </row>
    <row r="50" spans="1:15" x14ac:dyDescent="0.25">
      <c r="A50" t="s">
        <v>119</v>
      </c>
      <c r="B50" t="s">
        <v>59</v>
      </c>
      <c r="C50" t="s">
        <v>59</v>
      </c>
      <c r="D50" t="s">
        <v>17</v>
      </c>
      <c r="E50" t="s">
        <v>18</v>
      </c>
      <c r="F50" t="s">
        <v>119</v>
      </c>
      <c r="G50" t="s">
        <v>59</v>
      </c>
      <c r="H50">
        <v>1</v>
      </c>
      <c r="I50" t="s">
        <v>17</v>
      </c>
      <c r="J50" t="s">
        <v>19</v>
      </c>
      <c r="O50" t="s">
        <v>54</v>
      </c>
    </row>
    <row r="51" spans="1:15" x14ac:dyDescent="0.25">
      <c r="A51" t="s">
        <v>119</v>
      </c>
      <c r="B51" t="s">
        <v>59</v>
      </c>
      <c r="C51" t="s">
        <v>59</v>
      </c>
      <c r="D51" t="s">
        <v>17</v>
      </c>
      <c r="E51" t="s">
        <v>18</v>
      </c>
      <c r="F51" t="s">
        <v>21</v>
      </c>
      <c r="G51" t="s">
        <v>55</v>
      </c>
      <c r="H51">
        <v>1</v>
      </c>
      <c r="I51" t="s">
        <v>17</v>
      </c>
      <c r="J51" t="s">
        <v>23</v>
      </c>
      <c r="O51" t="s">
        <v>54</v>
      </c>
    </row>
    <row r="52" spans="1:15" x14ac:dyDescent="0.25">
      <c r="A52" t="s">
        <v>119</v>
      </c>
      <c r="B52" t="s">
        <v>59</v>
      </c>
      <c r="C52" t="s">
        <v>59</v>
      </c>
      <c r="D52" t="s">
        <v>17</v>
      </c>
      <c r="E52" t="s">
        <v>18</v>
      </c>
      <c r="F52" t="s">
        <v>21</v>
      </c>
      <c r="G52" t="s">
        <v>56</v>
      </c>
      <c r="H52">
        <f>1/0.22</f>
        <v>4.5454545454545459</v>
      </c>
      <c r="I52" t="s">
        <v>17</v>
      </c>
      <c r="J52" t="s">
        <v>23</v>
      </c>
      <c r="O52" t="s">
        <v>54</v>
      </c>
    </row>
    <row r="53" spans="1:15" x14ac:dyDescent="0.25">
      <c r="A53" t="s">
        <v>119</v>
      </c>
      <c r="B53" t="s">
        <v>59</v>
      </c>
      <c r="C53" t="s">
        <v>59</v>
      </c>
      <c r="D53" t="s">
        <v>17</v>
      </c>
      <c r="E53" t="s">
        <v>18</v>
      </c>
      <c r="F53" t="s">
        <v>21</v>
      </c>
      <c r="G53" t="s">
        <v>57</v>
      </c>
      <c r="H53">
        <f>20*0.997/0.22</f>
        <v>90.63636363636364</v>
      </c>
      <c r="I53" t="s">
        <v>17</v>
      </c>
      <c r="J53" t="s">
        <v>23</v>
      </c>
      <c r="O53" t="s">
        <v>54</v>
      </c>
    </row>
    <row r="54" spans="1:15" x14ac:dyDescent="0.25">
      <c r="A54" t="s">
        <v>119</v>
      </c>
      <c r="B54" t="s">
        <v>59</v>
      </c>
      <c r="C54" t="s">
        <v>59</v>
      </c>
      <c r="D54" t="s">
        <v>17</v>
      </c>
      <c r="E54" t="s">
        <v>18</v>
      </c>
      <c r="F54" t="s">
        <v>21</v>
      </c>
      <c r="G54" t="s">
        <v>29</v>
      </c>
      <c r="H54">
        <f>63.87/(1000*0.22)</f>
        <v>0.29031818181818181</v>
      </c>
      <c r="I54" t="s">
        <v>30</v>
      </c>
      <c r="J54" t="s">
        <v>23</v>
      </c>
      <c r="O54" t="s">
        <v>54</v>
      </c>
    </row>
    <row r="55" spans="1:15" x14ac:dyDescent="0.25">
      <c r="A55" t="s">
        <v>119</v>
      </c>
      <c r="B55" t="s">
        <v>59</v>
      </c>
      <c r="C55" t="s">
        <v>59</v>
      </c>
      <c r="D55" t="s">
        <v>17</v>
      </c>
      <c r="E55" t="s">
        <v>18</v>
      </c>
      <c r="F55" t="s">
        <v>21</v>
      </c>
      <c r="G55" t="s">
        <v>40</v>
      </c>
      <c r="H55">
        <f>-2.27/(2.27+0.68+2.1+2.7)*1.218/0.22</f>
        <v>-1.6216187683284455</v>
      </c>
      <c r="I55" t="s">
        <v>17</v>
      </c>
      <c r="J55" t="s">
        <v>23</v>
      </c>
      <c r="O55" t="s">
        <v>54</v>
      </c>
    </row>
    <row r="56" spans="1:15" x14ac:dyDescent="0.25">
      <c r="A56" t="s">
        <v>119</v>
      </c>
      <c r="B56" t="s">
        <v>59</v>
      </c>
      <c r="C56" t="s">
        <v>59</v>
      </c>
      <c r="D56" t="s">
        <v>17</v>
      </c>
      <c r="E56" t="s">
        <v>18</v>
      </c>
      <c r="F56" t="s">
        <v>21</v>
      </c>
      <c r="G56" t="s">
        <v>40</v>
      </c>
      <c r="H56">
        <f>-0.68/(2.27+0.68+2.1+2.7)*1.218*0.95/0.22</f>
        <v>-0.46148269794721403</v>
      </c>
      <c r="I56" t="s">
        <v>17</v>
      </c>
      <c r="J56" t="s">
        <v>23</v>
      </c>
      <c r="O56" t="s">
        <v>54</v>
      </c>
    </row>
    <row r="57" spans="1:15" x14ac:dyDescent="0.25">
      <c r="A57" t="s">
        <v>119</v>
      </c>
      <c r="B57" t="s">
        <v>60</v>
      </c>
      <c r="C57" t="s">
        <v>60</v>
      </c>
      <c r="D57" t="s">
        <v>17</v>
      </c>
      <c r="E57" t="s">
        <v>18</v>
      </c>
      <c r="F57" t="s">
        <v>119</v>
      </c>
      <c r="G57" t="s">
        <v>60</v>
      </c>
      <c r="H57">
        <v>1</v>
      </c>
      <c r="I57" t="s">
        <v>17</v>
      </c>
      <c r="J57" t="s">
        <v>19</v>
      </c>
      <c r="O57" t="s">
        <v>54</v>
      </c>
    </row>
    <row r="58" spans="1:15" x14ac:dyDescent="0.25">
      <c r="A58" t="s">
        <v>119</v>
      </c>
      <c r="B58" t="s">
        <v>60</v>
      </c>
      <c r="C58" t="s">
        <v>60</v>
      </c>
      <c r="D58" t="s">
        <v>17</v>
      </c>
      <c r="E58" t="s">
        <v>18</v>
      </c>
      <c r="F58" t="s">
        <v>21</v>
      </c>
      <c r="G58" t="s">
        <v>55</v>
      </c>
      <c r="H58">
        <v>1</v>
      </c>
      <c r="I58" t="s">
        <v>17</v>
      </c>
      <c r="J58" t="s">
        <v>23</v>
      </c>
      <c r="O58" t="s">
        <v>54</v>
      </c>
    </row>
    <row r="59" spans="1:15" x14ac:dyDescent="0.25">
      <c r="A59" t="s">
        <v>119</v>
      </c>
      <c r="B59" t="s">
        <v>60</v>
      </c>
      <c r="C59" t="s">
        <v>60</v>
      </c>
      <c r="D59" t="s">
        <v>17</v>
      </c>
      <c r="E59" t="s">
        <v>18</v>
      </c>
      <c r="F59" t="s">
        <v>21</v>
      </c>
      <c r="G59" t="s">
        <v>56</v>
      </c>
      <c r="H59">
        <f>1/0.287</f>
        <v>3.4843205574912894</v>
      </c>
      <c r="I59" t="s">
        <v>17</v>
      </c>
      <c r="J59" t="s">
        <v>23</v>
      </c>
      <c r="O59" t="s">
        <v>54</v>
      </c>
    </row>
    <row r="60" spans="1:15" x14ac:dyDescent="0.25">
      <c r="A60" t="s">
        <v>119</v>
      </c>
      <c r="B60" t="s">
        <v>60</v>
      </c>
      <c r="C60" t="s">
        <v>60</v>
      </c>
      <c r="D60" t="s">
        <v>17</v>
      </c>
      <c r="E60" t="s">
        <v>18</v>
      </c>
      <c r="F60" t="s">
        <v>21</v>
      </c>
      <c r="G60" t="s">
        <v>57</v>
      </c>
      <c r="H60">
        <f>15*0.997/0.287</f>
        <v>52.108013937282237</v>
      </c>
      <c r="I60" t="s">
        <v>17</v>
      </c>
      <c r="J60" t="s">
        <v>23</v>
      </c>
      <c r="O60" t="s">
        <v>54</v>
      </c>
    </row>
    <row r="61" spans="1:15" x14ac:dyDescent="0.25">
      <c r="A61" t="s">
        <v>119</v>
      </c>
      <c r="B61" t="s">
        <v>60</v>
      </c>
      <c r="C61" t="s">
        <v>60</v>
      </c>
      <c r="D61" t="s">
        <v>17</v>
      </c>
      <c r="E61" t="s">
        <v>18</v>
      </c>
      <c r="F61" t="s">
        <v>21</v>
      </c>
      <c r="G61" t="s">
        <v>29</v>
      </c>
      <c r="H61">
        <f>65.06/(1000*0.287)</f>
        <v>0.22668989547038329</v>
      </c>
      <c r="I61" t="s">
        <v>30</v>
      </c>
      <c r="J61" t="s">
        <v>23</v>
      </c>
      <c r="O61" t="s">
        <v>54</v>
      </c>
    </row>
    <row r="62" spans="1:15" x14ac:dyDescent="0.25">
      <c r="A62" t="s">
        <v>119</v>
      </c>
      <c r="B62" t="s">
        <v>60</v>
      </c>
      <c r="C62" t="s">
        <v>60</v>
      </c>
      <c r="D62" t="s">
        <v>17</v>
      </c>
      <c r="E62" t="s">
        <v>18</v>
      </c>
      <c r="F62" t="s">
        <v>21</v>
      </c>
      <c r="G62" t="s">
        <v>40</v>
      </c>
      <c r="H62">
        <f>-2.27/(2.27+0.68+2.1+2.7)*1.287/0.287</f>
        <v>-1.313471956839384</v>
      </c>
      <c r="I62" t="s">
        <v>17</v>
      </c>
      <c r="J62" t="s">
        <v>23</v>
      </c>
      <c r="O62" t="s">
        <v>54</v>
      </c>
    </row>
    <row r="63" spans="1:15" x14ac:dyDescent="0.25">
      <c r="A63" t="s">
        <v>119</v>
      </c>
      <c r="B63" t="s">
        <v>60</v>
      </c>
      <c r="C63" t="s">
        <v>60</v>
      </c>
      <c r="D63" t="s">
        <v>17</v>
      </c>
      <c r="E63" t="s">
        <v>18</v>
      </c>
      <c r="F63" t="s">
        <v>21</v>
      </c>
      <c r="G63" t="s">
        <v>40</v>
      </c>
      <c r="H63">
        <f>-0.68/(2.27+0.68+2.1+2.7)*1.287*0.95/0.287</f>
        <v>-0.3737898167921771</v>
      </c>
      <c r="I63" t="s">
        <v>17</v>
      </c>
      <c r="J63" t="s">
        <v>23</v>
      </c>
      <c r="O63" t="s">
        <v>54</v>
      </c>
    </row>
    <row r="64" spans="1:15" x14ac:dyDescent="0.25">
      <c r="A64" t="s">
        <v>119</v>
      </c>
      <c r="B64" t="s">
        <v>61</v>
      </c>
      <c r="C64" t="s">
        <v>61</v>
      </c>
      <c r="D64" t="s">
        <v>17</v>
      </c>
      <c r="E64" t="s">
        <v>18</v>
      </c>
      <c r="F64" t="s">
        <v>119</v>
      </c>
      <c r="G64" t="s">
        <v>61</v>
      </c>
      <c r="H64">
        <v>1</v>
      </c>
      <c r="I64" t="s">
        <v>17</v>
      </c>
      <c r="J64" t="s">
        <v>19</v>
      </c>
      <c r="O64" t="s">
        <v>54</v>
      </c>
    </row>
    <row r="65" spans="1:15" x14ac:dyDescent="0.25">
      <c r="A65" t="s">
        <v>119</v>
      </c>
      <c r="B65" t="s">
        <v>61</v>
      </c>
      <c r="C65" t="s">
        <v>61</v>
      </c>
      <c r="D65" t="s">
        <v>17</v>
      </c>
      <c r="E65" t="s">
        <v>18</v>
      </c>
      <c r="F65" t="s">
        <v>21</v>
      </c>
      <c r="G65" t="s">
        <v>55</v>
      </c>
      <c r="H65">
        <v>1</v>
      </c>
      <c r="I65" t="s">
        <v>17</v>
      </c>
      <c r="J65" t="s">
        <v>23</v>
      </c>
      <c r="O65" t="s">
        <v>54</v>
      </c>
    </row>
    <row r="66" spans="1:15" x14ac:dyDescent="0.25">
      <c r="A66" t="s">
        <v>119</v>
      </c>
      <c r="B66" t="s">
        <v>61</v>
      </c>
      <c r="C66" t="s">
        <v>61</v>
      </c>
      <c r="D66" t="s">
        <v>17</v>
      </c>
      <c r="E66" t="s">
        <v>18</v>
      </c>
      <c r="F66" t="s">
        <v>21</v>
      </c>
      <c r="G66" t="s">
        <v>56</v>
      </c>
      <c r="H66">
        <f>1/0.238</f>
        <v>4.2016806722689077</v>
      </c>
      <c r="I66" t="s">
        <v>17</v>
      </c>
      <c r="J66" t="s">
        <v>23</v>
      </c>
      <c r="O66" t="s">
        <v>54</v>
      </c>
    </row>
    <row r="67" spans="1:15" x14ac:dyDescent="0.25">
      <c r="A67" t="s">
        <v>119</v>
      </c>
      <c r="B67" t="s">
        <v>61</v>
      </c>
      <c r="C67" t="s">
        <v>61</v>
      </c>
      <c r="D67" t="s">
        <v>17</v>
      </c>
      <c r="E67" t="s">
        <v>18</v>
      </c>
      <c r="F67" t="s">
        <v>21</v>
      </c>
      <c r="G67" t="s">
        <v>57</v>
      </c>
      <c r="H67">
        <f>13.3*0.997/0.238</f>
        <v>55.714705882352952</v>
      </c>
      <c r="I67" t="s">
        <v>17</v>
      </c>
      <c r="J67" t="s">
        <v>23</v>
      </c>
      <c r="O67" t="s">
        <v>54</v>
      </c>
    </row>
    <row r="68" spans="1:15" x14ac:dyDescent="0.25">
      <c r="A68" t="s">
        <v>119</v>
      </c>
      <c r="B68" t="s">
        <v>61</v>
      </c>
      <c r="C68" t="s">
        <v>61</v>
      </c>
      <c r="D68" t="s">
        <v>17</v>
      </c>
      <c r="E68" t="s">
        <v>18</v>
      </c>
      <c r="F68" t="s">
        <v>21</v>
      </c>
      <c r="G68" t="s">
        <v>29</v>
      </c>
      <c r="H68">
        <f>59.12/(1000*0.238)</f>
        <v>0.2484033613445378</v>
      </c>
      <c r="I68" t="s">
        <v>30</v>
      </c>
      <c r="J68" t="s">
        <v>23</v>
      </c>
      <c r="O68" t="s">
        <v>54</v>
      </c>
    </row>
    <row r="69" spans="1:15" x14ac:dyDescent="0.25">
      <c r="A69" t="s">
        <v>119</v>
      </c>
      <c r="B69" t="s">
        <v>61</v>
      </c>
      <c r="C69" t="s">
        <v>61</v>
      </c>
      <c r="D69" t="s">
        <v>17</v>
      </c>
      <c r="E69" t="s">
        <v>18</v>
      </c>
      <c r="F69" t="s">
        <v>21</v>
      </c>
      <c r="G69" t="s">
        <v>40</v>
      </c>
      <c r="H69">
        <f>-2.27/(2.27+0.68+2.1+2.7)*1.24/0.238</f>
        <v>-1.5260504201680669</v>
      </c>
      <c r="I69" t="s">
        <v>17</v>
      </c>
      <c r="J69" t="s">
        <v>23</v>
      </c>
      <c r="O69" t="s">
        <v>54</v>
      </c>
    </row>
    <row r="70" spans="1:15" x14ac:dyDescent="0.25">
      <c r="A70" t="s">
        <v>119</v>
      </c>
      <c r="B70" t="s">
        <v>61</v>
      </c>
      <c r="C70" t="s">
        <v>61</v>
      </c>
      <c r="D70" t="s">
        <v>17</v>
      </c>
      <c r="E70" t="s">
        <v>18</v>
      </c>
      <c r="F70" t="s">
        <v>21</v>
      </c>
      <c r="G70" t="s">
        <v>40</v>
      </c>
      <c r="H70">
        <f>-0.68/(2.27+0.68+2.1+2.7)*1.24*0.95/0.238</f>
        <v>-0.43428571428571427</v>
      </c>
      <c r="I70" t="s">
        <v>17</v>
      </c>
      <c r="J70" t="s">
        <v>23</v>
      </c>
      <c r="O70" t="s">
        <v>54</v>
      </c>
    </row>
    <row r="71" spans="1:15" x14ac:dyDescent="0.25">
      <c r="A71" t="s">
        <v>119</v>
      </c>
      <c r="B71" t="s">
        <v>62</v>
      </c>
      <c r="C71" t="s">
        <v>62</v>
      </c>
      <c r="D71" t="s">
        <v>17</v>
      </c>
      <c r="E71" t="s">
        <v>18</v>
      </c>
      <c r="F71" t="s">
        <v>119</v>
      </c>
      <c r="G71" t="s">
        <v>62</v>
      </c>
      <c r="H71">
        <v>1</v>
      </c>
      <c r="I71" t="s">
        <v>17</v>
      </c>
      <c r="J71" t="s">
        <v>19</v>
      </c>
      <c r="O71" t="s">
        <v>54</v>
      </c>
    </row>
    <row r="72" spans="1:15" x14ac:dyDescent="0.25">
      <c r="A72" t="s">
        <v>119</v>
      </c>
      <c r="B72" t="s">
        <v>62</v>
      </c>
      <c r="C72" t="s">
        <v>62</v>
      </c>
      <c r="D72" t="s">
        <v>17</v>
      </c>
      <c r="E72" t="s">
        <v>18</v>
      </c>
      <c r="F72" t="s">
        <v>21</v>
      </c>
      <c r="G72" t="s">
        <v>55</v>
      </c>
      <c r="H72">
        <v>1</v>
      </c>
      <c r="I72" t="s">
        <v>17</v>
      </c>
      <c r="J72" t="s">
        <v>23</v>
      </c>
      <c r="O72" t="s">
        <v>54</v>
      </c>
    </row>
    <row r="73" spans="1:15" x14ac:dyDescent="0.25">
      <c r="A73" t="s">
        <v>119</v>
      </c>
      <c r="B73" t="s">
        <v>62</v>
      </c>
      <c r="C73" t="s">
        <v>62</v>
      </c>
      <c r="D73" t="s">
        <v>17</v>
      </c>
      <c r="E73" t="s">
        <v>18</v>
      </c>
      <c r="F73" t="s">
        <v>21</v>
      </c>
      <c r="G73" t="s">
        <v>56</v>
      </c>
      <c r="H73">
        <f>1/0.316</f>
        <v>3.1645569620253164</v>
      </c>
      <c r="I73" t="s">
        <v>17</v>
      </c>
      <c r="J73" t="s">
        <v>23</v>
      </c>
      <c r="O73" t="s">
        <v>54</v>
      </c>
    </row>
    <row r="74" spans="1:15" x14ac:dyDescent="0.25">
      <c r="A74" t="s">
        <v>119</v>
      </c>
      <c r="B74" t="s">
        <v>62</v>
      </c>
      <c r="C74" t="s">
        <v>62</v>
      </c>
      <c r="D74" t="s">
        <v>17</v>
      </c>
      <c r="E74" t="s">
        <v>18</v>
      </c>
      <c r="F74" t="s">
        <v>21</v>
      </c>
      <c r="G74" t="s">
        <v>57</v>
      </c>
      <c r="H74">
        <f>15*0.997/0.316</f>
        <v>47.325949367088604</v>
      </c>
      <c r="I74" t="s">
        <v>17</v>
      </c>
      <c r="J74" t="s">
        <v>23</v>
      </c>
      <c r="O74" t="s">
        <v>54</v>
      </c>
    </row>
    <row r="75" spans="1:15" x14ac:dyDescent="0.25">
      <c r="A75" t="s">
        <v>119</v>
      </c>
      <c r="B75" t="s">
        <v>62</v>
      </c>
      <c r="C75" t="s">
        <v>62</v>
      </c>
      <c r="D75" t="s">
        <v>17</v>
      </c>
      <c r="E75" t="s">
        <v>18</v>
      </c>
      <c r="F75" t="s">
        <v>21</v>
      </c>
      <c r="G75" t="s">
        <v>29</v>
      </c>
      <c r="H75">
        <f>64.78/(1000*0.316)</f>
        <v>0.20500000000000002</v>
      </c>
      <c r="I75" t="s">
        <v>30</v>
      </c>
      <c r="J75" t="s">
        <v>23</v>
      </c>
      <c r="O75" t="s">
        <v>54</v>
      </c>
    </row>
    <row r="76" spans="1:15" x14ac:dyDescent="0.25">
      <c r="A76" t="s">
        <v>119</v>
      </c>
      <c r="B76" t="s">
        <v>62</v>
      </c>
      <c r="C76" t="s">
        <v>62</v>
      </c>
      <c r="D76" t="s">
        <v>17</v>
      </c>
      <c r="E76" t="s">
        <v>18</v>
      </c>
      <c r="F76" t="s">
        <v>21</v>
      </c>
      <c r="G76" t="s">
        <v>40</v>
      </c>
      <c r="H76">
        <f>-2.27/(2.27+0.68+2.1+2.7)*1.318/0.316</f>
        <v>-1.2216659861167822</v>
      </c>
      <c r="I76" t="s">
        <v>17</v>
      </c>
      <c r="J76" t="s">
        <v>23</v>
      </c>
      <c r="O76" t="s">
        <v>54</v>
      </c>
    </row>
    <row r="77" spans="1:15" x14ac:dyDescent="0.25">
      <c r="A77" t="s">
        <v>119</v>
      </c>
      <c r="B77" t="s">
        <v>62</v>
      </c>
      <c r="C77" t="s">
        <v>62</v>
      </c>
      <c r="D77" t="s">
        <v>17</v>
      </c>
      <c r="E77" t="s">
        <v>18</v>
      </c>
      <c r="F77" t="s">
        <v>21</v>
      </c>
      <c r="G77" t="s">
        <v>40</v>
      </c>
      <c r="H77">
        <f>-0.68/(2.27+0.68+2.1+2.7)*1.318*0.95/0.316</f>
        <v>-0.34766353613719886</v>
      </c>
      <c r="I77" t="s">
        <v>17</v>
      </c>
      <c r="J77" t="s">
        <v>23</v>
      </c>
      <c r="O77" t="s">
        <v>54</v>
      </c>
    </row>
    <row r="78" spans="1:15" x14ac:dyDescent="0.25">
      <c r="A78" t="s">
        <v>119</v>
      </c>
      <c r="B78" t="s">
        <v>63</v>
      </c>
      <c r="C78" t="s">
        <v>63</v>
      </c>
      <c r="D78" t="s">
        <v>17</v>
      </c>
      <c r="E78" t="s">
        <v>18</v>
      </c>
      <c r="F78" t="s">
        <v>119</v>
      </c>
      <c r="G78" t="s">
        <v>63</v>
      </c>
      <c r="H78">
        <v>1</v>
      </c>
      <c r="I78" t="s">
        <v>17</v>
      </c>
      <c r="J78" t="s">
        <v>19</v>
      </c>
      <c r="O78" t="s">
        <v>54</v>
      </c>
    </row>
    <row r="79" spans="1:15" x14ac:dyDescent="0.25">
      <c r="A79" t="s">
        <v>119</v>
      </c>
      <c r="B79" t="s">
        <v>63</v>
      </c>
      <c r="C79" t="s">
        <v>63</v>
      </c>
      <c r="D79" t="s">
        <v>17</v>
      </c>
      <c r="E79" t="s">
        <v>18</v>
      </c>
      <c r="F79" t="s">
        <v>21</v>
      </c>
      <c r="G79" t="s">
        <v>55</v>
      </c>
      <c r="H79">
        <v>1</v>
      </c>
      <c r="I79" t="s">
        <v>17</v>
      </c>
      <c r="J79" t="s">
        <v>23</v>
      </c>
      <c r="O79" t="s">
        <v>54</v>
      </c>
    </row>
    <row r="80" spans="1:15" x14ac:dyDescent="0.25">
      <c r="A80" t="s">
        <v>119</v>
      </c>
      <c r="B80" t="s">
        <v>63</v>
      </c>
      <c r="C80" t="s">
        <v>63</v>
      </c>
      <c r="D80" t="s">
        <v>17</v>
      </c>
      <c r="E80" t="s">
        <v>18</v>
      </c>
      <c r="F80" t="s">
        <v>21</v>
      </c>
      <c r="G80" t="s">
        <v>56</v>
      </c>
      <c r="H80">
        <f>1/0.154</f>
        <v>6.4935064935064934</v>
      </c>
      <c r="I80" t="s">
        <v>17</v>
      </c>
      <c r="J80" t="s">
        <v>23</v>
      </c>
      <c r="O80" t="s">
        <v>54</v>
      </c>
    </row>
    <row r="81" spans="1:15" x14ac:dyDescent="0.25">
      <c r="A81" t="s">
        <v>119</v>
      </c>
      <c r="B81" t="s">
        <v>63</v>
      </c>
      <c r="C81" t="s">
        <v>63</v>
      </c>
      <c r="D81" t="s">
        <v>17</v>
      </c>
      <c r="E81" t="s">
        <v>18</v>
      </c>
      <c r="F81" t="s">
        <v>21</v>
      </c>
      <c r="G81" t="s">
        <v>57</v>
      </c>
      <c r="H81">
        <f>13.3*0.997/0.154</f>
        <v>86.104545454545459</v>
      </c>
      <c r="I81" t="s">
        <v>17</v>
      </c>
      <c r="J81" t="s">
        <v>23</v>
      </c>
      <c r="O81" t="s">
        <v>54</v>
      </c>
    </row>
    <row r="82" spans="1:15" x14ac:dyDescent="0.25">
      <c r="A82" t="s">
        <v>119</v>
      </c>
      <c r="B82" t="s">
        <v>63</v>
      </c>
      <c r="C82" t="s">
        <v>63</v>
      </c>
      <c r="D82" t="s">
        <v>17</v>
      </c>
      <c r="E82" t="s">
        <v>18</v>
      </c>
      <c r="F82" t="s">
        <v>21</v>
      </c>
      <c r="G82" t="s">
        <v>29</v>
      </c>
      <c r="H82">
        <f>54.64/(1000*0.154)</f>
        <v>0.35480519480519479</v>
      </c>
      <c r="I82" t="s">
        <v>30</v>
      </c>
      <c r="J82" t="s">
        <v>23</v>
      </c>
      <c r="O82" t="s">
        <v>54</v>
      </c>
    </row>
    <row r="83" spans="1:15" x14ac:dyDescent="0.25">
      <c r="A83" t="s">
        <v>119</v>
      </c>
      <c r="B83" t="s">
        <v>63</v>
      </c>
      <c r="C83" t="s">
        <v>63</v>
      </c>
      <c r="D83" t="s">
        <v>17</v>
      </c>
      <c r="E83" t="s">
        <v>18</v>
      </c>
      <c r="F83" t="s">
        <v>21</v>
      </c>
      <c r="G83" t="s">
        <v>40</v>
      </c>
      <c r="H83">
        <f>-2.27/(2.27+0.68+2.1+2.7)*1.155/0.154</f>
        <v>-2.1967741935483867</v>
      </c>
      <c r="I83" t="s">
        <v>17</v>
      </c>
      <c r="J83" t="s">
        <v>23</v>
      </c>
      <c r="O83" t="s">
        <v>54</v>
      </c>
    </row>
    <row r="84" spans="1:15" x14ac:dyDescent="0.25">
      <c r="A84" t="s">
        <v>119</v>
      </c>
      <c r="B84" t="s">
        <v>63</v>
      </c>
      <c r="C84" t="s">
        <v>63</v>
      </c>
      <c r="D84" t="s">
        <v>17</v>
      </c>
      <c r="E84" t="s">
        <v>18</v>
      </c>
      <c r="F84" t="s">
        <v>21</v>
      </c>
      <c r="G84" t="s">
        <v>40</v>
      </c>
      <c r="H84">
        <f>-0.68/(2.27+0.68+2.1+2.7)*1.155*0.95/0.154</f>
        <v>-0.62516129032258061</v>
      </c>
      <c r="I84" t="s">
        <v>17</v>
      </c>
      <c r="J84" t="s">
        <v>23</v>
      </c>
      <c r="O84" t="s">
        <v>54</v>
      </c>
    </row>
    <row r="85" spans="1:15" x14ac:dyDescent="0.25">
      <c r="A85" t="s">
        <v>119</v>
      </c>
      <c r="B85" t="s">
        <v>64</v>
      </c>
      <c r="C85" t="s">
        <v>64</v>
      </c>
      <c r="D85" t="s">
        <v>17</v>
      </c>
      <c r="E85" t="s">
        <v>18</v>
      </c>
      <c r="F85" t="s">
        <v>119</v>
      </c>
      <c r="G85" t="s">
        <v>64</v>
      </c>
      <c r="H85">
        <v>1</v>
      </c>
      <c r="I85" t="s">
        <v>17</v>
      </c>
      <c r="J85" t="s">
        <v>19</v>
      </c>
      <c r="O85" t="s">
        <v>65</v>
      </c>
    </row>
    <row r="86" spans="1:15" x14ac:dyDescent="0.25">
      <c r="A86" t="s">
        <v>119</v>
      </c>
      <c r="B86" t="s">
        <v>64</v>
      </c>
      <c r="C86" t="s">
        <v>64</v>
      </c>
      <c r="D86" t="s">
        <v>17</v>
      </c>
      <c r="E86" t="s">
        <v>18</v>
      </c>
      <c r="F86" t="s">
        <v>21</v>
      </c>
      <c r="G86" t="s">
        <v>22</v>
      </c>
      <c r="H86">
        <v>1</v>
      </c>
      <c r="I86" t="s">
        <v>17</v>
      </c>
      <c r="J86" t="s">
        <v>23</v>
      </c>
      <c r="O86" t="s">
        <v>65</v>
      </c>
    </row>
    <row r="87" spans="1:15" x14ac:dyDescent="0.25">
      <c r="A87" t="s">
        <v>119</v>
      </c>
      <c r="B87" t="s">
        <v>64</v>
      </c>
      <c r="C87" t="s">
        <v>64</v>
      </c>
      <c r="D87" t="s">
        <v>17</v>
      </c>
      <c r="E87" t="s">
        <v>18</v>
      </c>
      <c r="F87" t="s">
        <v>21</v>
      </c>
      <c r="G87" t="s">
        <v>66</v>
      </c>
      <c r="H87">
        <v>2.2999999999999998</v>
      </c>
      <c r="I87" t="s">
        <v>17</v>
      </c>
      <c r="J87" t="s">
        <v>23</v>
      </c>
      <c r="O87" t="s">
        <v>65</v>
      </c>
    </row>
    <row r="88" spans="1:15" x14ac:dyDescent="0.25">
      <c r="A88" t="s">
        <v>119</v>
      </c>
      <c r="B88" t="s">
        <v>64</v>
      </c>
      <c r="C88" t="s">
        <v>64</v>
      </c>
      <c r="D88" t="s">
        <v>17</v>
      </c>
      <c r="E88" t="s">
        <v>18</v>
      </c>
      <c r="F88" t="s">
        <v>21</v>
      </c>
      <c r="G88" t="s">
        <v>67</v>
      </c>
      <c r="H88">
        <v>0.25</v>
      </c>
      <c r="I88" t="s">
        <v>17</v>
      </c>
      <c r="J88" t="s">
        <v>23</v>
      </c>
      <c r="O88" t="s">
        <v>65</v>
      </c>
    </row>
    <row r="89" spans="1:15" x14ac:dyDescent="0.25">
      <c r="A89" t="s">
        <v>119</v>
      </c>
      <c r="B89" t="s">
        <v>64</v>
      </c>
      <c r="C89" t="s">
        <v>64</v>
      </c>
      <c r="D89" t="s">
        <v>17</v>
      </c>
      <c r="E89" t="s">
        <v>18</v>
      </c>
      <c r="F89" t="s">
        <v>21</v>
      </c>
      <c r="G89" t="s">
        <v>29</v>
      </c>
      <c r="H89">
        <f>364/1000+0.1195</f>
        <v>0.48349999999999999</v>
      </c>
      <c r="I89" t="s">
        <v>30</v>
      </c>
      <c r="J89" t="s">
        <v>23</v>
      </c>
      <c r="O89" t="s">
        <v>65</v>
      </c>
    </row>
    <row r="90" spans="1:15" x14ac:dyDescent="0.25">
      <c r="A90" t="s">
        <v>119</v>
      </c>
      <c r="B90" t="s">
        <v>64</v>
      </c>
      <c r="C90" t="s">
        <v>64</v>
      </c>
      <c r="D90" t="s">
        <v>17</v>
      </c>
      <c r="E90" t="s">
        <v>18</v>
      </c>
      <c r="F90" t="s">
        <v>21</v>
      </c>
      <c r="G90" t="s">
        <v>33</v>
      </c>
      <c r="H90">
        <f>292*3.6/1000</f>
        <v>1.0512000000000001</v>
      </c>
      <c r="I90" t="s">
        <v>34</v>
      </c>
      <c r="J90" t="s">
        <v>23</v>
      </c>
      <c r="O90" t="s">
        <v>65</v>
      </c>
    </row>
    <row r="91" spans="1:15" x14ac:dyDescent="0.25">
      <c r="A91" t="s">
        <v>119</v>
      </c>
      <c r="B91" t="s">
        <v>64</v>
      </c>
      <c r="C91" t="s">
        <v>64</v>
      </c>
      <c r="D91" t="s">
        <v>17</v>
      </c>
      <c r="E91" t="s">
        <v>18</v>
      </c>
      <c r="F91" t="s">
        <v>21</v>
      </c>
      <c r="G91" t="s">
        <v>40</v>
      </c>
      <c r="H91">
        <f>-0.91*0.95</f>
        <v>-0.86449999999999994</v>
      </c>
      <c r="I91" t="s">
        <v>17</v>
      </c>
      <c r="J91" t="s">
        <v>23</v>
      </c>
      <c r="O91" t="s">
        <v>65</v>
      </c>
    </row>
    <row r="92" spans="1:15" x14ac:dyDescent="0.25">
      <c r="A92" t="s">
        <v>119</v>
      </c>
      <c r="B92" t="s">
        <v>64</v>
      </c>
      <c r="C92" t="s">
        <v>64</v>
      </c>
      <c r="D92" t="s">
        <v>17</v>
      </c>
      <c r="E92" t="s">
        <v>18</v>
      </c>
      <c r="F92" t="s">
        <v>21</v>
      </c>
      <c r="G92" t="s">
        <v>66</v>
      </c>
      <c r="H92">
        <v>-0.18</v>
      </c>
      <c r="I92" t="s">
        <v>17</v>
      </c>
      <c r="J92" t="s">
        <v>23</v>
      </c>
      <c r="O92" t="s">
        <v>65</v>
      </c>
    </row>
    <row r="93" spans="1:15" x14ac:dyDescent="0.25">
      <c r="A93" t="s">
        <v>119</v>
      </c>
      <c r="B93" t="s">
        <v>64</v>
      </c>
      <c r="C93" t="s">
        <v>64</v>
      </c>
      <c r="D93" t="s">
        <v>17</v>
      </c>
      <c r="E93" t="s">
        <v>18</v>
      </c>
      <c r="F93" t="s">
        <v>21</v>
      </c>
      <c r="G93" t="s">
        <v>67</v>
      </c>
      <c r="H93">
        <f>-0.25</f>
        <v>-0.25</v>
      </c>
      <c r="I93" t="s">
        <v>17</v>
      </c>
      <c r="J93" t="s">
        <v>23</v>
      </c>
      <c r="O93" t="s">
        <v>65</v>
      </c>
    </row>
    <row r="94" spans="1:15" x14ac:dyDescent="0.25">
      <c r="A94" t="s">
        <v>119</v>
      </c>
      <c r="B94" t="s">
        <v>68</v>
      </c>
      <c r="C94" t="s">
        <v>68</v>
      </c>
      <c r="D94" t="s">
        <v>17</v>
      </c>
      <c r="E94" t="s">
        <v>18</v>
      </c>
      <c r="F94" t="s">
        <v>119</v>
      </c>
      <c r="G94" t="s">
        <v>68</v>
      </c>
      <c r="H94">
        <v>1</v>
      </c>
      <c r="I94" t="s">
        <v>17</v>
      </c>
      <c r="J94" t="s">
        <v>19</v>
      </c>
      <c r="O94" t="s">
        <v>65</v>
      </c>
    </row>
    <row r="95" spans="1:15" x14ac:dyDescent="0.25">
      <c r="A95" t="s">
        <v>119</v>
      </c>
      <c r="B95" t="s">
        <v>68</v>
      </c>
      <c r="C95" t="s">
        <v>68</v>
      </c>
      <c r="D95" t="s">
        <v>17</v>
      </c>
      <c r="E95" t="s">
        <v>18</v>
      </c>
      <c r="F95" t="s">
        <v>21</v>
      </c>
      <c r="G95" t="s">
        <v>55</v>
      </c>
      <c r="H95">
        <v>1</v>
      </c>
      <c r="I95" t="s">
        <v>17</v>
      </c>
      <c r="J95" t="s">
        <v>23</v>
      </c>
      <c r="O95" t="s">
        <v>65</v>
      </c>
    </row>
    <row r="96" spans="1:15" x14ac:dyDescent="0.25">
      <c r="A96" t="s">
        <v>119</v>
      </c>
      <c r="B96" t="s">
        <v>68</v>
      </c>
      <c r="C96" t="s">
        <v>68</v>
      </c>
      <c r="D96" t="s">
        <v>17</v>
      </c>
      <c r="E96" t="s">
        <v>18</v>
      </c>
      <c r="F96" t="s">
        <v>21</v>
      </c>
      <c r="G96" t="s">
        <v>66</v>
      </c>
      <c r="H96">
        <v>3.44</v>
      </c>
      <c r="I96" t="s">
        <v>17</v>
      </c>
      <c r="J96" t="s">
        <v>23</v>
      </c>
      <c r="O96" t="s">
        <v>65</v>
      </c>
    </row>
    <row r="97" spans="1:15" x14ac:dyDescent="0.25">
      <c r="A97" t="s">
        <v>119</v>
      </c>
      <c r="B97" t="s">
        <v>68</v>
      </c>
      <c r="C97" t="s">
        <v>68</v>
      </c>
      <c r="D97" t="s">
        <v>17</v>
      </c>
      <c r="E97" t="s">
        <v>18</v>
      </c>
      <c r="F97" t="s">
        <v>21</v>
      </c>
      <c r="G97" t="s">
        <v>67</v>
      </c>
      <c r="H97">
        <v>0.38</v>
      </c>
      <c r="I97" t="s">
        <v>17</v>
      </c>
      <c r="J97" t="s">
        <v>23</v>
      </c>
      <c r="O97" t="s">
        <v>65</v>
      </c>
    </row>
    <row r="98" spans="1:15" x14ac:dyDescent="0.25">
      <c r="A98" t="s">
        <v>119</v>
      </c>
      <c r="B98" t="s">
        <v>68</v>
      </c>
      <c r="C98" t="s">
        <v>68</v>
      </c>
      <c r="D98" t="s">
        <v>17</v>
      </c>
      <c r="E98" t="s">
        <v>18</v>
      </c>
      <c r="F98" t="s">
        <v>21</v>
      </c>
      <c r="G98" t="s">
        <v>29</v>
      </c>
      <c r="H98">
        <f>434/1000+0.2227</f>
        <v>0.65670000000000006</v>
      </c>
      <c r="I98" t="s">
        <v>30</v>
      </c>
      <c r="J98" t="s">
        <v>23</v>
      </c>
      <c r="O98" t="s">
        <v>65</v>
      </c>
    </row>
    <row r="99" spans="1:15" x14ac:dyDescent="0.25">
      <c r="A99" t="s">
        <v>119</v>
      </c>
      <c r="B99" t="s">
        <v>68</v>
      </c>
      <c r="C99" t="s">
        <v>68</v>
      </c>
      <c r="D99" t="s">
        <v>17</v>
      </c>
      <c r="E99" t="s">
        <v>18</v>
      </c>
      <c r="F99" t="s">
        <v>21</v>
      </c>
      <c r="G99" t="s">
        <v>33</v>
      </c>
      <c r="H99">
        <f>510*3.6/1000</f>
        <v>1.8360000000000001</v>
      </c>
      <c r="I99" t="s">
        <v>34</v>
      </c>
      <c r="J99" t="s">
        <v>23</v>
      </c>
      <c r="O99" t="s">
        <v>65</v>
      </c>
    </row>
    <row r="100" spans="1:15" x14ac:dyDescent="0.25">
      <c r="A100" t="s">
        <v>119</v>
      </c>
      <c r="B100" t="s">
        <v>68</v>
      </c>
      <c r="C100" t="s">
        <v>68</v>
      </c>
      <c r="D100" t="s">
        <v>17</v>
      </c>
      <c r="E100" t="s">
        <v>18</v>
      </c>
      <c r="F100" t="s">
        <v>21</v>
      </c>
      <c r="G100" t="s">
        <v>40</v>
      </c>
      <c r="H100">
        <f>-0.91*0.95</f>
        <v>-0.86449999999999994</v>
      </c>
      <c r="I100" t="s">
        <v>17</v>
      </c>
      <c r="J100" t="s">
        <v>23</v>
      </c>
      <c r="O100" t="s">
        <v>65</v>
      </c>
    </row>
    <row r="101" spans="1:15" x14ac:dyDescent="0.25">
      <c r="A101" t="s">
        <v>119</v>
      </c>
      <c r="B101" t="s">
        <v>68</v>
      </c>
      <c r="C101" t="s">
        <v>68</v>
      </c>
      <c r="D101" t="s">
        <v>17</v>
      </c>
      <c r="E101" t="s">
        <v>18</v>
      </c>
      <c r="F101" t="s">
        <v>21</v>
      </c>
      <c r="G101" t="s">
        <v>66</v>
      </c>
      <c r="H101">
        <v>-1.33</v>
      </c>
      <c r="I101" t="s">
        <v>17</v>
      </c>
      <c r="J101" t="s">
        <v>23</v>
      </c>
      <c r="O101" t="s">
        <v>65</v>
      </c>
    </row>
    <row r="102" spans="1:15" x14ac:dyDescent="0.25">
      <c r="A102" t="s">
        <v>119</v>
      </c>
      <c r="B102" t="s">
        <v>68</v>
      </c>
      <c r="C102" t="s">
        <v>68</v>
      </c>
      <c r="D102" t="s">
        <v>17</v>
      </c>
      <c r="E102" t="s">
        <v>18</v>
      </c>
      <c r="F102" t="s">
        <v>21</v>
      </c>
      <c r="G102" t="s">
        <v>67</v>
      </c>
      <c r="H102">
        <v>-0.38</v>
      </c>
      <c r="I102" t="s">
        <v>17</v>
      </c>
      <c r="J102" t="s">
        <v>23</v>
      </c>
      <c r="O102" t="s">
        <v>65</v>
      </c>
    </row>
    <row r="103" spans="1:15" x14ac:dyDescent="0.25">
      <c r="A103" t="s">
        <v>119</v>
      </c>
      <c r="B103" t="s">
        <v>69</v>
      </c>
      <c r="C103" t="s">
        <v>69</v>
      </c>
      <c r="D103" t="s">
        <v>17</v>
      </c>
      <c r="E103" t="s">
        <v>18</v>
      </c>
      <c r="F103" t="s">
        <v>119</v>
      </c>
      <c r="G103" t="s">
        <v>69</v>
      </c>
      <c r="H103">
        <v>1</v>
      </c>
      <c r="I103" t="s">
        <v>17</v>
      </c>
      <c r="J103" t="s">
        <v>19</v>
      </c>
      <c r="O103" t="s">
        <v>65</v>
      </c>
    </row>
    <row r="104" spans="1:15" x14ac:dyDescent="0.25">
      <c r="A104" t="s">
        <v>119</v>
      </c>
      <c r="B104" t="s">
        <v>69</v>
      </c>
      <c r="C104" t="s">
        <v>69</v>
      </c>
      <c r="D104" t="s">
        <v>17</v>
      </c>
      <c r="E104" t="s">
        <v>18</v>
      </c>
      <c r="F104" t="s">
        <v>21</v>
      </c>
      <c r="G104" t="s">
        <v>22</v>
      </c>
      <c r="H104">
        <v>1</v>
      </c>
      <c r="I104" t="s">
        <v>17</v>
      </c>
      <c r="J104" t="s">
        <v>23</v>
      </c>
      <c r="O104" t="s">
        <v>65</v>
      </c>
    </row>
    <row r="105" spans="1:15" x14ac:dyDescent="0.25">
      <c r="A105" t="s">
        <v>119</v>
      </c>
      <c r="B105" t="s">
        <v>69</v>
      </c>
      <c r="C105" t="s">
        <v>69</v>
      </c>
      <c r="D105" t="s">
        <v>17</v>
      </c>
      <c r="E105" t="s">
        <v>18</v>
      </c>
      <c r="F105" t="s">
        <v>21</v>
      </c>
      <c r="G105" t="s">
        <v>51</v>
      </c>
      <c r="H105">
        <f>1.97+0.5</f>
        <v>2.4699999999999998</v>
      </c>
      <c r="I105" t="s">
        <v>17</v>
      </c>
      <c r="J105" t="s">
        <v>23</v>
      </c>
      <c r="O105" t="s">
        <v>70</v>
      </c>
    </row>
    <row r="106" spans="1:15" x14ac:dyDescent="0.25">
      <c r="A106" t="s">
        <v>119</v>
      </c>
      <c r="B106" t="s">
        <v>69</v>
      </c>
      <c r="C106" t="s">
        <v>69</v>
      </c>
      <c r="D106" t="s">
        <v>17</v>
      </c>
      <c r="E106" t="s">
        <v>18</v>
      </c>
      <c r="F106" t="s">
        <v>21</v>
      </c>
      <c r="G106" t="s">
        <v>29</v>
      </c>
      <c r="H106">
        <f>763/1000+0.1309</f>
        <v>0.89390000000000003</v>
      </c>
      <c r="I106" t="s">
        <v>30</v>
      </c>
      <c r="J106" t="s">
        <v>23</v>
      </c>
      <c r="O106" t="s">
        <v>65</v>
      </c>
    </row>
    <row r="107" spans="1:15" x14ac:dyDescent="0.25">
      <c r="A107" t="s">
        <v>119</v>
      </c>
      <c r="B107" t="s">
        <v>69</v>
      </c>
      <c r="C107" t="s">
        <v>69</v>
      </c>
      <c r="D107" t="s">
        <v>17</v>
      </c>
      <c r="E107" t="s">
        <v>18</v>
      </c>
      <c r="F107" t="s">
        <v>21</v>
      </c>
      <c r="G107" t="s">
        <v>40</v>
      </c>
      <c r="H107">
        <f>-1.92*0.95</f>
        <v>-1.8239999999999998</v>
      </c>
      <c r="I107" t="s">
        <v>17</v>
      </c>
      <c r="J107" t="s">
        <v>23</v>
      </c>
      <c r="O107" t="s">
        <v>65</v>
      </c>
    </row>
    <row r="108" spans="1:15" x14ac:dyDescent="0.25">
      <c r="A108" t="s">
        <v>119</v>
      </c>
      <c r="B108" t="s">
        <v>69</v>
      </c>
      <c r="C108" t="s">
        <v>69</v>
      </c>
      <c r="D108" t="s">
        <v>17</v>
      </c>
      <c r="E108" t="s">
        <v>18</v>
      </c>
      <c r="F108" t="s">
        <v>21</v>
      </c>
      <c r="G108" t="s">
        <v>51</v>
      </c>
      <c r="H108">
        <v>-0.37</v>
      </c>
      <c r="I108" t="s">
        <v>17</v>
      </c>
      <c r="J108" t="s">
        <v>23</v>
      </c>
      <c r="O108" t="s">
        <v>65</v>
      </c>
    </row>
    <row r="109" spans="1:15" x14ac:dyDescent="0.25">
      <c r="A109" t="s">
        <v>119</v>
      </c>
      <c r="B109" t="s">
        <v>69</v>
      </c>
      <c r="C109" t="s">
        <v>69</v>
      </c>
      <c r="D109" t="s">
        <v>17</v>
      </c>
      <c r="E109" t="s">
        <v>18</v>
      </c>
      <c r="F109" t="s">
        <v>21</v>
      </c>
      <c r="G109" t="s">
        <v>71</v>
      </c>
      <c r="H109">
        <v>-0.5</v>
      </c>
      <c r="I109" t="s">
        <v>17</v>
      </c>
      <c r="J109" t="s">
        <v>23</v>
      </c>
      <c r="O109" t="s">
        <v>65</v>
      </c>
    </row>
    <row r="110" spans="1:15" x14ac:dyDescent="0.25">
      <c r="A110" t="s">
        <v>119</v>
      </c>
      <c r="B110" t="s">
        <v>72</v>
      </c>
      <c r="C110" t="s">
        <v>72</v>
      </c>
      <c r="D110" t="s">
        <v>17</v>
      </c>
      <c r="E110" t="s">
        <v>18</v>
      </c>
      <c r="F110" t="s">
        <v>119</v>
      </c>
      <c r="G110" t="s">
        <v>72</v>
      </c>
      <c r="H110">
        <v>1</v>
      </c>
      <c r="I110" t="s">
        <v>17</v>
      </c>
      <c r="J110" t="s">
        <v>19</v>
      </c>
      <c r="O110" t="s">
        <v>65</v>
      </c>
    </row>
    <row r="111" spans="1:15" x14ac:dyDescent="0.25">
      <c r="A111" t="s">
        <v>119</v>
      </c>
      <c r="B111" t="s">
        <v>72</v>
      </c>
      <c r="C111" t="s">
        <v>72</v>
      </c>
      <c r="D111" t="s">
        <v>17</v>
      </c>
      <c r="E111" t="s">
        <v>18</v>
      </c>
      <c r="F111" t="s">
        <v>21</v>
      </c>
      <c r="G111" t="s">
        <v>22</v>
      </c>
      <c r="H111">
        <v>1</v>
      </c>
      <c r="I111" t="s">
        <v>17</v>
      </c>
      <c r="J111" t="s">
        <v>23</v>
      </c>
      <c r="O111" t="s">
        <v>65</v>
      </c>
    </row>
    <row r="112" spans="1:15" x14ac:dyDescent="0.25">
      <c r="A112" t="s">
        <v>119</v>
      </c>
      <c r="B112" t="s">
        <v>72</v>
      </c>
      <c r="C112" t="s">
        <v>72</v>
      </c>
      <c r="D112" t="s">
        <v>17</v>
      </c>
      <c r="E112" t="s">
        <v>18</v>
      </c>
      <c r="F112" t="s">
        <v>21</v>
      </c>
      <c r="G112" t="s">
        <v>51</v>
      </c>
      <c r="H112">
        <v>2</v>
      </c>
      <c r="I112" t="s">
        <v>17</v>
      </c>
      <c r="J112" t="s">
        <v>23</v>
      </c>
      <c r="O112" t="s">
        <v>70</v>
      </c>
    </row>
    <row r="113" spans="1:15" x14ac:dyDescent="0.25">
      <c r="A113" t="s">
        <v>119</v>
      </c>
      <c r="B113" t="s">
        <v>72</v>
      </c>
      <c r="C113" t="s">
        <v>72</v>
      </c>
      <c r="D113" t="s">
        <v>17</v>
      </c>
      <c r="E113" t="s">
        <v>18</v>
      </c>
      <c r="F113" t="s">
        <v>21</v>
      </c>
      <c r="G113" t="s">
        <v>29</v>
      </c>
      <c r="H113">
        <f>596/1000+0.1138</f>
        <v>0.70979999999999999</v>
      </c>
      <c r="I113" t="s">
        <v>30</v>
      </c>
      <c r="J113" t="s">
        <v>23</v>
      </c>
      <c r="O113" t="s">
        <v>65</v>
      </c>
    </row>
    <row r="114" spans="1:15" x14ac:dyDescent="0.25">
      <c r="A114" t="s">
        <v>119</v>
      </c>
      <c r="B114" t="s">
        <v>72</v>
      </c>
      <c r="C114" t="s">
        <v>72</v>
      </c>
      <c r="D114" t="s">
        <v>17</v>
      </c>
      <c r="E114" t="s">
        <v>18</v>
      </c>
      <c r="F114" t="s">
        <v>21</v>
      </c>
      <c r="G114" t="s">
        <v>40</v>
      </c>
      <c r="H114">
        <f>-0.68*0.95</f>
        <v>-0.64600000000000002</v>
      </c>
      <c r="I114" t="s">
        <v>17</v>
      </c>
      <c r="J114" t="s">
        <v>23</v>
      </c>
      <c r="O114" t="s">
        <v>65</v>
      </c>
    </row>
    <row r="115" spans="1:15" x14ac:dyDescent="0.25">
      <c r="A115" t="s">
        <v>119</v>
      </c>
      <c r="B115" t="s">
        <v>72</v>
      </c>
      <c r="C115" t="s">
        <v>72</v>
      </c>
      <c r="D115" t="s">
        <v>17</v>
      </c>
      <c r="E115" t="s">
        <v>18</v>
      </c>
      <c r="F115" t="s">
        <v>21</v>
      </c>
      <c r="G115" t="s">
        <v>71</v>
      </c>
      <c r="H115">
        <v>-0.4</v>
      </c>
      <c r="I115" t="s">
        <v>17</v>
      </c>
      <c r="J115" t="s">
        <v>23</v>
      </c>
      <c r="O115" t="s">
        <v>65</v>
      </c>
    </row>
    <row r="116" spans="1:15" x14ac:dyDescent="0.25">
      <c r="A116" t="s">
        <v>119</v>
      </c>
      <c r="B116" t="s">
        <v>73</v>
      </c>
      <c r="C116" t="s">
        <v>73</v>
      </c>
      <c r="D116" t="s">
        <v>17</v>
      </c>
      <c r="E116" t="s">
        <v>18</v>
      </c>
      <c r="F116" t="s">
        <v>119</v>
      </c>
      <c r="G116" t="s">
        <v>73</v>
      </c>
      <c r="H116">
        <v>1</v>
      </c>
      <c r="I116" t="s">
        <v>17</v>
      </c>
      <c r="J116" t="s">
        <v>19</v>
      </c>
      <c r="O116" t="s">
        <v>65</v>
      </c>
    </row>
    <row r="117" spans="1:15" x14ac:dyDescent="0.25">
      <c r="A117" t="s">
        <v>119</v>
      </c>
      <c r="B117" t="s">
        <v>73</v>
      </c>
      <c r="C117" t="s">
        <v>73</v>
      </c>
      <c r="D117" t="s">
        <v>17</v>
      </c>
      <c r="E117" t="s">
        <v>18</v>
      </c>
      <c r="F117" t="s">
        <v>21</v>
      </c>
      <c r="G117" t="s">
        <v>55</v>
      </c>
      <c r="H117">
        <v>1</v>
      </c>
      <c r="I117" t="s">
        <v>17</v>
      </c>
      <c r="J117" t="s">
        <v>23</v>
      </c>
      <c r="O117" t="s">
        <v>65</v>
      </c>
    </row>
    <row r="118" spans="1:15" x14ac:dyDescent="0.25">
      <c r="A118" t="s">
        <v>119</v>
      </c>
      <c r="B118" t="s">
        <v>73</v>
      </c>
      <c r="C118" t="s">
        <v>73</v>
      </c>
      <c r="D118" t="s">
        <v>17</v>
      </c>
      <c r="E118" t="s">
        <v>18</v>
      </c>
      <c r="F118" t="s">
        <v>21</v>
      </c>
      <c r="G118" t="s">
        <v>56</v>
      </c>
      <c r="H118">
        <v>4.05</v>
      </c>
      <c r="I118" t="s">
        <v>17</v>
      </c>
      <c r="J118" t="s">
        <v>23</v>
      </c>
      <c r="O118" t="s">
        <v>65</v>
      </c>
    </row>
    <row r="119" spans="1:15" x14ac:dyDescent="0.25">
      <c r="A119" t="s">
        <v>119</v>
      </c>
      <c r="B119" t="s">
        <v>73</v>
      </c>
      <c r="C119" t="s">
        <v>73</v>
      </c>
      <c r="D119" t="s">
        <v>17</v>
      </c>
      <c r="E119" t="s">
        <v>18</v>
      </c>
      <c r="F119" t="s">
        <v>21</v>
      </c>
      <c r="G119" t="s">
        <v>71</v>
      </c>
      <c r="H119">
        <v>2.7</v>
      </c>
      <c r="I119" t="s">
        <v>17</v>
      </c>
      <c r="J119" t="s">
        <v>23</v>
      </c>
      <c r="O119" t="s">
        <v>65</v>
      </c>
    </row>
    <row r="120" spans="1:15" x14ac:dyDescent="0.25">
      <c r="A120" t="s">
        <v>119</v>
      </c>
      <c r="B120" t="s">
        <v>73</v>
      </c>
      <c r="C120" t="s">
        <v>73</v>
      </c>
      <c r="D120" t="s">
        <v>17</v>
      </c>
      <c r="E120" t="s">
        <v>18</v>
      </c>
      <c r="F120" t="s">
        <v>21</v>
      </c>
      <c r="G120" t="s">
        <v>29</v>
      </c>
      <c r="H120">
        <f>774/1000</f>
        <v>0.77400000000000002</v>
      </c>
      <c r="I120" t="s">
        <v>30</v>
      </c>
      <c r="J120" t="s">
        <v>23</v>
      </c>
      <c r="O120" t="s">
        <v>65</v>
      </c>
    </row>
    <row r="121" spans="1:15" x14ac:dyDescent="0.25">
      <c r="A121" t="s">
        <v>119</v>
      </c>
      <c r="B121" t="s">
        <v>73</v>
      </c>
      <c r="C121" t="s">
        <v>73</v>
      </c>
      <c r="D121" t="s">
        <v>17</v>
      </c>
      <c r="E121" t="s">
        <v>18</v>
      </c>
      <c r="F121" t="s">
        <v>21</v>
      </c>
      <c r="G121" t="s">
        <v>40</v>
      </c>
      <c r="H121">
        <v>-2.27</v>
      </c>
      <c r="I121" t="s">
        <v>17</v>
      </c>
      <c r="J121" t="s">
        <v>23</v>
      </c>
      <c r="O121" t="s">
        <v>65</v>
      </c>
    </row>
    <row r="122" spans="1:15" x14ac:dyDescent="0.25">
      <c r="A122" t="s">
        <v>119</v>
      </c>
      <c r="B122" t="s">
        <v>73</v>
      </c>
      <c r="C122" t="s">
        <v>73</v>
      </c>
      <c r="D122" t="s">
        <v>17</v>
      </c>
      <c r="E122" t="s">
        <v>18</v>
      </c>
      <c r="F122" t="s">
        <v>21</v>
      </c>
      <c r="G122" t="s">
        <v>40</v>
      </c>
      <c r="H122">
        <f>-0.68*0.95</f>
        <v>-0.64600000000000002</v>
      </c>
      <c r="I122" t="s">
        <v>17</v>
      </c>
      <c r="J122" t="s">
        <v>23</v>
      </c>
      <c r="O122" t="s">
        <v>65</v>
      </c>
    </row>
    <row r="123" spans="1:15" x14ac:dyDescent="0.25">
      <c r="A123" t="s">
        <v>119</v>
      </c>
      <c r="B123" t="s">
        <v>73</v>
      </c>
      <c r="C123" t="s">
        <v>73</v>
      </c>
      <c r="D123" t="s">
        <v>17</v>
      </c>
      <c r="E123" t="s">
        <v>18</v>
      </c>
      <c r="F123" t="s">
        <v>21</v>
      </c>
      <c r="G123" t="s">
        <v>56</v>
      </c>
      <c r="H123">
        <v>-2.1</v>
      </c>
      <c r="I123" t="s">
        <v>17</v>
      </c>
      <c r="J123" t="s">
        <v>23</v>
      </c>
      <c r="O123" t="s">
        <v>65</v>
      </c>
    </row>
    <row r="124" spans="1:15" x14ac:dyDescent="0.25">
      <c r="A124" t="s">
        <v>119</v>
      </c>
      <c r="B124" t="s">
        <v>73</v>
      </c>
      <c r="C124" t="s">
        <v>73</v>
      </c>
      <c r="D124" t="s">
        <v>17</v>
      </c>
      <c r="E124" t="s">
        <v>18</v>
      </c>
      <c r="F124" t="s">
        <v>21</v>
      </c>
      <c r="G124" t="s">
        <v>71</v>
      </c>
      <c r="H124">
        <v>-2.7</v>
      </c>
      <c r="I124" t="s">
        <v>17</v>
      </c>
      <c r="J124" t="s">
        <v>23</v>
      </c>
      <c r="O124" t="s">
        <v>65</v>
      </c>
    </row>
    <row r="125" spans="1:15" x14ac:dyDescent="0.25">
      <c r="A125" t="s">
        <v>119</v>
      </c>
      <c r="B125" t="s">
        <v>74</v>
      </c>
      <c r="C125" t="s">
        <v>74</v>
      </c>
      <c r="D125" t="s">
        <v>17</v>
      </c>
      <c r="E125" t="s">
        <v>18</v>
      </c>
      <c r="F125" t="s">
        <v>119</v>
      </c>
      <c r="G125" t="s">
        <v>74</v>
      </c>
      <c r="H125">
        <v>1</v>
      </c>
      <c r="I125" t="s">
        <v>17</v>
      </c>
      <c r="J125" t="s">
        <v>19</v>
      </c>
      <c r="O125" t="s">
        <v>54</v>
      </c>
    </row>
    <row r="126" spans="1:15" x14ac:dyDescent="0.25">
      <c r="A126" t="s">
        <v>119</v>
      </c>
      <c r="B126" t="s">
        <v>74</v>
      </c>
      <c r="C126" t="s">
        <v>74</v>
      </c>
      <c r="D126" t="s">
        <v>17</v>
      </c>
      <c r="E126" t="s">
        <v>18</v>
      </c>
      <c r="F126" t="s">
        <v>21</v>
      </c>
      <c r="G126" t="s">
        <v>55</v>
      </c>
      <c r="H126">
        <v>1</v>
      </c>
      <c r="I126" t="s">
        <v>17</v>
      </c>
      <c r="J126" t="s">
        <v>23</v>
      </c>
      <c r="O126" t="s">
        <v>54</v>
      </c>
    </row>
    <row r="127" spans="1:15" x14ac:dyDescent="0.25">
      <c r="A127" t="s">
        <v>119</v>
      </c>
      <c r="B127" t="s">
        <v>74</v>
      </c>
      <c r="C127" t="s">
        <v>74</v>
      </c>
      <c r="D127" t="s">
        <v>17</v>
      </c>
      <c r="E127" t="s">
        <v>18</v>
      </c>
      <c r="F127" t="s">
        <v>21</v>
      </c>
      <c r="G127" t="s">
        <v>56</v>
      </c>
      <c r="H127">
        <f>1/0.143</f>
        <v>6.9930069930069934</v>
      </c>
      <c r="I127" t="s">
        <v>17</v>
      </c>
      <c r="J127" t="s">
        <v>23</v>
      </c>
      <c r="O127" t="s">
        <v>54</v>
      </c>
    </row>
    <row r="128" spans="1:15" x14ac:dyDescent="0.25">
      <c r="A128" t="s">
        <v>119</v>
      </c>
      <c r="B128" t="s">
        <v>74</v>
      </c>
      <c r="C128" t="s">
        <v>74</v>
      </c>
      <c r="D128" t="s">
        <v>17</v>
      </c>
      <c r="E128" t="s">
        <v>18</v>
      </c>
      <c r="F128" t="s">
        <v>21</v>
      </c>
      <c r="G128" t="s">
        <v>57</v>
      </c>
      <c r="H128">
        <f>15*0.997/0.143</f>
        <v>104.58041958041959</v>
      </c>
      <c r="I128" t="s">
        <v>17</v>
      </c>
      <c r="J128" t="s">
        <v>23</v>
      </c>
      <c r="O128" t="s">
        <v>54</v>
      </c>
    </row>
    <row r="129" spans="1:15" x14ac:dyDescent="0.25">
      <c r="A129" t="s">
        <v>119</v>
      </c>
      <c r="B129" t="s">
        <v>74</v>
      </c>
      <c r="C129" t="s">
        <v>74</v>
      </c>
      <c r="D129" t="s">
        <v>17</v>
      </c>
      <c r="E129" t="s">
        <v>18</v>
      </c>
      <c r="F129" t="s">
        <v>21</v>
      </c>
      <c r="G129" t="s">
        <v>29</v>
      </c>
      <c r="H129">
        <f>62.97/(1000*0.143)</f>
        <v>0.44034965034965035</v>
      </c>
      <c r="I129" t="s">
        <v>30</v>
      </c>
      <c r="J129" t="s">
        <v>23</v>
      </c>
      <c r="O129" t="s">
        <v>54</v>
      </c>
    </row>
    <row r="130" spans="1:15" x14ac:dyDescent="0.25">
      <c r="A130" t="s">
        <v>119</v>
      </c>
      <c r="B130" t="s">
        <v>74</v>
      </c>
      <c r="C130" t="s">
        <v>74</v>
      </c>
      <c r="D130" t="s">
        <v>17</v>
      </c>
      <c r="E130" t="s">
        <v>18</v>
      </c>
      <c r="F130" t="s">
        <v>21</v>
      </c>
      <c r="G130" t="s">
        <v>40</v>
      </c>
      <c r="H130">
        <f>-2.27/(2.27+0.68+2.1+2.7)*1.142/0.143</f>
        <v>-2.3391292578389349</v>
      </c>
      <c r="I130" t="s">
        <v>17</v>
      </c>
      <c r="J130" t="s">
        <v>23</v>
      </c>
      <c r="O130" t="s">
        <v>54</v>
      </c>
    </row>
    <row r="131" spans="1:15" x14ac:dyDescent="0.25">
      <c r="A131" t="s">
        <v>119</v>
      </c>
      <c r="B131" t="s">
        <v>74</v>
      </c>
      <c r="C131" t="s">
        <v>74</v>
      </c>
      <c r="D131" t="s">
        <v>17</v>
      </c>
      <c r="E131" t="s">
        <v>18</v>
      </c>
      <c r="F131" t="s">
        <v>21</v>
      </c>
      <c r="G131" t="s">
        <v>40</v>
      </c>
      <c r="H131">
        <f>-0.68/(2.27+0.68+2.1+2.7)*1.142*0.95/0.143</f>
        <v>-0.66567290773742371</v>
      </c>
      <c r="I131" t="s">
        <v>17</v>
      </c>
      <c r="J131" t="s">
        <v>23</v>
      </c>
      <c r="O131" t="s">
        <v>54</v>
      </c>
    </row>
    <row r="132" spans="1:15" x14ac:dyDescent="0.25">
      <c r="A132" t="s">
        <v>119</v>
      </c>
      <c r="B132" t="s">
        <v>75</v>
      </c>
      <c r="C132" t="s">
        <v>75</v>
      </c>
      <c r="D132" t="s">
        <v>17</v>
      </c>
      <c r="E132" t="s">
        <v>18</v>
      </c>
      <c r="F132" t="s">
        <v>119</v>
      </c>
      <c r="G132" t="s">
        <v>75</v>
      </c>
      <c r="H132">
        <v>1</v>
      </c>
      <c r="I132" t="s">
        <v>17</v>
      </c>
      <c r="J132" t="s">
        <v>19</v>
      </c>
      <c r="O132" t="s">
        <v>54</v>
      </c>
    </row>
    <row r="133" spans="1:15" x14ac:dyDescent="0.25">
      <c r="A133" t="s">
        <v>119</v>
      </c>
      <c r="B133" t="s">
        <v>75</v>
      </c>
      <c r="C133" t="s">
        <v>75</v>
      </c>
      <c r="D133" t="s">
        <v>17</v>
      </c>
      <c r="E133" t="s">
        <v>18</v>
      </c>
      <c r="F133" t="s">
        <v>21</v>
      </c>
      <c r="G133" t="s">
        <v>55</v>
      </c>
      <c r="H133">
        <v>1</v>
      </c>
      <c r="I133" t="s">
        <v>17</v>
      </c>
      <c r="J133" t="s">
        <v>23</v>
      </c>
      <c r="O133" t="s">
        <v>54</v>
      </c>
    </row>
    <row r="134" spans="1:15" x14ac:dyDescent="0.25">
      <c r="A134" t="s">
        <v>119</v>
      </c>
      <c r="B134" t="s">
        <v>75</v>
      </c>
      <c r="C134" t="s">
        <v>75</v>
      </c>
      <c r="D134" t="s">
        <v>17</v>
      </c>
      <c r="E134" t="s">
        <v>18</v>
      </c>
      <c r="F134" t="s">
        <v>21</v>
      </c>
      <c r="G134" t="s">
        <v>56</v>
      </c>
      <c r="H134">
        <f>1/0.143</f>
        <v>6.9930069930069934</v>
      </c>
      <c r="I134" t="s">
        <v>17</v>
      </c>
      <c r="J134" t="s">
        <v>23</v>
      </c>
      <c r="O134" t="s">
        <v>54</v>
      </c>
    </row>
    <row r="135" spans="1:15" x14ac:dyDescent="0.25">
      <c r="A135" t="s">
        <v>119</v>
      </c>
      <c r="B135" t="s">
        <v>75</v>
      </c>
      <c r="C135" t="s">
        <v>75</v>
      </c>
      <c r="D135" t="s">
        <v>17</v>
      </c>
      <c r="E135" t="s">
        <v>18</v>
      </c>
      <c r="F135" t="s">
        <v>21</v>
      </c>
      <c r="G135" t="s">
        <v>57</v>
      </c>
      <c r="H135">
        <f>(20*0.997)/0.143</f>
        <v>139.44055944055947</v>
      </c>
      <c r="I135" t="s">
        <v>17</v>
      </c>
      <c r="J135" t="s">
        <v>23</v>
      </c>
      <c r="O135" t="s">
        <v>54</v>
      </c>
    </row>
    <row r="136" spans="1:15" x14ac:dyDescent="0.25">
      <c r="A136" t="s">
        <v>119</v>
      </c>
      <c r="B136" t="s">
        <v>75</v>
      </c>
      <c r="C136" t="s">
        <v>75</v>
      </c>
      <c r="D136" t="s">
        <v>17</v>
      </c>
      <c r="E136" t="s">
        <v>18</v>
      </c>
      <c r="F136" t="s">
        <v>21</v>
      </c>
      <c r="G136" t="s">
        <v>29</v>
      </c>
      <c r="H136">
        <f>61.73/(1000*0.143)</f>
        <v>0.43167832167832165</v>
      </c>
      <c r="I136" t="s">
        <v>30</v>
      </c>
      <c r="J136" t="s">
        <v>23</v>
      </c>
      <c r="O136" t="s">
        <v>54</v>
      </c>
    </row>
    <row r="137" spans="1:15" x14ac:dyDescent="0.25">
      <c r="A137" t="s">
        <v>119</v>
      </c>
      <c r="B137" t="s">
        <v>75</v>
      </c>
      <c r="C137" t="s">
        <v>75</v>
      </c>
      <c r="D137" t="s">
        <v>17</v>
      </c>
      <c r="E137" t="s">
        <v>18</v>
      </c>
      <c r="F137" t="s">
        <v>21</v>
      </c>
      <c r="G137" t="s">
        <v>40</v>
      </c>
      <c r="H137">
        <f>-2.27/(2.27+0.68+2.1+2.7)*1.144/0.143</f>
        <v>-2.3432258064516125</v>
      </c>
      <c r="I137" t="s">
        <v>17</v>
      </c>
      <c r="J137" t="s">
        <v>23</v>
      </c>
      <c r="O137" t="s">
        <v>54</v>
      </c>
    </row>
    <row r="138" spans="1:15" x14ac:dyDescent="0.25">
      <c r="A138" t="s">
        <v>119</v>
      </c>
      <c r="B138" t="s">
        <v>75</v>
      </c>
      <c r="C138" t="s">
        <v>75</v>
      </c>
      <c r="D138" t="s">
        <v>17</v>
      </c>
      <c r="E138" t="s">
        <v>18</v>
      </c>
      <c r="F138" t="s">
        <v>21</v>
      </c>
      <c r="G138" t="s">
        <v>40</v>
      </c>
      <c r="H138">
        <f>-0.68/(2.27+0.68+2.1+2.7)*1.144*0.95/0.143</f>
        <v>-0.66683870967741932</v>
      </c>
      <c r="I138" t="s">
        <v>17</v>
      </c>
      <c r="J138" t="s">
        <v>23</v>
      </c>
      <c r="O138" t="s">
        <v>54</v>
      </c>
    </row>
    <row r="139" spans="1:15" x14ac:dyDescent="0.25">
      <c r="A139" t="s">
        <v>119</v>
      </c>
      <c r="B139" t="s">
        <v>76</v>
      </c>
      <c r="C139" t="s">
        <v>76</v>
      </c>
      <c r="D139" t="s">
        <v>17</v>
      </c>
      <c r="E139" t="s">
        <v>18</v>
      </c>
      <c r="F139" t="s">
        <v>119</v>
      </c>
      <c r="G139" t="s">
        <v>76</v>
      </c>
      <c r="H139">
        <v>1</v>
      </c>
      <c r="I139" t="s">
        <v>17</v>
      </c>
      <c r="J139" t="s">
        <v>19</v>
      </c>
      <c r="O139" t="s">
        <v>54</v>
      </c>
    </row>
    <row r="140" spans="1:15" x14ac:dyDescent="0.25">
      <c r="A140" t="s">
        <v>119</v>
      </c>
      <c r="B140" t="s">
        <v>76</v>
      </c>
      <c r="C140" t="s">
        <v>76</v>
      </c>
      <c r="D140" t="s">
        <v>17</v>
      </c>
      <c r="E140" t="s">
        <v>18</v>
      </c>
      <c r="F140" t="s">
        <v>21</v>
      </c>
      <c r="G140" t="s">
        <v>55</v>
      </c>
      <c r="H140">
        <v>1</v>
      </c>
      <c r="I140" t="s">
        <v>17</v>
      </c>
      <c r="J140" t="s">
        <v>23</v>
      </c>
      <c r="O140" t="s">
        <v>54</v>
      </c>
    </row>
    <row r="141" spans="1:15" x14ac:dyDescent="0.25">
      <c r="A141" t="s">
        <v>119</v>
      </c>
      <c r="B141" t="s">
        <v>76</v>
      </c>
      <c r="C141" t="s">
        <v>76</v>
      </c>
      <c r="D141" t="s">
        <v>17</v>
      </c>
      <c r="E141" t="s">
        <v>18</v>
      </c>
      <c r="F141" t="s">
        <v>21</v>
      </c>
      <c r="G141" t="s">
        <v>56</v>
      </c>
      <c r="H141">
        <f>1/0.164</f>
        <v>6.0975609756097562</v>
      </c>
      <c r="I141" t="s">
        <v>17</v>
      </c>
      <c r="J141" t="s">
        <v>23</v>
      </c>
      <c r="O141" t="s">
        <v>54</v>
      </c>
    </row>
    <row r="142" spans="1:15" x14ac:dyDescent="0.25">
      <c r="A142" t="s">
        <v>119</v>
      </c>
      <c r="B142" t="s">
        <v>76</v>
      </c>
      <c r="C142" t="s">
        <v>76</v>
      </c>
      <c r="D142" t="s">
        <v>17</v>
      </c>
      <c r="E142" t="s">
        <v>18</v>
      </c>
      <c r="F142" t="s">
        <v>21</v>
      </c>
      <c r="G142" t="s">
        <v>57</v>
      </c>
      <c r="H142">
        <f>(13.3*0.997)/0.164</f>
        <v>80.854268292682931</v>
      </c>
      <c r="I142" t="s">
        <v>17</v>
      </c>
      <c r="J142" t="s">
        <v>23</v>
      </c>
      <c r="O142" t="s">
        <v>54</v>
      </c>
    </row>
    <row r="143" spans="1:15" x14ac:dyDescent="0.25">
      <c r="A143" t="s">
        <v>119</v>
      </c>
      <c r="B143" t="s">
        <v>76</v>
      </c>
      <c r="C143" t="s">
        <v>76</v>
      </c>
      <c r="D143" t="s">
        <v>17</v>
      </c>
      <c r="E143" t="s">
        <v>18</v>
      </c>
      <c r="F143" t="s">
        <v>21</v>
      </c>
      <c r="G143" t="s">
        <v>29</v>
      </c>
      <c r="H143">
        <f>58.28/(1000*0.164)</f>
        <v>0.35536585365853657</v>
      </c>
      <c r="I143" t="s">
        <v>30</v>
      </c>
      <c r="J143" t="s">
        <v>23</v>
      </c>
      <c r="O143" t="s">
        <v>54</v>
      </c>
    </row>
    <row r="144" spans="1:15" x14ac:dyDescent="0.25">
      <c r="A144" t="s">
        <v>119</v>
      </c>
      <c r="B144" t="s">
        <v>76</v>
      </c>
      <c r="C144" t="s">
        <v>76</v>
      </c>
      <c r="D144" t="s">
        <v>17</v>
      </c>
      <c r="E144" t="s">
        <v>18</v>
      </c>
      <c r="F144" t="s">
        <v>21</v>
      </c>
      <c r="G144" t="s">
        <v>40</v>
      </c>
      <c r="H144">
        <f>-2.27/(2.27+0.68+2.1+2.7)*1.164/0.164</f>
        <v>-2.0788985051140827</v>
      </c>
      <c r="I144" t="s">
        <v>17</v>
      </c>
      <c r="J144" t="s">
        <v>23</v>
      </c>
      <c r="O144" t="s">
        <v>54</v>
      </c>
    </row>
    <row r="145" spans="1:15" x14ac:dyDescent="0.25">
      <c r="A145" t="s">
        <v>119</v>
      </c>
      <c r="B145" t="s">
        <v>76</v>
      </c>
      <c r="C145" t="s">
        <v>76</v>
      </c>
      <c r="D145" t="s">
        <v>17</v>
      </c>
      <c r="E145" t="s">
        <v>18</v>
      </c>
      <c r="F145" t="s">
        <v>21</v>
      </c>
      <c r="G145" t="s">
        <v>40</v>
      </c>
      <c r="H145">
        <f>-0.68/(2.27+0.68+2.1+2.7)*1.164*0.95/0.164</f>
        <v>-0.59161605035405174</v>
      </c>
      <c r="I145" t="s">
        <v>17</v>
      </c>
      <c r="J145" t="s">
        <v>23</v>
      </c>
      <c r="O145" t="s">
        <v>54</v>
      </c>
    </row>
    <row r="146" spans="1:15" x14ac:dyDescent="0.25">
      <c r="A146" t="s">
        <v>119</v>
      </c>
      <c r="B146" t="s">
        <v>77</v>
      </c>
      <c r="C146" t="s">
        <v>77</v>
      </c>
      <c r="D146" t="s">
        <v>17</v>
      </c>
      <c r="E146" t="s">
        <v>18</v>
      </c>
      <c r="F146" t="s">
        <v>119</v>
      </c>
      <c r="G146" t="s">
        <v>77</v>
      </c>
      <c r="H146">
        <v>1</v>
      </c>
      <c r="I146" t="s">
        <v>17</v>
      </c>
      <c r="J146" t="s">
        <v>19</v>
      </c>
      <c r="O146" t="s">
        <v>78</v>
      </c>
    </row>
    <row r="147" spans="1:15" x14ac:dyDescent="0.25">
      <c r="A147" t="s">
        <v>119</v>
      </c>
      <c r="B147" t="s">
        <v>77</v>
      </c>
      <c r="C147" t="s">
        <v>77</v>
      </c>
      <c r="D147" t="s">
        <v>17</v>
      </c>
      <c r="E147" t="s">
        <v>18</v>
      </c>
      <c r="F147" t="s">
        <v>21</v>
      </c>
      <c r="G147" t="s">
        <v>55</v>
      </c>
      <c r="H147">
        <v>1</v>
      </c>
      <c r="I147" t="s">
        <v>17</v>
      </c>
      <c r="J147" t="s">
        <v>23</v>
      </c>
      <c r="O147" t="s">
        <v>78</v>
      </c>
    </row>
    <row r="148" spans="1:15" x14ac:dyDescent="0.25">
      <c r="A148" t="s">
        <v>119</v>
      </c>
      <c r="B148" t="s">
        <v>77</v>
      </c>
      <c r="C148" t="s">
        <v>77</v>
      </c>
      <c r="D148" t="s">
        <v>17</v>
      </c>
      <c r="E148" t="s">
        <v>18</v>
      </c>
      <c r="F148" t="s">
        <v>21</v>
      </c>
      <c r="G148" t="s">
        <v>42</v>
      </c>
      <c r="H148">
        <f>2.71/0.44</f>
        <v>6.1590909090909092</v>
      </c>
      <c r="I148" t="s">
        <v>17</v>
      </c>
      <c r="J148" t="s">
        <v>23</v>
      </c>
      <c r="O148" t="s">
        <v>78</v>
      </c>
    </row>
    <row r="149" spans="1:15" x14ac:dyDescent="0.25">
      <c r="A149" t="s">
        <v>119</v>
      </c>
      <c r="B149" t="s">
        <v>77</v>
      </c>
      <c r="C149" t="s">
        <v>77</v>
      </c>
      <c r="D149" t="s">
        <v>17</v>
      </c>
      <c r="E149" t="s">
        <v>18</v>
      </c>
      <c r="F149" t="s">
        <v>21</v>
      </c>
      <c r="G149" t="s">
        <v>26</v>
      </c>
      <c r="H149">
        <f>0.12/0.44</f>
        <v>0.27272727272727271</v>
      </c>
      <c r="I149" t="s">
        <v>17</v>
      </c>
      <c r="J149" t="s">
        <v>23</v>
      </c>
      <c r="O149" t="s">
        <v>78</v>
      </c>
    </row>
    <row r="150" spans="1:15" x14ac:dyDescent="0.25">
      <c r="A150" t="s">
        <v>119</v>
      </c>
      <c r="B150" t="s">
        <v>77</v>
      </c>
      <c r="C150" t="s">
        <v>77</v>
      </c>
      <c r="D150" t="s">
        <v>17</v>
      </c>
      <c r="E150" t="s">
        <v>18</v>
      </c>
      <c r="F150" t="s">
        <v>21</v>
      </c>
      <c r="G150" t="s">
        <v>29</v>
      </c>
      <c r="H150">
        <f>1.54/0.44</f>
        <v>3.5</v>
      </c>
      <c r="I150" t="s">
        <v>30</v>
      </c>
      <c r="J150" t="s">
        <v>23</v>
      </c>
      <c r="O150" t="s">
        <v>78</v>
      </c>
    </row>
    <row r="151" spans="1:15" x14ac:dyDescent="0.25">
      <c r="A151" t="s">
        <v>119</v>
      </c>
      <c r="B151" t="s">
        <v>77</v>
      </c>
      <c r="C151" t="s">
        <v>77</v>
      </c>
      <c r="D151" t="s">
        <v>17</v>
      </c>
      <c r="E151" t="s">
        <v>18</v>
      </c>
      <c r="F151" t="s">
        <v>21</v>
      </c>
      <c r="G151" t="s">
        <v>79</v>
      </c>
      <c r="H151">
        <f>2.48/(0.44*2.75)</f>
        <v>2.049586776859504</v>
      </c>
      <c r="I151" t="s">
        <v>17</v>
      </c>
      <c r="J151" t="s">
        <v>23</v>
      </c>
      <c r="O151" t="s">
        <v>80</v>
      </c>
    </row>
    <row r="152" spans="1:15" x14ac:dyDescent="0.25">
      <c r="A152" t="s">
        <v>119</v>
      </c>
      <c r="B152" t="s">
        <v>77</v>
      </c>
      <c r="C152" t="s">
        <v>77</v>
      </c>
      <c r="D152" t="s">
        <v>17</v>
      </c>
      <c r="E152" t="s">
        <v>18</v>
      </c>
      <c r="F152" t="s">
        <v>21</v>
      </c>
      <c r="G152" t="s">
        <v>40</v>
      </c>
      <c r="H152">
        <f>-1/0.44</f>
        <v>-2.2727272727272729</v>
      </c>
      <c r="I152" t="s">
        <v>17</v>
      </c>
      <c r="J152" t="s">
        <v>23</v>
      </c>
      <c r="O152" t="s">
        <v>78</v>
      </c>
    </row>
    <row r="153" spans="1:15" x14ac:dyDescent="0.25">
      <c r="A153" t="s">
        <v>119</v>
      </c>
      <c r="B153" t="s">
        <v>77</v>
      </c>
      <c r="C153" t="s">
        <v>77</v>
      </c>
      <c r="D153" t="s">
        <v>17</v>
      </c>
      <c r="E153" t="s">
        <v>18</v>
      </c>
      <c r="F153" t="s">
        <v>21</v>
      </c>
      <c r="G153" t="s">
        <v>71</v>
      </c>
      <c r="H153">
        <f>0.02/0.44</f>
        <v>4.5454545454545456E-2</v>
      </c>
      <c r="I153" t="s">
        <v>17</v>
      </c>
      <c r="J153" t="s">
        <v>23</v>
      </c>
      <c r="O153" t="s">
        <v>78</v>
      </c>
    </row>
    <row r="154" spans="1:15" x14ac:dyDescent="0.25">
      <c r="A154" t="s">
        <v>119</v>
      </c>
      <c r="B154" t="s">
        <v>81</v>
      </c>
      <c r="C154" t="s">
        <v>81</v>
      </c>
      <c r="D154" t="s">
        <v>17</v>
      </c>
      <c r="E154" t="s">
        <v>18</v>
      </c>
      <c r="F154" t="s">
        <v>119</v>
      </c>
      <c r="G154" t="s">
        <v>81</v>
      </c>
      <c r="H154">
        <v>1</v>
      </c>
      <c r="I154" t="s">
        <v>17</v>
      </c>
      <c r="J154" t="s">
        <v>19</v>
      </c>
      <c r="O154" t="s">
        <v>82</v>
      </c>
    </row>
    <row r="155" spans="1:15" x14ac:dyDescent="0.25">
      <c r="A155" t="s">
        <v>119</v>
      </c>
      <c r="B155" t="s">
        <v>81</v>
      </c>
      <c r="C155" t="s">
        <v>81</v>
      </c>
      <c r="D155" t="s">
        <v>17</v>
      </c>
      <c r="E155" t="s">
        <v>18</v>
      </c>
      <c r="F155" t="s">
        <v>21</v>
      </c>
      <c r="G155" s="3" t="s">
        <v>55</v>
      </c>
      <c r="H155">
        <v>1</v>
      </c>
      <c r="I155" t="s">
        <v>17</v>
      </c>
      <c r="J155" t="s">
        <v>23</v>
      </c>
      <c r="O155" t="s">
        <v>82</v>
      </c>
    </row>
    <row r="156" spans="1:15" x14ac:dyDescent="0.25">
      <c r="A156" t="s">
        <v>119</v>
      </c>
      <c r="B156" t="s">
        <v>81</v>
      </c>
      <c r="C156" t="s">
        <v>81</v>
      </c>
      <c r="D156" t="s">
        <v>17</v>
      </c>
      <c r="E156" t="s">
        <v>18</v>
      </c>
      <c r="F156" t="s">
        <v>21</v>
      </c>
      <c r="G156" s="3" t="s">
        <v>83</v>
      </c>
      <c r="H156">
        <f>2.9101/1.0027</f>
        <v>2.9022638875037399</v>
      </c>
      <c r="I156" t="s">
        <v>17</v>
      </c>
      <c r="J156" t="s">
        <v>23</v>
      </c>
      <c r="O156" t="s">
        <v>82</v>
      </c>
    </row>
    <row r="157" spans="1:15" x14ac:dyDescent="0.25">
      <c r="A157" t="s">
        <v>119</v>
      </c>
      <c r="B157" t="s">
        <v>81</v>
      </c>
      <c r="C157" t="s">
        <v>81</v>
      </c>
      <c r="D157" t="s">
        <v>17</v>
      </c>
      <c r="E157" t="s">
        <v>18</v>
      </c>
      <c r="F157" t="s">
        <v>21</v>
      </c>
      <c r="G157" s="3" t="s">
        <v>33</v>
      </c>
      <c r="H157">
        <f>5.248*3.6/1.0027</f>
        <v>18.841926797646359</v>
      </c>
      <c r="I157" t="s">
        <v>34</v>
      </c>
      <c r="J157" t="s">
        <v>23</v>
      </c>
      <c r="O157" t="s">
        <v>82</v>
      </c>
    </row>
    <row r="158" spans="1:15" x14ac:dyDescent="0.25">
      <c r="A158" t="s">
        <v>119</v>
      </c>
      <c r="B158" t="s">
        <v>81</v>
      </c>
      <c r="C158" t="s">
        <v>81</v>
      </c>
      <c r="D158" t="s">
        <v>17</v>
      </c>
      <c r="E158" t="s">
        <v>18</v>
      </c>
      <c r="F158" t="s">
        <v>21</v>
      </c>
      <c r="G158" s="3" t="s">
        <v>40</v>
      </c>
      <c r="H158">
        <f>-1.8677/1.0027</f>
        <v>-1.8626707888700509</v>
      </c>
      <c r="I158" t="s">
        <v>17</v>
      </c>
      <c r="J158" t="s">
        <v>23</v>
      </c>
      <c r="O158" t="s">
        <v>82</v>
      </c>
    </row>
    <row r="159" spans="1:15" x14ac:dyDescent="0.25">
      <c r="A159" t="s">
        <v>119</v>
      </c>
      <c r="B159" t="s">
        <v>84</v>
      </c>
      <c r="C159" t="s">
        <v>84</v>
      </c>
      <c r="D159" t="s">
        <v>17</v>
      </c>
      <c r="E159" t="s">
        <v>18</v>
      </c>
      <c r="F159" t="s">
        <v>119</v>
      </c>
      <c r="G159" t="s">
        <v>84</v>
      </c>
      <c r="H159">
        <v>1</v>
      </c>
      <c r="I159" t="s">
        <v>17</v>
      </c>
      <c r="J159" t="s">
        <v>19</v>
      </c>
      <c r="O159" t="s">
        <v>85</v>
      </c>
    </row>
    <row r="160" spans="1:15" x14ac:dyDescent="0.25">
      <c r="A160" t="s">
        <v>119</v>
      </c>
      <c r="B160" t="s">
        <v>84</v>
      </c>
      <c r="C160" t="s">
        <v>84</v>
      </c>
      <c r="D160" t="s">
        <v>17</v>
      </c>
      <c r="E160" t="s">
        <v>18</v>
      </c>
      <c r="F160" t="s">
        <v>21</v>
      </c>
      <c r="G160" t="s">
        <v>55</v>
      </c>
      <c r="H160">
        <v>1</v>
      </c>
      <c r="I160" t="s">
        <v>17</v>
      </c>
      <c r="J160" t="s">
        <v>23</v>
      </c>
      <c r="O160" t="s">
        <v>85</v>
      </c>
    </row>
    <row r="161" spans="1:15" x14ac:dyDescent="0.25">
      <c r="A161" t="s">
        <v>119</v>
      </c>
      <c r="B161" t="s">
        <v>84</v>
      </c>
      <c r="C161" t="s">
        <v>84</v>
      </c>
      <c r="D161" t="s">
        <v>17</v>
      </c>
      <c r="E161" t="s">
        <v>18</v>
      </c>
      <c r="F161" t="s">
        <v>21</v>
      </c>
      <c r="G161" t="s">
        <v>26</v>
      </c>
      <c r="H161">
        <f>6/0.44</f>
        <v>13.636363636363637</v>
      </c>
      <c r="I161" t="s">
        <v>17</v>
      </c>
      <c r="J161" t="s">
        <v>23</v>
      </c>
      <c r="O161" t="s">
        <v>85</v>
      </c>
    </row>
    <row r="162" spans="1:15" x14ac:dyDescent="0.25">
      <c r="A162" t="s">
        <v>119</v>
      </c>
      <c r="B162" t="s">
        <v>84</v>
      </c>
      <c r="C162" t="s">
        <v>84</v>
      </c>
      <c r="D162" t="s">
        <v>17</v>
      </c>
      <c r="E162" t="s">
        <v>18</v>
      </c>
      <c r="F162" t="s">
        <v>21</v>
      </c>
      <c r="G162" t="s">
        <v>86</v>
      </c>
      <c r="H162">
        <f>5.34/(1000*0.44)</f>
        <v>1.2136363636363636E-2</v>
      </c>
      <c r="I162" t="s">
        <v>17</v>
      </c>
      <c r="J162" t="s">
        <v>23</v>
      </c>
      <c r="O162" t="s">
        <v>85</v>
      </c>
    </row>
    <row r="163" spans="1:15" x14ac:dyDescent="0.25">
      <c r="A163" t="s">
        <v>119</v>
      </c>
      <c r="B163" t="s">
        <v>84</v>
      </c>
      <c r="C163" t="s">
        <v>84</v>
      </c>
      <c r="D163" t="s">
        <v>17</v>
      </c>
      <c r="E163" t="s">
        <v>18</v>
      </c>
      <c r="F163" t="s">
        <v>21</v>
      </c>
      <c r="G163" s="3" t="s">
        <v>56</v>
      </c>
      <c r="H163">
        <f>5.9/0.44</f>
        <v>13.40909090909091</v>
      </c>
      <c r="I163" t="s">
        <v>17</v>
      </c>
      <c r="J163" t="s">
        <v>23</v>
      </c>
      <c r="O163" t="s">
        <v>85</v>
      </c>
    </row>
    <row r="164" spans="1:15" x14ac:dyDescent="0.25">
      <c r="A164" t="s">
        <v>119</v>
      </c>
      <c r="B164" t="s">
        <v>84</v>
      </c>
      <c r="C164" t="s">
        <v>84</v>
      </c>
      <c r="D164" t="s">
        <v>17</v>
      </c>
      <c r="E164" t="s">
        <v>18</v>
      </c>
      <c r="F164" t="s">
        <v>21</v>
      </c>
      <c r="G164" t="s">
        <v>79</v>
      </c>
      <c r="H164">
        <f>37.5/(0.44*2.75)</f>
        <v>30.991735537190085</v>
      </c>
      <c r="I164" t="s">
        <v>17</v>
      </c>
      <c r="J164" t="s">
        <v>23</v>
      </c>
      <c r="O164" t="s">
        <v>87</v>
      </c>
    </row>
    <row r="165" spans="1:15" ht="15" customHeight="1" x14ac:dyDescent="0.25">
      <c r="A165" t="s">
        <v>119</v>
      </c>
      <c r="B165" t="s">
        <v>84</v>
      </c>
      <c r="C165" t="s">
        <v>84</v>
      </c>
      <c r="D165" t="s">
        <v>17</v>
      </c>
      <c r="E165" t="s">
        <v>18</v>
      </c>
      <c r="F165" t="s">
        <v>21</v>
      </c>
      <c r="G165" s="3" t="s">
        <v>29</v>
      </c>
      <c r="H165">
        <f>0.0469/0.44+0.0083</f>
        <v>0.11489090909090909</v>
      </c>
      <c r="I165" t="s">
        <v>30</v>
      </c>
      <c r="J165" t="s">
        <v>23</v>
      </c>
      <c r="O165" t="s">
        <v>85</v>
      </c>
    </row>
    <row r="166" spans="1:15" ht="15" customHeight="1" x14ac:dyDescent="0.25">
      <c r="A166" t="s">
        <v>119</v>
      </c>
      <c r="B166" t="s">
        <v>84</v>
      </c>
      <c r="C166" t="s">
        <v>84</v>
      </c>
      <c r="D166" t="s">
        <v>17</v>
      </c>
      <c r="E166" t="s">
        <v>18</v>
      </c>
      <c r="F166" t="s">
        <v>21</v>
      </c>
      <c r="G166" s="3" t="s">
        <v>40</v>
      </c>
      <c r="H166">
        <f>-1/0.44</f>
        <v>-2.2727272727272729</v>
      </c>
      <c r="I166" t="s">
        <v>17</v>
      </c>
      <c r="J166" t="s">
        <v>23</v>
      </c>
      <c r="O166" t="s">
        <v>85</v>
      </c>
    </row>
    <row r="167" spans="1:15" x14ac:dyDescent="0.25">
      <c r="A167" t="s">
        <v>119</v>
      </c>
      <c r="B167" t="s">
        <v>84</v>
      </c>
      <c r="C167" t="s">
        <v>84</v>
      </c>
      <c r="D167" t="s">
        <v>17</v>
      </c>
      <c r="E167" t="s">
        <v>18</v>
      </c>
      <c r="F167" t="s">
        <v>21</v>
      </c>
      <c r="G167" s="3" t="s">
        <v>88</v>
      </c>
      <c r="H167">
        <f>5.2/0.44</f>
        <v>11.818181818181818</v>
      </c>
      <c r="I167" t="s">
        <v>17</v>
      </c>
      <c r="J167" t="s">
        <v>23</v>
      </c>
      <c r="O167" t="s">
        <v>85</v>
      </c>
    </row>
    <row r="168" spans="1:15" x14ac:dyDescent="0.25">
      <c r="A168" t="s">
        <v>119</v>
      </c>
      <c r="B168" t="s">
        <v>89</v>
      </c>
      <c r="C168" t="s">
        <v>89</v>
      </c>
      <c r="D168" t="s">
        <v>17</v>
      </c>
      <c r="E168" t="s">
        <v>18</v>
      </c>
      <c r="F168" t="s">
        <v>119</v>
      </c>
      <c r="G168" t="s">
        <v>89</v>
      </c>
      <c r="H168">
        <v>1</v>
      </c>
      <c r="I168" t="s">
        <v>17</v>
      </c>
      <c r="J168" t="s">
        <v>19</v>
      </c>
      <c r="O168" t="s">
        <v>85</v>
      </c>
    </row>
    <row r="169" spans="1:15" x14ac:dyDescent="0.25">
      <c r="A169" t="s">
        <v>119</v>
      </c>
      <c r="B169" t="s">
        <v>89</v>
      </c>
      <c r="C169" t="s">
        <v>89</v>
      </c>
      <c r="D169" t="s">
        <v>17</v>
      </c>
      <c r="E169" t="s">
        <v>18</v>
      </c>
      <c r="F169" t="s">
        <v>21</v>
      </c>
      <c r="G169" s="3" t="s">
        <v>55</v>
      </c>
      <c r="H169">
        <v>1</v>
      </c>
      <c r="I169" t="s">
        <v>17</v>
      </c>
      <c r="J169" t="s">
        <v>23</v>
      </c>
      <c r="O169" t="s">
        <v>85</v>
      </c>
    </row>
    <row r="170" spans="1:15" x14ac:dyDescent="0.25">
      <c r="A170" t="s">
        <v>119</v>
      </c>
      <c r="B170" t="s">
        <v>89</v>
      </c>
      <c r="C170" t="s">
        <v>89</v>
      </c>
      <c r="D170" t="s">
        <v>17</v>
      </c>
      <c r="E170" t="s">
        <v>18</v>
      </c>
      <c r="F170" t="s">
        <v>21</v>
      </c>
      <c r="G170" s="3" t="s">
        <v>26</v>
      </c>
      <c r="H170">
        <f>6/0.44</f>
        <v>13.636363636363637</v>
      </c>
      <c r="I170" t="s">
        <v>17</v>
      </c>
      <c r="J170" t="s">
        <v>23</v>
      </c>
      <c r="O170" t="s">
        <v>85</v>
      </c>
    </row>
    <row r="171" spans="1:15" x14ac:dyDescent="0.25">
      <c r="A171" t="s">
        <v>119</v>
      </c>
      <c r="B171" t="s">
        <v>89</v>
      </c>
      <c r="C171" t="s">
        <v>89</v>
      </c>
      <c r="D171" t="s">
        <v>17</v>
      </c>
      <c r="E171" t="s">
        <v>18</v>
      </c>
      <c r="F171" t="s">
        <v>21</v>
      </c>
      <c r="G171" s="3" t="s">
        <v>86</v>
      </c>
      <c r="H171">
        <f>1.05/(1000*0.44)</f>
        <v>2.3863636363636366E-3</v>
      </c>
      <c r="I171" t="s">
        <v>17</v>
      </c>
      <c r="J171" t="s">
        <v>23</v>
      </c>
      <c r="O171" t="s">
        <v>85</v>
      </c>
    </row>
    <row r="172" spans="1:15" x14ac:dyDescent="0.25">
      <c r="A172" t="s">
        <v>119</v>
      </c>
      <c r="B172" t="s">
        <v>89</v>
      </c>
      <c r="C172" t="s">
        <v>89</v>
      </c>
      <c r="D172" t="s">
        <v>17</v>
      </c>
      <c r="E172" t="s">
        <v>18</v>
      </c>
      <c r="F172" t="s">
        <v>21</v>
      </c>
      <c r="G172" s="3" t="s">
        <v>56</v>
      </c>
      <c r="H172">
        <f>5.9/0.44</f>
        <v>13.40909090909091</v>
      </c>
      <c r="I172" t="s">
        <v>17</v>
      </c>
      <c r="J172" t="s">
        <v>23</v>
      </c>
      <c r="O172" t="s">
        <v>85</v>
      </c>
    </row>
    <row r="173" spans="1:15" x14ac:dyDescent="0.25">
      <c r="A173" t="s">
        <v>119</v>
      </c>
      <c r="B173" t="s">
        <v>89</v>
      </c>
      <c r="C173" t="s">
        <v>89</v>
      </c>
      <c r="D173" t="s">
        <v>17</v>
      </c>
      <c r="E173" t="s">
        <v>18</v>
      </c>
      <c r="F173" t="s">
        <v>21</v>
      </c>
      <c r="G173" s="3" t="s">
        <v>29</v>
      </c>
      <c r="H173">
        <f>0.111/0.44+0.0083</f>
        <v>0.26057272727272723</v>
      </c>
      <c r="I173" t="s">
        <v>30</v>
      </c>
      <c r="J173" t="s">
        <v>23</v>
      </c>
      <c r="O173" t="s">
        <v>85</v>
      </c>
    </row>
    <row r="174" spans="1:15" x14ac:dyDescent="0.25">
      <c r="A174" t="s">
        <v>119</v>
      </c>
      <c r="B174" t="s">
        <v>89</v>
      </c>
      <c r="C174" t="s">
        <v>89</v>
      </c>
      <c r="D174" t="s">
        <v>17</v>
      </c>
      <c r="E174" t="s">
        <v>18</v>
      </c>
      <c r="F174" t="s">
        <v>21</v>
      </c>
      <c r="G174" s="3" t="s">
        <v>40</v>
      </c>
      <c r="H174">
        <f>-1/0.44</f>
        <v>-2.2727272727272729</v>
      </c>
      <c r="I174" t="s">
        <v>17</v>
      </c>
      <c r="J174" t="s">
        <v>23</v>
      </c>
      <c r="O174" t="s">
        <v>85</v>
      </c>
    </row>
    <row r="175" spans="1:15" x14ac:dyDescent="0.25">
      <c r="A175" t="s">
        <v>119</v>
      </c>
      <c r="B175" t="s">
        <v>89</v>
      </c>
      <c r="C175" t="s">
        <v>89</v>
      </c>
      <c r="D175" t="s">
        <v>17</v>
      </c>
      <c r="E175" t="s">
        <v>18</v>
      </c>
      <c r="F175" t="s">
        <v>21</v>
      </c>
      <c r="G175" s="3" t="s">
        <v>88</v>
      </c>
      <c r="H175">
        <f>5.2/0.44</f>
        <v>11.818181818181818</v>
      </c>
      <c r="I175" t="s">
        <v>17</v>
      </c>
      <c r="J175" t="s">
        <v>23</v>
      </c>
      <c r="O175" t="s">
        <v>85</v>
      </c>
    </row>
    <row r="176" spans="1:15" x14ac:dyDescent="0.25">
      <c r="A176" t="s">
        <v>119</v>
      </c>
      <c r="B176" t="s">
        <v>90</v>
      </c>
      <c r="C176" t="s">
        <v>90</v>
      </c>
      <c r="D176" t="s">
        <v>17</v>
      </c>
      <c r="E176" t="s">
        <v>18</v>
      </c>
      <c r="F176" t="s">
        <v>119</v>
      </c>
      <c r="G176" t="s">
        <v>90</v>
      </c>
      <c r="H176">
        <v>1</v>
      </c>
      <c r="I176" t="s">
        <v>17</v>
      </c>
      <c r="J176" t="s">
        <v>19</v>
      </c>
      <c r="O176" t="s">
        <v>91</v>
      </c>
    </row>
    <row r="177" spans="1:15" x14ac:dyDescent="0.25">
      <c r="A177" t="s">
        <v>119</v>
      </c>
      <c r="B177" t="s">
        <v>90</v>
      </c>
      <c r="C177" t="s">
        <v>90</v>
      </c>
      <c r="D177" t="s">
        <v>17</v>
      </c>
      <c r="E177" t="s">
        <v>18</v>
      </c>
      <c r="F177" t="s">
        <v>21</v>
      </c>
      <c r="G177" t="s">
        <v>55</v>
      </c>
      <c r="H177">
        <v>1</v>
      </c>
      <c r="I177" t="s">
        <v>17</v>
      </c>
      <c r="J177" t="s">
        <v>23</v>
      </c>
      <c r="O177" t="s">
        <v>91</v>
      </c>
    </row>
    <row r="178" spans="1:15" x14ac:dyDescent="0.25">
      <c r="A178" t="s">
        <v>119</v>
      </c>
      <c r="B178" t="s">
        <v>90</v>
      </c>
      <c r="C178" t="s">
        <v>90</v>
      </c>
      <c r="D178" t="s">
        <v>17</v>
      </c>
      <c r="E178" t="s">
        <v>18</v>
      </c>
      <c r="F178" t="s">
        <v>21</v>
      </c>
      <c r="G178" t="s">
        <v>92</v>
      </c>
      <c r="H178">
        <f>(82456.65+2843.35)/241.408067</f>
        <v>353.3436187946445</v>
      </c>
      <c r="I178" t="s">
        <v>17</v>
      </c>
      <c r="J178" t="s">
        <v>23</v>
      </c>
      <c r="O178" t="s">
        <v>91</v>
      </c>
    </row>
    <row r="179" spans="1:15" x14ac:dyDescent="0.25">
      <c r="A179" t="s">
        <v>119</v>
      </c>
      <c r="B179" t="s">
        <v>90</v>
      </c>
      <c r="C179" t="s">
        <v>90</v>
      </c>
      <c r="D179" t="s">
        <v>17</v>
      </c>
      <c r="E179" t="s">
        <v>18</v>
      </c>
      <c r="F179" t="s">
        <v>21</v>
      </c>
      <c r="G179" t="s">
        <v>93</v>
      </c>
      <c r="H179">
        <f>772.16/241.4080673</f>
        <v>3.1985675070271355</v>
      </c>
      <c r="I179" t="s">
        <v>17</v>
      </c>
      <c r="J179" t="s">
        <v>23</v>
      </c>
      <c r="O179" t="s">
        <v>91</v>
      </c>
    </row>
    <row r="180" spans="1:15" x14ac:dyDescent="0.25">
      <c r="A180" t="s">
        <v>119</v>
      </c>
      <c r="B180" t="s">
        <v>90</v>
      </c>
      <c r="C180" t="s">
        <v>90</v>
      </c>
      <c r="D180" t="s">
        <v>17</v>
      </c>
      <c r="E180" t="s">
        <v>18</v>
      </c>
      <c r="F180" t="s">
        <v>21</v>
      </c>
      <c r="G180" t="s">
        <v>26</v>
      </c>
      <c r="H180">
        <f>875.33/241.4080673</f>
        <v>3.6259351636008894</v>
      </c>
      <c r="I180" t="s">
        <v>17</v>
      </c>
      <c r="J180" t="s">
        <v>23</v>
      </c>
      <c r="O180" t="s">
        <v>91</v>
      </c>
    </row>
    <row r="181" spans="1:15" x14ac:dyDescent="0.25">
      <c r="A181" t="s">
        <v>119</v>
      </c>
      <c r="B181" t="s">
        <v>90</v>
      </c>
      <c r="C181" t="s">
        <v>90</v>
      </c>
      <c r="D181" t="s">
        <v>17</v>
      </c>
      <c r="E181" t="s">
        <v>18</v>
      </c>
      <c r="F181" t="s">
        <v>21</v>
      </c>
      <c r="G181" t="s">
        <v>29</v>
      </c>
      <c r="H181">
        <f>836.256/241.4080673</f>
        <v>3.4640764467940377</v>
      </c>
      <c r="I181" t="s">
        <v>30</v>
      </c>
      <c r="J181" t="s">
        <v>23</v>
      </c>
      <c r="O181" t="s">
        <v>91</v>
      </c>
    </row>
    <row r="182" spans="1:15" x14ac:dyDescent="0.25">
      <c r="A182" t="s">
        <v>119</v>
      </c>
      <c r="B182" t="s">
        <v>90</v>
      </c>
      <c r="C182" t="s">
        <v>90</v>
      </c>
      <c r="D182" t="s">
        <v>17</v>
      </c>
      <c r="E182" t="s">
        <v>18</v>
      </c>
      <c r="F182" t="s">
        <v>21</v>
      </c>
      <c r="G182" t="s">
        <v>33</v>
      </c>
      <c r="H182">
        <f>106.668/241.4080673</f>
        <v>0.44185764458087773</v>
      </c>
      <c r="I182" t="s">
        <v>34</v>
      </c>
      <c r="J182" t="s">
        <v>23</v>
      </c>
      <c r="O182" t="s">
        <v>91</v>
      </c>
    </row>
    <row r="183" spans="1:15" x14ac:dyDescent="0.25">
      <c r="A183" t="s">
        <v>119</v>
      </c>
      <c r="B183" t="s">
        <v>90</v>
      </c>
      <c r="C183" t="s">
        <v>90</v>
      </c>
      <c r="D183" t="s">
        <v>17</v>
      </c>
      <c r="E183" t="s">
        <v>18</v>
      </c>
      <c r="F183" t="s">
        <v>21</v>
      </c>
      <c r="G183" s="3" t="s">
        <v>52</v>
      </c>
      <c r="H183">
        <f>(250.17+218.43+104.06+32.98+31.33+50.62+307.18)/241.4080673</f>
        <v>4.120699076571416</v>
      </c>
      <c r="I183" t="s">
        <v>17</v>
      </c>
      <c r="J183" t="s">
        <v>23</v>
      </c>
      <c r="O183" t="s">
        <v>91</v>
      </c>
    </row>
    <row r="184" spans="1:15" x14ac:dyDescent="0.25">
      <c r="A184" t="s">
        <v>119</v>
      </c>
      <c r="B184" t="s">
        <v>90</v>
      </c>
      <c r="C184" t="s">
        <v>90</v>
      </c>
      <c r="D184" t="s">
        <v>17</v>
      </c>
      <c r="E184" t="s">
        <v>18</v>
      </c>
      <c r="F184" t="s">
        <v>21</v>
      </c>
      <c r="G184" t="s">
        <v>94</v>
      </c>
      <c r="H184">
        <f>-4.96/241.4080673</f>
        <v>-2.0546123646465232E-2</v>
      </c>
      <c r="I184" t="s">
        <v>17</v>
      </c>
      <c r="J184" t="s">
        <v>23</v>
      </c>
      <c r="O184" t="s">
        <v>91</v>
      </c>
    </row>
    <row r="185" spans="1:15" x14ac:dyDescent="0.25">
      <c r="A185" t="s">
        <v>119</v>
      </c>
      <c r="B185" t="s">
        <v>90</v>
      </c>
      <c r="C185" t="s">
        <v>90</v>
      </c>
      <c r="D185" t="s">
        <v>17</v>
      </c>
      <c r="E185" t="s">
        <v>18</v>
      </c>
      <c r="F185" t="s">
        <v>21</v>
      </c>
      <c r="G185" t="s">
        <v>95</v>
      </c>
      <c r="H185">
        <f>-168.98/241.4080673</f>
        <v>-0.69997660761687397</v>
      </c>
      <c r="I185" t="s">
        <v>17</v>
      </c>
      <c r="J185" t="s">
        <v>23</v>
      </c>
      <c r="O185" t="s">
        <v>91</v>
      </c>
    </row>
    <row r="186" spans="1:15" x14ac:dyDescent="0.25">
      <c r="A186" t="s">
        <v>119</v>
      </c>
      <c r="B186" t="s">
        <v>90</v>
      </c>
      <c r="C186" t="s">
        <v>90</v>
      </c>
      <c r="D186" t="s">
        <v>17</v>
      </c>
      <c r="E186" t="s">
        <v>18</v>
      </c>
      <c r="F186" t="s">
        <v>21</v>
      </c>
      <c r="G186" t="s">
        <v>96</v>
      </c>
      <c r="H186">
        <f>-(81632.08+25.87)/241.4080673</f>
        <v>-338.25692286630556</v>
      </c>
      <c r="I186" t="s">
        <v>17</v>
      </c>
      <c r="J186" t="s">
        <v>23</v>
      </c>
      <c r="O186" t="s">
        <v>91</v>
      </c>
    </row>
    <row r="187" spans="1:15" x14ac:dyDescent="0.25">
      <c r="A187" t="s">
        <v>119</v>
      </c>
      <c r="B187" t="s">
        <v>90</v>
      </c>
      <c r="C187" t="s">
        <v>90</v>
      </c>
      <c r="D187" t="s">
        <v>17</v>
      </c>
      <c r="E187" t="s">
        <v>18</v>
      </c>
      <c r="F187" t="s">
        <v>21</v>
      </c>
      <c r="G187" t="s">
        <v>97</v>
      </c>
      <c r="H187">
        <f>-414.82/241.4080673</f>
        <v>-1.718335284481191</v>
      </c>
      <c r="I187" t="s">
        <v>17</v>
      </c>
      <c r="J187" t="s">
        <v>23</v>
      </c>
      <c r="O187" t="s">
        <v>91</v>
      </c>
    </row>
    <row r="188" spans="1:15" x14ac:dyDescent="0.25">
      <c r="A188" t="s">
        <v>119</v>
      </c>
      <c r="B188" t="s">
        <v>90</v>
      </c>
      <c r="C188" t="s">
        <v>90</v>
      </c>
      <c r="D188" t="s">
        <v>17</v>
      </c>
      <c r="E188" t="s">
        <v>18</v>
      </c>
      <c r="F188" t="s">
        <v>21</v>
      </c>
      <c r="G188" t="s">
        <v>93</v>
      </c>
      <c r="H188">
        <f>-2561.69/241.4080673</f>
        <v>-10.611451508853532</v>
      </c>
      <c r="I188" t="s">
        <v>17</v>
      </c>
      <c r="J188" t="s">
        <v>23</v>
      </c>
      <c r="O188" t="s">
        <v>91</v>
      </c>
    </row>
    <row r="189" spans="1:15" x14ac:dyDescent="0.25">
      <c r="A189" t="s">
        <v>119</v>
      </c>
      <c r="B189" t="s">
        <v>90</v>
      </c>
      <c r="C189" t="s">
        <v>90</v>
      </c>
      <c r="D189" t="s">
        <v>17</v>
      </c>
      <c r="E189" t="s">
        <v>18</v>
      </c>
      <c r="F189" t="s">
        <v>21</v>
      </c>
      <c r="G189" t="s">
        <v>26</v>
      </c>
      <c r="H189">
        <f>-(654.32)/241.4080673</f>
        <v>-2.7104313758780507</v>
      </c>
      <c r="I189" t="s">
        <v>17</v>
      </c>
      <c r="J189" t="s">
        <v>23</v>
      </c>
      <c r="O189" t="s">
        <v>91</v>
      </c>
    </row>
    <row r="190" spans="1:15" x14ac:dyDescent="0.25">
      <c r="A190" t="s">
        <v>119</v>
      </c>
      <c r="B190" t="s">
        <v>90</v>
      </c>
      <c r="C190" t="s">
        <v>90</v>
      </c>
      <c r="D190" t="s">
        <v>17</v>
      </c>
      <c r="E190" t="s">
        <v>18</v>
      </c>
      <c r="F190" t="s">
        <v>21</v>
      </c>
      <c r="G190" s="3" t="s">
        <v>57</v>
      </c>
      <c r="H190">
        <f>52.58/241.4080673</f>
        <v>0.21780548010708506</v>
      </c>
      <c r="I190" t="s">
        <v>17</v>
      </c>
      <c r="J190" t="s">
        <v>23</v>
      </c>
      <c r="O190" t="s">
        <v>91</v>
      </c>
    </row>
    <row r="191" spans="1:15" x14ac:dyDescent="0.25">
      <c r="A191" t="s">
        <v>119</v>
      </c>
      <c r="B191" t="s">
        <v>90</v>
      </c>
      <c r="C191" t="s">
        <v>90</v>
      </c>
      <c r="D191" t="s">
        <v>17</v>
      </c>
      <c r="E191" t="s">
        <v>18</v>
      </c>
      <c r="F191" t="s">
        <v>21</v>
      </c>
      <c r="G191" t="s">
        <v>98</v>
      </c>
      <c r="H191">
        <f>24.14/241.4080673</f>
        <v>9.9996658230982E-2</v>
      </c>
      <c r="I191" t="s">
        <v>17</v>
      </c>
      <c r="J191" t="s">
        <v>23</v>
      </c>
      <c r="O191" t="s">
        <v>91</v>
      </c>
    </row>
    <row r="192" spans="1:15" x14ac:dyDescent="0.25">
      <c r="A192" t="s">
        <v>119</v>
      </c>
      <c r="B192" t="s">
        <v>99</v>
      </c>
      <c r="C192" t="s">
        <v>99</v>
      </c>
      <c r="D192" t="s">
        <v>17</v>
      </c>
      <c r="E192" t="s">
        <v>18</v>
      </c>
      <c r="F192" t="s">
        <v>119</v>
      </c>
      <c r="G192" t="s">
        <v>99</v>
      </c>
      <c r="H192">
        <v>1</v>
      </c>
      <c r="I192" t="s">
        <v>17</v>
      </c>
      <c r="J192" t="s">
        <v>19</v>
      </c>
      <c r="O192" t="s">
        <v>100</v>
      </c>
    </row>
    <row r="193" spans="1:15" x14ac:dyDescent="0.25">
      <c r="A193" t="s">
        <v>119</v>
      </c>
      <c r="B193" t="s">
        <v>99</v>
      </c>
      <c r="C193" t="s">
        <v>99</v>
      </c>
      <c r="D193" t="s">
        <v>17</v>
      </c>
      <c r="E193" t="s">
        <v>18</v>
      </c>
      <c r="F193" t="s">
        <v>21</v>
      </c>
      <c r="G193" s="3" t="s">
        <v>55</v>
      </c>
      <c r="H193">
        <v>1</v>
      </c>
      <c r="I193" t="s">
        <v>17</v>
      </c>
      <c r="J193" t="s">
        <v>23</v>
      </c>
      <c r="O193" t="s">
        <v>100</v>
      </c>
    </row>
    <row r="194" spans="1:15" x14ac:dyDescent="0.25">
      <c r="A194" t="s">
        <v>119</v>
      </c>
      <c r="B194" t="s">
        <v>99</v>
      </c>
      <c r="C194" t="s">
        <v>99</v>
      </c>
      <c r="D194" t="s">
        <v>17</v>
      </c>
      <c r="E194" t="s">
        <v>18</v>
      </c>
      <c r="F194" t="s">
        <v>21</v>
      </c>
      <c r="G194" t="s">
        <v>101</v>
      </c>
      <c r="H194">
        <f>321.48/0.6347</f>
        <v>506.50701118638727</v>
      </c>
      <c r="I194" t="s">
        <v>17</v>
      </c>
      <c r="J194" t="s">
        <v>23</v>
      </c>
      <c r="O194" t="s">
        <v>100</v>
      </c>
    </row>
    <row r="195" spans="1:15" x14ac:dyDescent="0.25">
      <c r="A195" t="s">
        <v>119</v>
      </c>
      <c r="B195" t="s">
        <v>99</v>
      </c>
      <c r="C195" t="s">
        <v>99</v>
      </c>
      <c r="D195" t="s">
        <v>17</v>
      </c>
      <c r="E195" t="s">
        <v>18</v>
      </c>
      <c r="F195" t="s">
        <v>21</v>
      </c>
      <c r="G195" t="s">
        <v>26</v>
      </c>
      <c r="H195">
        <f>2.14/0.6347</f>
        <v>3.3716716559004252</v>
      </c>
      <c r="I195" t="s">
        <v>17</v>
      </c>
      <c r="J195" t="s">
        <v>23</v>
      </c>
      <c r="O195" t="s">
        <v>100</v>
      </c>
    </row>
    <row r="196" spans="1:15" x14ac:dyDescent="0.25">
      <c r="A196" t="s">
        <v>119</v>
      </c>
      <c r="B196" t="s">
        <v>99</v>
      </c>
      <c r="C196" t="s">
        <v>99</v>
      </c>
      <c r="D196" t="s">
        <v>17</v>
      </c>
      <c r="E196" t="s">
        <v>18</v>
      </c>
      <c r="F196" t="s">
        <v>21</v>
      </c>
      <c r="G196" t="s">
        <v>33</v>
      </c>
      <c r="H196">
        <f>(0.31*3600)/(0.6347*1000)</f>
        <v>1.7583110130770441</v>
      </c>
      <c r="I196" t="s">
        <v>34</v>
      </c>
      <c r="J196" t="s">
        <v>23</v>
      </c>
      <c r="O196" t="s">
        <v>100</v>
      </c>
    </row>
    <row r="197" spans="1:15" x14ac:dyDescent="0.25">
      <c r="A197" t="s">
        <v>119</v>
      </c>
      <c r="B197" t="s">
        <v>99</v>
      </c>
      <c r="C197" t="s">
        <v>99</v>
      </c>
      <c r="D197" t="s">
        <v>17</v>
      </c>
      <c r="E197" t="s">
        <v>18</v>
      </c>
      <c r="F197" t="s">
        <v>21</v>
      </c>
      <c r="G197" t="s">
        <v>29</v>
      </c>
      <c r="H197">
        <f>(2.02*1000)/(0.6347*1000)+0.0404</f>
        <v>3.22300595556956</v>
      </c>
      <c r="I197" t="s">
        <v>30</v>
      </c>
      <c r="J197" t="s">
        <v>23</v>
      </c>
      <c r="O197" t="s">
        <v>100</v>
      </c>
    </row>
    <row r="198" spans="1:15" x14ac:dyDescent="0.25">
      <c r="A198" t="s">
        <v>119</v>
      </c>
      <c r="B198" t="s">
        <v>99</v>
      </c>
      <c r="C198" t="s">
        <v>99</v>
      </c>
      <c r="D198" t="s">
        <v>17</v>
      </c>
      <c r="E198" t="s">
        <v>18</v>
      </c>
      <c r="F198" t="s">
        <v>21</v>
      </c>
      <c r="G198" t="s">
        <v>96</v>
      </c>
      <c r="H198">
        <f>-(224.23)/0.6347</f>
        <v>-353.28501654324873</v>
      </c>
      <c r="I198" t="s">
        <v>17</v>
      </c>
      <c r="J198" t="s">
        <v>23</v>
      </c>
      <c r="O198" t="s">
        <v>100</v>
      </c>
    </row>
    <row r="199" spans="1:15" x14ac:dyDescent="0.25">
      <c r="A199" t="s">
        <v>119</v>
      </c>
      <c r="B199" t="s">
        <v>99</v>
      </c>
      <c r="C199" t="s">
        <v>99</v>
      </c>
      <c r="D199" t="s">
        <v>17</v>
      </c>
      <c r="E199" t="s">
        <v>18</v>
      </c>
      <c r="F199" t="s">
        <v>21</v>
      </c>
      <c r="G199" t="s">
        <v>97</v>
      </c>
      <c r="H199">
        <f>-1/0.6347</f>
        <v>-1.5755475027572081</v>
      </c>
      <c r="I199" t="s">
        <v>17</v>
      </c>
      <c r="J199" t="s">
        <v>23</v>
      </c>
      <c r="O199" t="s">
        <v>100</v>
      </c>
    </row>
    <row r="200" spans="1:15" x14ac:dyDescent="0.25">
      <c r="A200" t="s">
        <v>119</v>
      </c>
      <c r="B200" t="s">
        <v>99</v>
      </c>
      <c r="C200" t="s">
        <v>99</v>
      </c>
      <c r="D200" t="s">
        <v>17</v>
      </c>
      <c r="E200" t="s">
        <v>18</v>
      </c>
      <c r="F200" t="s">
        <v>21</v>
      </c>
      <c r="G200" t="s">
        <v>94</v>
      </c>
      <c r="H200">
        <f>-0.01/0.6347</f>
        <v>-1.5755475027572081E-2</v>
      </c>
      <c r="I200" t="s">
        <v>17</v>
      </c>
      <c r="J200" t="s">
        <v>23</v>
      </c>
      <c r="O200" t="s">
        <v>100</v>
      </c>
    </row>
    <row r="201" spans="1:15" x14ac:dyDescent="0.25">
      <c r="A201" t="s">
        <v>119</v>
      </c>
      <c r="B201" t="s">
        <v>99</v>
      </c>
      <c r="C201" t="s">
        <v>99</v>
      </c>
      <c r="D201" t="s">
        <v>17</v>
      </c>
      <c r="E201" t="s">
        <v>18</v>
      </c>
      <c r="F201" t="s">
        <v>21</v>
      </c>
      <c r="G201" t="s">
        <v>95</v>
      </c>
      <c r="H201">
        <f>-0.42/0.6347</f>
        <v>-0.66172995115802735</v>
      </c>
      <c r="I201" t="s">
        <v>17</v>
      </c>
      <c r="J201" t="s">
        <v>23</v>
      </c>
      <c r="O201" t="s">
        <v>100</v>
      </c>
    </row>
    <row r="202" spans="1:15" x14ac:dyDescent="0.25">
      <c r="A202" t="s">
        <v>119</v>
      </c>
      <c r="B202" t="s">
        <v>99</v>
      </c>
      <c r="C202" t="s">
        <v>99</v>
      </c>
      <c r="D202" t="s">
        <v>17</v>
      </c>
      <c r="E202" t="s">
        <v>18</v>
      </c>
      <c r="F202" t="s">
        <v>21</v>
      </c>
      <c r="G202" t="s">
        <v>26</v>
      </c>
      <c r="H202">
        <f>-1.62/0.6347</f>
        <v>-2.5523869544666771</v>
      </c>
      <c r="I202" t="s">
        <v>17</v>
      </c>
      <c r="J202" t="s">
        <v>23</v>
      </c>
      <c r="O202" t="s">
        <v>100</v>
      </c>
    </row>
    <row r="203" spans="1:15" x14ac:dyDescent="0.25">
      <c r="A203" t="s">
        <v>119</v>
      </c>
      <c r="B203" t="s">
        <v>99</v>
      </c>
      <c r="C203" t="s">
        <v>99</v>
      </c>
      <c r="D203" t="s">
        <v>17</v>
      </c>
      <c r="E203" t="s">
        <v>18</v>
      </c>
      <c r="F203" t="s">
        <v>21</v>
      </c>
      <c r="G203" t="s">
        <v>57</v>
      </c>
      <c r="H203">
        <f>96.78/0.6347</f>
        <v>152.48148731684259</v>
      </c>
      <c r="I203" t="s">
        <v>17</v>
      </c>
      <c r="J203" t="s">
        <v>23</v>
      </c>
      <c r="O203" t="s">
        <v>100</v>
      </c>
    </row>
    <row r="204" spans="1:15" x14ac:dyDescent="0.25">
      <c r="A204" t="s">
        <v>119</v>
      </c>
      <c r="B204" t="s">
        <v>99</v>
      </c>
      <c r="C204" t="s">
        <v>99</v>
      </c>
      <c r="D204" t="s">
        <v>17</v>
      </c>
      <c r="E204" t="s">
        <v>18</v>
      </c>
      <c r="F204" t="s">
        <v>21</v>
      </c>
      <c r="G204" t="s">
        <v>98</v>
      </c>
      <c r="H204">
        <f>0.0254/0.6347</f>
        <v>4.0018906570033083E-2</v>
      </c>
      <c r="I204" t="s">
        <v>17</v>
      </c>
      <c r="J204" t="s">
        <v>23</v>
      </c>
      <c r="O204" t="s">
        <v>100</v>
      </c>
    </row>
    <row r="205" spans="1:15" x14ac:dyDescent="0.25">
      <c r="A205" t="s">
        <v>119</v>
      </c>
      <c r="B205" t="s">
        <v>102</v>
      </c>
      <c r="C205" t="s">
        <v>102</v>
      </c>
      <c r="D205" t="s">
        <v>17</v>
      </c>
      <c r="E205" t="s">
        <v>18</v>
      </c>
      <c r="F205" t="s">
        <v>119</v>
      </c>
      <c r="G205" t="s">
        <v>102</v>
      </c>
      <c r="H205">
        <v>1</v>
      </c>
      <c r="I205" t="s">
        <v>17</v>
      </c>
      <c r="J205" t="s">
        <v>19</v>
      </c>
      <c r="O205" t="s">
        <v>100</v>
      </c>
    </row>
    <row r="206" spans="1:15" x14ac:dyDescent="0.25">
      <c r="A206" t="s">
        <v>119</v>
      </c>
      <c r="B206" t="s">
        <v>102</v>
      </c>
      <c r="C206" t="s">
        <v>102</v>
      </c>
      <c r="D206" t="s">
        <v>17</v>
      </c>
      <c r="E206" t="s">
        <v>18</v>
      </c>
      <c r="F206" t="s">
        <v>21</v>
      </c>
      <c r="G206" t="s">
        <v>55</v>
      </c>
      <c r="H206">
        <v>1</v>
      </c>
      <c r="I206" t="s">
        <v>17</v>
      </c>
      <c r="J206" t="s">
        <v>23</v>
      </c>
      <c r="O206" t="s">
        <v>100</v>
      </c>
    </row>
    <row r="207" spans="1:15" x14ac:dyDescent="0.25">
      <c r="A207" t="s">
        <v>119</v>
      </c>
      <c r="B207" t="s">
        <v>102</v>
      </c>
      <c r="C207" t="s">
        <v>102</v>
      </c>
      <c r="D207" t="s">
        <v>17</v>
      </c>
      <c r="E207" t="s">
        <v>18</v>
      </c>
      <c r="F207" t="s">
        <v>21</v>
      </c>
      <c r="G207" t="s">
        <v>101</v>
      </c>
      <c r="H207">
        <f>359.15/0.6347</f>
        <v>565.85788561525123</v>
      </c>
      <c r="I207" t="s">
        <v>17</v>
      </c>
      <c r="J207" t="s">
        <v>23</v>
      </c>
      <c r="O207" t="s">
        <v>100</v>
      </c>
    </row>
    <row r="208" spans="1:15" x14ac:dyDescent="0.25">
      <c r="A208" t="s">
        <v>119</v>
      </c>
      <c r="B208" t="s">
        <v>102</v>
      </c>
      <c r="C208" t="s">
        <v>102</v>
      </c>
      <c r="D208" t="s">
        <v>17</v>
      </c>
      <c r="E208" t="s">
        <v>18</v>
      </c>
      <c r="F208" t="s">
        <v>21</v>
      </c>
      <c r="G208" t="s">
        <v>26</v>
      </c>
      <c r="H208">
        <f>2.16/0.6347</f>
        <v>3.4031826059555694</v>
      </c>
      <c r="I208" t="s">
        <v>17</v>
      </c>
      <c r="J208" t="s">
        <v>23</v>
      </c>
      <c r="O208" t="s">
        <v>100</v>
      </c>
    </row>
    <row r="209" spans="1:15" x14ac:dyDescent="0.25">
      <c r="A209" t="s">
        <v>119</v>
      </c>
      <c r="B209" t="s">
        <v>102</v>
      </c>
      <c r="C209" t="s">
        <v>102</v>
      </c>
      <c r="D209" t="s">
        <v>17</v>
      </c>
      <c r="E209" t="s">
        <v>18</v>
      </c>
      <c r="F209" t="s">
        <v>21</v>
      </c>
      <c r="G209" t="s">
        <v>33</v>
      </c>
      <c r="H209">
        <f>(0.31*3600)/(0.6347*1000)</f>
        <v>1.7583110130770441</v>
      </c>
      <c r="I209" t="s">
        <v>34</v>
      </c>
      <c r="J209" t="s">
        <v>23</v>
      </c>
      <c r="O209" t="s">
        <v>100</v>
      </c>
    </row>
    <row r="210" spans="1:15" x14ac:dyDescent="0.25">
      <c r="A210" t="s">
        <v>119</v>
      </c>
      <c r="B210" t="s">
        <v>102</v>
      </c>
      <c r="C210" t="s">
        <v>102</v>
      </c>
      <c r="D210" t="s">
        <v>17</v>
      </c>
      <c r="E210" t="s">
        <v>18</v>
      </c>
      <c r="F210" t="s">
        <v>21</v>
      </c>
      <c r="G210" t="s">
        <v>29</v>
      </c>
      <c r="H210">
        <f>(1.94*1000)/(0.6347*1000)+0.0404</f>
        <v>3.0969621553489834</v>
      </c>
      <c r="I210" t="s">
        <v>30</v>
      </c>
      <c r="J210" t="s">
        <v>23</v>
      </c>
      <c r="O210" t="s">
        <v>100</v>
      </c>
    </row>
    <row r="211" spans="1:15" x14ac:dyDescent="0.25">
      <c r="A211" t="s">
        <v>119</v>
      </c>
      <c r="B211" t="s">
        <v>102</v>
      </c>
      <c r="C211" t="s">
        <v>102</v>
      </c>
      <c r="D211" t="s">
        <v>17</v>
      </c>
      <c r="E211" t="s">
        <v>18</v>
      </c>
      <c r="F211" t="s">
        <v>21</v>
      </c>
      <c r="G211" t="s">
        <v>96</v>
      </c>
      <c r="H211">
        <f>-224.23/0.6347</f>
        <v>-353.28501654324873</v>
      </c>
      <c r="I211" t="s">
        <v>17</v>
      </c>
      <c r="J211" t="s">
        <v>23</v>
      </c>
      <c r="O211" t="s">
        <v>100</v>
      </c>
    </row>
    <row r="212" spans="1:15" x14ac:dyDescent="0.25">
      <c r="A212" t="s">
        <v>119</v>
      </c>
      <c r="B212" t="s">
        <v>102</v>
      </c>
      <c r="C212" t="s">
        <v>102</v>
      </c>
      <c r="D212" t="s">
        <v>17</v>
      </c>
      <c r="E212" t="s">
        <v>18</v>
      </c>
      <c r="F212" t="s">
        <v>21</v>
      </c>
      <c r="G212" t="s">
        <v>97</v>
      </c>
      <c r="H212">
        <f>-1/0.6347</f>
        <v>-1.5755475027572081</v>
      </c>
      <c r="I212" t="s">
        <v>17</v>
      </c>
      <c r="J212" t="s">
        <v>23</v>
      </c>
      <c r="O212" t="s">
        <v>100</v>
      </c>
    </row>
    <row r="213" spans="1:15" x14ac:dyDescent="0.25">
      <c r="A213" t="s">
        <v>119</v>
      </c>
      <c r="B213" t="s">
        <v>102</v>
      </c>
      <c r="C213" t="s">
        <v>102</v>
      </c>
      <c r="D213" t="s">
        <v>17</v>
      </c>
      <c r="E213" t="s">
        <v>18</v>
      </c>
      <c r="F213" t="s">
        <v>21</v>
      </c>
      <c r="G213" t="s">
        <v>94</v>
      </c>
      <c r="H213">
        <f>-0.01/0.6347</f>
        <v>-1.5755475027572081E-2</v>
      </c>
      <c r="I213" t="s">
        <v>17</v>
      </c>
      <c r="J213" t="s">
        <v>23</v>
      </c>
      <c r="O213" t="s">
        <v>100</v>
      </c>
    </row>
    <row r="214" spans="1:15" x14ac:dyDescent="0.25">
      <c r="A214" t="s">
        <v>119</v>
      </c>
      <c r="B214" t="s">
        <v>102</v>
      </c>
      <c r="C214" t="s">
        <v>102</v>
      </c>
      <c r="D214" t="s">
        <v>17</v>
      </c>
      <c r="E214" t="s">
        <v>18</v>
      </c>
      <c r="F214" t="s">
        <v>21</v>
      </c>
      <c r="G214" t="s">
        <v>95</v>
      </c>
      <c r="H214">
        <f>-0.42/0.6347</f>
        <v>-0.66172995115802735</v>
      </c>
      <c r="I214" t="s">
        <v>17</v>
      </c>
      <c r="J214" t="s">
        <v>23</v>
      </c>
      <c r="O214" t="s">
        <v>100</v>
      </c>
    </row>
    <row r="215" spans="1:15" x14ac:dyDescent="0.25">
      <c r="A215" t="s">
        <v>119</v>
      </c>
      <c r="B215" t="s">
        <v>102</v>
      </c>
      <c r="C215" t="s">
        <v>102</v>
      </c>
      <c r="D215" t="s">
        <v>17</v>
      </c>
      <c r="E215" t="s">
        <v>18</v>
      </c>
      <c r="F215" t="s">
        <v>21</v>
      </c>
      <c r="G215" t="s">
        <v>26</v>
      </c>
      <c r="H215">
        <f>-1.62/0.6347</f>
        <v>-2.5523869544666771</v>
      </c>
      <c r="I215" t="s">
        <v>17</v>
      </c>
      <c r="J215" t="s">
        <v>23</v>
      </c>
      <c r="O215" t="s">
        <v>100</v>
      </c>
    </row>
    <row r="216" spans="1:15" x14ac:dyDescent="0.25">
      <c r="A216" t="s">
        <v>119</v>
      </c>
      <c r="B216" t="s">
        <v>102</v>
      </c>
      <c r="C216" t="s">
        <v>102</v>
      </c>
      <c r="D216" t="s">
        <v>17</v>
      </c>
      <c r="E216" t="s">
        <v>18</v>
      </c>
      <c r="F216" t="s">
        <v>21</v>
      </c>
      <c r="G216" t="s">
        <v>57</v>
      </c>
      <c r="H216">
        <f>134.45/0.6347</f>
        <v>211.83236174570661</v>
      </c>
      <c r="I216" t="s">
        <v>17</v>
      </c>
      <c r="J216" t="s">
        <v>23</v>
      </c>
      <c r="O216" t="s">
        <v>100</v>
      </c>
    </row>
    <row r="217" spans="1:15" x14ac:dyDescent="0.25">
      <c r="A217" t="s">
        <v>119</v>
      </c>
      <c r="B217" t="s">
        <v>103</v>
      </c>
      <c r="C217" t="s">
        <v>103</v>
      </c>
      <c r="D217" t="s">
        <v>17</v>
      </c>
      <c r="E217" t="s">
        <v>18</v>
      </c>
      <c r="F217" t="s">
        <v>119</v>
      </c>
      <c r="G217" t="s">
        <v>103</v>
      </c>
      <c r="H217">
        <v>1</v>
      </c>
      <c r="I217" t="s">
        <v>17</v>
      </c>
      <c r="J217" t="s">
        <v>19</v>
      </c>
      <c r="O217" t="s">
        <v>65</v>
      </c>
    </row>
    <row r="218" spans="1:15" x14ac:dyDescent="0.25">
      <c r="A218" t="s">
        <v>119</v>
      </c>
      <c r="B218" t="s">
        <v>103</v>
      </c>
      <c r="C218" t="s">
        <v>103</v>
      </c>
      <c r="D218" t="s">
        <v>17</v>
      </c>
      <c r="E218" t="s">
        <v>18</v>
      </c>
      <c r="F218" t="s">
        <v>21</v>
      </c>
      <c r="G218" t="s">
        <v>55</v>
      </c>
      <c r="H218">
        <v>1</v>
      </c>
      <c r="I218" t="s">
        <v>17</v>
      </c>
      <c r="J218" t="s">
        <v>23</v>
      </c>
      <c r="O218" t="s">
        <v>65</v>
      </c>
    </row>
    <row r="219" spans="1:15" x14ac:dyDescent="0.25">
      <c r="A219" t="s">
        <v>119</v>
      </c>
      <c r="B219" t="s">
        <v>103</v>
      </c>
      <c r="C219" t="s">
        <v>103</v>
      </c>
      <c r="D219" t="s">
        <v>17</v>
      </c>
      <c r="E219" t="s">
        <v>18</v>
      </c>
      <c r="F219" t="s">
        <v>21</v>
      </c>
      <c r="G219" t="s">
        <v>66</v>
      </c>
      <c r="H219">
        <v>2.88</v>
      </c>
      <c r="I219" t="s">
        <v>17</v>
      </c>
      <c r="J219" t="s">
        <v>23</v>
      </c>
      <c r="O219" t="s">
        <v>65</v>
      </c>
    </row>
    <row r="220" spans="1:15" x14ac:dyDescent="0.25">
      <c r="A220" t="s">
        <v>119</v>
      </c>
      <c r="B220" t="s">
        <v>103</v>
      </c>
      <c r="C220" t="s">
        <v>103</v>
      </c>
      <c r="D220" t="s">
        <v>17</v>
      </c>
      <c r="E220" t="s">
        <v>18</v>
      </c>
      <c r="F220" t="s">
        <v>21</v>
      </c>
      <c r="G220" t="s">
        <v>67</v>
      </c>
      <c r="H220">
        <v>0.43</v>
      </c>
      <c r="I220" t="s">
        <v>17</v>
      </c>
      <c r="J220" t="s">
        <v>23</v>
      </c>
      <c r="O220" t="s">
        <v>65</v>
      </c>
    </row>
    <row r="221" spans="1:15" x14ac:dyDescent="0.25">
      <c r="A221" t="s">
        <v>119</v>
      </c>
      <c r="B221" t="s">
        <v>103</v>
      </c>
      <c r="C221" t="s">
        <v>103</v>
      </c>
      <c r="D221" t="s">
        <v>17</v>
      </c>
      <c r="E221" t="s">
        <v>18</v>
      </c>
      <c r="F221" t="s">
        <v>21</v>
      </c>
      <c r="G221" t="s">
        <v>29</v>
      </c>
      <c r="H221">
        <f>1095/1000</f>
        <v>1.095</v>
      </c>
      <c r="I221" t="s">
        <v>30</v>
      </c>
      <c r="J221" t="s">
        <v>23</v>
      </c>
      <c r="O221" t="s">
        <v>65</v>
      </c>
    </row>
    <row r="222" spans="1:15" x14ac:dyDescent="0.25">
      <c r="A222" t="s">
        <v>119</v>
      </c>
      <c r="B222" t="s">
        <v>103</v>
      </c>
      <c r="C222" t="s">
        <v>103</v>
      </c>
      <c r="D222" t="s">
        <v>17</v>
      </c>
      <c r="E222" t="s">
        <v>18</v>
      </c>
      <c r="F222" t="s">
        <v>21</v>
      </c>
      <c r="G222" t="s">
        <v>33</v>
      </c>
      <c r="H222">
        <f>2947*3.6/1000</f>
        <v>10.609200000000001</v>
      </c>
      <c r="I222" t="s">
        <v>34</v>
      </c>
      <c r="J222" t="s">
        <v>23</v>
      </c>
      <c r="O222" t="s">
        <v>65</v>
      </c>
    </row>
    <row r="223" spans="1:15" x14ac:dyDescent="0.25">
      <c r="A223" t="s">
        <v>119</v>
      </c>
      <c r="B223" t="s">
        <v>103</v>
      </c>
      <c r="C223" t="s">
        <v>103</v>
      </c>
      <c r="D223" t="s">
        <v>17</v>
      </c>
      <c r="E223" t="s">
        <v>18</v>
      </c>
      <c r="F223" t="s">
        <v>21</v>
      </c>
      <c r="G223" t="s">
        <v>40</v>
      </c>
      <c r="H223">
        <f>-1.14*0.95</f>
        <v>-1.083</v>
      </c>
      <c r="I223" t="s">
        <v>17</v>
      </c>
      <c r="J223" t="s">
        <v>23</v>
      </c>
      <c r="O223" t="s">
        <v>65</v>
      </c>
    </row>
    <row r="224" spans="1:15" x14ac:dyDescent="0.25">
      <c r="A224" t="s">
        <v>119</v>
      </c>
      <c r="B224" t="s">
        <v>103</v>
      </c>
      <c r="C224" t="s">
        <v>103</v>
      </c>
      <c r="D224" t="s">
        <v>17</v>
      </c>
      <c r="E224" t="s">
        <v>18</v>
      </c>
      <c r="F224" t="s">
        <v>21</v>
      </c>
      <c r="G224" t="s">
        <v>67</v>
      </c>
      <c r="H224">
        <v>-0.43</v>
      </c>
      <c r="I224" t="s">
        <v>17</v>
      </c>
      <c r="J224" t="s">
        <v>23</v>
      </c>
      <c r="O224" t="s">
        <v>65</v>
      </c>
    </row>
    <row r="225" spans="1:15" x14ac:dyDescent="0.25">
      <c r="A225" t="s">
        <v>119</v>
      </c>
      <c r="B225" t="s">
        <v>103</v>
      </c>
      <c r="C225" t="s">
        <v>103</v>
      </c>
      <c r="D225" t="s">
        <v>17</v>
      </c>
      <c r="E225" t="s">
        <v>18</v>
      </c>
      <c r="F225" t="s">
        <v>21</v>
      </c>
      <c r="G225" t="s">
        <v>66</v>
      </c>
      <c r="H225">
        <v>-0.49</v>
      </c>
      <c r="I225" t="s">
        <v>17</v>
      </c>
      <c r="J225" t="s">
        <v>23</v>
      </c>
      <c r="O225" t="s">
        <v>65</v>
      </c>
    </row>
    <row r="226" spans="1:15" x14ac:dyDescent="0.25">
      <c r="A226" t="s">
        <v>119</v>
      </c>
      <c r="B226" t="s">
        <v>104</v>
      </c>
      <c r="C226" t="s">
        <v>104</v>
      </c>
      <c r="D226" t="s">
        <v>17</v>
      </c>
      <c r="E226" t="s">
        <v>18</v>
      </c>
      <c r="F226" t="s">
        <v>119</v>
      </c>
      <c r="G226" t="s">
        <v>104</v>
      </c>
      <c r="H226">
        <v>1</v>
      </c>
      <c r="I226" t="s">
        <v>17</v>
      </c>
      <c r="J226" t="s">
        <v>19</v>
      </c>
      <c r="O226" t="s">
        <v>105</v>
      </c>
    </row>
    <row r="227" spans="1:15" x14ac:dyDescent="0.25">
      <c r="A227" t="s">
        <v>119</v>
      </c>
      <c r="B227" t="s">
        <v>104</v>
      </c>
      <c r="C227" t="s">
        <v>104</v>
      </c>
      <c r="D227" t="s">
        <v>17</v>
      </c>
      <c r="E227" t="s">
        <v>18</v>
      </c>
      <c r="F227" t="s">
        <v>21</v>
      </c>
      <c r="G227" t="s">
        <v>55</v>
      </c>
      <c r="H227">
        <v>1</v>
      </c>
      <c r="I227" t="s">
        <v>17</v>
      </c>
      <c r="J227" t="s">
        <v>23</v>
      </c>
      <c r="O227" t="s">
        <v>105</v>
      </c>
    </row>
    <row r="228" spans="1:15" x14ac:dyDescent="0.25">
      <c r="A228" t="s">
        <v>119</v>
      </c>
      <c r="B228" t="s">
        <v>104</v>
      </c>
      <c r="C228" t="s">
        <v>104</v>
      </c>
      <c r="D228" t="s">
        <v>17</v>
      </c>
      <c r="E228" t="s">
        <v>18</v>
      </c>
      <c r="F228" t="s">
        <v>21</v>
      </c>
      <c r="G228" s="3" t="s">
        <v>24</v>
      </c>
      <c r="H228">
        <f>2167/437</f>
        <v>4.9588100686498855</v>
      </c>
      <c r="I228" t="s">
        <v>17</v>
      </c>
      <c r="J228" t="s">
        <v>23</v>
      </c>
      <c r="O228" t="s">
        <v>105</v>
      </c>
    </row>
    <row r="229" spans="1:15" x14ac:dyDescent="0.25">
      <c r="A229" t="s">
        <v>119</v>
      </c>
      <c r="B229" t="s">
        <v>104</v>
      </c>
      <c r="C229" t="s">
        <v>104</v>
      </c>
      <c r="D229" t="s">
        <v>17</v>
      </c>
      <c r="E229" t="s">
        <v>18</v>
      </c>
      <c r="F229" t="s">
        <v>21</v>
      </c>
      <c r="G229" t="s">
        <v>26</v>
      </c>
      <c r="H229">
        <f>3030/437</f>
        <v>6.9336384439359264</v>
      </c>
      <c r="I229" t="s">
        <v>17</v>
      </c>
      <c r="J229" t="s">
        <v>23</v>
      </c>
      <c r="O229" t="s">
        <v>105</v>
      </c>
    </row>
    <row r="230" spans="1:15" x14ac:dyDescent="0.25">
      <c r="A230" t="s">
        <v>119</v>
      </c>
      <c r="B230" t="s">
        <v>104</v>
      </c>
      <c r="C230" t="s">
        <v>104</v>
      </c>
      <c r="D230" t="s">
        <v>17</v>
      </c>
      <c r="E230" t="s">
        <v>18</v>
      </c>
      <c r="F230" t="s">
        <v>21</v>
      </c>
      <c r="G230" t="s">
        <v>106</v>
      </c>
      <c r="H230">
        <f>1430/437</f>
        <v>3.2723112128146452</v>
      </c>
      <c r="I230" t="s">
        <v>17</v>
      </c>
      <c r="J230" t="s">
        <v>23</v>
      </c>
      <c r="O230" t="s">
        <v>105</v>
      </c>
    </row>
    <row r="231" spans="1:15" x14ac:dyDescent="0.25">
      <c r="A231" t="s">
        <v>119</v>
      </c>
      <c r="B231" t="s">
        <v>104</v>
      </c>
      <c r="C231" t="s">
        <v>104</v>
      </c>
      <c r="D231" t="s">
        <v>17</v>
      </c>
      <c r="E231" t="s">
        <v>18</v>
      </c>
      <c r="F231" t="s">
        <v>21</v>
      </c>
      <c r="G231" t="s">
        <v>29</v>
      </c>
      <c r="H231">
        <f>172/437</f>
        <v>0.39359267734553777</v>
      </c>
      <c r="I231" t="s">
        <v>30</v>
      </c>
      <c r="J231" t="s">
        <v>23</v>
      </c>
      <c r="O231" t="s">
        <v>105</v>
      </c>
    </row>
    <row r="232" spans="1:15" x14ac:dyDescent="0.25">
      <c r="A232" t="s">
        <v>119</v>
      </c>
      <c r="B232" t="s">
        <v>104</v>
      </c>
      <c r="C232" t="s">
        <v>104</v>
      </c>
      <c r="D232" t="s">
        <v>17</v>
      </c>
      <c r="E232" t="s">
        <v>18</v>
      </c>
      <c r="F232" t="s">
        <v>21</v>
      </c>
      <c r="G232" t="s">
        <v>79</v>
      </c>
      <c r="H232">
        <f>60*3.6/(437*2.75)</f>
        <v>0.17973788225504472</v>
      </c>
      <c r="I232" t="s">
        <v>17</v>
      </c>
      <c r="J232" t="s">
        <v>23</v>
      </c>
      <c r="O232" t="s">
        <v>107</v>
      </c>
    </row>
    <row r="233" spans="1:15" x14ac:dyDescent="0.25">
      <c r="A233" t="s">
        <v>119</v>
      </c>
      <c r="B233" t="s">
        <v>104</v>
      </c>
      <c r="C233" t="s">
        <v>104</v>
      </c>
      <c r="D233" t="s">
        <v>17</v>
      </c>
      <c r="E233" t="s">
        <v>18</v>
      </c>
      <c r="F233" t="s">
        <v>21</v>
      </c>
      <c r="G233" t="s">
        <v>40</v>
      </c>
      <c r="H233">
        <f>-1000/437</f>
        <v>-2.2883295194508011</v>
      </c>
      <c r="I233" t="s">
        <v>17</v>
      </c>
      <c r="J233" t="s">
        <v>23</v>
      </c>
      <c r="O233" t="s">
        <v>105</v>
      </c>
    </row>
    <row r="234" spans="1:15" x14ac:dyDescent="0.25">
      <c r="A234" t="s">
        <v>119</v>
      </c>
      <c r="B234" t="s">
        <v>104</v>
      </c>
      <c r="C234" t="s">
        <v>104</v>
      </c>
      <c r="D234" t="s">
        <v>17</v>
      </c>
      <c r="E234" t="s">
        <v>18</v>
      </c>
      <c r="F234" t="s">
        <v>21</v>
      </c>
      <c r="G234" t="s">
        <v>57</v>
      </c>
      <c r="H234">
        <f>2050/437</f>
        <v>4.6910755148741421</v>
      </c>
      <c r="I234" t="s">
        <v>17</v>
      </c>
      <c r="J234" t="s">
        <v>23</v>
      </c>
      <c r="O234" t="s">
        <v>105</v>
      </c>
    </row>
    <row r="235" spans="1:15" x14ac:dyDescent="0.25">
      <c r="A235" t="s">
        <v>119</v>
      </c>
      <c r="B235" t="s">
        <v>104</v>
      </c>
      <c r="C235" t="s">
        <v>104</v>
      </c>
      <c r="D235" t="s">
        <v>17</v>
      </c>
      <c r="E235" t="s">
        <v>18</v>
      </c>
      <c r="F235" t="s">
        <v>21</v>
      </c>
      <c r="G235" s="3" t="s">
        <v>88</v>
      </c>
      <c r="H235">
        <f>1390/437</f>
        <v>3.1807780320366135</v>
      </c>
      <c r="I235" t="s">
        <v>17</v>
      </c>
      <c r="J235" t="s">
        <v>23</v>
      </c>
      <c r="O235" t="s">
        <v>105</v>
      </c>
    </row>
    <row r="236" spans="1:15" x14ac:dyDescent="0.25">
      <c r="A236" t="s">
        <v>119</v>
      </c>
      <c r="B236" t="s">
        <v>108</v>
      </c>
      <c r="C236" t="s">
        <v>108</v>
      </c>
      <c r="D236" t="s">
        <v>17</v>
      </c>
      <c r="E236" t="s">
        <v>18</v>
      </c>
      <c r="F236" t="s">
        <v>119</v>
      </c>
      <c r="G236" t="s">
        <v>108</v>
      </c>
      <c r="H236">
        <v>1</v>
      </c>
      <c r="I236" t="s">
        <v>17</v>
      </c>
      <c r="J236" t="s">
        <v>19</v>
      </c>
      <c r="O236" t="s">
        <v>82</v>
      </c>
    </row>
    <row r="237" spans="1:15" x14ac:dyDescent="0.25">
      <c r="A237" t="s">
        <v>119</v>
      </c>
      <c r="B237" t="s">
        <v>108</v>
      </c>
      <c r="C237" t="s">
        <v>108</v>
      </c>
      <c r="D237" t="s">
        <v>17</v>
      </c>
      <c r="E237" t="s">
        <v>18</v>
      </c>
      <c r="F237" t="s">
        <v>21</v>
      </c>
      <c r="G237" s="3" t="s">
        <v>55</v>
      </c>
      <c r="H237">
        <v>1</v>
      </c>
      <c r="I237" t="s">
        <v>17</v>
      </c>
      <c r="J237" t="s">
        <v>23</v>
      </c>
      <c r="O237" t="s">
        <v>82</v>
      </c>
    </row>
    <row r="238" spans="1:15" x14ac:dyDescent="0.25">
      <c r="A238" t="s">
        <v>119</v>
      </c>
      <c r="B238" t="s">
        <v>108</v>
      </c>
      <c r="C238" t="s">
        <v>108</v>
      </c>
      <c r="D238" t="s">
        <v>17</v>
      </c>
      <c r="E238" t="s">
        <v>18</v>
      </c>
      <c r="F238" t="s">
        <v>21</v>
      </c>
      <c r="G238" s="3" t="s">
        <v>83</v>
      </c>
      <c r="H238">
        <f>2.8947/1.0334</f>
        <v>2.8011418618153665</v>
      </c>
      <c r="I238" t="s">
        <v>17</v>
      </c>
      <c r="J238" t="s">
        <v>23</v>
      </c>
      <c r="O238" t="s">
        <v>82</v>
      </c>
    </row>
    <row r="239" spans="1:15" x14ac:dyDescent="0.25">
      <c r="A239" t="s">
        <v>119</v>
      </c>
      <c r="B239" t="s">
        <v>108</v>
      </c>
      <c r="C239" t="s">
        <v>108</v>
      </c>
      <c r="D239" t="s">
        <v>17</v>
      </c>
      <c r="E239" t="s">
        <v>18</v>
      </c>
      <c r="F239" t="s">
        <v>21</v>
      </c>
      <c r="G239" s="3" t="s">
        <v>33</v>
      </c>
      <c r="H239">
        <f>6.692*3.6/1.0334</f>
        <v>23.312560479969033</v>
      </c>
      <c r="I239" t="s">
        <v>34</v>
      </c>
      <c r="J239" t="s">
        <v>23</v>
      </c>
      <c r="O239" t="s">
        <v>82</v>
      </c>
    </row>
    <row r="240" spans="1:15" x14ac:dyDescent="0.25">
      <c r="A240" t="s">
        <v>119</v>
      </c>
      <c r="B240" t="s">
        <v>108</v>
      </c>
      <c r="C240" t="s">
        <v>108</v>
      </c>
      <c r="D240" t="s">
        <v>17</v>
      </c>
      <c r="E240" t="s">
        <v>18</v>
      </c>
      <c r="F240" t="s">
        <v>21</v>
      </c>
      <c r="G240" s="3" t="s">
        <v>40</v>
      </c>
      <c r="H240">
        <f>-1.8579/1.0334</f>
        <v>-1.7978517514999031</v>
      </c>
      <c r="I240" t="s">
        <v>17</v>
      </c>
      <c r="J240" t="s">
        <v>23</v>
      </c>
      <c r="O240" t="s">
        <v>82</v>
      </c>
    </row>
    <row r="241" spans="1:15" x14ac:dyDescent="0.25">
      <c r="A241" t="s">
        <v>119</v>
      </c>
      <c r="B241" t="s">
        <v>109</v>
      </c>
      <c r="C241" t="s">
        <v>109</v>
      </c>
      <c r="D241" t="s">
        <v>17</v>
      </c>
      <c r="E241" t="s">
        <v>18</v>
      </c>
      <c r="F241" t="s">
        <v>119</v>
      </c>
      <c r="G241" t="s">
        <v>109</v>
      </c>
      <c r="H241">
        <v>1</v>
      </c>
      <c r="I241" t="s">
        <v>17</v>
      </c>
      <c r="J241" t="s">
        <v>19</v>
      </c>
      <c r="O241" t="s">
        <v>110</v>
      </c>
    </row>
    <row r="242" spans="1:15" x14ac:dyDescent="0.25">
      <c r="A242" t="s">
        <v>119</v>
      </c>
      <c r="B242" t="s">
        <v>109</v>
      </c>
      <c r="C242" t="s">
        <v>109</v>
      </c>
      <c r="D242" t="s">
        <v>17</v>
      </c>
      <c r="E242" t="s">
        <v>18</v>
      </c>
      <c r="F242" t="s">
        <v>21</v>
      </c>
      <c r="G242" t="s">
        <v>22</v>
      </c>
      <c r="H242">
        <v>1</v>
      </c>
      <c r="I242" t="s">
        <v>17</v>
      </c>
      <c r="J242" t="s">
        <v>23</v>
      </c>
      <c r="O242" t="s">
        <v>110</v>
      </c>
    </row>
    <row r="243" spans="1:15" x14ac:dyDescent="0.25">
      <c r="A243" t="s">
        <v>119</v>
      </c>
      <c r="B243" t="s">
        <v>109</v>
      </c>
      <c r="C243" t="s">
        <v>109</v>
      </c>
      <c r="D243" t="s">
        <v>17</v>
      </c>
      <c r="E243" t="s">
        <v>18</v>
      </c>
      <c r="F243" t="s">
        <v>21</v>
      </c>
      <c r="G243" t="s">
        <v>83</v>
      </c>
      <c r="H243">
        <f>2100/1000</f>
        <v>2.1</v>
      </c>
      <c r="I243" t="s">
        <v>17</v>
      </c>
      <c r="J243" t="s">
        <v>23</v>
      </c>
      <c r="O243" t="s">
        <v>110</v>
      </c>
    </row>
    <row r="244" spans="1:15" x14ac:dyDescent="0.25">
      <c r="A244" t="s">
        <v>119</v>
      </c>
      <c r="B244" t="s">
        <v>109</v>
      </c>
      <c r="C244" t="s">
        <v>109</v>
      </c>
      <c r="D244" t="s">
        <v>17</v>
      </c>
      <c r="E244" t="s">
        <v>18</v>
      </c>
      <c r="F244" t="s">
        <v>21</v>
      </c>
      <c r="G244" t="s">
        <v>111</v>
      </c>
      <c r="H244">
        <f>25/1000</f>
        <v>2.5000000000000001E-2</v>
      </c>
      <c r="I244" t="s">
        <v>17</v>
      </c>
      <c r="J244" t="s">
        <v>23</v>
      </c>
      <c r="O244" t="s">
        <v>110</v>
      </c>
    </row>
    <row r="245" spans="1:15" x14ac:dyDescent="0.25">
      <c r="A245" t="s">
        <v>119</v>
      </c>
      <c r="B245" t="s">
        <v>109</v>
      </c>
      <c r="C245" t="s">
        <v>109</v>
      </c>
      <c r="D245" t="s">
        <v>17</v>
      </c>
      <c r="E245" t="s">
        <v>18</v>
      </c>
      <c r="F245" t="s">
        <v>21</v>
      </c>
      <c r="G245" t="s">
        <v>112</v>
      </c>
      <c r="H245">
        <f>404/1000</f>
        <v>0.40400000000000003</v>
      </c>
      <c r="I245" t="s">
        <v>17</v>
      </c>
      <c r="J245" t="s">
        <v>23</v>
      </c>
      <c r="O245" t="s">
        <v>110</v>
      </c>
    </row>
    <row r="246" spans="1:15" x14ac:dyDescent="0.25">
      <c r="A246" t="s">
        <v>119</v>
      </c>
      <c r="B246" t="s">
        <v>109</v>
      </c>
      <c r="C246" t="s">
        <v>109</v>
      </c>
      <c r="D246" t="s">
        <v>17</v>
      </c>
      <c r="E246" t="s">
        <v>18</v>
      </c>
      <c r="F246" t="s">
        <v>21</v>
      </c>
      <c r="G246" t="s">
        <v>29</v>
      </c>
      <c r="H246">
        <f>(38+290)/1000 +0.1314</f>
        <v>0.45940000000000003</v>
      </c>
      <c r="I246" t="s">
        <v>30</v>
      </c>
      <c r="J246" t="s">
        <v>23</v>
      </c>
      <c r="O246" t="s">
        <v>110</v>
      </c>
    </row>
    <row r="247" spans="1:15" x14ac:dyDescent="0.25">
      <c r="A247" t="s">
        <v>119</v>
      </c>
      <c r="B247" t="s">
        <v>109</v>
      </c>
      <c r="C247" t="s">
        <v>109</v>
      </c>
      <c r="D247" t="s">
        <v>17</v>
      </c>
      <c r="E247" t="s">
        <v>18</v>
      </c>
      <c r="F247" t="s">
        <v>21</v>
      </c>
      <c r="G247" t="s">
        <v>33</v>
      </c>
      <c r="H247">
        <f>11900/1000</f>
        <v>11.9</v>
      </c>
      <c r="I247" t="s">
        <v>34</v>
      </c>
      <c r="J247" t="s">
        <v>23</v>
      </c>
      <c r="O247" t="s">
        <v>110</v>
      </c>
    </row>
    <row r="248" spans="1:15" x14ac:dyDescent="0.25">
      <c r="A248" t="s">
        <v>119</v>
      </c>
      <c r="B248" t="s">
        <v>109</v>
      </c>
      <c r="C248" t="s">
        <v>109</v>
      </c>
      <c r="D248" t="s">
        <v>17</v>
      </c>
      <c r="E248" t="s">
        <v>18</v>
      </c>
      <c r="F248" t="s">
        <v>21</v>
      </c>
      <c r="G248" t="s">
        <v>67</v>
      </c>
      <c r="H248">
        <f>-(231.533/88.851)*(4/12)*(450/1000)</f>
        <v>-0.39087854948171658</v>
      </c>
      <c r="I248" t="s">
        <v>17</v>
      </c>
      <c r="J248" t="s">
        <v>23</v>
      </c>
      <c r="O248" t="s">
        <v>110</v>
      </c>
    </row>
    <row r="249" spans="1:15" x14ac:dyDescent="0.25">
      <c r="A249" t="s">
        <v>119</v>
      </c>
      <c r="B249" t="s">
        <v>109</v>
      </c>
      <c r="C249" t="s">
        <v>109</v>
      </c>
      <c r="D249" t="s">
        <v>17</v>
      </c>
      <c r="E249" t="s">
        <v>18</v>
      </c>
      <c r="F249" t="s">
        <v>21</v>
      </c>
      <c r="G249" t="s">
        <v>40</v>
      </c>
      <c r="H249">
        <f>-(100.087/74.093)*7/1000</f>
        <v>-9.4558055416840998E-3</v>
      </c>
      <c r="I249" t="s">
        <v>17</v>
      </c>
      <c r="J249" t="s">
        <v>23</v>
      </c>
      <c r="O249" t="s">
        <v>110</v>
      </c>
    </row>
    <row r="250" spans="1:15" x14ac:dyDescent="0.25">
      <c r="A250" t="s">
        <v>119</v>
      </c>
      <c r="B250" t="s">
        <v>109</v>
      </c>
      <c r="C250" t="s">
        <v>109</v>
      </c>
      <c r="D250" t="s">
        <v>17</v>
      </c>
      <c r="E250" t="s">
        <v>18</v>
      </c>
      <c r="F250" t="s">
        <v>21</v>
      </c>
      <c r="G250" t="s">
        <v>33</v>
      </c>
      <c r="H250">
        <f>-(15700+1940)/1000</f>
        <v>-17.64</v>
      </c>
      <c r="I250" t="s">
        <v>34</v>
      </c>
      <c r="J250" t="s">
        <v>23</v>
      </c>
      <c r="O250" t="s">
        <v>110</v>
      </c>
    </row>
    <row r="251" spans="1:15" x14ac:dyDescent="0.25">
      <c r="A251" t="s">
        <v>119</v>
      </c>
      <c r="B251" t="s">
        <v>109</v>
      </c>
      <c r="C251" t="s">
        <v>109</v>
      </c>
      <c r="D251" t="s">
        <v>17</v>
      </c>
      <c r="E251" t="s">
        <v>18</v>
      </c>
      <c r="F251" t="s">
        <v>21</v>
      </c>
      <c r="G251" t="s">
        <v>29</v>
      </c>
      <c r="H251">
        <f>-79/1000</f>
        <v>-7.9000000000000001E-2</v>
      </c>
      <c r="I251" t="s">
        <v>30</v>
      </c>
      <c r="J251" t="s">
        <v>23</v>
      </c>
      <c r="O251" t="s">
        <v>110</v>
      </c>
    </row>
    <row r="252" spans="1:15" ht="15" customHeight="1" x14ac:dyDescent="0.25">
      <c r="A252" t="s">
        <v>119</v>
      </c>
      <c r="B252" t="s">
        <v>113</v>
      </c>
      <c r="C252" t="s">
        <v>113</v>
      </c>
      <c r="D252" t="s">
        <v>17</v>
      </c>
      <c r="E252" t="s">
        <v>18</v>
      </c>
      <c r="F252" t="s">
        <v>119</v>
      </c>
      <c r="G252" t="s">
        <v>113</v>
      </c>
      <c r="H252">
        <v>1</v>
      </c>
      <c r="I252" t="s">
        <v>17</v>
      </c>
      <c r="J252" t="s">
        <v>19</v>
      </c>
      <c r="O252" t="s">
        <v>114</v>
      </c>
    </row>
    <row r="253" spans="1:15" x14ac:dyDescent="0.25">
      <c r="A253" t="s">
        <v>119</v>
      </c>
      <c r="B253" t="s">
        <v>113</v>
      </c>
      <c r="C253" t="s">
        <v>113</v>
      </c>
      <c r="D253" t="s">
        <v>17</v>
      </c>
      <c r="E253" t="s">
        <v>18</v>
      </c>
      <c r="F253" t="s">
        <v>21</v>
      </c>
      <c r="G253" t="s">
        <v>22</v>
      </c>
      <c r="H253">
        <v>1</v>
      </c>
      <c r="I253" t="s">
        <v>17</v>
      </c>
      <c r="J253" t="s">
        <v>23</v>
      </c>
      <c r="O253" t="s">
        <v>114</v>
      </c>
    </row>
    <row r="254" spans="1:15" x14ac:dyDescent="0.25">
      <c r="A254" t="s">
        <v>119</v>
      </c>
      <c r="B254" t="s">
        <v>113</v>
      </c>
      <c r="C254" t="s">
        <v>113</v>
      </c>
      <c r="D254" t="s">
        <v>17</v>
      </c>
      <c r="E254" t="s">
        <v>18</v>
      </c>
      <c r="F254" t="s">
        <v>21</v>
      </c>
      <c r="G254" t="s">
        <v>83</v>
      </c>
      <c r="H254">
        <f>2529/1000</f>
        <v>2.5289999999999999</v>
      </c>
      <c r="I254" t="s">
        <v>17</v>
      </c>
      <c r="J254" t="s">
        <v>23</v>
      </c>
      <c r="O254" t="s">
        <v>114</v>
      </c>
    </row>
    <row r="255" spans="1:15" x14ac:dyDescent="0.25">
      <c r="A255" t="s">
        <v>119</v>
      </c>
      <c r="B255" t="s">
        <v>113</v>
      </c>
      <c r="C255" t="s">
        <v>113</v>
      </c>
      <c r="D255" t="s">
        <v>17</v>
      </c>
      <c r="E255" t="s">
        <v>18</v>
      </c>
      <c r="F255" t="s">
        <v>21</v>
      </c>
      <c r="G255" t="s">
        <v>115</v>
      </c>
      <c r="H255">
        <f>38/1000</f>
        <v>3.7999999999999999E-2</v>
      </c>
      <c r="I255" t="s">
        <v>17</v>
      </c>
      <c r="J255" t="s">
        <v>23</v>
      </c>
      <c r="O255" t="s">
        <v>114</v>
      </c>
    </row>
    <row r="256" spans="1:15" x14ac:dyDescent="0.25">
      <c r="A256" t="s">
        <v>119</v>
      </c>
      <c r="B256" t="s">
        <v>113</v>
      </c>
      <c r="C256" t="s">
        <v>113</v>
      </c>
      <c r="D256" t="s">
        <v>17</v>
      </c>
      <c r="E256" t="s">
        <v>18</v>
      </c>
      <c r="F256" t="s">
        <v>21</v>
      </c>
      <c r="G256" t="s">
        <v>26</v>
      </c>
      <c r="H256">
        <f>400/1000</f>
        <v>0.4</v>
      </c>
      <c r="I256" t="s">
        <v>17</v>
      </c>
      <c r="J256" t="s">
        <v>23</v>
      </c>
      <c r="O256" t="s">
        <v>114</v>
      </c>
    </row>
    <row r="257" spans="1:15" x14ac:dyDescent="0.25">
      <c r="A257" t="s">
        <v>119</v>
      </c>
      <c r="B257" t="s">
        <v>113</v>
      </c>
      <c r="C257" t="s">
        <v>113</v>
      </c>
      <c r="D257" t="s">
        <v>17</v>
      </c>
      <c r="E257" t="s">
        <v>18</v>
      </c>
      <c r="F257" t="s">
        <v>21</v>
      </c>
      <c r="G257" t="s">
        <v>58</v>
      </c>
      <c r="H257">
        <f>920/1000</f>
        <v>0.92</v>
      </c>
      <c r="I257" t="s">
        <v>17</v>
      </c>
      <c r="J257" t="s">
        <v>23</v>
      </c>
      <c r="O257" t="s">
        <v>114</v>
      </c>
    </row>
    <row r="258" spans="1:15" x14ac:dyDescent="0.25">
      <c r="A258" t="s">
        <v>119</v>
      </c>
      <c r="B258" t="s">
        <v>113</v>
      </c>
      <c r="C258" t="s">
        <v>113</v>
      </c>
      <c r="D258" t="s">
        <v>17</v>
      </c>
      <c r="E258" t="s">
        <v>18</v>
      </c>
      <c r="F258" t="s">
        <v>21</v>
      </c>
      <c r="G258" t="s">
        <v>33</v>
      </c>
      <c r="H258">
        <f>2940/1000</f>
        <v>2.94</v>
      </c>
      <c r="I258" t="s">
        <v>34</v>
      </c>
      <c r="J258" t="s">
        <v>23</v>
      </c>
      <c r="O258" t="s">
        <v>114</v>
      </c>
    </row>
    <row r="259" spans="1:15" x14ac:dyDescent="0.25">
      <c r="A259" t="s">
        <v>119</v>
      </c>
      <c r="B259" t="s">
        <v>113</v>
      </c>
      <c r="C259" t="s">
        <v>113</v>
      </c>
      <c r="D259" t="s">
        <v>17</v>
      </c>
      <c r="E259" t="s">
        <v>18</v>
      </c>
      <c r="F259" t="s">
        <v>21</v>
      </c>
      <c r="G259" t="s">
        <v>29</v>
      </c>
      <c r="H259">
        <f>(327+42.4)/1000+0.0598</f>
        <v>0.42919999999999997</v>
      </c>
      <c r="I259" t="s">
        <v>30</v>
      </c>
      <c r="J259" t="s">
        <v>23</v>
      </c>
      <c r="O259" t="s">
        <v>114</v>
      </c>
    </row>
    <row r="260" spans="1:15" x14ac:dyDescent="0.25">
      <c r="A260" t="s">
        <v>119</v>
      </c>
      <c r="B260" t="s">
        <v>113</v>
      </c>
      <c r="C260" t="s">
        <v>113</v>
      </c>
      <c r="D260" t="s">
        <v>17</v>
      </c>
      <c r="E260" t="s">
        <v>18</v>
      </c>
      <c r="F260" t="s">
        <v>21</v>
      </c>
      <c r="G260" t="s">
        <v>67</v>
      </c>
      <c r="H260">
        <f>-(231.533/88.851)*(4/12)*(450/1000)</f>
        <v>-0.39087854948171658</v>
      </c>
      <c r="I260" t="s">
        <v>17</v>
      </c>
      <c r="J260" t="s">
        <v>23</v>
      </c>
      <c r="O260" t="s">
        <v>114</v>
      </c>
    </row>
    <row r="261" spans="1:15" x14ac:dyDescent="0.25">
      <c r="A261" t="s">
        <v>119</v>
      </c>
      <c r="B261" t="s">
        <v>113</v>
      </c>
      <c r="C261" t="s">
        <v>113</v>
      </c>
      <c r="D261" t="s">
        <v>17</v>
      </c>
      <c r="E261" t="s">
        <v>18</v>
      </c>
      <c r="F261" t="s">
        <v>21</v>
      </c>
      <c r="G261" t="s">
        <v>40</v>
      </c>
      <c r="H261">
        <f>-(7/1000)*(100.087/74.093)</f>
        <v>-9.4558055416840998E-3</v>
      </c>
      <c r="I261" t="s">
        <v>17</v>
      </c>
      <c r="J261" t="s">
        <v>23</v>
      </c>
      <c r="O261" t="s">
        <v>114</v>
      </c>
    </row>
    <row r="262" spans="1:15" x14ac:dyDescent="0.25">
      <c r="A262" t="s">
        <v>119</v>
      </c>
      <c r="B262" t="s">
        <v>113</v>
      </c>
      <c r="C262" t="s">
        <v>113</v>
      </c>
      <c r="D262" t="s">
        <v>17</v>
      </c>
      <c r="E262" t="s">
        <v>18</v>
      </c>
      <c r="F262" t="s">
        <v>21</v>
      </c>
      <c r="G262" t="s">
        <v>33</v>
      </c>
      <c r="H262">
        <f>-550/1000</f>
        <v>-0.55000000000000004</v>
      </c>
      <c r="I262" t="s">
        <v>34</v>
      </c>
      <c r="J262" t="s">
        <v>23</v>
      </c>
      <c r="O262" t="s">
        <v>114</v>
      </c>
    </row>
    <row r="263" spans="1:15" x14ac:dyDescent="0.25">
      <c r="A263" t="s">
        <v>119</v>
      </c>
      <c r="B263" t="s">
        <v>113</v>
      </c>
      <c r="C263" t="s">
        <v>113</v>
      </c>
      <c r="D263" t="s">
        <v>17</v>
      </c>
      <c r="E263" t="s">
        <v>18</v>
      </c>
      <c r="F263" t="s">
        <v>21</v>
      </c>
      <c r="G263" t="s">
        <v>29</v>
      </c>
      <c r="H263">
        <f>-66/1000</f>
        <v>-6.6000000000000003E-2</v>
      </c>
      <c r="I263" t="s">
        <v>30</v>
      </c>
      <c r="J263" t="s">
        <v>23</v>
      </c>
      <c r="O263" t="s">
        <v>114</v>
      </c>
    </row>
    <row r="264" spans="1:15" x14ac:dyDescent="0.25">
      <c r="A264" t="s">
        <v>119</v>
      </c>
      <c r="B264" t="s">
        <v>116</v>
      </c>
      <c r="C264" t="s">
        <v>116</v>
      </c>
      <c r="D264" t="s">
        <v>17</v>
      </c>
      <c r="E264" t="s">
        <v>18</v>
      </c>
      <c r="F264" t="s">
        <v>119</v>
      </c>
      <c r="G264" t="s">
        <v>116</v>
      </c>
      <c r="H264">
        <v>1</v>
      </c>
      <c r="I264" t="s">
        <v>17</v>
      </c>
      <c r="J264" t="s">
        <v>19</v>
      </c>
      <c r="O264" t="s">
        <v>65</v>
      </c>
    </row>
    <row r="265" spans="1:15" x14ac:dyDescent="0.25">
      <c r="A265" t="s">
        <v>119</v>
      </c>
      <c r="B265" t="s">
        <v>116</v>
      </c>
      <c r="C265" t="s">
        <v>116</v>
      </c>
      <c r="D265" t="s">
        <v>17</v>
      </c>
      <c r="E265" t="s">
        <v>18</v>
      </c>
      <c r="F265" t="s">
        <v>21</v>
      </c>
      <c r="G265" t="s">
        <v>22</v>
      </c>
      <c r="H265">
        <v>1</v>
      </c>
      <c r="I265" t="s">
        <v>17</v>
      </c>
      <c r="J265" t="s">
        <v>23</v>
      </c>
      <c r="O265" t="s">
        <v>65</v>
      </c>
    </row>
    <row r="266" spans="1:15" ht="15" customHeight="1" x14ac:dyDescent="0.25">
      <c r="A266" t="s">
        <v>119</v>
      </c>
      <c r="B266" t="s">
        <v>116</v>
      </c>
      <c r="C266" t="s">
        <v>116</v>
      </c>
      <c r="D266" t="s">
        <v>17</v>
      </c>
      <c r="E266" t="s">
        <v>18</v>
      </c>
      <c r="F266" t="s">
        <v>21</v>
      </c>
      <c r="G266" t="s">
        <v>66</v>
      </c>
      <c r="H266">
        <v>3.85</v>
      </c>
      <c r="I266" t="s">
        <v>17</v>
      </c>
      <c r="J266" t="s">
        <v>23</v>
      </c>
      <c r="O266" t="s">
        <v>65</v>
      </c>
    </row>
    <row r="267" spans="1:15" x14ac:dyDescent="0.25">
      <c r="A267" t="s">
        <v>119</v>
      </c>
      <c r="B267" t="s">
        <v>116</v>
      </c>
      <c r="C267" t="s">
        <v>116</v>
      </c>
      <c r="D267" t="s">
        <v>17</v>
      </c>
      <c r="E267" t="s">
        <v>18</v>
      </c>
      <c r="F267" t="s">
        <v>21</v>
      </c>
      <c r="G267" t="s">
        <v>67</v>
      </c>
      <c r="H267">
        <v>0.43</v>
      </c>
      <c r="I267" t="s">
        <v>17</v>
      </c>
      <c r="J267" t="s">
        <v>23</v>
      </c>
      <c r="O267" t="s">
        <v>65</v>
      </c>
    </row>
    <row r="268" spans="1:15" x14ac:dyDescent="0.25">
      <c r="A268" t="s">
        <v>119</v>
      </c>
      <c r="B268" t="s">
        <v>116</v>
      </c>
      <c r="C268" t="s">
        <v>116</v>
      </c>
      <c r="D268" t="s">
        <v>17</v>
      </c>
      <c r="E268" t="s">
        <v>18</v>
      </c>
      <c r="F268" t="s">
        <v>21</v>
      </c>
      <c r="G268" t="s">
        <v>29</v>
      </c>
      <c r="H268">
        <f>161/1000</f>
        <v>0.161</v>
      </c>
      <c r="I268" t="s">
        <v>30</v>
      </c>
      <c r="J268" t="s">
        <v>23</v>
      </c>
      <c r="O268" t="s">
        <v>65</v>
      </c>
    </row>
    <row r="269" spans="1:15" x14ac:dyDescent="0.25">
      <c r="A269" t="s">
        <v>119</v>
      </c>
      <c r="B269" t="s">
        <v>116</v>
      </c>
      <c r="C269" t="s">
        <v>116</v>
      </c>
      <c r="D269" t="s">
        <v>17</v>
      </c>
      <c r="E269" t="s">
        <v>18</v>
      </c>
      <c r="F269" t="s">
        <v>21</v>
      </c>
      <c r="G269" t="s">
        <v>33</v>
      </c>
      <c r="H269">
        <f>2896*3.6/1000</f>
        <v>10.425600000000001</v>
      </c>
      <c r="I269" t="s">
        <v>34</v>
      </c>
      <c r="J269" t="s">
        <v>23</v>
      </c>
      <c r="O269" t="s">
        <v>65</v>
      </c>
    </row>
    <row r="270" spans="1:15" x14ac:dyDescent="0.25">
      <c r="A270" t="s">
        <v>119</v>
      </c>
      <c r="B270" t="s">
        <v>116</v>
      </c>
      <c r="C270" t="s">
        <v>116</v>
      </c>
      <c r="D270" t="s">
        <v>17</v>
      </c>
      <c r="E270" t="s">
        <v>18</v>
      </c>
      <c r="F270" t="s">
        <v>21</v>
      </c>
      <c r="G270" t="s">
        <v>40</v>
      </c>
      <c r="H270">
        <f>-1.67*0.95</f>
        <v>-1.5864999999999998</v>
      </c>
      <c r="I270" t="s">
        <v>17</v>
      </c>
      <c r="J270" t="s">
        <v>23</v>
      </c>
      <c r="O270" t="s">
        <v>65</v>
      </c>
    </row>
    <row r="271" spans="1:15" x14ac:dyDescent="0.25">
      <c r="A271" t="s">
        <v>119</v>
      </c>
      <c r="B271" t="s">
        <v>116</v>
      </c>
      <c r="C271" t="s">
        <v>116</v>
      </c>
      <c r="D271" t="s">
        <v>17</v>
      </c>
      <c r="E271" t="s">
        <v>18</v>
      </c>
      <c r="F271" t="s">
        <v>21</v>
      </c>
      <c r="G271" t="s">
        <v>67</v>
      </c>
      <c r="H271">
        <v>-0.43</v>
      </c>
      <c r="I271" t="s">
        <v>17</v>
      </c>
      <c r="J271" t="s">
        <v>23</v>
      </c>
      <c r="O271" t="s">
        <v>65</v>
      </c>
    </row>
    <row r="272" spans="1:15" x14ac:dyDescent="0.25">
      <c r="A272" t="s">
        <v>119</v>
      </c>
      <c r="B272" t="s">
        <v>116</v>
      </c>
      <c r="C272" t="s">
        <v>116</v>
      </c>
      <c r="D272" t="s">
        <v>17</v>
      </c>
      <c r="E272" t="s">
        <v>18</v>
      </c>
      <c r="F272" t="s">
        <v>21</v>
      </c>
      <c r="G272" t="s">
        <v>66</v>
      </c>
      <c r="H272">
        <v>-1.26</v>
      </c>
      <c r="I272" t="s">
        <v>17</v>
      </c>
      <c r="J272" t="s">
        <v>23</v>
      </c>
      <c r="O272" t="s">
        <v>65</v>
      </c>
    </row>
    <row r="273" spans="1:15" x14ac:dyDescent="0.25">
      <c r="A273" t="s">
        <v>119</v>
      </c>
      <c r="B273" t="s">
        <v>117</v>
      </c>
      <c r="C273" t="s">
        <v>117</v>
      </c>
      <c r="D273" t="s">
        <v>17</v>
      </c>
      <c r="E273" t="s">
        <v>18</v>
      </c>
      <c r="F273" t="s">
        <v>119</v>
      </c>
      <c r="G273" t="s">
        <v>117</v>
      </c>
      <c r="H273">
        <v>1</v>
      </c>
      <c r="I273" t="s">
        <v>17</v>
      </c>
      <c r="J273" t="s">
        <v>19</v>
      </c>
      <c r="O273" t="s">
        <v>82</v>
      </c>
    </row>
    <row r="274" spans="1:15" x14ac:dyDescent="0.25">
      <c r="A274" t="s">
        <v>119</v>
      </c>
      <c r="B274" t="s">
        <v>117</v>
      </c>
      <c r="C274" t="s">
        <v>117</v>
      </c>
      <c r="D274" t="s">
        <v>17</v>
      </c>
      <c r="E274" t="s">
        <v>18</v>
      </c>
      <c r="F274" t="s">
        <v>21</v>
      </c>
      <c r="G274" s="3" t="s">
        <v>55</v>
      </c>
      <c r="H274">
        <v>1</v>
      </c>
      <c r="I274" t="s">
        <v>17</v>
      </c>
      <c r="J274" t="s">
        <v>23</v>
      </c>
      <c r="O274" t="s">
        <v>82</v>
      </c>
    </row>
    <row r="275" spans="1:15" x14ac:dyDescent="0.25">
      <c r="A275" t="s">
        <v>119</v>
      </c>
      <c r="B275" t="s">
        <v>117</v>
      </c>
      <c r="C275" t="s">
        <v>117</v>
      </c>
      <c r="D275" t="s">
        <v>17</v>
      </c>
      <c r="E275" t="s">
        <v>18</v>
      </c>
      <c r="F275" t="s">
        <v>21</v>
      </c>
      <c r="G275" s="3" t="s">
        <v>83</v>
      </c>
      <c r="H275">
        <f>2.9412/1.0499</f>
        <v>2.8014096580626724</v>
      </c>
      <c r="I275" t="s">
        <v>17</v>
      </c>
      <c r="J275" t="s">
        <v>23</v>
      </c>
      <c r="O275" t="s">
        <v>82</v>
      </c>
    </row>
    <row r="276" spans="1:15" ht="15" customHeight="1" x14ac:dyDescent="0.25">
      <c r="A276" t="s">
        <v>119</v>
      </c>
      <c r="B276" t="s">
        <v>117</v>
      </c>
      <c r="C276" t="s">
        <v>117</v>
      </c>
      <c r="D276" t="s">
        <v>17</v>
      </c>
      <c r="E276" t="s">
        <v>18</v>
      </c>
      <c r="F276" t="s">
        <v>21</v>
      </c>
      <c r="G276" s="3" t="s">
        <v>29</v>
      </c>
      <c r="H276">
        <f>0.4591</f>
        <v>0.45910000000000001</v>
      </c>
      <c r="I276" t="s">
        <v>30</v>
      </c>
      <c r="J276" t="s">
        <v>23</v>
      </c>
      <c r="O276" t="s">
        <v>82</v>
      </c>
    </row>
    <row r="277" spans="1:15" ht="15" customHeight="1" x14ac:dyDescent="0.25">
      <c r="A277" t="s">
        <v>119</v>
      </c>
      <c r="B277" t="s">
        <v>117</v>
      </c>
      <c r="C277" t="s">
        <v>117</v>
      </c>
      <c r="D277" t="s">
        <v>17</v>
      </c>
      <c r="E277" t="s">
        <v>18</v>
      </c>
      <c r="F277" t="s">
        <v>21</v>
      </c>
      <c r="G277" s="3" t="s">
        <v>33</v>
      </c>
      <c r="H277">
        <f>1.1277*3.6/1.0499</f>
        <v>3.8667682636441558</v>
      </c>
      <c r="I277" t="s">
        <v>34</v>
      </c>
      <c r="J277" t="s">
        <v>23</v>
      </c>
      <c r="O277" t="s">
        <v>82</v>
      </c>
    </row>
    <row r="278" spans="1:15" x14ac:dyDescent="0.25">
      <c r="A278" t="s">
        <v>119</v>
      </c>
      <c r="B278" t="s">
        <v>118</v>
      </c>
      <c r="C278" t="s">
        <v>118</v>
      </c>
      <c r="D278" t="s">
        <v>17</v>
      </c>
      <c r="E278" t="s">
        <v>18</v>
      </c>
      <c r="F278" t="s">
        <v>119</v>
      </c>
      <c r="G278" t="s">
        <v>118</v>
      </c>
      <c r="H278">
        <v>1</v>
      </c>
      <c r="I278" t="s">
        <v>17</v>
      </c>
      <c r="J278" t="s">
        <v>19</v>
      </c>
      <c r="O278" t="s">
        <v>82</v>
      </c>
    </row>
    <row r="279" spans="1:15" x14ac:dyDescent="0.25">
      <c r="A279" t="s">
        <v>119</v>
      </c>
      <c r="B279" t="s">
        <v>118</v>
      </c>
      <c r="C279" t="s">
        <v>118</v>
      </c>
      <c r="D279" t="s">
        <v>17</v>
      </c>
      <c r="E279" t="s">
        <v>18</v>
      </c>
      <c r="F279" t="s">
        <v>21</v>
      </c>
      <c r="G279" s="3" t="s">
        <v>55</v>
      </c>
      <c r="H279">
        <v>1</v>
      </c>
      <c r="I279" t="s">
        <v>17</v>
      </c>
      <c r="J279" t="s">
        <v>23</v>
      </c>
      <c r="O279" t="s">
        <v>82</v>
      </c>
    </row>
    <row r="280" spans="1:15" x14ac:dyDescent="0.25">
      <c r="A280" t="s">
        <v>119</v>
      </c>
      <c r="B280" t="s">
        <v>118</v>
      </c>
      <c r="C280" t="s">
        <v>118</v>
      </c>
      <c r="D280" t="s">
        <v>17</v>
      </c>
      <c r="E280" t="s">
        <v>18</v>
      </c>
      <c r="F280" t="s">
        <v>21</v>
      </c>
      <c r="G280" s="3" t="s">
        <v>83</v>
      </c>
      <c r="H280">
        <f>2.9412/1.0138</f>
        <v>2.9011639376602876</v>
      </c>
      <c r="I280" t="s">
        <v>17</v>
      </c>
      <c r="J280" t="s">
        <v>23</v>
      </c>
      <c r="O280" t="s">
        <v>82</v>
      </c>
    </row>
    <row r="281" spans="1:15" x14ac:dyDescent="0.25">
      <c r="A281" t="s">
        <v>119</v>
      </c>
      <c r="B281" t="s">
        <v>118</v>
      </c>
      <c r="C281" t="s">
        <v>118</v>
      </c>
      <c r="D281" t="s">
        <v>17</v>
      </c>
      <c r="E281" t="s">
        <v>18</v>
      </c>
      <c r="F281" t="s">
        <v>21</v>
      </c>
      <c r="G281" s="3" t="s">
        <v>33</v>
      </c>
      <c r="H281">
        <f>5.7719*3.6/1.0138</f>
        <v>20.49599526533833</v>
      </c>
      <c r="I281" t="s">
        <v>34</v>
      </c>
      <c r="J281" t="s">
        <v>23</v>
      </c>
      <c r="O281" t="s">
        <v>82</v>
      </c>
    </row>
    <row r="282" spans="1:15" x14ac:dyDescent="0.25">
      <c r="A282" t="s">
        <v>119</v>
      </c>
      <c r="B282" t="s">
        <v>118</v>
      </c>
      <c r="C282" t="s">
        <v>118</v>
      </c>
      <c r="D282" t="s">
        <v>17</v>
      </c>
      <c r="E282" t="s">
        <v>18</v>
      </c>
      <c r="F282" t="s">
        <v>21</v>
      </c>
      <c r="G282" s="3" t="s">
        <v>29</v>
      </c>
      <c r="H282">
        <f>3.0503</f>
        <v>3.0503</v>
      </c>
      <c r="I282" t="s">
        <v>30</v>
      </c>
      <c r="J282" t="s">
        <v>23</v>
      </c>
      <c r="O282" t="s">
        <v>82</v>
      </c>
    </row>
  </sheetData>
  <autoFilter ref="A1:O283" xr:uid="{00000000-0009-0000-0000-000001000000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93"/>
  <sheetViews>
    <sheetView zoomScale="110" zoomScaleNormal="110" workbookViewId="0">
      <selection activeCell="A3" sqref="A3"/>
    </sheetView>
  </sheetViews>
  <sheetFormatPr defaultColWidth="11.42578125" defaultRowHeight="15" x14ac:dyDescent="0.25"/>
  <cols>
    <col min="1" max="1" width="16.28515625" bestFit="1" customWidth="1"/>
    <col min="2" max="2" width="31.7109375" bestFit="1" customWidth="1"/>
    <col min="3" max="3" width="29.7109375" bestFit="1" customWidth="1"/>
    <col min="4" max="4" width="11.7109375" bestFit="1" customWidth="1"/>
    <col min="5" max="5" width="12.140625" bestFit="1" customWidth="1"/>
    <col min="6" max="6" width="17.85546875" bestFit="1" customWidth="1"/>
    <col min="7" max="7" width="38.85546875" bestFit="1" customWidth="1"/>
    <col min="8" max="8" width="16.7109375" bestFit="1" customWidth="1"/>
    <col min="9" max="9" width="13.28515625" bestFit="1" customWidth="1"/>
    <col min="10" max="10" width="13.7109375" bestFit="1" customWidth="1"/>
    <col min="11" max="11" width="24.42578125" bestFit="1" customWidth="1"/>
    <col min="12" max="12" width="12.28515625" bestFit="1" customWidth="1"/>
    <col min="13" max="13" width="14.140625" bestFit="1" customWidth="1"/>
    <col min="14" max="14" width="17.42578125" bestFit="1" customWidth="1"/>
    <col min="15" max="15" width="37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120</v>
      </c>
      <c r="B2" t="s">
        <v>16</v>
      </c>
      <c r="C2" t="s">
        <v>16</v>
      </c>
      <c r="D2" t="s">
        <v>17</v>
      </c>
      <c r="E2" t="s">
        <v>18</v>
      </c>
      <c r="F2" t="s">
        <v>120</v>
      </c>
      <c r="G2" t="s">
        <v>16</v>
      </c>
      <c r="H2">
        <v>1</v>
      </c>
      <c r="I2" t="s">
        <v>17</v>
      </c>
      <c r="J2" t="s">
        <v>19</v>
      </c>
      <c r="O2" t="s">
        <v>20</v>
      </c>
    </row>
    <row r="3" spans="1:15" x14ac:dyDescent="0.25">
      <c r="A3" t="s">
        <v>120</v>
      </c>
      <c r="B3" t="s">
        <v>16</v>
      </c>
      <c r="C3" t="s">
        <v>16</v>
      </c>
      <c r="D3" t="s">
        <v>17</v>
      </c>
      <c r="E3" t="s">
        <v>18</v>
      </c>
      <c r="F3" t="s">
        <v>21</v>
      </c>
      <c r="G3" t="s">
        <v>22</v>
      </c>
      <c r="H3">
        <v>1</v>
      </c>
      <c r="I3" t="s">
        <v>17</v>
      </c>
      <c r="J3" t="s">
        <v>23</v>
      </c>
      <c r="O3" t="s">
        <v>20</v>
      </c>
    </row>
    <row r="4" spans="1:15" x14ac:dyDescent="0.25">
      <c r="A4" t="s">
        <v>120</v>
      </c>
      <c r="B4" t="s">
        <v>16</v>
      </c>
      <c r="C4" t="s">
        <v>16</v>
      </c>
      <c r="D4" t="s">
        <v>17</v>
      </c>
      <c r="E4" t="s">
        <v>18</v>
      </c>
      <c r="F4" t="s">
        <v>21</v>
      </c>
      <c r="G4" s="3" t="s">
        <v>24</v>
      </c>
      <c r="H4">
        <f>101/17.4</f>
        <v>5.8045977011494259</v>
      </c>
      <c r="I4" t="s">
        <v>17</v>
      </c>
      <c r="J4" t="s">
        <v>23</v>
      </c>
      <c r="O4" t="s">
        <v>20</v>
      </c>
    </row>
    <row r="5" spans="1:15" x14ac:dyDescent="0.25">
      <c r="A5" t="s">
        <v>120</v>
      </c>
      <c r="B5" t="s">
        <v>16</v>
      </c>
      <c r="C5" t="s">
        <v>16</v>
      </c>
      <c r="D5" t="s">
        <v>17</v>
      </c>
      <c r="E5" t="s">
        <v>18</v>
      </c>
      <c r="F5" t="s">
        <v>21</v>
      </c>
      <c r="G5" t="s">
        <v>25</v>
      </c>
      <c r="H5">
        <f>101/17.4</f>
        <v>5.8045977011494259</v>
      </c>
      <c r="I5" t="s">
        <v>17</v>
      </c>
      <c r="J5" t="s">
        <v>23</v>
      </c>
      <c r="O5" t="s">
        <v>20</v>
      </c>
    </row>
    <row r="6" spans="1:15" x14ac:dyDescent="0.25">
      <c r="A6" t="s">
        <v>120</v>
      </c>
      <c r="B6" t="s">
        <v>16</v>
      </c>
      <c r="C6" t="s">
        <v>16</v>
      </c>
      <c r="D6" t="s">
        <v>17</v>
      </c>
      <c r="E6" t="s">
        <v>18</v>
      </c>
      <c r="F6" t="s">
        <v>21</v>
      </c>
      <c r="G6" t="s">
        <v>26</v>
      </c>
      <c r="H6">
        <f>19/17.4</f>
        <v>1.0919540229885059</v>
      </c>
      <c r="I6" t="s">
        <v>17</v>
      </c>
      <c r="J6" t="s">
        <v>23</v>
      </c>
      <c r="O6" t="s">
        <v>20</v>
      </c>
    </row>
    <row r="7" spans="1:15" x14ac:dyDescent="0.25">
      <c r="A7" t="s">
        <v>120</v>
      </c>
      <c r="B7" t="s">
        <v>16</v>
      </c>
      <c r="C7" t="s">
        <v>16</v>
      </c>
      <c r="D7" t="s">
        <v>17</v>
      </c>
      <c r="E7" t="s">
        <v>18</v>
      </c>
      <c r="F7" t="s">
        <v>21</v>
      </c>
      <c r="G7" t="s">
        <v>27</v>
      </c>
      <c r="H7">
        <f>-134/17.4</f>
        <v>-7.7011494252873574</v>
      </c>
      <c r="I7" t="s">
        <v>17</v>
      </c>
      <c r="J7" t="s">
        <v>23</v>
      </c>
      <c r="O7" t="s">
        <v>20</v>
      </c>
    </row>
    <row r="8" spans="1:15" x14ac:dyDescent="0.25">
      <c r="A8" t="s">
        <v>120</v>
      </c>
      <c r="B8" t="s">
        <v>28</v>
      </c>
      <c r="C8" t="s">
        <v>28</v>
      </c>
      <c r="D8" t="s">
        <v>17</v>
      </c>
      <c r="E8" t="s">
        <v>18</v>
      </c>
      <c r="F8" t="s">
        <v>120</v>
      </c>
      <c r="G8" t="s">
        <v>28</v>
      </c>
      <c r="H8">
        <v>1</v>
      </c>
      <c r="I8" t="s">
        <v>17</v>
      </c>
      <c r="J8" t="s">
        <v>19</v>
      </c>
      <c r="O8" t="s">
        <v>20</v>
      </c>
    </row>
    <row r="9" spans="1:15" x14ac:dyDescent="0.25">
      <c r="A9" t="s">
        <v>120</v>
      </c>
      <c r="B9" t="s">
        <v>28</v>
      </c>
      <c r="C9" t="s">
        <v>28</v>
      </c>
      <c r="D9" t="s">
        <v>17</v>
      </c>
      <c r="E9" t="s">
        <v>18</v>
      </c>
      <c r="F9" t="s">
        <v>21</v>
      </c>
      <c r="G9" t="s">
        <v>22</v>
      </c>
      <c r="H9">
        <v>1</v>
      </c>
      <c r="I9" t="s">
        <v>17</v>
      </c>
      <c r="J9" t="s">
        <v>23</v>
      </c>
      <c r="O9" t="s">
        <v>20</v>
      </c>
    </row>
    <row r="10" spans="1:15" x14ac:dyDescent="0.25">
      <c r="A10" t="s">
        <v>120</v>
      </c>
      <c r="B10" t="s">
        <v>28</v>
      </c>
      <c r="C10" t="s">
        <v>28</v>
      </c>
      <c r="D10" t="s">
        <v>17</v>
      </c>
      <c r="E10" t="s">
        <v>18</v>
      </c>
      <c r="F10" t="s">
        <v>21</v>
      </c>
      <c r="G10" s="3" t="s">
        <v>24</v>
      </c>
      <c r="H10">
        <f>101/17.4</f>
        <v>5.8045977011494259</v>
      </c>
      <c r="I10" t="s">
        <v>17</v>
      </c>
      <c r="J10" t="s">
        <v>23</v>
      </c>
      <c r="O10" t="s">
        <v>20</v>
      </c>
    </row>
    <row r="11" spans="1:15" x14ac:dyDescent="0.25">
      <c r="A11" t="s">
        <v>120</v>
      </c>
      <c r="B11" t="s">
        <v>28</v>
      </c>
      <c r="C11" t="s">
        <v>28</v>
      </c>
      <c r="D11" t="s">
        <v>17</v>
      </c>
      <c r="E11" t="s">
        <v>18</v>
      </c>
      <c r="F11" t="s">
        <v>21</v>
      </c>
      <c r="G11" t="s">
        <v>25</v>
      </c>
      <c r="H11">
        <f>101/17.4</f>
        <v>5.8045977011494259</v>
      </c>
      <c r="I11" t="s">
        <v>17</v>
      </c>
      <c r="J11" t="s">
        <v>23</v>
      </c>
      <c r="O11" t="s">
        <v>20</v>
      </c>
    </row>
    <row r="12" spans="1:15" x14ac:dyDescent="0.25">
      <c r="A12" t="s">
        <v>120</v>
      </c>
      <c r="B12" t="s">
        <v>28</v>
      </c>
      <c r="C12" t="s">
        <v>28</v>
      </c>
      <c r="D12" t="s">
        <v>17</v>
      </c>
      <c r="E12" t="s">
        <v>18</v>
      </c>
      <c r="F12" t="s">
        <v>21</v>
      </c>
      <c r="G12" t="s">
        <v>29</v>
      </c>
      <c r="H12">
        <f>62/17.4</f>
        <v>3.563218390804598</v>
      </c>
      <c r="I12" t="s">
        <v>30</v>
      </c>
      <c r="J12" t="s">
        <v>23</v>
      </c>
      <c r="O12" t="s">
        <v>20</v>
      </c>
    </row>
    <row r="13" spans="1:15" x14ac:dyDescent="0.25">
      <c r="A13" t="s">
        <v>120</v>
      </c>
      <c r="B13" t="s">
        <v>28</v>
      </c>
      <c r="C13" t="s">
        <v>28</v>
      </c>
      <c r="D13" t="s">
        <v>17</v>
      </c>
      <c r="E13" t="s">
        <v>18</v>
      </c>
      <c r="F13" t="s">
        <v>21</v>
      </c>
      <c r="G13" t="s">
        <v>26</v>
      </c>
      <c r="H13">
        <f>19/17.4</f>
        <v>1.0919540229885059</v>
      </c>
      <c r="I13" t="s">
        <v>17</v>
      </c>
      <c r="J13" t="s">
        <v>23</v>
      </c>
      <c r="O13" t="s">
        <v>20</v>
      </c>
    </row>
    <row r="14" spans="1:15" x14ac:dyDescent="0.25">
      <c r="A14" t="s">
        <v>120</v>
      </c>
      <c r="B14" t="s">
        <v>28</v>
      </c>
      <c r="C14" t="s">
        <v>28</v>
      </c>
      <c r="D14" t="s">
        <v>17</v>
      </c>
      <c r="E14" t="s">
        <v>18</v>
      </c>
      <c r="F14" t="s">
        <v>21</v>
      </c>
      <c r="G14" t="s">
        <v>27</v>
      </c>
      <c r="H14">
        <f>-134/17.4</f>
        <v>-7.7011494252873574</v>
      </c>
      <c r="I14" t="s">
        <v>17</v>
      </c>
      <c r="J14" t="s">
        <v>23</v>
      </c>
      <c r="O14" t="s">
        <v>20</v>
      </c>
    </row>
    <row r="15" spans="1:15" ht="15" customHeight="1" x14ac:dyDescent="0.25">
      <c r="A15" t="s">
        <v>120</v>
      </c>
      <c r="B15" t="s">
        <v>31</v>
      </c>
      <c r="C15" t="s">
        <v>31</v>
      </c>
      <c r="D15" t="s">
        <v>17</v>
      </c>
      <c r="E15" t="s">
        <v>18</v>
      </c>
      <c r="F15" t="s">
        <v>120</v>
      </c>
      <c r="G15" t="s">
        <v>31</v>
      </c>
      <c r="H15">
        <v>1</v>
      </c>
      <c r="I15" t="s">
        <v>17</v>
      </c>
      <c r="J15" t="s">
        <v>19</v>
      </c>
      <c r="O15" t="s">
        <v>32</v>
      </c>
    </row>
    <row r="16" spans="1:15" ht="15" customHeight="1" x14ac:dyDescent="0.25">
      <c r="A16" t="s">
        <v>120</v>
      </c>
      <c r="B16" t="s">
        <v>31</v>
      </c>
      <c r="C16" t="s">
        <v>31</v>
      </c>
      <c r="D16" t="s">
        <v>17</v>
      </c>
      <c r="E16" t="s">
        <v>18</v>
      </c>
      <c r="F16" t="s">
        <v>21</v>
      </c>
      <c r="G16" t="s">
        <v>22</v>
      </c>
      <c r="H16">
        <v>1</v>
      </c>
      <c r="I16" t="s">
        <v>17</v>
      </c>
      <c r="J16" t="s">
        <v>23</v>
      </c>
      <c r="O16" t="s">
        <v>32</v>
      </c>
    </row>
    <row r="17" spans="1:15" x14ac:dyDescent="0.25">
      <c r="A17" t="s">
        <v>120</v>
      </c>
      <c r="B17" t="s">
        <v>31</v>
      </c>
      <c r="C17" t="s">
        <v>31</v>
      </c>
      <c r="D17" t="s">
        <v>17</v>
      </c>
      <c r="E17" t="s">
        <v>18</v>
      </c>
      <c r="F17" t="s">
        <v>21</v>
      </c>
      <c r="G17" s="3" t="s">
        <v>24</v>
      </c>
      <c r="H17">
        <f>44.2/8.5</f>
        <v>5.2</v>
      </c>
      <c r="I17" t="s">
        <v>17</v>
      </c>
      <c r="J17" t="s">
        <v>23</v>
      </c>
      <c r="O17" t="s">
        <v>32</v>
      </c>
    </row>
    <row r="18" spans="1:15" x14ac:dyDescent="0.25">
      <c r="A18" t="s">
        <v>120</v>
      </c>
      <c r="B18" t="s">
        <v>31</v>
      </c>
      <c r="C18" t="s">
        <v>31</v>
      </c>
      <c r="D18" t="s">
        <v>17</v>
      </c>
      <c r="E18" t="s">
        <v>18</v>
      </c>
      <c r="F18" t="s">
        <v>21</v>
      </c>
      <c r="G18" t="s">
        <v>33</v>
      </c>
      <c r="H18">
        <f>5.8*3.6/8.5</f>
        <v>2.4564705882352942</v>
      </c>
      <c r="I18" t="s">
        <v>34</v>
      </c>
      <c r="J18" t="s">
        <v>23</v>
      </c>
      <c r="O18" t="s">
        <v>32</v>
      </c>
    </row>
    <row r="19" spans="1:15" x14ac:dyDescent="0.25">
      <c r="A19" t="s">
        <v>120</v>
      </c>
      <c r="B19" t="s">
        <v>31</v>
      </c>
      <c r="C19" t="s">
        <v>31</v>
      </c>
      <c r="D19" t="s">
        <v>17</v>
      </c>
      <c r="E19" t="s">
        <v>18</v>
      </c>
      <c r="F19" t="s">
        <v>21</v>
      </c>
      <c r="G19" t="s">
        <v>29</v>
      </c>
      <c r="H19">
        <f>(2.5+0.2)/8.5</f>
        <v>0.31764705882352945</v>
      </c>
      <c r="I19" t="s">
        <v>30</v>
      </c>
      <c r="J19" t="s">
        <v>23</v>
      </c>
      <c r="O19" t="s">
        <v>32</v>
      </c>
    </row>
    <row r="20" spans="1:15" x14ac:dyDescent="0.25">
      <c r="A20" t="s">
        <v>120</v>
      </c>
      <c r="B20" t="s">
        <v>31</v>
      </c>
      <c r="C20" t="s">
        <v>31</v>
      </c>
      <c r="D20" t="s">
        <v>17</v>
      </c>
      <c r="E20" t="s">
        <v>18</v>
      </c>
      <c r="F20" t="s">
        <v>21</v>
      </c>
      <c r="G20" t="s">
        <v>26</v>
      </c>
      <c r="H20">
        <f>9.8/8.5</f>
        <v>1.1529411764705884</v>
      </c>
      <c r="I20" t="s">
        <v>17</v>
      </c>
      <c r="J20" t="s">
        <v>23</v>
      </c>
      <c r="O20" t="s">
        <v>32</v>
      </c>
    </row>
    <row r="21" spans="1:15" x14ac:dyDescent="0.25">
      <c r="A21" t="s">
        <v>120</v>
      </c>
      <c r="B21" t="s">
        <v>31</v>
      </c>
      <c r="C21" t="s">
        <v>31</v>
      </c>
      <c r="D21" t="s">
        <v>17</v>
      </c>
      <c r="E21" t="s">
        <v>18</v>
      </c>
      <c r="F21" t="s">
        <v>21</v>
      </c>
      <c r="G21" t="s">
        <v>35</v>
      </c>
      <c r="H21">
        <f>44.2/8.5</f>
        <v>5.2</v>
      </c>
      <c r="I21" t="s">
        <v>17</v>
      </c>
      <c r="J21" t="s">
        <v>23</v>
      </c>
      <c r="O21" t="s">
        <v>32</v>
      </c>
    </row>
    <row r="22" spans="1:15" x14ac:dyDescent="0.25">
      <c r="A22" t="s">
        <v>120</v>
      </c>
      <c r="B22" t="s">
        <v>31</v>
      </c>
      <c r="C22" t="s">
        <v>31</v>
      </c>
      <c r="D22" t="s">
        <v>17</v>
      </c>
      <c r="E22" t="s">
        <v>18</v>
      </c>
      <c r="F22" t="s">
        <v>21</v>
      </c>
      <c r="G22" t="s">
        <v>36</v>
      </c>
      <c r="H22">
        <f>-94.4/8.5</f>
        <v>-11.105882352941178</v>
      </c>
      <c r="I22" t="s">
        <v>17</v>
      </c>
      <c r="J22" t="s">
        <v>23</v>
      </c>
      <c r="O22" t="s">
        <v>32</v>
      </c>
    </row>
    <row r="23" spans="1:15" x14ac:dyDescent="0.25">
      <c r="A23" t="s">
        <v>120</v>
      </c>
      <c r="B23" t="s">
        <v>31</v>
      </c>
      <c r="C23" t="s">
        <v>31</v>
      </c>
      <c r="D23" t="s">
        <v>17</v>
      </c>
      <c r="E23" t="s">
        <v>18</v>
      </c>
      <c r="F23" t="s">
        <v>21</v>
      </c>
      <c r="G23" t="s">
        <v>37</v>
      </c>
      <c r="H23">
        <f>7.9/8.5</f>
        <v>0.92941176470588238</v>
      </c>
      <c r="I23" t="s">
        <v>17</v>
      </c>
      <c r="J23" t="s">
        <v>23</v>
      </c>
      <c r="O23" t="s">
        <v>32</v>
      </c>
    </row>
    <row r="24" spans="1:15" x14ac:dyDescent="0.25">
      <c r="A24" t="s">
        <v>120</v>
      </c>
      <c r="B24" t="s">
        <v>38</v>
      </c>
      <c r="C24" t="s">
        <v>38</v>
      </c>
      <c r="D24" t="s">
        <v>17</v>
      </c>
      <c r="E24" t="s">
        <v>18</v>
      </c>
      <c r="F24" t="s">
        <v>120</v>
      </c>
      <c r="G24" t="s">
        <v>38</v>
      </c>
      <c r="H24">
        <v>1</v>
      </c>
      <c r="I24" t="s">
        <v>17</v>
      </c>
      <c r="J24" t="s">
        <v>19</v>
      </c>
      <c r="O24" t="s">
        <v>39</v>
      </c>
    </row>
    <row r="25" spans="1:15" x14ac:dyDescent="0.25">
      <c r="A25" t="s">
        <v>120</v>
      </c>
      <c r="B25" t="s">
        <v>38</v>
      </c>
      <c r="C25" t="s">
        <v>38</v>
      </c>
      <c r="D25" t="s">
        <v>17</v>
      </c>
      <c r="E25" t="s">
        <v>18</v>
      </c>
      <c r="F25" t="s">
        <v>21</v>
      </c>
      <c r="G25" s="3" t="s">
        <v>22</v>
      </c>
      <c r="H25">
        <v>1</v>
      </c>
      <c r="I25" t="s">
        <v>17</v>
      </c>
      <c r="J25" t="s">
        <v>23</v>
      </c>
      <c r="O25" t="s">
        <v>39</v>
      </c>
    </row>
    <row r="26" spans="1:15" x14ac:dyDescent="0.25">
      <c r="A26" t="s">
        <v>120</v>
      </c>
      <c r="B26" t="s">
        <v>38</v>
      </c>
      <c r="C26" t="s">
        <v>38</v>
      </c>
      <c r="D26" t="s">
        <v>17</v>
      </c>
      <c r="E26" t="s">
        <v>18</v>
      </c>
      <c r="F26" t="s">
        <v>21</v>
      </c>
      <c r="G26" t="s">
        <v>40</v>
      </c>
      <c r="H26">
        <f>321/0.482</f>
        <v>665.97510373443981</v>
      </c>
      <c r="I26" t="s">
        <v>17</v>
      </c>
      <c r="J26" t="s">
        <v>23</v>
      </c>
      <c r="O26" t="s">
        <v>39</v>
      </c>
    </row>
    <row r="27" spans="1:15" x14ac:dyDescent="0.25">
      <c r="A27" t="s">
        <v>120</v>
      </c>
      <c r="B27" t="s">
        <v>38</v>
      </c>
      <c r="C27" t="s">
        <v>38</v>
      </c>
      <c r="D27" t="s">
        <v>17</v>
      </c>
      <c r="E27" t="s">
        <v>18</v>
      </c>
      <c r="F27" t="s">
        <v>21</v>
      </c>
      <c r="G27" t="s">
        <v>41</v>
      </c>
      <c r="H27">
        <f>65/0.482</f>
        <v>134.85477178423238</v>
      </c>
      <c r="I27" t="s">
        <v>17</v>
      </c>
      <c r="J27" t="s">
        <v>23</v>
      </c>
      <c r="O27" t="s">
        <v>39</v>
      </c>
    </row>
    <row r="28" spans="1:15" x14ac:dyDescent="0.25">
      <c r="A28" t="s">
        <v>120</v>
      </c>
      <c r="B28" t="s">
        <v>38</v>
      </c>
      <c r="C28" t="s">
        <v>38</v>
      </c>
      <c r="D28" t="s">
        <v>17</v>
      </c>
      <c r="E28" t="s">
        <v>18</v>
      </c>
      <c r="F28" t="s">
        <v>21</v>
      </c>
      <c r="G28" t="s">
        <v>42</v>
      </c>
      <c r="H28">
        <f>15/0.482</f>
        <v>31.120331950207468</v>
      </c>
      <c r="I28" t="s">
        <v>17</v>
      </c>
      <c r="J28" t="s">
        <v>23</v>
      </c>
      <c r="O28" t="s">
        <v>39</v>
      </c>
    </row>
    <row r="29" spans="1:15" x14ac:dyDescent="0.25">
      <c r="A29" t="s">
        <v>120</v>
      </c>
      <c r="B29" t="s">
        <v>38</v>
      </c>
      <c r="C29" t="s">
        <v>38</v>
      </c>
      <c r="D29" t="s">
        <v>17</v>
      </c>
      <c r="E29" t="s">
        <v>18</v>
      </c>
      <c r="F29" t="s">
        <v>21</v>
      </c>
      <c r="G29" t="s">
        <v>43</v>
      </c>
      <c r="H29">
        <f>930/0.482</f>
        <v>1929.4605809128632</v>
      </c>
      <c r="I29" t="s">
        <v>17</v>
      </c>
      <c r="J29" t="s">
        <v>23</v>
      </c>
      <c r="O29" t="s">
        <v>39</v>
      </c>
    </row>
    <row r="30" spans="1:15" x14ac:dyDescent="0.25">
      <c r="A30" t="s">
        <v>120</v>
      </c>
      <c r="B30" t="s">
        <v>38</v>
      </c>
      <c r="C30" t="s">
        <v>38</v>
      </c>
      <c r="D30" t="s">
        <v>17</v>
      </c>
      <c r="E30" t="s">
        <v>18</v>
      </c>
      <c r="F30" t="s">
        <v>21</v>
      </c>
      <c r="G30" t="s">
        <v>44</v>
      </c>
      <c r="H30">
        <f>792/0.482</f>
        <v>1643.1535269709543</v>
      </c>
      <c r="I30" t="s">
        <v>17</v>
      </c>
      <c r="J30" t="s">
        <v>23</v>
      </c>
      <c r="O30" t="s">
        <v>39</v>
      </c>
    </row>
    <row r="31" spans="1:15" ht="14.1" customHeight="1" x14ac:dyDescent="0.25">
      <c r="A31" t="s">
        <v>120</v>
      </c>
      <c r="B31" t="s">
        <v>38</v>
      </c>
      <c r="C31" t="s">
        <v>38</v>
      </c>
      <c r="D31" t="s">
        <v>17</v>
      </c>
      <c r="E31" t="s">
        <v>18</v>
      </c>
      <c r="F31" t="s">
        <v>21</v>
      </c>
      <c r="G31" t="s">
        <v>45</v>
      </c>
      <c r="H31">
        <f>0.735*1.3/0.482</f>
        <v>1.9823651452282158</v>
      </c>
      <c r="I31" t="s">
        <v>17</v>
      </c>
      <c r="J31" t="s">
        <v>23</v>
      </c>
      <c r="O31" t="s">
        <v>39</v>
      </c>
    </row>
    <row r="32" spans="1:15" ht="14.1" customHeight="1" x14ac:dyDescent="0.25">
      <c r="A32" t="s">
        <v>120</v>
      </c>
      <c r="B32" t="s">
        <v>38</v>
      </c>
      <c r="C32" t="s">
        <v>38</v>
      </c>
      <c r="D32" t="s">
        <v>17</v>
      </c>
      <c r="E32" t="s">
        <v>18</v>
      </c>
      <c r="F32" t="s">
        <v>21</v>
      </c>
      <c r="G32" t="s">
        <v>26</v>
      </c>
      <c r="H32">
        <f>(118.4+179)*0.997/0.482</f>
        <v>615.16141078838166</v>
      </c>
      <c r="I32" t="s">
        <v>17</v>
      </c>
      <c r="J32" t="s">
        <v>23</v>
      </c>
      <c r="O32" t="s">
        <v>39</v>
      </c>
    </row>
    <row r="33" spans="1:15" x14ac:dyDescent="0.25">
      <c r="A33" t="s">
        <v>120</v>
      </c>
      <c r="B33" t="s">
        <v>38</v>
      </c>
      <c r="C33" t="s">
        <v>38</v>
      </c>
      <c r="D33" t="s">
        <v>17</v>
      </c>
      <c r="E33" t="s">
        <v>18</v>
      </c>
      <c r="F33" t="s">
        <v>21</v>
      </c>
      <c r="G33" t="s">
        <v>46</v>
      </c>
      <c r="H33">
        <f>0.3/0.482</f>
        <v>0.62240663900414939</v>
      </c>
      <c r="I33" t="s">
        <v>47</v>
      </c>
      <c r="J33" t="s">
        <v>23</v>
      </c>
      <c r="O33" t="s">
        <v>39</v>
      </c>
    </row>
    <row r="34" spans="1:15" x14ac:dyDescent="0.25">
      <c r="A34" t="s">
        <v>120</v>
      </c>
      <c r="B34" t="s">
        <v>38</v>
      </c>
      <c r="C34" t="s">
        <v>38</v>
      </c>
      <c r="D34" t="s">
        <v>17</v>
      </c>
      <c r="E34" t="s">
        <v>18</v>
      </c>
      <c r="F34" t="s">
        <v>21</v>
      </c>
      <c r="G34" t="s">
        <v>29</v>
      </c>
      <c r="H34">
        <f>((0.018+4.88)/0.482)+0.0926</f>
        <v>10.254425726141077</v>
      </c>
      <c r="I34" t="s">
        <v>30</v>
      </c>
      <c r="J34" t="s">
        <v>23</v>
      </c>
      <c r="O34" t="s">
        <v>39</v>
      </c>
    </row>
    <row r="35" spans="1:15" x14ac:dyDescent="0.25">
      <c r="A35" t="s">
        <v>120</v>
      </c>
      <c r="B35" t="s">
        <v>38</v>
      </c>
      <c r="C35" t="s">
        <v>38</v>
      </c>
      <c r="D35" t="s">
        <v>17</v>
      </c>
      <c r="E35" t="s">
        <v>18</v>
      </c>
      <c r="F35" t="s">
        <v>21</v>
      </c>
      <c r="G35" t="s">
        <v>48</v>
      </c>
      <c r="H35">
        <f>-1/0.482</f>
        <v>-2.0746887966804981</v>
      </c>
      <c r="I35" t="s">
        <v>47</v>
      </c>
      <c r="J35" t="s">
        <v>23</v>
      </c>
      <c r="O35" t="s">
        <v>39</v>
      </c>
    </row>
    <row r="36" spans="1:15" x14ac:dyDescent="0.25">
      <c r="A36" t="s">
        <v>120</v>
      </c>
      <c r="B36" t="s">
        <v>38</v>
      </c>
      <c r="C36" t="s">
        <v>38</v>
      </c>
      <c r="D36" t="s">
        <v>17</v>
      </c>
      <c r="E36" t="s">
        <v>18</v>
      </c>
      <c r="F36" t="s">
        <v>21</v>
      </c>
      <c r="G36" t="s">
        <v>37</v>
      </c>
      <c r="H36">
        <f>118.4*0.997/0.482</f>
        <v>244.90622406639008</v>
      </c>
      <c r="I36" t="s">
        <v>17</v>
      </c>
      <c r="J36" t="s">
        <v>23</v>
      </c>
      <c r="O36" t="s">
        <v>39</v>
      </c>
    </row>
    <row r="37" spans="1:15" x14ac:dyDescent="0.25">
      <c r="A37" t="s">
        <v>120</v>
      </c>
      <c r="B37" t="s">
        <v>49</v>
      </c>
      <c r="C37" t="s">
        <v>49</v>
      </c>
      <c r="D37" t="s">
        <v>17</v>
      </c>
      <c r="E37" t="s">
        <v>18</v>
      </c>
      <c r="F37" t="s">
        <v>120</v>
      </c>
      <c r="G37" t="s">
        <v>49</v>
      </c>
      <c r="H37">
        <v>1</v>
      </c>
      <c r="I37" t="s">
        <v>17</v>
      </c>
      <c r="J37" t="s">
        <v>19</v>
      </c>
      <c r="O37" t="s">
        <v>50</v>
      </c>
    </row>
    <row r="38" spans="1:15" x14ac:dyDescent="0.25">
      <c r="A38" t="s">
        <v>120</v>
      </c>
      <c r="B38" t="s">
        <v>49</v>
      </c>
      <c r="C38" t="s">
        <v>49</v>
      </c>
      <c r="D38" t="s">
        <v>17</v>
      </c>
      <c r="E38" t="s">
        <v>18</v>
      </c>
      <c r="F38" t="s">
        <v>21</v>
      </c>
      <c r="G38" t="s">
        <v>22</v>
      </c>
      <c r="H38">
        <v>1</v>
      </c>
      <c r="I38" t="s">
        <v>17</v>
      </c>
      <c r="J38" t="s">
        <v>23</v>
      </c>
      <c r="O38" t="s">
        <v>50</v>
      </c>
    </row>
    <row r="39" spans="1:15" x14ac:dyDescent="0.25">
      <c r="A39" t="s">
        <v>120</v>
      </c>
      <c r="B39" t="s">
        <v>49</v>
      </c>
      <c r="C39" t="s">
        <v>49</v>
      </c>
      <c r="D39" t="s">
        <v>17</v>
      </c>
      <c r="E39" t="s">
        <v>18</v>
      </c>
      <c r="F39" t="s">
        <v>21</v>
      </c>
      <c r="G39" t="s">
        <v>51</v>
      </c>
      <c r="H39">
        <f>1944/1000</f>
        <v>1.944</v>
      </c>
      <c r="I39" t="s">
        <v>17</v>
      </c>
      <c r="J39" t="s">
        <v>23</v>
      </c>
      <c r="O39" t="s">
        <v>50</v>
      </c>
    </row>
    <row r="40" spans="1:15" x14ac:dyDescent="0.25">
      <c r="A40" t="s">
        <v>120</v>
      </c>
      <c r="B40" t="s">
        <v>49</v>
      </c>
      <c r="C40" t="s">
        <v>49</v>
      </c>
      <c r="D40" t="s">
        <v>17</v>
      </c>
      <c r="E40" t="s">
        <v>18</v>
      </c>
      <c r="F40" t="s">
        <v>21</v>
      </c>
      <c r="G40" t="s">
        <v>26</v>
      </c>
      <c r="H40">
        <f>6659/1000</f>
        <v>6.6589999999999998</v>
      </c>
      <c r="I40" t="s">
        <v>17</v>
      </c>
      <c r="J40" t="s">
        <v>23</v>
      </c>
      <c r="O40" t="s">
        <v>50</v>
      </c>
    </row>
    <row r="41" spans="1:15" x14ac:dyDescent="0.25">
      <c r="A41" t="s">
        <v>120</v>
      </c>
      <c r="B41" t="s">
        <v>49</v>
      </c>
      <c r="C41" t="s">
        <v>49</v>
      </c>
      <c r="D41" t="s">
        <v>17</v>
      </c>
      <c r="E41" t="s">
        <v>18</v>
      </c>
      <c r="F41" t="s">
        <v>21</v>
      </c>
      <c r="G41" t="s">
        <v>29</v>
      </c>
      <c r="H41">
        <f>4181/(1000*3.6)+0.1096</f>
        <v>1.2709888888888887</v>
      </c>
      <c r="I41" t="s">
        <v>30</v>
      </c>
      <c r="J41" t="s">
        <v>23</v>
      </c>
      <c r="O41" t="s">
        <v>50</v>
      </c>
    </row>
    <row r="42" spans="1:15" x14ac:dyDescent="0.25">
      <c r="A42" t="s">
        <v>120</v>
      </c>
      <c r="B42" t="s">
        <v>49</v>
      </c>
      <c r="C42" t="s">
        <v>49</v>
      </c>
      <c r="D42" t="s">
        <v>17</v>
      </c>
      <c r="E42" t="s">
        <v>18</v>
      </c>
      <c r="F42" t="s">
        <v>21</v>
      </c>
      <c r="G42" t="s">
        <v>121</v>
      </c>
      <c r="H42">
        <f>-2707/1000</f>
        <v>-2.7069999999999999</v>
      </c>
      <c r="I42" t="s">
        <v>17</v>
      </c>
      <c r="J42" t="s">
        <v>23</v>
      </c>
      <c r="O42" t="s">
        <v>122</v>
      </c>
    </row>
    <row r="43" spans="1:15" x14ac:dyDescent="0.25">
      <c r="A43" t="s">
        <v>120</v>
      </c>
      <c r="B43" t="s">
        <v>49</v>
      </c>
      <c r="C43" t="s">
        <v>49</v>
      </c>
      <c r="D43" t="s">
        <v>17</v>
      </c>
      <c r="E43" t="s">
        <v>18</v>
      </c>
      <c r="F43" t="s">
        <v>21</v>
      </c>
      <c r="G43" t="s">
        <v>52</v>
      </c>
      <c r="H43">
        <f>4188/1000</f>
        <v>4.1879999999999997</v>
      </c>
      <c r="I43" t="s">
        <v>17</v>
      </c>
      <c r="J43" t="s">
        <v>23</v>
      </c>
      <c r="O43" t="s">
        <v>50</v>
      </c>
    </row>
    <row r="44" spans="1:15" x14ac:dyDescent="0.25">
      <c r="A44" t="s">
        <v>120</v>
      </c>
      <c r="B44" t="s">
        <v>53</v>
      </c>
      <c r="C44" t="s">
        <v>53</v>
      </c>
      <c r="D44" t="s">
        <v>17</v>
      </c>
      <c r="E44" t="s">
        <v>18</v>
      </c>
      <c r="F44" t="s">
        <v>120</v>
      </c>
      <c r="G44" t="s">
        <v>53</v>
      </c>
      <c r="H44">
        <v>1</v>
      </c>
      <c r="I44" t="s">
        <v>17</v>
      </c>
      <c r="J44" t="s">
        <v>19</v>
      </c>
      <c r="O44" t="s">
        <v>54</v>
      </c>
    </row>
    <row r="45" spans="1:15" x14ac:dyDescent="0.25">
      <c r="A45" t="s">
        <v>120</v>
      </c>
      <c r="B45" t="s">
        <v>53</v>
      </c>
      <c r="C45" t="s">
        <v>53</v>
      </c>
      <c r="D45" t="s">
        <v>17</v>
      </c>
      <c r="E45" t="s">
        <v>18</v>
      </c>
      <c r="F45" t="s">
        <v>21</v>
      </c>
      <c r="G45" t="s">
        <v>55</v>
      </c>
      <c r="H45">
        <v>1</v>
      </c>
      <c r="I45" t="s">
        <v>17</v>
      </c>
      <c r="J45" t="s">
        <v>23</v>
      </c>
      <c r="O45" t="s">
        <v>54</v>
      </c>
    </row>
    <row r="46" spans="1:15" x14ac:dyDescent="0.25">
      <c r="A46" t="s">
        <v>120</v>
      </c>
      <c r="B46" t="s">
        <v>53</v>
      </c>
      <c r="C46" t="s">
        <v>53</v>
      </c>
      <c r="D46" t="s">
        <v>17</v>
      </c>
      <c r="E46" t="s">
        <v>18</v>
      </c>
      <c r="F46" t="s">
        <v>21</v>
      </c>
      <c r="G46" t="s">
        <v>56</v>
      </c>
      <c r="H46">
        <f>1/0.254</f>
        <v>3.9370078740157481</v>
      </c>
      <c r="I46" t="s">
        <v>17</v>
      </c>
      <c r="J46" t="s">
        <v>23</v>
      </c>
      <c r="O46" t="s">
        <v>54</v>
      </c>
    </row>
    <row r="47" spans="1:15" x14ac:dyDescent="0.25">
      <c r="A47" t="s">
        <v>120</v>
      </c>
      <c r="B47" t="s">
        <v>53</v>
      </c>
      <c r="C47" t="s">
        <v>53</v>
      </c>
      <c r="D47" t="s">
        <v>17</v>
      </c>
      <c r="E47" t="s">
        <v>18</v>
      </c>
      <c r="F47" t="s">
        <v>21</v>
      </c>
      <c r="G47" t="s">
        <v>57</v>
      </c>
      <c r="H47">
        <f>(20*0.997)/0.254</f>
        <v>78.503937007874015</v>
      </c>
      <c r="I47" t="s">
        <v>17</v>
      </c>
      <c r="J47" t="s">
        <v>23</v>
      </c>
      <c r="O47" t="s">
        <v>54</v>
      </c>
    </row>
    <row r="48" spans="1:15" x14ac:dyDescent="0.25">
      <c r="A48" t="s">
        <v>120</v>
      </c>
      <c r="B48" t="s">
        <v>53</v>
      </c>
      <c r="C48" t="s">
        <v>53</v>
      </c>
      <c r="D48" t="s">
        <v>17</v>
      </c>
      <c r="E48" t="s">
        <v>18</v>
      </c>
      <c r="F48" t="s">
        <v>21</v>
      </c>
      <c r="G48" t="s">
        <v>29</v>
      </c>
      <c r="H48">
        <f>67.1/(1000*0.254)</f>
        <v>0.26417322834645668</v>
      </c>
      <c r="I48" t="s">
        <v>30</v>
      </c>
      <c r="J48" t="s">
        <v>23</v>
      </c>
      <c r="O48" t="s">
        <v>54</v>
      </c>
    </row>
    <row r="49" spans="1:15" x14ac:dyDescent="0.25">
      <c r="A49" t="s">
        <v>120</v>
      </c>
      <c r="B49" t="s">
        <v>53</v>
      </c>
      <c r="C49" t="s">
        <v>53</v>
      </c>
      <c r="D49" t="s">
        <v>17</v>
      </c>
      <c r="E49" t="s">
        <v>18</v>
      </c>
      <c r="F49" t="s">
        <v>21</v>
      </c>
      <c r="G49" t="s">
        <v>123</v>
      </c>
      <c r="H49">
        <f>-2.27/(2.27+0.68+2.1+2.7)*1.256/0.254</f>
        <v>-1.4483718567437132</v>
      </c>
      <c r="I49" t="s">
        <v>17</v>
      </c>
      <c r="J49" t="s">
        <v>23</v>
      </c>
      <c r="O49" t="s">
        <v>54</v>
      </c>
    </row>
    <row r="50" spans="1:15" x14ac:dyDescent="0.25">
      <c r="A50" t="s">
        <v>120</v>
      </c>
      <c r="B50" t="s">
        <v>53</v>
      </c>
      <c r="C50" t="s">
        <v>53</v>
      </c>
      <c r="D50" t="s">
        <v>17</v>
      </c>
      <c r="E50" t="s">
        <v>18</v>
      </c>
      <c r="F50" t="s">
        <v>21</v>
      </c>
      <c r="G50" t="s">
        <v>40</v>
      </c>
      <c r="H50">
        <f>-0.68/(2.27+0.68+2.1+2.7)*1.256/0.254</f>
        <v>-0.4338735077470155</v>
      </c>
      <c r="I50" t="s">
        <v>17</v>
      </c>
      <c r="J50" t="s">
        <v>23</v>
      </c>
      <c r="O50" t="s">
        <v>54</v>
      </c>
    </row>
    <row r="51" spans="1:15" x14ac:dyDescent="0.25">
      <c r="A51" s="6" t="s">
        <v>120</v>
      </c>
      <c r="B51" t="s">
        <v>59</v>
      </c>
      <c r="C51" t="s">
        <v>59</v>
      </c>
      <c r="D51" t="s">
        <v>17</v>
      </c>
      <c r="E51" t="s">
        <v>18</v>
      </c>
      <c r="F51" t="s">
        <v>120</v>
      </c>
      <c r="G51" t="s">
        <v>59</v>
      </c>
      <c r="H51">
        <v>1</v>
      </c>
      <c r="I51" t="s">
        <v>17</v>
      </c>
      <c r="J51" t="s">
        <v>19</v>
      </c>
      <c r="O51" t="s">
        <v>54</v>
      </c>
    </row>
    <row r="52" spans="1:15" x14ac:dyDescent="0.25">
      <c r="A52" s="6" t="s">
        <v>120</v>
      </c>
      <c r="B52" t="s">
        <v>59</v>
      </c>
      <c r="C52" t="s">
        <v>59</v>
      </c>
      <c r="D52" t="s">
        <v>17</v>
      </c>
      <c r="E52" t="s">
        <v>18</v>
      </c>
      <c r="F52" t="s">
        <v>21</v>
      </c>
      <c r="G52" t="s">
        <v>55</v>
      </c>
      <c r="H52">
        <v>1</v>
      </c>
      <c r="I52" t="s">
        <v>17</v>
      </c>
      <c r="J52" t="s">
        <v>23</v>
      </c>
      <c r="O52" t="s">
        <v>54</v>
      </c>
    </row>
    <row r="53" spans="1:15" x14ac:dyDescent="0.25">
      <c r="A53" s="6" t="s">
        <v>120</v>
      </c>
      <c r="B53" t="s">
        <v>59</v>
      </c>
      <c r="C53" t="s">
        <v>59</v>
      </c>
      <c r="D53" t="s">
        <v>17</v>
      </c>
      <c r="E53" t="s">
        <v>18</v>
      </c>
      <c r="F53" t="s">
        <v>21</v>
      </c>
      <c r="G53" t="s">
        <v>56</v>
      </c>
      <c r="H53">
        <f>1/0.22</f>
        <v>4.5454545454545459</v>
      </c>
      <c r="I53" t="s">
        <v>17</v>
      </c>
      <c r="J53" t="s">
        <v>23</v>
      </c>
      <c r="O53" t="s">
        <v>54</v>
      </c>
    </row>
    <row r="54" spans="1:15" x14ac:dyDescent="0.25">
      <c r="A54" s="6" t="s">
        <v>120</v>
      </c>
      <c r="B54" t="s">
        <v>59</v>
      </c>
      <c r="C54" t="s">
        <v>59</v>
      </c>
      <c r="D54" t="s">
        <v>17</v>
      </c>
      <c r="E54" t="s">
        <v>18</v>
      </c>
      <c r="F54" t="s">
        <v>21</v>
      </c>
      <c r="G54" t="s">
        <v>57</v>
      </c>
      <c r="H54">
        <f>20*0.997/0.22</f>
        <v>90.63636363636364</v>
      </c>
      <c r="I54" t="s">
        <v>17</v>
      </c>
      <c r="J54" t="s">
        <v>23</v>
      </c>
      <c r="O54" t="s">
        <v>54</v>
      </c>
    </row>
    <row r="55" spans="1:15" x14ac:dyDescent="0.25">
      <c r="A55" s="6" t="s">
        <v>120</v>
      </c>
      <c r="B55" t="s">
        <v>59</v>
      </c>
      <c r="C55" t="s">
        <v>59</v>
      </c>
      <c r="D55" t="s">
        <v>17</v>
      </c>
      <c r="E55" t="s">
        <v>18</v>
      </c>
      <c r="F55" t="s">
        <v>21</v>
      </c>
      <c r="G55" t="s">
        <v>29</v>
      </c>
      <c r="H55">
        <f>63.87/(1000*0.22)</f>
        <v>0.29031818181818181</v>
      </c>
      <c r="I55" t="s">
        <v>30</v>
      </c>
      <c r="J55" t="s">
        <v>23</v>
      </c>
      <c r="O55" t="s">
        <v>54</v>
      </c>
    </row>
    <row r="56" spans="1:15" x14ac:dyDescent="0.25">
      <c r="A56" t="s">
        <v>120</v>
      </c>
      <c r="B56" t="s">
        <v>59</v>
      </c>
      <c r="C56" t="s">
        <v>59</v>
      </c>
      <c r="D56" t="s">
        <v>17</v>
      </c>
      <c r="E56" t="s">
        <v>18</v>
      </c>
      <c r="F56" t="s">
        <v>21</v>
      </c>
      <c r="G56" t="s">
        <v>123</v>
      </c>
      <c r="H56">
        <f>-2.27/(2.27+0.68+2.1+2.7)*1.218/0.22</f>
        <v>-1.6216187683284455</v>
      </c>
      <c r="I56" t="s">
        <v>17</v>
      </c>
      <c r="J56" t="s">
        <v>23</v>
      </c>
      <c r="O56" t="s">
        <v>54</v>
      </c>
    </row>
    <row r="57" spans="1:15" x14ac:dyDescent="0.25">
      <c r="A57" t="s">
        <v>120</v>
      </c>
      <c r="B57" t="s">
        <v>59</v>
      </c>
      <c r="C57" t="s">
        <v>59</v>
      </c>
      <c r="D57" t="s">
        <v>17</v>
      </c>
      <c r="E57" t="s">
        <v>18</v>
      </c>
      <c r="F57" t="s">
        <v>21</v>
      </c>
      <c r="G57" t="s">
        <v>40</v>
      </c>
      <c r="H57">
        <f>-0.68/(2.27+0.68+2.1+2.7)*1.218/0.22</f>
        <v>-0.48577126099706747</v>
      </c>
      <c r="I57" t="s">
        <v>17</v>
      </c>
      <c r="J57" t="s">
        <v>23</v>
      </c>
      <c r="O57" t="s">
        <v>54</v>
      </c>
    </row>
    <row r="58" spans="1:15" x14ac:dyDescent="0.25">
      <c r="A58" s="6" t="s">
        <v>120</v>
      </c>
      <c r="B58" t="s">
        <v>60</v>
      </c>
      <c r="C58" t="s">
        <v>60</v>
      </c>
      <c r="D58" t="s">
        <v>17</v>
      </c>
      <c r="E58" t="s">
        <v>18</v>
      </c>
      <c r="F58" t="s">
        <v>120</v>
      </c>
      <c r="G58" t="s">
        <v>60</v>
      </c>
      <c r="H58">
        <v>1</v>
      </c>
      <c r="I58" t="s">
        <v>17</v>
      </c>
      <c r="J58" t="s">
        <v>19</v>
      </c>
      <c r="O58" t="s">
        <v>54</v>
      </c>
    </row>
    <row r="59" spans="1:15" x14ac:dyDescent="0.25">
      <c r="A59" s="6" t="s">
        <v>120</v>
      </c>
      <c r="B59" t="s">
        <v>60</v>
      </c>
      <c r="C59" t="s">
        <v>60</v>
      </c>
      <c r="D59" t="s">
        <v>17</v>
      </c>
      <c r="E59" t="s">
        <v>18</v>
      </c>
      <c r="F59" t="s">
        <v>21</v>
      </c>
      <c r="G59" t="s">
        <v>55</v>
      </c>
      <c r="H59">
        <v>1</v>
      </c>
      <c r="I59" t="s">
        <v>17</v>
      </c>
      <c r="J59" t="s">
        <v>23</v>
      </c>
      <c r="O59" t="s">
        <v>54</v>
      </c>
    </row>
    <row r="60" spans="1:15" x14ac:dyDescent="0.25">
      <c r="A60" s="6" t="s">
        <v>120</v>
      </c>
      <c r="B60" t="s">
        <v>60</v>
      </c>
      <c r="C60" t="s">
        <v>60</v>
      </c>
      <c r="D60" t="s">
        <v>17</v>
      </c>
      <c r="E60" t="s">
        <v>18</v>
      </c>
      <c r="F60" t="s">
        <v>21</v>
      </c>
      <c r="G60" t="s">
        <v>56</v>
      </c>
      <c r="H60">
        <f>1/0.287</f>
        <v>3.4843205574912894</v>
      </c>
      <c r="I60" t="s">
        <v>17</v>
      </c>
      <c r="J60" t="s">
        <v>23</v>
      </c>
      <c r="O60" t="s">
        <v>54</v>
      </c>
    </row>
    <row r="61" spans="1:15" x14ac:dyDescent="0.25">
      <c r="A61" s="6" t="s">
        <v>120</v>
      </c>
      <c r="B61" t="s">
        <v>60</v>
      </c>
      <c r="C61" t="s">
        <v>60</v>
      </c>
      <c r="D61" t="s">
        <v>17</v>
      </c>
      <c r="E61" t="s">
        <v>18</v>
      </c>
      <c r="F61" t="s">
        <v>21</v>
      </c>
      <c r="G61" t="s">
        <v>57</v>
      </c>
      <c r="H61">
        <f>15*0.997/0.287</f>
        <v>52.108013937282237</v>
      </c>
      <c r="I61" t="s">
        <v>17</v>
      </c>
      <c r="J61" t="s">
        <v>23</v>
      </c>
      <c r="O61" t="s">
        <v>54</v>
      </c>
    </row>
    <row r="62" spans="1:15" x14ac:dyDescent="0.25">
      <c r="A62" s="6" t="s">
        <v>120</v>
      </c>
      <c r="B62" t="s">
        <v>60</v>
      </c>
      <c r="C62" t="s">
        <v>60</v>
      </c>
      <c r="D62" t="s">
        <v>17</v>
      </c>
      <c r="E62" t="s">
        <v>18</v>
      </c>
      <c r="F62" t="s">
        <v>21</v>
      </c>
      <c r="G62" t="s">
        <v>29</v>
      </c>
      <c r="H62">
        <f>65.06/(1000*0.287)</f>
        <v>0.22668989547038329</v>
      </c>
      <c r="I62" t="s">
        <v>30</v>
      </c>
      <c r="J62" t="s">
        <v>23</v>
      </c>
      <c r="O62" t="s">
        <v>54</v>
      </c>
    </row>
    <row r="63" spans="1:15" x14ac:dyDescent="0.25">
      <c r="A63" t="s">
        <v>120</v>
      </c>
      <c r="B63" t="s">
        <v>60</v>
      </c>
      <c r="C63" t="s">
        <v>60</v>
      </c>
      <c r="D63" t="s">
        <v>17</v>
      </c>
      <c r="E63" t="s">
        <v>18</v>
      </c>
      <c r="F63" t="s">
        <v>21</v>
      </c>
      <c r="G63" t="s">
        <v>123</v>
      </c>
      <c r="H63">
        <f>-2.27/(2.27+0.68+2.1+2.7)*1.287/0.287</f>
        <v>-1.313471956839384</v>
      </c>
      <c r="I63" t="s">
        <v>17</v>
      </c>
      <c r="J63" t="s">
        <v>23</v>
      </c>
      <c r="O63" t="s">
        <v>54</v>
      </c>
    </row>
    <row r="64" spans="1:15" x14ac:dyDescent="0.25">
      <c r="A64" t="s">
        <v>120</v>
      </c>
      <c r="B64" t="s">
        <v>60</v>
      </c>
      <c r="C64" t="s">
        <v>60</v>
      </c>
      <c r="D64" t="s">
        <v>17</v>
      </c>
      <c r="E64" t="s">
        <v>18</v>
      </c>
      <c r="F64" t="s">
        <v>21</v>
      </c>
      <c r="G64" t="s">
        <v>40</v>
      </c>
      <c r="H64">
        <f>-0.68/(2.27+0.68+2.1+2.7)*1.287/0.287</f>
        <v>-0.39346296504439698</v>
      </c>
      <c r="I64" t="s">
        <v>17</v>
      </c>
      <c r="J64" t="s">
        <v>23</v>
      </c>
      <c r="O64" t="s">
        <v>54</v>
      </c>
    </row>
    <row r="65" spans="1:15" x14ac:dyDescent="0.25">
      <c r="A65" s="6" t="s">
        <v>120</v>
      </c>
      <c r="B65" t="s">
        <v>61</v>
      </c>
      <c r="C65" t="s">
        <v>61</v>
      </c>
      <c r="D65" t="s">
        <v>17</v>
      </c>
      <c r="E65" t="s">
        <v>18</v>
      </c>
      <c r="F65" t="s">
        <v>120</v>
      </c>
      <c r="G65" t="s">
        <v>61</v>
      </c>
      <c r="H65">
        <v>1</v>
      </c>
      <c r="I65" t="s">
        <v>17</v>
      </c>
      <c r="J65" t="s">
        <v>19</v>
      </c>
      <c r="O65" t="s">
        <v>54</v>
      </c>
    </row>
    <row r="66" spans="1:15" x14ac:dyDescent="0.25">
      <c r="A66" s="6" t="s">
        <v>120</v>
      </c>
      <c r="B66" t="s">
        <v>61</v>
      </c>
      <c r="C66" t="s">
        <v>61</v>
      </c>
      <c r="D66" t="s">
        <v>17</v>
      </c>
      <c r="E66" t="s">
        <v>18</v>
      </c>
      <c r="F66" t="s">
        <v>21</v>
      </c>
      <c r="G66" t="s">
        <v>55</v>
      </c>
      <c r="H66">
        <v>1</v>
      </c>
      <c r="I66" t="s">
        <v>17</v>
      </c>
      <c r="J66" t="s">
        <v>23</v>
      </c>
      <c r="O66" t="s">
        <v>54</v>
      </c>
    </row>
    <row r="67" spans="1:15" x14ac:dyDescent="0.25">
      <c r="A67" s="6" t="s">
        <v>120</v>
      </c>
      <c r="B67" t="s">
        <v>61</v>
      </c>
      <c r="C67" t="s">
        <v>61</v>
      </c>
      <c r="D67" t="s">
        <v>17</v>
      </c>
      <c r="E67" t="s">
        <v>18</v>
      </c>
      <c r="F67" t="s">
        <v>21</v>
      </c>
      <c r="G67" t="s">
        <v>56</v>
      </c>
      <c r="H67">
        <f>1/0.238</f>
        <v>4.2016806722689077</v>
      </c>
      <c r="I67" t="s">
        <v>17</v>
      </c>
      <c r="J67" t="s">
        <v>23</v>
      </c>
      <c r="O67" t="s">
        <v>54</v>
      </c>
    </row>
    <row r="68" spans="1:15" x14ac:dyDescent="0.25">
      <c r="A68" s="6" t="s">
        <v>120</v>
      </c>
      <c r="B68" t="s">
        <v>61</v>
      </c>
      <c r="C68" t="s">
        <v>61</v>
      </c>
      <c r="D68" t="s">
        <v>17</v>
      </c>
      <c r="E68" t="s">
        <v>18</v>
      </c>
      <c r="F68" t="s">
        <v>21</v>
      </c>
      <c r="G68" t="s">
        <v>57</v>
      </c>
      <c r="H68">
        <f>13.3*0.997/0.238</f>
        <v>55.714705882352952</v>
      </c>
      <c r="I68" t="s">
        <v>17</v>
      </c>
      <c r="J68" t="s">
        <v>23</v>
      </c>
      <c r="O68" t="s">
        <v>54</v>
      </c>
    </row>
    <row r="69" spans="1:15" x14ac:dyDescent="0.25">
      <c r="A69" s="6" t="s">
        <v>120</v>
      </c>
      <c r="B69" t="s">
        <v>61</v>
      </c>
      <c r="C69" t="s">
        <v>61</v>
      </c>
      <c r="D69" t="s">
        <v>17</v>
      </c>
      <c r="E69" t="s">
        <v>18</v>
      </c>
      <c r="F69" t="s">
        <v>21</v>
      </c>
      <c r="G69" t="s">
        <v>29</v>
      </c>
      <c r="H69">
        <f>59.12/(1000*0.238)</f>
        <v>0.2484033613445378</v>
      </c>
      <c r="I69" t="s">
        <v>30</v>
      </c>
      <c r="J69" t="s">
        <v>23</v>
      </c>
      <c r="O69" t="s">
        <v>54</v>
      </c>
    </row>
    <row r="70" spans="1:15" x14ac:dyDescent="0.25">
      <c r="A70" t="s">
        <v>120</v>
      </c>
      <c r="B70" t="s">
        <v>61</v>
      </c>
      <c r="C70" t="s">
        <v>61</v>
      </c>
      <c r="D70" t="s">
        <v>17</v>
      </c>
      <c r="E70" t="s">
        <v>18</v>
      </c>
      <c r="F70" t="s">
        <v>21</v>
      </c>
      <c r="G70" t="s">
        <v>123</v>
      </c>
      <c r="H70">
        <f>-2.27/(2.27+0.68+2.1+2.7)*1.24/0.238</f>
        <v>-1.5260504201680669</v>
      </c>
      <c r="I70" t="s">
        <v>17</v>
      </c>
      <c r="J70" t="s">
        <v>23</v>
      </c>
      <c r="O70" t="s">
        <v>54</v>
      </c>
    </row>
    <row r="71" spans="1:15" x14ac:dyDescent="0.25">
      <c r="A71" t="s">
        <v>120</v>
      </c>
      <c r="B71" t="s">
        <v>61</v>
      </c>
      <c r="C71" t="s">
        <v>61</v>
      </c>
      <c r="D71" t="s">
        <v>17</v>
      </c>
      <c r="E71" t="s">
        <v>18</v>
      </c>
      <c r="F71" t="s">
        <v>21</v>
      </c>
      <c r="G71" t="s">
        <v>40</v>
      </c>
      <c r="H71">
        <f>-0.68/(2.27+0.68+2.1+2.7)*1.24/0.238</f>
        <v>-0.45714285714285713</v>
      </c>
      <c r="I71" t="s">
        <v>17</v>
      </c>
      <c r="J71" t="s">
        <v>23</v>
      </c>
      <c r="O71" t="s">
        <v>54</v>
      </c>
    </row>
    <row r="72" spans="1:15" x14ac:dyDescent="0.25">
      <c r="A72" s="6" t="s">
        <v>120</v>
      </c>
      <c r="B72" t="s">
        <v>62</v>
      </c>
      <c r="C72" t="s">
        <v>62</v>
      </c>
      <c r="D72" t="s">
        <v>17</v>
      </c>
      <c r="E72" t="s">
        <v>18</v>
      </c>
      <c r="F72" t="s">
        <v>120</v>
      </c>
      <c r="G72" t="s">
        <v>62</v>
      </c>
      <c r="H72">
        <v>1</v>
      </c>
      <c r="I72" t="s">
        <v>17</v>
      </c>
      <c r="J72" t="s">
        <v>19</v>
      </c>
      <c r="O72" t="s">
        <v>54</v>
      </c>
    </row>
    <row r="73" spans="1:15" x14ac:dyDescent="0.25">
      <c r="A73" s="6" t="s">
        <v>120</v>
      </c>
      <c r="B73" t="s">
        <v>62</v>
      </c>
      <c r="C73" t="s">
        <v>62</v>
      </c>
      <c r="D73" t="s">
        <v>17</v>
      </c>
      <c r="E73" t="s">
        <v>18</v>
      </c>
      <c r="F73" t="s">
        <v>21</v>
      </c>
      <c r="G73" t="s">
        <v>55</v>
      </c>
      <c r="H73">
        <v>1</v>
      </c>
      <c r="I73" t="s">
        <v>17</v>
      </c>
      <c r="J73" t="s">
        <v>23</v>
      </c>
      <c r="O73" t="s">
        <v>54</v>
      </c>
    </row>
    <row r="74" spans="1:15" x14ac:dyDescent="0.25">
      <c r="A74" s="6" t="s">
        <v>120</v>
      </c>
      <c r="B74" t="s">
        <v>62</v>
      </c>
      <c r="C74" t="s">
        <v>62</v>
      </c>
      <c r="D74" t="s">
        <v>17</v>
      </c>
      <c r="E74" t="s">
        <v>18</v>
      </c>
      <c r="F74" t="s">
        <v>21</v>
      </c>
      <c r="G74" t="s">
        <v>56</v>
      </c>
      <c r="H74">
        <f>1/0.316</f>
        <v>3.1645569620253164</v>
      </c>
      <c r="I74" t="s">
        <v>17</v>
      </c>
      <c r="J74" t="s">
        <v>23</v>
      </c>
      <c r="O74" t="s">
        <v>54</v>
      </c>
    </row>
    <row r="75" spans="1:15" x14ac:dyDescent="0.25">
      <c r="A75" s="6" t="s">
        <v>120</v>
      </c>
      <c r="B75" t="s">
        <v>62</v>
      </c>
      <c r="C75" t="s">
        <v>62</v>
      </c>
      <c r="D75" t="s">
        <v>17</v>
      </c>
      <c r="E75" t="s">
        <v>18</v>
      </c>
      <c r="F75" t="s">
        <v>21</v>
      </c>
      <c r="G75" t="s">
        <v>57</v>
      </c>
      <c r="H75">
        <f>15*0.997/0.316</f>
        <v>47.325949367088604</v>
      </c>
      <c r="I75" t="s">
        <v>17</v>
      </c>
      <c r="J75" t="s">
        <v>23</v>
      </c>
      <c r="O75" t="s">
        <v>54</v>
      </c>
    </row>
    <row r="76" spans="1:15" x14ac:dyDescent="0.25">
      <c r="A76" s="6" t="s">
        <v>120</v>
      </c>
      <c r="B76" t="s">
        <v>62</v>
      </c>
      <c r="C76" t="s">
        <v>62</v>
      </c>
      <c r="D76" t="s">
        <v>17</v>
      </c>
      <c r="E76" t="s">
        <v>18</v>
      </c>
      <c r="F76" t="s">
        <v>21</v>
      </c>
      <c r="G76" t="s">
        <v>29</v>
      </c>
      <c r="H76">
        <f>64.78/(1000*0.316)</f>
        <v>0.20500000000000002</v>
      </c>
      <c r="I76" t="s">
        <v>30</v>
      </c>
      <c r="J76" t="s">
        <v>23</v>
      </c>
      <c r="O76" t="s">
        <v>54</v>
      </c>
    </row>
    <row r="77" spans="1:15" x14ac:dyDescent="0.25">
      <c r="A77" t="s">
        <v>120</v>
      </c>
      <c r="B77" t="s">
        <v>62</v>
      </c>
      <c r="C77" t="s">
        <v>62</v>
      </c>
      <c r="D77" t="s">
        <v>17</v>
      </c>
      <c r="E77" t="s">
        <v>18</v>
      </c>
      <c r="F77" t="s">
        <v>21</v>
      </c>
      <c r="G77" t="s">
        <v>123</v>
      </c>
      <c r="H77">
        <f>-2.27/(2.27+0.68+2.1+2.7)*1.318/0.316</f>
        <v>-1.2216659861167822</v>
      </c>
      <c r="I77" t="s">
        <v>17</v>
      </c>
      <c r="J77" t="s">
        <v>23</v>
      </c>
      <c r="O77" t="s">
        <v>54</v>
      </c>
    </row>
    <row r="78" spans="1:15" x14ac:dyDescent="0.25">
      <c r="A78" t="s">
        <v>120</v>
      </c>
      <c r="B78" t="s">
        <v>62</v>
      </c>
      <c r="C78" t="s">
        <v>62</v>
      </c>
      <c r="D78" t="s">
        <v>17</v>
      </c>
      <c r="E78" t="s">
        <v>18</v>
      </c>
      <c r="F78" t="s">
        <v>21</v>
      </c>
      <c r="G78" t="s">
        <v>40</v>
      </c>
      <c r="H78">
        <f>-0.68/(2.27+0.68+2.1+2.7)*1.318/0.316</f>
        <v>-0.36596161698652513</v>
      </c>
      <c r="I78" t="s">
        <v>17</v>
      </c>
      <c r="J78" t="s">
        <v>23</v>
      </c>
      <c r="O78" t="s">
        <v>54</v>
      </c>
    </row>
    <row r="79" spans="1:15" x14ac:dyDescent="0.25">
      <c r="A79" s="6" t="s">
        <v>120</v>
      </c>
      <c r="B79" t="s">
        <v>63</v>
      </c>
      <c r="C79" t="s">
        <v>63</v>
      </c>
      <c r="D79" t="s">
        <v>17</v>
      </c>
      <c r="E79" t="s">
        <v>18</v>
      </c>
      <c r="F79" t="s">
        <v>120</v>
      </c>
      <c r="G79" t="s">
        <v>63</v>
      </c>
      <c r="H79">
        <v>1</v>
      </c>
      <c r="I79" t="s">
        <v>17</v>
      </c>
      <c r="J79" t="s">
        <v>19</v>
      </c>
      <c r="O79" t="s">
        <v>54</v>
      </c>
    </row>
    <row r="80" spans="1:15" x14ac:dyDescent="0.25">
      <c r="A80" s="6" t="s">
        <v>120</v>
      </c>
      <c r="B80" t="s">
        <v>63</v>
      </c>
      <c r="C80" t="s">
        <v>63</v>
      </c>
      <c r="D80" t="s">
        <v>17</v>
      </c>
      <c r="E80" t="s">
        <v>18</v>
      </c>
      <c r="F80" t="s">
        <v>21</v>
      </c>
      <c r="G80" t="s">
        <v>55</v>
      </c>
      <c r="H80">
        <v>1</v>
      </c>
      <c r="I80" t="s">
        <v>17</v>
      </c>
      <c r="J80" t="s">
        <v>23</v>
      </c>
      <c r="O80" t="s">
        <v>54</v>
      </c>
    </row>
    <row r="81" spans="1:15" x14ac:dyDescent="0.25">
      <c r="A81" s="6" t="s">
        <v>120</v>
      </c>
      <c r="B81" t="s">
        <v>63</v>
      </c>
      <c r="C81" t="s">
        <v>63</v>
      </c>
      <c r="D81" t="s">
        <v>17</v>
      </c>
      <c r="E81" t="s">
        <v>18</v>
      </c>
      <c r="F81" t="s">
        <v>21</v>
      </c>
      <c r="G81" t="s">
        <v>56</v>
      </c>
      <c r="H81">
        <f>1/0.154</f>
        <v>6.4935064935064934</v>
      </c>
      <c r="I81" t="s">
        <v>17</v>
      </c>
      <c r="J81" t="s">
        <v>23</v>
      </c>
      <c r="O81" t="s">
        <v>54</v>
      </c>
    </row>
    <row r="82" spans="1:15" x14ac:dyDescent="0.25">
      <c r="A82" s="6" t="s">
        <v>120</v>
      </c>
      <c r="B82" t="s">
        <v>63</v>
      </c>
      <c r="C82" t="s">
        <v>63</v>
      </c>
      <c r="D82" t="s">
        <v>17</v>
      </c>
      <c r="E82" t="s">
        <v>18</v>
      </c>
      <c r="F82" t="s">
        <v>21</v>
      </c>
      <c r="G82" t="s">
        <v>57</v>
      </c>
      <c r="H82">
        <f>13.3*0.997/0.154</f>
        <v>86.104545454545459</v>
      </c>
      <c r="I82" t="s">
        <v>17</v>
      </c>
      <c r="J82" t="s">
        <v>23</v>
      </c>
      <c r="O82" t="s">
        <v>54</v>
      </c>
    </row>
    <row r="83" spans="1:15" x14ac:dyDescent="0.25">
      <c r="A83" s="6" t="s">
        <v>120</v>
      </c>
      <c r="B83" t="s">
        <v>63</v>
      </c>
      <c r="C83" t="s">
        <v>63</v>
      </c>
      <c r="D83" t="s">
        <v>17</v>
      </c>
      <c r="E83" t="s">
        <v>18</v>
      </c>
      <c r="F83" t="s">
        <v>21</v>
      </c>
      <c r="G83" t="s">
        <v>29</v>
      </c>
      <c r="H83">
        <f>54.64/(1000*0.154)</f>
        <v>0.35480519480519479</v>
      </c>
      <c r="I83" t="s">
        <v>30</v>
      </c>
      <c r="J83" t="s">
        <v>23</v>
      </c>
      <c r="O83" t="s">
        <v>54</v>
      </c>
    </row>
    <row r="84" spans="1:15" x14ac:dyDescent="0.25">
      <c r="A84" t="s">
        <v>120</v>
      </c>
      <c r="B84" t="s">
        <v>63</v>
      </c>
      <c r="C84" t="s">
        <v>63</v>
      </c>
      <c r="D84" t="s">
        <v>17</v>
      </c>
      <c r="E84" t="s">
        <v>18</v>
      </c>
      <c r="F84" t="s">
        <v>21</v>
      </c>
      <c r="G84" t="s">
        <v>123</v>
      </c>
      <c r="H84">
        <f>-2.27/(2.27+0.68+2.1+2.7)*1.155/0.154</f>
        <v>-2.1967741935483867</v>
      </c>
      <c r="I84" t="s">
        <v>17</v>
      </c>
      <c r="J84" t="s">
        <v>23</v>
      </c>
      <c r="O84" t="s">
        <v>54</v>
      </c>
    </row>
    <row r="85" spans="1:15" x14ac:dyDescent="0.25">
      <c r="A85" t="s">
        <v>120</v>
      </c>
      <c r="B85" t="s">
        <v>63</v>
      </c>
      <c r="C85" t="s">
        <v>63</v>
      </c>
      <c r="D85" t="s">
        <v>17</v>
      </c>
      <c r="E85" t="s">
        <v>18</v>
      </c>
      <c r="F85" t="s">
        <v>21</v>
      </c>
      <c r="G85" t="s">
        <v>40</v>
      </c>
      <c r="H85">
        <f>-0.68/(2.27+0.68+2.1+2.7)*1.155/0.154</f>
        <v>-0.65806451612903227</v>
      </c>
      <c r="I85" t="s">
        <v>17</v>
      </c>
      <c r="J85" t="s">
        <v>23</v>
      </c>
      <c r="O85" t="s">
        <v>54</v>
      </c>
    </row>
    <row r="86" spans="1:15" x14ac:dyDescent="0.25">
      <c r="A86" t="s">
        <v>120</v>
      </c>
      <c r="B86" t="s">
        <v>64</v>
      </c>
      <c r="C86" t="s">
        <v>64</v>
      </c>
      <c r="D86" t="s">
        <v>17</v>
      </c>
      <c r="E86" t="s">
        <v>18</v>
      </c>
      <c r="F86" t="s">
        <v>120</v>
      </c>
      <c r="G86" t="s">
        <v>64</v>
      </c>
      <c r="H86">
        <v>1</v>
      </c>
      <c r="I86" t="s">
        <v>17</v>
      </c>
      <c r="J86" t="s">
        <v>19</v>
      </c>
      <c r="O86" t="s">
        <v>65</v>
      </c>
    </row>
    <row r="87" spans="1:15" x14ac:dyDescent="0.25">
      <c r="A87" t="s">
        <v>120</v>
      </c>
      <c r="B87" t="s">
        <v>64</v>
      </c>
      <c r="C87" t="s">
        <v>64</v>
      </c>
      <c r="D87" t="s">
        <v>17</v>
      </c>
      <c r="E87" t="s">
        <v>18</v>
      </c>
      <c r="F87" t="s">
        <v>21</v>
      </c>
      <c r="G87" t="s">
        <v>22</v>
      </c>
      <c r="H87">
        <v>1</v>
      </c>
      <c r="I87" t="s">
        <v>17</v>
      </c>
      <c r="J87" t="s">
        <v>23</v>
      </c>
      <c r="O87" t="s">
        <v>65</v>
      </c>
    </row>
    <row r="88" spans="1:15" x14ac:dyDescent="0.25">
      <c r="A88" t="s">
        <v>120</v>
      </c>
      <c r="B88" t="s">
        <v>64</v>
      </c>
      <c r="C88" t="s">
        <v>64</v>
      </c>
      <c r="D88" t="s">
        <v>17</v>
      </c>
      <c r="E88" t="s">
        <v>18</v>
      </c>
      <c r="F88" t="s">
        <v>21</v>
      </c>
      <c r="G88" t="s">
        <v>66</v>
      </c>
      <c r="H88">
        <v>2.2999999999999998</v>
      </c>
      <c r="I88" t="s">
        <v>17</v>
      </c>
      <c r="J88" t="s">
        <v>23</v>
      </c>
      <c r="O88" t="s">
        <v>65</v>
      </c>
    </row>
    <row r="89" spans="1:15" x14ac:dyDescent="0.25">
      <c r="A89" t="s">
        <v>120</v>
      </c>
      <c r="B89" t="s">
        <v>64</v>
      </c>
      <c r="C89" t="s">
        <v>64</v>
      </c>
      <c r="D89" t="s">
        <v>17</v>
      </c>
      <c r="E89" t="s">
        <v>18</v>
      </c>
      <c r="F89" t="s">
        <v>21</v>
      </c>
      <c r="G89" t="s">
        <v>67</v>
      </c>
      <c r="H89">
        <v>0.25</v>
      </c>
      <c r="I89" t="s">
        <v>17</v>
      </c>
      <c r="J89" t="s">
        <v>23</v>
      </c>
      <c r="O89" t="s">
        <v>65</v>
      </c>
    </row>
    <row r="90" spans="1:15" x14ac:dyDescent="0.25">
      <c r="A90" t="s">
        <v>120</v>
      </c>
      <c r="B90" t="s">
        <v>64</v>
      </c>
      <c r="C90" t="s">
        <v>64</v>
      </c>
      <c r="D90" t="s">
        <v>17</v>
      </c>
      <c r="E90" t="s">
        <v>18</v>
      </c>
      <c r="F90" t="s">
        <v>21</v>
      </c>
      <c r="G90" t="s">
        <v>29</v>
      </c>
      <c r="H90">
        <f>364/1000+0.1195</f>
        <v>0.48349999999999999</v>
      </c>
      <c r="I90" t="s">
        <v>30</v>
      </c>
      <c r="J90" t="s">
        <v>23</v>
      </c>
      <c r="O90" t="s">
        <v>65</v>
      </c>
    </row>
    <row r="91" spans="1:15" x14ac:dyDescent="0.25">
      <c r="A91" t="s">
        <v>120</v>
      </c>
      <c r="B91" t="s">
        <v>64</v>
      </c>
      <c r="C91" t="s">
        <v>64</v>
      </c>
      <c r="D91" t="s">
        <v>17</v>
      </c>
      <c r="E91" t="s">
        <v>18</v>
      </c>
      <c r="F91" t="s">
        <v>21</v>
      </c>
      <c r="G91" t="s">
        <v>33</v>
      </c>
      <c r="H91">
        <f>292*3.6/1000</f>
        <v>1.0512000000000001</v>
      </c>
      <c r="I91" t="s">
        <v>34</v>
      </c>
      <c r="J91" t="s">
        <v>23</v>
      </c>
      <c r="O91" t="s">
        <v>65</v>
      </c>
    </row>
    <row r="92" spans="1:15" x14ac:dyDescent="0.25">
      <c r="A92" t="s">
        <v>120</v>
      </c>
      <c r="B92" t="s">
        <v>64</v>
      </c>
      <c r="C92" t="s">
        <v>64</v>
      </c>
      <c r="D92" t="s">
        <v>17</v>
      </c>
      <c r="E92" t="s">
        <v>18</v>
      </c>
      <c r="F92" t="s">
        <v>21</v>
      </c>
      <c r="G92" t="s">
        <v>121</v>
      </c>
      <c r="H92">
        <v>-1.92</v>
      </c>
      <c r="I92" t="s">
        <v>17</v>
      </c>
      <c r="J92" t="s">
        <v>23</v>
      </c>
      <c r="O92" t="s">
        <v>65</v>
      </c>
    </row>
    <row r="93" spans="1:15" x14ac:dyDescent="0.25">
      <c r="A93" t="s">
        <v>120</v>
      </c>
      <c r="B93" t="s">
        <v>64</v>
      </c>
      <c r="C93" t="s">
        <v>64</v>
      </c>
      <c r="D93" t="s">
        <v>17</v>
      </c>
      <c r="E93" t="s">
        <v>18</v>
      </c>
      <c r="F93" t="s">
        <v>21</v>
      </c>
      <c r="G93" t="s">
        <v>40</v>
      </c>
      <c r="H93">
        <v>-0.91</v>
      </c>
      <c r="I93" t="s">
        <v>17</v>
      </c>
      <c r="J93" t="s">
        <v>23</v>
      </c>
      <c r="O93" t="s">
        <v>65</v>
      </c>
    </row>
    <row r="94" spans="1:15" x14ac:dyDescent="0.25">
      <c r="A94" t="s">
        <v>120</v>
      </c>
      <c r="B94" t="s">
        <v>64</v>
      </c>
      <c r="C94" t="s">
        <v>64</v>
      </c>
      <c r="D94" t="s">
        <v>17</v>
      </c>
      <c r="E94" t="s">
        <v>18</v>
      </c>
      <c r="F94" t="s">
        <v>21</v>
      </c>
      <c r="G94" t="s">
        <v>66</v>
      </c>
      <c r="H94">
        <v>-0.18</v>
      </c>
      <c r="I94" t="s">
        <v>17</v>
      </c>
      <c r="J94" t="s">
        <v>23</v>
      </c>
      <c r="O94" t="s">
        <v>65</v>
      </c>
    </row>
    <row r="95" spans="1:15" x14ac:dyDescent="0.25">
      <c r="A95" t="s">
        <v>120</v>
      </c>
      <c r="B95" t="s">
        <v>64</v>
      </c>
      <c r="C95" t="s">
        <v>64</v>
      </c>
      <c r="D95" t="s">
        <v>17</v>
      </c>
      <c r="E95" t="s">
        <v>18</v>
      </c>
      <c r="F95" t="s">
        <v>21</v>
      </c>
      <c r="G95" t="s">
        <v>67</v>
      </c>
      <c r="H95">
        <f>-0.25</f>
        <v>-0.25</v>
      </c>
      <c r="I95" t="s">
        <v>17</v>
      </c>
      <c r="J95" t="s">
        <v>23</v>
      </c>
      <c r="O95" t="s">
        <v>65</v>
      </c>
    </row>
    <row r="96" spans="1:15" x14ac:dyDescent="0.25">
      <c r="A96" t="s">
        <v>120</v>
      </c>
      <c r="B96" t="s">
        <v>68</v>
      </c>
      <c r="C96" t="s">
        <v>68</v>
      </c>
      <c r="D96" t="s">
        <v>17</v>
      </c>
      <c r="E96" t="s">
        <v>18</v>
      </c>
      <c r="F96" t="s">
        <v>120</v>
      </c>
      <c r="G96" t="s">
        <v>68</v>
      </c>
      <c r="H96">
        <v>1</v>
      </c>
      <c r="I96" t="s">
        <v>17</v>
      </c>
      <c r="J96" t="s">
        <v>19</v>
      </c>
      <c r="O96" t="s">
        <v>65</v>
      </c>
    </row>
    <row r="97" spans="1:15" x14ac:dyDescent="0.25">
      <c r="A97" t="s">
        <v>120</v>
      </c>
      <c r="B97" t="s">
        <v>68</v>
      </c>
      <c r="C97" t="s">
        <v>68</v>
      </c>
      <c r="D97" t="s">
        <v>17</v>
      </c>
      <c r="E97" t="s">
        <v>18</v>
      </c>
      <c r="F97" t="s">
        <v>21</v>
      </c>
      <c r="G97" t="s">
        <v>55</v>
      </c>
      <c r="H97">
        <v>1</v>
      </c>
      <c r="I97" t="s">
        <v>17</v>
      </c>
      <c r="J97" t="s">
        <v>23</v>
      </c>
      <c r="O97" t="s">
        <v>65</v>
      </c>
    </row>
    <row r="98" spans="1:15" x14ac:dyDescent="0.25">
      <c r="A98" t="s">
        <v>120</v>
      </c>
      <c r="B98" t="s">
        <v>68</v>
      </c>
      <c r="C98" t="s">
        <v>68</v>
      </c>
      <c r="D98" t="s">
        <v>17</v>
      </c>
      <c r="E98" t="s">
        <v>18</v>
      </c>
      <c r="F98" t="s">
        <v>21</v>
      </c>
      <c r="G98" t="s">
        <v>66</v>
      </c>
      <c r="H98">
        <v>3.44</v>
      </c>
      <c r="I98" t="s">
        <v>17</v>
      </c>
      <c r="J98" t="s">
        <v>23</v>
      </c>
      <c r="O98" t="s">
        <v>65</v>
      </c>
    </row>
    <row r="99" spans="1:15" x14ac:dyDescent="0.25">
      <c r="A99" t="s">
        <v>120</v>
      </c>
      <c r="B99" t="s">
        <v>68</v>
      </c>
      <c r="C99" t="s">
        <v>68</v>
      </c>
      <c r="D99" t="s">
        <v>17</v>
      </c>
      <c r="E99" t="s">
        <v>18</v>
      </c>
      <c r="F99" t="s">
        <v>21</v>
      </c>
      <c r="G99" t="s">
        <v>67</v>
      </c>
      <c r="H99">
        <v>0.38</v>
      </c>
      <c r="I99" t="s">
        <v>17</v>
      </c>
      <c r="J99" t="s">
        <v>23</v>
      </c>
      <c r="O99" t="s">
        <v>65</v>
      </c>
    </row>
    <row r="100" spans="1:15" x14ac:dyDescent="0.25">
      <c r="A100" t="s">
        <v>120</v>
      </c>
      <c r="B100" t="s">
        <v>68</v>
      </c>
      <c r="C100" t="s">
        <v>68</v>
      </c>
      <c r="D100" t="s">
        <v>17</v>
      </c>
      <c r="E100" t="s">
        <v>18</v>
      </c>
      <c r="F100" t="s">
        <v>21</v>
      </c>
      <c r="G100" t="s">
        <v>29</v>
      </c>
      <c r="H100">
        <f>434/1000+0.2227</f>
        <v>0.65670000000000006</v>
      </c>
      <c r="I100" t="s">
        <v>30</v>
      </c>
      <c r="J100" t="s">
        <v>23</v>
      </c>
      <c r="O100" t="s">
        <v>65</v>
      </c>
    </row>
    <row r="101" spans="1:15" x14ac:dyDescent="0.25">
      <c r="A101" t="s">
        <v>120</v>
      </c>
      <c r="B101" t="s">
        <v>68</v>
      </c>
      <c r="C101" t="s">
        <v>68</v>
      </c>
      <c r="D101" t="s">
        <v>17</v>
      </c>
      <c r="E101" t="s">
        <v>18</v>
      </c>
      <c r="F101" t="s">
        <v>21</v>
      </c>
      <c r="G101" t="s">
        <v>33</v>
      </c>
      <c r="H101">
        <f>510*3.6/1000</f>
        <v>1.8360000000000001</v>
      </c>
      <c r="I101" t="s">
        <v>34</v>
      </c>
      <c r="J101" t="s">
        <v>23</v>
      </c>
      <c r="O101" t="s">
        <v>65</v>
      </c>
    </row>
    <row r="102" spans="1:15" x14ac:dyDescent="0.25">
      <c r="A102" t="s">
        <v>120</v>
      </c>
      <c r="B102" t="s">
        <v>68</v>
      </c>
      <c r="C102" t="s">
        <v>68</v>
      </c>
      <c r="D102" t="s">
        <v>17</v>
      </c>
      <c r="E102" t="s">
        <v>18</v>
      </c>
      <c r="F102" t="s">
        <v>21</v>
      </c>
      <c r="G102" t="s">
        <v>121</v>
      </c>
      <c r="H102">
        <v>-1.92</v>
      </c>
      <c r="I102" t="s">
        <v>17</v>
      </c>
      <c r="J102" t="s">
        <v>23</v>
      </c>
      <c r="O102" t="s">
        <v>65</v>
      </c>
    </row>
    <row r="103" spans="1:15" x14ac:dyDescent="0.25">
      <c r="A103" t="s">
        <v>120</v>
      </c>
      <c r="B103" t="s">
        <v>68</v>
      </c>
      <c r="C103" t="s">
        <v>68</v>
      </c>
      <c r="D103" t="s">
        <v>17</v>
      </c>
      <c r="E103" t="s">
        <v>18</v>
      </c>
      <c r="F103" t="s">
        <v>21</v>
      </c>
      <c r="G103" t="s">
        <v>40</v>
      </c>
      <c r="H103">
        <v>-0.91</v>
      </c>
      <c r="I103" t="s">
        <v>17</v>
      </c>
      <c r="J103" t="s">
        <v>23</v>
      </c>
      <c r="O103" t="s">
        <v>65</v>
      </c>
    </row>
    <row r="104" spans="1:15" x14ac:dyDescent="0.25">
      <c r="A104" t="s">
        <v>120</v>
      </c>
      <c r="B104" t="s">
        <v>68</v>
      </c>
      <c r="C104" t="s">
        <v>68</v>
      </c>
      <c r="D104" t="s">
        <v>17</v>
      </c>
      <c r="E104" t="s">
        <v>18</v>
      </c>
      <c r="F104" t="s">
        <v>21</v>
      </c>
      <c r="G104" t="s">
        <v>66</v>
      </c>
      <c r="H104">
        <v>-1.33</v>
      </c>
      <c r="I104" t="s">
        <v>17</v>
      </c>
      <c r="J104" t="s">
        <v>23</v>
      </c>
      <c r="O104" t="s">
        <v>65</v>
      </c>
    </row>
    <row r="105" spans="1:15" x14ac:dyDescent="0.25">
      <c r="A105" t="s">
        <v>120</v>
      </c>
      <c r="B105" t="s">
        <v>68</v>
      </c>
      <c r="C105" t="s">
        <v>68</v>
      </c>
      <c r="D105" t="s">
        <v>17</v>
      </c>
      <c r="E105" t="s">
        <v>18</v>
      </c>
      <c r="F105" t="s">
        <v>21</v>
      </c>
      <c r="G105" t="s">
        <v>67</v>
      </c>
      <c r="H105">
        <v>-0.38</v>
      </c>
      <c r="I105" t="s">
        <v>17</v>
      </c>
      <c r="J105" t="s">
        <v>23</v>
      </c>
      <c r="O105" t="s">
        <v>65</v>
      </c>
    </row>
    <row r="106" spans="1:15" x14ac:dyDescent="0.25">
      <c r="A106" t="s">
        <v>120</v>
      </c>
      <c r="B106" t="s">
        <v>69</v>
      </c>
      <c r="C106" t="s">
        <v>69</v>
      </c>
      <c r="D106" t="s">
        <v>17</v>
      </c>
      <c r="E106" t="s">
        <v>18</v>
      </c>
      <c r="F106" t="s">
        <v>120</v>
      </c>
      <c r="G106" t="s">
        <v>69</v>
      </c>
      <c r="H106">
        <v>1</v>
      </c>
      <c r="I106" t="s">
        <v>17</v>
      </c>
      <c r="J106" t="s">
        <v>19</v>
      </c>
      <c r="O106" t="s">
        <v>65</v>
      </c>
    </row>
    <row r="107" spans="1:15" x14ac:dyDescent="0.25">
      <c r="A107" t="s">
        <v>120</v>
      </c>
      <c r="B107" t="s">
        <v>69</v>
      </c>
      <c r="C107" t="s">
        <v>69</v>
      </c>
      <c r="D107" t="s">
        <v>17</v>
      </c>
      <c r="E107" t="s">
        <v>18</v>
      </c>
      <c r="F107" t="s">
        <v>21</v>
      </c>
      <c r="G107" t="s">
        <v>22</v>
      </c>
      <c r="H107">
        <v>1</v>
      </c>
      <c r="I107" t="s">
        <v>17</v>
      </c>
      <c r="J107" t="s">
        <v>23</v>
      </c>
      <c r="O107" t="s">
        <v>65</v>
      </c>
    </row>
    <row r="108" spans="1:15" x14ac:dyDescent="0.25">
      <c r="A108" t="s">
        <v>120</v>
      </c>
      <c r="B108" t="s">
        <v>69</v>
      </c>
      <c r="C108" t="s">
        <v>69</v>
      </c>
      <c r="D108" t="s">
        <v>17</v>
      </c>
      <c r="E108" t="s">
        <v>18</v>
      </c>
      <c r="F108" t="s">
        <v>21</v>
      </c>
      <c r="G108" t="s">
        <v>51</v>
      </c>
      <c r="H108">
        <f>1.97+0.5</f>
        <v>2.4699999999999998</v>
      </c>
      <c r="I108" t="s">
        <v>17</v>
      </c>
      <c r="J108" t="s">
        <v>23</v>
      </c>
      <c r="O108" t="s">
        <v>70</v>
      </c>
    </row>
    <row r="109" spans="1:15" x14ac:dyDescent="0.25">
      <c r="A109" t="s">
        <v>120</v>
      </c>
      <c r="B109" t="s">
        <v>69</v>
      </c>
      <c r="C109" t="s">
        <v>69</v>
      </c>
      <c r="D109" t="s">
        <v>17</v>
      </c>
      <c r="E109" t="s">
        <v>18</v>
      </c>
      <c r="F109" t="s">
        <v>21</v>
      </c>
      <c r="G109" t="s">
        <v>29</v>
      </c>
      <c r="H109">
        <f>763/1000+0.1309</f>
        <v>0.89390000000000003</v>
      </c>
      <c r="I109" t="s">
        <v>30</v>
      </c>
      <c r="J109" t="s">
        <v>23</v>
      </c>
      <c r="O109" t="s">
        <v>65</v>
      </c>
    </row>
    <row r="110" spans="1:15" x14ac:dyDescent="0.25">
      <c r="A110" t="s">
        <v>120</v>
      </c>
      <c r="B110" t="s">
        <v>69</v>
      </c>
      <c r="C110" t="s">
        <v>69</v>
      </c>
      <c r="D110" t="s">
        <v>17</v>
      </c>
      <c r="E110" t="s">
        <v>18</v>
      </c>
      <c r="F110" t="s">
        <v>21</v>
      </c>
      <c r="G110" t="s">
        <v>121</v>
      </c>
      <c r="H110">
        <f>-0.68</f>
        <v>-0.68</v>
      </c>
      <c r="I110" t="s">
        <v>17</v>
      </c>
      <c r="J110" t="s">
        <v>23</v>
      </c>
      <c r="O110" t="s">
        <v>65</v>
      </c>
    </row>
    <row r="111" spans="1:15" x14ac:dyDescent="0.25">
      <c r="A111" t="s">
        <v>120</v>
      </c>
      <c r="B111" t="s">
        <v>69</v>
      </c>
      <c r="C111" t="s">
        <v>69</v>
      </c>
      <c r="D111" t="s">
        <v>17</v>
      </c>
      <c r="E111" t="s">
        <v>18</v>
      </c>
      <c r="F111" t="s">
        <v>21</v>
      </c>
      <c r="G111" t="s">
        <v>40</v>
      </c>
      <c r="H111">
        <v>-1.92</v>
      </c>
      <c r="I111" t="s">
        <v>17</v>
      </c>
      <c r="J111" t="s">
        <v>23</v>
      </c>
      <c r="O111" t="s">
        <v>65</v>
      </c>
    </row>
    <row r="112" spans="1:15" x14ac:dyDescent="0.25">
      <c r="A112" t="s">
        <v>120</v>
      </c>
      <c r="B112" t="s">
        <v>69</v>
      </c>
      <c r="C112" t="s">
        <v>69</v>
      </c>
      <c r="D112" t="s">
        <v>17</v>
      </c>
      <c r="E112" t="s">
        <v>18</v>
      </c>
      <c r="F112" t="s">
        <v>21</v>
      </c>
      <c r="G112" t="s">
        <v>51</v>
      </c>
      <c r="H112">
        <v>-0.37</v>
      </c>
      <c r="I112" t="s">
        <v>17</v>
      </c>
      <c r="J112" t="s">
        <v>23</v>
      </c>
      <c r="O112" t="s">
        <v>65</v>
      </c>
    </row>
    <row r="113" spans="1:15" x14ac:dyDescent="0.25">
      <c r="A113" t="s">
        <v>120</v>
      </c>
      <c r="B113" t="s">
        <v>69</v>
      </c>
      <c r="C113" t="s">
        <v>69</v>
      </c>
      <c r="D113" t="s">
        <v>17</v>
      </c>
      <c r="E113" t="s">
        <v>18</v>
      </c>
      <c r="F113" t="s">
        <v>21</v>
      </c>
      <c r="G113" t="s">
        <v>71</v>
      </c>
      <c r="H113">
        <v>-0.5</v>
      </c>
      <c r="I113" t="s">
        <v>17</v>
      </c>
      <c r="J113" t="s">
        <v>23</v>
      </c>
      <c r="O113" t="s">
        <v>65</v>
      </c>
    </row>
    <row r="114" spans="1:15" x14ac:dyDescent="0.25">
      <c r="A114" t="s">
        <v>120</v>
      </c>
      <c r="B114" t="s">
        <v>72</v>
      </c>
      <c r="C114" t="s">
        <v>72</v>
      </c>
      <c r="D114" t="s">
        <v>17</v>
      </c>
      <c r="E114" t="s">
        <v>18</v>
      </c>
      <c r="F114" t="s">
        <v>120</v>
      </c>
      <c r="G114" t="s">
        <v>72</v>
      </c>
      <c r="H114">
        <v>1</v>
      </c>
      <c r="I114" t="s">
        <v>17</v>
      </c>
      <c r="J114" t="s">
        <v>19</v>
      </c>
      <c r="O114" t="s">
        <v>65</v>
      </c>
    </row>
    <row r="115" spans="1:15" x14ac:dyDescent="0.25">
      <c r="A115" t="s">
        <v>120</v>
      </c>
      <c r="B115" t="s">
        <v>72</v>
      </c>
      <c r="C115" t="s">
        <v>72</v>
      </c>
      <c r="D115" t="s">
        <v>17</v>
      </c>
      <c r="E115" t="s">
        <v>18</v>
      </c>
      <c r="F115" t="s">
        <v>21</v>
      </c>
      <c r="G115" t="s">
        <v>22</v>
      </c>
      <c r="H115">
        <v>1</v>
      </c>
      <c r="I115" t="s">
        <v>17</v>
      </c>
      <c r="J115" t="s">
        <v>23</v>
      </c>
      <c r="O115" t="s">
        <v>65</v>
      </c>
    </row>
    <row r="116" spans="1:15" x14ac:dyDescent="0.25">
      <c r="A116" t="s">
        <v>120</v>
      </c>
      <c r="B116" t="s">
        <v>72</v>
      </c>
      <c r="C116" t="s">
        <v>72</v>
      </c>
      <c r="D116" t="s">
        <v>17</v>
      </c>
      <c r="E116" t="s">
        <v>18</v>
      </c>
      <c r="F116" t="s">
        <v>21</v>
      </c>
      <c r="G116" t="s">
        <v>51</v>
      </c>
      <c r="H116">
        <v>2</v>
      </c>
      <c r="I116" t="s">
        <v>17</v>
      </c>
      <c r="J116" t="s">
        <v>23</v>
      </c>
      <c r="O116" t="s">
        <v>70</v>
      </c>
    </row>
    <row r="117" spans="1:15" x14ac:dyDescent="0.25">
      <c r="A117" t="s">
        <v>120</v>
      </c>
      <c r="B117" t="s">
        <v>72</v>
      </c>
      <c r="C117" t="s">
        <v>72</v>
      </c>
      <c r="D117" t="s">
        <v>17</v>
      </c>
      <c r="E117" t="s">
        <v>18</v>
      </c>
      <c r="F117" t="s">
        <v>21</v>
      </c>
      <c r="G117" t="s">
        <v>29</v>
      </c>
      <c r="H117">
        <f>596/1000+0.1138</f>
        <v>0.70979999999999999</v>
      </c>
      <c r="I117" t="s">
        <v>30</v>
      </c>
      <c r="J117" t="s">
        <v>23</v>
      </c>
      <c r="O117" t="s">
        <v>65</v>
      </c>
    </row>
    <row r="118" spans="1:15" x14ac:dyDescent="0.25">
      <c r="A118" t="s">
        <v>120</v>
      </c>
      <c r="B118" t="s">
        <v>72</v>
      </c>
      <c r="C118" t="s">
        <v>72</v>
      </c>
      <c r="D118" t="s">
        <v>17</v>
      </c>
      <c r="E118" t="s">
        <v>18</v>
      </c>
      <c r="F118" t="s">
        <v>21</v>
      </c>
      <c r="G118" t="s">
        <v>121</v>
      </c>
      <c r="H118">
        <v>-1.92</v>
      </c>
      <c r="I118" t="s">
        <v>17</v>
      </c>
      <c r="J118" t="s">
        <v>23</v>
      </c>
      <c r="O118" t="s">
        <v>65</v>
      </c>
    </row>
    <row r="119" spans="1:15" x14ac:dyDescent="0.25">
      <c r="A119" t="s">
        <v>120</v>
      </c>
      <c r="B119" t="s">
        <v>72</v>
      </c>
      <c r="C119" t="s">
        <v>72</v>
      </c>
      <c r="D119" t="s">
        <v>17</v>
      </c>
      <c r="E119" t="s">
        <v>18</v>
      </c>
      <c r="F119" t="s">
        <v>21</v>
      </c>
      <c r="G119" t="s">
        <v>40</v>
      </c>
      <c r="H119">
        <v>-0.68</v>
      </c>
      <c r="I119" t="s">
        <v>17</v>
      </c>
      <c r="J119" t="s">
        <v>23</v>
      </c>
      <c r="O119" t="s">
        <v>65</v>
      </c>
    </row>
    <row r="120" spans="1:15" x14ac:dyDescent="0.25">
      <c r="A120" t="s">
        <v>120</v>
      </c>
      <c r="B120" t="s">
        <v>72</v>
      </c>
      <c r="C120" t="s">
        <v>72</v>
      </c>
      <c r="D120" t="s">
        <v>17</v>
      </c>
      <c r="E120" t="s">
        <v>18</v>
      </c>
      <c r="F120" t="s">
        <v>21</v>
      </c>
      <c r="G120" t="s">
        <v>71</v>
      </c>
      <c r="H120">
        <v>-0.4</v>
      </c>
      <c r="I120" t="s">
        <v>17</v>
      </c>
      <c r="J120" t="s">
        <v>23</v>
      </c>
      <c r="O120" t="s">
        <v>65</v>
      </c>
    </row>
    <row r="121" spans="1:15" x14ac:dyDescent="0.25">
      <c r="A121" t="s">
        <v>120</v>
      </c>
      <c r="B121" t="s">
        <v>73</v>
      </c>
      <c r="C121" t="s">
        <v>73</v>
      </c>
      <c r="D121" t="s">
        <v>17</v>
      </c>
      <c r="E121" t="s">
        <v>18</v>
      </c>
      <c r="F121" t="s">
        <v>120</v>
      </c>
      <c r="G121" t="s">
        <v>73</v>
      </c>
      <c r="H121">
        <v>1</v>
      </c>
      <c r="I121" t="s">
        <v>17</v>
      </c>
      <c r="J121" t="s">
        <v>19</v>
      </c>
      <c r="O121" t="s">
        <v>65</v>
      </c>
    </row>
    <row r="122" spans="1:15" x14ac:dyDescent="0.25">
      <c r="A122" t="s">
        <v>120</v>
      </c>
      <c r="B122" t="s">
        <v>73</v>
      </c>
      <c r="C122" t="s">
        <v>73</v>
      </c>
      <c r="D122" t="s">
        <v>17</v>
      </c>
      <c r="E122" t="s">
        <v>18</v>
      </c>
      <c r="F122" t="s">
        <v>21</v>
      </c>
      <c r="G122" t="s">
        <v>55</v>
      </c>
      <c r="H122">
        <v>1</v>
      </c>
      <c r="I122" t="s">
        <v>17</v>
      </c>
      <c r="J122" t="s">
        <v>23</v>
      </c>
      <c r="O122" t="s">
        <v>65</v>
      </c>
    </row>
    <row r="123" spans="1:15" x14ac:dyDescent="0.25">
      <c r="A123" t="s">
        <v>120</v>
      </c>
      <c r="B123" t="s">
        <v>73</v>
      </c>
      <c r="C123" t="s">
        <v>73</v>
      </c>
      <c r="D123" t="s">
        <v>17</v>
      </c>
      <c r="E123" t="s">
        <v>18</v>
      </c>
      <c r="F123" t="s">
        <v>21</v>
      </c>
      <c r="G123" t="s">
        <v>56</v>
      </c>
      <c r="H123">
        <v>4.05</v>
      </c>
      <c r="I123" t="s">
        <v>17</v>
      </c>
      <c r="J123" t="s">
        <v>23</v>
      </c>
      <c r="O123" t="s">
        <v>65</v>
      </c>
    </row>
    <row r="124" spans="1:15" x14ac:dyDescent="0.25">
      <c r="A124" t="s">
        <v>120</v>
      </c>
      <c r="B124" t="s">
        <v>73</v>
      </c>
      <c r="C124" t="s">
        <v>73</v>
      </c>
      <c r="D124" t="s">
        <v>17</v>
      </c>
      <c r="E124" t="s">
        <v>18</v>
      </c>
      <c r="F124" t="s">
        <v>21</v>
      </c>
      <c r="G124" t="s">
        <v>71</v>
      </c>
      <c r="H124">
        <v>2.7</v>
      </c>
      <c r="I124" t="s">
        <v>17</v>
      </c>
      <c r="J124" t="s">
        <v>23</v>
      </c>
      <c r="O124" t="s">
        <v>65</v>
      </c>
    </row>
    <row r="125" spans="1:15" x14ac:dyDescent="0.25">
      <c r="A125" t="s">
        <v>120</v>
      </c>
      <c r="B125" t="s">
        <v>73</v>
      </c>
      <c r="C125" t="s">
        <v>73</v>
      </c>
      <c r="D125" t="s">
        <v>17</v>
      </c>
      <c r="E125" t="s">
        <v>18</v>
      </c>
      <c r="F125" t="s">
        <v>21</v>
      </c>
      <c r="G125" t="s">
        <v>29</v>
      </c>
      <c r="H125">
        <f>774/1000</f>
        <v>0.77400000000000002</v>
      </c>
      <c r="I125" t="s">
        <v>30</v>
      </c>
      <c r="J125" t="s">
        <v>23</v>
      </c>
      <c r="O125" t="s">
        <v>65</v>
      </c>
    </row>
    <row r="126" spans="1:15" x14ac:dyDescent="0.25">
      <c r="A126" t="s">
        <v>120</v>
      </c>
      <c r="B126" t="s">
        <v>73</v>
      </c>
      <c r="C126" t="s">
        <v>73</v>
      </c>
      <c r="D126" t="s">
        <v>17</v>
      </c>
      <c r="E126" t="s">
        <v>18</v>
      </c>
      <c r="F126" t="s">
        <v>21</v>
      </c>
      <c r="G126" t="s">
        <v>123</v>
      </c>
      <c r="H126">
        <v>-2.27</v>
      </c>
      <c r="I126" t="s">
        <v>17</v>
      </c>
      <c r="J126" t="s">
        <v>23</v>
      </c>
      <c r="O126" t="s">
        <v>65</v>
      </c>
    </row>
    <row r="127" spans="1:15" x14ac:dyDescent="0.25">
      <c r="A127" t="s">
        <v>120</v>
      </c>
      <c r="B127" t="s">
        <v>73</v>
      </c>
      <c r="C127" t="s">
        <v>73</v>
      </c>
      <c r="D127" t="s">
        <v>17</v>
      </c>
      <c r="E127" t="s">
        <v>18</v>
      </c>
      <c r="F127" t="s">
        <v>21</v>
      </c>
      <c r="G127" t="s">
        <v>40</v>
      </c>
      <c r="H127">
        <v>-0.68</v>
      </c>
      <c r="I127" t="s">
        <v>17</v>
      </c>
      <c r="J127" t="s">
        <v>23</v>
      </c>
      <c r="O127" t="s">
        <v>65</v>
      </c>
    </row>
    <row r="128" spans="1:15" x14ac:dyDescent="0.25">
      <c r="A128" t="s">
        <v>120</v>
      </c>
      <c r="B128" t="s">
        <v>73</v>
      </c>
      <c r="C128" t="s">
        <v>73</v>
      </c>
      <c r="D128" t="s">
        <v>17</v>
      </c>
      <c r="E128" t="s">
        <v>18</v>
      </c>
      <c r="F128" t="s">
        <v>21</v>
      </c>
      <c r="G128" t="s">
        <v>56</v>
      </c>
      <c r="H128">
        <v>-2.1</v>
      </c>
      <c r="I128" t="s">
        <v>17</v>
      </c>
      <c r="J128" t="s">
        <v>23</v>
      </c>
      <c r="O128" t="s">
        <v>65</v>
      </c>
    </row>
    <row r="129" spans="1:15" x14ac:dyDescent="0.25">
      <c r="A129" t="s">
        <v>120</v>
      </c>
      <c r="B129" t="s">
        <v>73</v>
      </c>
      <c r="C129" t="s">
        <v>73</v>
      </c>
      <c r="D129" t="s">
        <v>17</v>
      </c>
      <c r="E129" t="s">
        <v>18</v>
      </c>
      <c r="F129" t="s">
        <v>21</v>
      </c>
      <c r="G129" t="s">
        <v>71</v>
      </c>
      <c r="H129">
        <v>-2.7</v>
      </c>
      <c r="I129" t="s">
        <v>17</v>
      </c>
      <c r="J129" t="s">
        <v>23</v>
      </c>
      <c r="O129" t="s">
        <v>65</v>
      </c>
    </row>
    <row r="130" spans="1:15" x14ac:dyDescent="0.25">
      <c r="A130" t="s">
        <v>120</v>
      </c>
      <c r="B130" t="s">
        <v>74</v>
      </c>
      <c r="C130" t="s">
        <v>74</v>
      </c>
      <c r="D130" t="s">
        <v>17</v>
      </c>
      <c r="E130" t="s">
        <v>18</v>
      </c>
      <c r="F130" t="s">
        <v>120</v>
      </c>
      <c r="G130" t="s">
        <v>74</v>
      </c>
      <c r="H130">
        <v>1</v>
      </c>
      <c r="I130" t="s">
        <v>17</v>
      </c>
      <c r="J130" t="s">
        <v>19</v>
      </c>
      <c r="O130" t="s">
        <v>54</v>
      </c>
    </row>
    <row r="131" spans="1:15" x14ac:dyDescent="0.25">
      <c r="A131" t="s">
        <v>120</v>
      </c>
      <c r="B131" t="s">
        <v>74</v>
      </c>
      <c r="C131" t="s">
        <v>74</v>
      </c>
      <c r="D131" t="s">
        <v>17</v>
      </c>
      <c r="E131" t="s">
        <v>18</v>
      </c>
      <c r="F131" t="s">
        <v>21</v>
      </c>
      <c r="G131" t="s">
        <v>55</v>
      </c>
      <c r="H131">
        <v>1</v>
      </c>
      <c r="I131" t="s">
        <v>17</v>
      </c>
      <c r="J131" t="s">
        <v>23</v>
      </c>
      <c r="O131" t="s">
        <v>54</v>
      </c>
    </row>
    <row r="132" spans="1:15" x14ac:dyDescent="0.25">
      <c r="A132" t="s">
        <v>120</v>
      </c>
      <c r="B132" t="s">
        <v>74</v>
      </c>
      <c r="C132" t="s">
        <v>74</v>
      </c>
      <c r="D132" t="s">
        <v>17</v>
      </c>
      <c r="E132" t="s">
        <v>18</v>
      </c>
      <c r="F132" t="s">
        <v>21</v>
      </c>
      <c r="G132" t="s">
        <v>56</v>
      </c>
      <c r="H132">
        <f>1/0.143</f>
        <v>6.9930069930069934</v>
      </c>
      <c r="I132" t="s">
        <v>17</v>
      </c>
      <c r="J132" t="s">
        <v>23</v>
      </c>
      <c r="O132" t="s">
        <v>54</v>
      </c>
    </row>
    <row r="133" spans="1:15" x14ac:dyDescent="0.25">
      <c r="A133" t="s">
        <v>120</v>
      </c>
      <c r="B133" t="s">
        <v>74</v>
      </c>
      <c r="C133" t="s">
        <v>74</v>
      </c>
      <c r="D133" t="s">
        <v>17</v>
      </c>
      <c r="E133" t="s">
        <v>18</v>
      </c>
      <c r="F133" t="s">
        <v>21</v>
      </c>
      <c r="G133" t="s">
        <v>57</v>
      </c>
      <c r="H133">
        <f>15*0.997/0.143</f>
        <v>104.58041958041959</v>
      </c>
      <c r="I133" t="s">
        <v>17</v>
      </c>
      <c r="J133" t="s">
        <v>23</v>
      </c>
      <c r="O133" t="s">
        <v>54</v>
      </c>
    </row>
    <row r="134" spans="1:15" x14ac:dyDescent="0.25">
      <c r="A134" t="s">
        <v>120</v>
      </c>
      <c r="B134" t="s">
        <v>74</v>
      </c>
      <c r="C134" t="s">
        <v>74</v>
      </c>
      <c r="D134" t="s">
        <v>17</v>
      </c>
      <c r="E134" t="s">
        <v>18</v>
      </c>
      <c r="F134" t="s">
        <v>21</v>
      </c>
      <c r="G134" t="s">
        <v>29</v>
      </c>
      <c r="H134">
        <f>62.97/(1000*0.143)</f>
        <v>0.44034965034965035</v>
      </c>
      <c r="I134" t="s">
        <v>30</v>
      </c>
      <c r="J134" t="s">
        <v>23</v>
      </c>
      <c r="O134" t="s">
        <v>54</v>
      </c>
    </row>
    <row r="135" spans="1:15" x14ac:dyDescent="0.25">
      <c r="A135" t="s">
        <v>120</v>
      </c>
      <c r="B135" t="s">
        <v>74</v>
      </c>
      <c r="C135" t="s">
        <v>74</v>
      </c>
      <c r="D135" t="s">
        <v>17</v>
      </c>
      <c r="E135" t="s">
        <v>18</v>
      </c>
      <c r="F135" t="s">
        <v>21</v>
      </c>
      <c r="G135" t="s">
        <v>123</v>
      </c>
      <c r="H135">
        <f>-2.27/(2.27+0.68+2.1+2.7)*1.142/0.143</f>
        <v>-2.3391292578389349</v>
      </c>
      <c r="I135" t="s">
        <v>17</v>
      </c>
      <c r="J135" t="s">
        <v>23</v>
      </c>
      <c r="O135" t="s">
        <v>54</v>
      </c>
    </row>
    <row r="136" spans="1:15" x14ac:dyDescent="0.25">
      <c r="A136" t="s">
        <v>120</v>
      </c>
      <c r="B136" t="s">
        <v>74</v>
      </c>
      <c r="C136" t="s">
        <v>74</v>
      </c>
      <c r="D136" t="s">
        <v>17</v>
      </c>
      <c r="E136" t="s">
        <v>18</v>
      </c>
      <c r="F136" t="s">
        <v>21</v>
      </c>
      <c r="G136" t="s">
        <v>40</v>
      </c>
      <c r="H136">
        <f>-0.68/(2.27+0.68+2.1+2.7)*1.142/0.143</f>
        <v>-0.70070832393413029</v>
      </c>
      <c r="I136" t="s">
        <v>17</v>
      </c>
      <c r="J136" t="s">
        <v>23</v>
      </c>
      <c r="O136" t="s">
        <v>54</v>
      </c>
    </row>
    <row r="137" spans="1:15" x14ac:dyDescent="0.25">
      <c r="A137" t="s">
        <v>120</v>
      </c>
      <c r="B137" t="s">
        <v>75</v>
      </c>
      <c r="C137" t="s">
        <v>75</v>
      </c>
      <c r="D137" t="s">
        <v>17</v>
      </c>
      <c r="E137" t="s">
        <v>18</v>
      </c>
      <c r="F137" t="s">
        <v>120</v>
      </c>
      <c r="G137" t="s">
        <v>75</v>
      </c>
      <c r="H137">
        <v>1</v>
      </c>
      <c r="I137" t="s">
        <v>17</v>
      </c>
      <c r="J137" t="s">
        <v>19</v>
      </c>
      <c r="O137" t="s">
        <v>54</v>
      </c>
    </row>
    <row r="138" spans="1:15" x14ac:dyDescent="0.25">
      <c r="A138" t="s">
        <v>120</v>
      </c>
      <c r="B138" t="s">
        <v>75</v>
      </c>
      <c r="C138" t="s">
        <v>75</v>
      </c>
      <c r="D138" t="s">
        <v>17</v>
      </c>
      <c r="E138" t="s">
        <v>18</v>
      </c>
      <c r="F138" t="s">
        <v>21</v>
      </c>
      <c r="G138" t="s">
        <v>55</v>
      </c>
      <c r="H138">
        <v>1</v>
      </c>
      <c r="I138" t="s">
        <v>17</v>
      </c>
      <c r="J138" t="s">
        <v>23</v>
      </c>
      <c r="O138" t="s">
        <v>54</v>
      </c>
    </row>
    <row r="139" spans="1:15" x14ac:dyDescent="0.25">
      <c r="A139" t="s">
        <v>120</v>
      </c>
      <c r="B139" t="s">
        <v>75</v>
      </c>
      <c r="C139" t="s">
        <v>75</v>
      </c>
      <c r="D139" t="s">
        <v>17</v>
      </c>
      <c r="E139" t="s">
        <v>18</v>
      </c>
      <c r="F139" t="s">
        <v>21</v>
      </c>
      <c r="G139" t="s">
        <v>56</v>
      </c>
      <c r="H139">
        <f>1/0.143</f>
        <v>6.9930069930069934</v>
      </c>
      <c r="I139" t="s">
        <v>17</v>
      </c>
      <c r="J139" t="s">
        <v>23</v>
      </c>
      <c r="O139" t="s">
        <v>54</v>
      </c>
    </row>
    <row r="140" spans="1:15" x14ac:dyDescent="0.25">
      <c r="A140" t="s">
        <v>120</v>
      </c>
      <c r="B140" t="s">
        <v>75</v>
      </c>
      <c r="C140" t="s">
        <v>75</v>
      </c>
      <c r="D140" t="s">
        <v>17</v>
      </c>
      <c r="E140" t="s">
        <v>18</v>
      </c>
      <c r="F140" t="s">
        <v>21</v>
      </c>
      <c r="G140" t="s">
        <v>57</v>
      </c>
      <c r="H140">
        <f>(20*0.997)/0.143</f>
        <v>139.44055944055947</v>
      </c>
      <c r="I140" t="s">
        <v>17</v>
      </c>
      <c r="J140" t="s">
        <v>23</v>
      </c>
      <c r="O140" t="s">
        <v>54</v>
      </c>
    </row>
    <row r="141" spans="1:15" x14ac:dyDescent="0.25">
      <c r="A141" t="s">
        <v>120</v>
      </c>
      <c r="B141" t="s">
        <v>75</v>
      </c>
      <c r="C141" t="s">
        <v>75</v>
      </c>
      <c r="D141" t="s">
        <v>17</v>
      </c>
      <c r="E141" t="s">
        <v>18</v>
      </c>
      <c r="F141" t="s">
        <v>21</v>
      </c>
      <c r="G141" t="s">
        <v>29</v>
      </c>
      <c r="H141">
        <f>61.73/(1000*0.143)</f>
        <v>0.43167832167832165</v>
      </c>
      <c r="I141" t="s">
        <v>30</v>
      </c>
      <c r="J141" t="s">
        <v>23</v>
      </c>
      <c r="O141" t="s">
        <v>54</v>
      </c>
    </row>
    <row r="142" spans="1:15" x14ac:dyDescent="0.25">
      <c r="A142" t="s">
        <v>120</v>
      </c>
      <c r="B142" t="s">
        <v>75</v>
      </c>
      <c r="C142" t="s">
        <v>75</v>
      </c>
      <c r="D142" t="s">
        <v>17</v>
      </c>
      <c r="E142" t="s">
        <v>18</v>
      </c>
      <c r="F142" t="s">
        <v>21</v>
      </c>
      <c r="G142" t="s">
        <v>123</v>
      </c>
      <c r="H142">
        <f>-2.27/(2.27+0.68+2.1+2.7)*1.144/0.143</f>
        <v>-2.3432258064516125</v>
      </c>
      <c r="I142" t="s">
        <v>17</v>
      </c>
      <c r="J142" t="s">
        <v>23</v>
      </c>
      <c r="O142" t="s">
        <v>54</v>
      </c>
    </row>
    <row r="143" spans="1:15" x14ac:dyDescent="0.25">
      <c r="A143" t="s">
        <v>120</v>
      </c>
      <c r="B143" t="s">
        <v>75</v>
      </c>
      <c r="C143" t="s">
        <v>75</v>
      </c>
      <c r="D143" t="s">
        <v>17</v>
      </c>
      <c r="E143" t="s">
        <v>18</v>
      </c>
      <c r="F143" t="s">
        <v>21</v>
      </c>
      <c r="G143" t="s">
        <v>40</v>
      </c>
      <c r="H143">
        <f>-0.68/(2.27+0.68+2.1+2.7)*1.144/0.143</f>
        <v>-0.70193548387096771</v>
      </c>
      <c r="I143" t="s">
        <v>17</v>
      </c>
      <c r="J143" t="s">
        <v>23</v>
      </c>
      <c r="O143" t="s">
        <v>54</v>
      </c>
    </row>
    <row r="144" spans="1:15" x14ac:dyDescent="0.25">
      <c r="A144" t="s">
        <v>120</v>
      </c>
      <c r="B144" t="s">
        <v>76</v>
      </c>
      <c r="C144" t="s">
        <v>76</v>
      </c>
      <c r="D144" t="s">
        <v>17</v>
      </c>
      <c r="E144" t="s">
        <v>18</v>
      </c>
      <c r="F144" t="s">
        <v>120</v>
      </c>
      <c r="G144" t="s">
        <v>76</v>
      </c>
      <c r="H144">
        <v>1</v>
      </c>
      <c r="I144" t="s">
        <v>17</v>
      </c>
      <c r="J144" t="s">
        <v>19</v>
      </c>
      <c r="O144" t="s">
        <v>54</v>
      </c>
    </row>
    <row r="145" spans="1:15" x14ac:dyDescent="0.25">
      <c r="A145" t="s">
        <v>120</v>
      </c>
      <c r="B145" t="s">
        <v>76</v>
      </c>
      <c r="C145" t="s">
        <v>76</v>
      </c>
      <c r="D145" t="s">
        <v>17</v>
      </c>
      <c r="E145" t="s">
        <v>18</v>
      </c>
      <c r="F145" t="s">
        <v>21</v>
      </c>
      <c r="G145" t="s">
        <v>55</v>
      </c>
      <c r="H145">
        <v>1</v>
      </c>
      <c r="I145" t="s">
        <v>17</v>
      </c>
      <c r="J145" t="s">
        <v>23</v>
      </c>
      <c r="O145" t="s">
        <v>54</v>
      </c>
    </row>
    <row r="146" spans="1:15" x14ac:dyDescent="0.25">
      <c r="A146" t="s">
        <v>120</v>
      </c>
      <c r="B146" t="s">
        <v>76</v>
      </c>
      <c r="C146" t="s">
        <v>76</v>
      </c>
      <c r="D146" t="s">
        <v>17</v>
      </c>
      <c r="E146" t="s">
        <v>18</v>
      </c>
      <c r="F146" t="s">
        <v>21</v>
      </c>
      <c r="G146" t="s">
        <v>56</v>
      </c>
      <c r="H146">
        <f>1/0.164</f>
        <v>6.0975609756097562</v>
      </c>
      <c r="I146" t="s">
        <v>17</v>
      </c>
      <c r="J146" t="s">
        <v>23</v>
      </c>
      <c r="O146" t="s">
        <v>54</v>
      </c>
    </row>
    <row r="147" spans="1:15" x14ac:dyDescent="0.25">
      <c r="A147" t="s">
        <v>120</v>
      </c>
      <c r="B147" t="s">
        <v>76</v>
      </c>
      <c r="C147" t="s">
        <v>76</v>
      </c>
      <c r="D147" t="s">
        <v>17</v>
      </c>
      <c r="E147" t="s">
        <v>18</v>
      </c>
      <c r="F147" t="s">
        <v>21</v>
      </c>
      <c r="G147" t="s">
        <v>57</v>
      </c>
      <c r="H147">
        <f>(13.3*0.997)/0.164</f>
        <v>80.854268292682931</v>
      </c>
      <c r="I147" t="s">
        <v>17</v>
      </c>
      <c r="J147" t="s">
        <v>23</v>
      </c>
      <c r="O147" t="s">
        <v>54</v>
      </c>
    </row>
    <row r="148" spans="1:15" x14ac:dyDescent="0.25">
      <c r="A148" t="s">
        <v>120</v>
      </c>
      <c r="B148" t="s">
        <v>76</v>
      </c>
      <c r="C148" t="s">
        <v>76</v>
      </c>
      <c r="D148" t="s">
        <v>17</v>
      </c>
      <c r="E148" t="s">
        <v>18</v>
      </c>
      <c r="F148" t="s">
        <v>21</v>
      </c>
      <c r="G148" t="s">
        <v>29</v>
      </c>
      <c r="H148">
        <f>58.28/(1000*0.164)</f>
        <v>0.35536585365853657</v>
      </c>
      <c r="I148" t="s">
        <v>30</v>
      </c>
      <c r="J148" t="s">
        <v>23</v>
      </c>
      <c r="O148" t="s">
        <v>54</v>
      </c>
    </row>
    <row r="149" spans="1:15" x14ac:dyDescent="0.25">
      <c r="A149" t="s">
        <v>120</v>
      </c>
      <c r="B149" t="s">
        <v>76</v>
      </c>
      <c r="C149" t="s">
        <v>76</v>
      </c>
      <c r="D149" t="s">
        <v>17</v>
      </c>
      <c r="E149" t="s">
        <v>18</v>
      </c>
      <c r="F149" t="s">
        <v>21</v>
      </c>
      <c r="G149" t="s">
        <v>123</v>
      </c>
      <c r="H149">
        <f>-2.27/(2.27+0.68+2.1+2.7)*1.164/0.164</f>
        <v>-2.0788985051140827</v>
      </c>
      <c r="I149" t="s">
        <v>17</v>
      </c>
      <c r="J149" t="s">
        <v>23</v>
      </c>
      <c r="O149" t="s">
        <v>54</v>
      </c>
    </row>
    <row r="150" spans="1:15" x14ac:dyDescent="0.25">
      <c r="A150" t="s">
        <v>120</v>
      </c>
      <c r="B150" t="s">
        <v>76</v>
      </c>
      <c r="C150" t="s">
        <v>76</v>
      </c>
      <c r="D150" t="s">
        <v>17</v>
      </c>
      <c r="E150" t="s">
        <v>18</v>
      </c>
      <c r="F150" t="s">
        <v>21</v>
      </c>
      <c r="G150" t="s">
        <v>40</v>
      </c>
      <c r="H150">
        <f>-0.68/(2.27+0.68+2.1+2.7)*1.164/0.164</f>
        <v>-0.62275373721479144</v>
      </c>
      <c r="I150" t="s">
        <v>17</v>
      </c>
      <c r="J150" t="s">
        <v>23</v>
      </c>
      <c r="O150" t="s">
        <v>54</v>
      </c>
    </row>
    <row r="151" spans="1:15" x14ac:dyDescent="0.25">
      <c r="A151" t="s">
        <v>120</v>
      </c>
      <c r="B151" t="s">
        <v>77</v>
      </c>
      <c r="C151" t="s">
        <v>77</v>
      </c>
      <c r="D151" t="s">
        <v>17</v>
      </c>
      <c r="E151" t="s">
        <v>18</v>
      </c>
      <c r="F151" t="s">
        <v>120</v>
      </c>
      <c r="G151" t="s">
        <v>77</v>
      </c>
      <c r="H151">
        <v>1</v>
      </c>
      <c r="I151" t="s">
        <v>17</v>
      </c>
      <c r="J151" t="s">
        <v>19</v>
      </c>
      <c r="O151" t="s">
        <v>78</v>
      </c>
    </row>
    <row r="152" spans="1:15" x14ac:dyDescent="0.25">
      <c r="A152" t="s">
        <v>120</v>
      </c>
      <c r="B152" t="s">
        <v>77</v>
      </c>
      <c r="C152" t="s">
        <v>77</v>
      </c>
      <c r="D152" t="s">
        <v>17</v>
      </c>
      <c r="E152" t="s">
        <v>18</v>
      </c>
      <c r="F152" t="s">
        <v>21</v>
      </c>
      <c r="G152" t="s">
        <v>55</v>
      </c>
      <c r="H152">
        <v>1</v>
      </c>
      <c r="I152" t="s">
        <v>17</v>
      </c>
      <c r="J152" t="s">
        <v>23</v>
      </c>
      <c r="O152" t="s">
        <v>78</v>
      </c>
    </row>
    <row r="153" spans="1:15" x14ac:dyDescent="0.25">
      <c r="A153" t="s">
        <v>120</v>
      </c>
      <c r="B153" t="s">
        <v>77</v>
      </c>
      <c r="C153" t="s">
        <v>77</v>
      </c>
      <c r="D153" t="s">
        <v>17</v>
      </c>
      <c r="E153" t="s">
        <v>18</v>
      </c>
      <c r="F153" t="s">
        <v>21</v>
      </c>
      <c r="G153" t="s">
        <v>42</v>
      </c>
      <c r="H153">
        <f>2.71/0.44</f>
        <v>6.1590909090909092</v>
      </c>
      <c r="I153" t="s">
        <v>17</v>
      </c>
      <c r="J153" t="s">
        <v>23</v>
      </c>
      <c r="O153" t="s">
        <v>78</v>
      </c>
    </row>
    <row r="154" spans="1:15" x14ac:dyDescent="0.25">
      <c r="A154" t="s">
        <v>120</v>
      </c>
      <c r="B154" t="s">
        <v>77</v>
      </c>
      <c r="C154" t="s">
        <v>77</v>
      </c>
      <c r="D154" t="s">
        <v>17</v>
      </c>
      <c r="E154" t="s">
        <v>18</v>
      </c>
      <c r="F154" t="s">
        <v>21</v>
      </c>
      <c r="G154" t="s">
        <v>26</v>
      </c>
      <c r="H154">
        <f>0.12/0.44</f>
        <v>0.27272727272727271</v>
      </c>
      <c r="I154" t="s">
        <v>17</v>
      </c>
      <c r="J154" t="s">
        <v>23</v>
      </c>
      <c r="O154" t="s">
        <v>78</v>
      </c>
    </row>
    <row r="155" spans="1:15" x14ac:dyDescent="0.25">
      <c r="A155" t="s">
        <v>120</v>
      </c>
      <c r="B155" t="s">
        <v>77</v>
      </c>
      <c r="C155" t="s">
        <v>77</v>
      </c>
      <c r="D155" t="s">
        <v>17</v>
      </c>
      <c r="E155" t="s">
        <v>18</v>
      </c>
      <c r="F155" t="s">
        <v>21</v>
      </c>
      <c r="G155" t="s">
        <v>29</v>
      </c>
      <c r="H155">
        <f>1.54/0.44</f>
        <v>3.5</v>
      </c>
      <c r="I155" t="s">
        <v>30</v>
      </c>
      <c r="J155" t="s">
        <v>23</v>
      </c>
      <c r="O155" t="s">
        <v>78</v>
      </c>
    </row>
    <row r="156" spans="1:15" x14ac:dyDescent="0.25">
      <c r="A156" t="s">
        <v>120</v>
      </c>
      <c r="B156" t="s">
        <v>77</v>
      </c>
      <c r="C156" t="s">
        <v>77</v>
      </c>
      <c r="D156" t="s">
        <v>17</v>
      </c>
      <c r="E156" t="s">
        <v>18</v>
      </c>
      <c r="F156" t="s">
        <v>21</v>
      </c>
      <c r="G156" t="s">
        <v>79</v>
      </c>
      <c r="H156">
        <f>2.48/(0.44*2.75)</f>
        <v>2.049586776859504</v>
      </c>
      <c r="I156" t="s">
        <v>17</v>
      </c>
      <c r="J156" t="s">
        <v>23</v>
      </c>
      <c r="O156" t="s">
        <v>80</v>
      </c>
    </row>
    <row r="157" spans="1:15" x14ac:dyDescent="0.25">
      <c r="A157" t="s">
        <v>120</v>
      </c>
      <c r="B157" t="s">
        <v>77</v>
      </c>
      <c r="C157" t="s">
        <v>77</v>
      </c>
      <c r="D157" t="s">
        <v>17</v>
      </c>
      <c r="E157" t="s">
        <v>18</v>
      </c>
      <c r="F157" t="s">
        <v>21</v>
      </c>
      <c r="G157" t="s">
        <v>123</v>
      </c>
      <c r="H157">
        <f>-1/0.44</f>
        <v>-2.2727272727272729</v>
      </c>
      <c r="I157" t="s">
        <v>17</v>
      </c>
      <c r="J157" t="s">
        <v>23</v>
      </c>
      <c r="O157" t="s">
        <v>78</v>
      </c>
    </row>
    <row r="158" spans="1:15" x14ac:dyDescent="0.25">
      <c r="A158" t="s">
        <v>120</v>
      </c>
      <c r="B158" t="s">
        <v>77</v>
      </c>
      <c r="C158" t="s">
        <v>77</v>
      </c>
      <c r="D158" t="s">
        <v>17</v>
      </c>
      <c r="E158" t="s">
        <v>18</v>
      </c>
      <c r="F158" t="s">
        <v>21</v>
      </c>
      <c r="G158" t="s">
        <v>71</v>
      </c>
      <c r="H158">
        <f>0.02/0.44</f>
        <v>4.5454545454545456E-2</v>
      </c>
      <c r="I158" t="s">
        <v>17</v>
      </c>
      <c r="J158" t="s">
        <v>23</v>
      </c>
      <c r="O158" t="s">
        <v>78</v>
      </c>
    </row>
    <row r="159" spans="1:15" x14ac:dyDescent="0.25">
      <c r="A159" s="6" t="s">
        <v>120</v>
      </c>
      <c r="B159" t="s">
        <v>81</v>
      </c>
      <c r="C159" t="s">
        <v>81</v>
      </c>
      <c r="D159" t="s">
        <v>17</v>
      </c>
      <c r="E159" t="s">
        <v>18</v>
      </c>
      <c r="F159" t="s">
        <v>120</v>
      </c>
      <c r="G159" t="s">
        <v>81</v>
      </c>
      <c r="H159">
        <v>1</v>
      </c>
      <c r="I159" t="s">
        <v>17</v>
      </c>
      <c r="J159" t="s">
        <v>19</v>
      </c>
      <c r="O159" t="s">
        <v>82</v>
      </c>
    </row>
    <row r="160" spans="1:15" x14ac:dyDescent="0.25">
      <c r="A160" s="6" t="s">
        <v>120</v>
      </c>
      <c r="B160" t="s">
        <v>81</v>
      </c>
      <c r="C160" t="s">
        <v>81</v>
      </c>
      <c r="D160" t="s">
        <v>17</v>
      </c>
      <c r="E160" t="s">
        <v>18</v>
      </c>
      <c r="F160" t="s">
        <v>21</v>
      </c>
      <c r="G160" s="3" t="s">
        <v>55</v>
      </c>
      <c r="H160">
        <v>1</v>
      </c>
      <c r="I160" t="s">
        <v>17</v>
      </c>
      <c r="J160" t="s">
        <v>23</v>
      </c>
      <c r="O160" t="s">
        <v>82</v>
      </c>
    </row>
    <row r="161" spans="1:15" x14ac:dyDescent="0.25">
      <c r="A161" s="6" t="s">
        <v>120</v>
      </c>
      <c r="B161" t="s">
        <v>81</v>
      </c>
      <c r="C161" t="s">
        <v>81</v>
      </c>
      <c r="D161" t="s">
        <v>17</v>
      </c>
      <c r="E161" t="s">
        <v>18</v>
      </c>
      <c r="F161" t="s">
        <v>21</v>
      </c>
      <c r="G161" s="3" t="s">
        <v>83</v>
      </c>
      <c r="H161">
        <f>2.9101/1.0027</f>
        <v>2.9022638875037399</v>
      </c>
      <c r="I161" t="s">
        <v>17</v>
      </c>
      <c r="J161" t="s">
        <v>23</v>
      </c>
      <c r="O161" t="s">
        <v>82</v>
      </c>
    </row>
    <row r="162" spans="1:15" x14ac:dyDescent="0.25">
      <c r="A162" s="6" t="s">
        <v>120</v>
      </c>
      <c r="B162" t="s">
        <v>81</v>
      </c>
      <c r="C162" t="s">
        <v>81</v>
      </c>
      <c r="D162" t="s">
        <v>17</v>
      </c>
      <c r="E162" t="s">
        <v>18</v>
      </c>
      <c r="F162" t="s">
        <v>21</v>
      </c>
      <c r="G162" s="3" t="s">
        <v>33</v>
      </c>
      <c r="H162">
        <f>5.248*3.6/1.0027</f>
        <v>18.841926797646359</v>
      </c>
      <c r="I162" t="s">
        <v>34</v>
      </c>
      <c r="J162" t="s">
        <v>23</v>
      </c>
      <c r="O162" t="s">
        <v>82</v>
      </c>
    </row>
    <row r="163" spans="1:15" x14ac:dyDescent="0.25">
      <c r="A163" s="6" t="s">
        <v>120</v>
      </c>
      <c r="B163" t="s">
        <v>81</v>
      </c>
      <c r="C163" t="s">
        <v>81</v>
      </c>
      <c r="D163" t="s">
        <v>17</v>
      </c>
      <c r="E163" t="s">
        <v>18</v>
      </c>
      <c r="F163" t="s">
        <v>21</v>
      </c>
      <c r="G163" s="3" t="s">
        <v>124</v>
      </c>
      <c r="H163">
        <f>-1.8677/1.0027</f>
        <v>-1.8626707888700509</v>
      </c>
      <c r="I163" t="s">
        <v>17</v>
      </c>
      <c r="J163" t="s">
        <v>23</v>
      </c>
      <c r="O163" t="s">
        <v>82</v>
      </c>
    </row>
    <row r="164" spans="1:15" x14ac:dyDescent="0.25">
      <c r="A164" t="s">
        <v>120</v>
      </c>
      <c r="B164" t="s">
        <v>84</v>
      </c>
      <c r="C164" t="s">
        <v>84</v>
      </c>
      <c r="D164" t="s">
        <v>17</v>
      </c>
      <c r="E164" t="s">
        <v>18</v>
      </c>
      <c r="F164" t="s">
        <v>120</v>
      </c>
      <c r="G164" t="s">
        <v>84</v>
      </c>
      <c r="H164">
        <v>1</v>
      </c>
      <c r="I164" t="s">
        <v>17</v>
      </c>
      <c r="J164" t="s">
        <v>19</v>
      </c>
      <c r="O164" t="s">
        <v>85</v>
      </c>
    </row>
    <row r="165" spans="1:15" x14ac:dyDescent="0.25">
      <c r="A165" t="s">
        <v>120</v>
      </c>
      <c r="B165" t="s">
        <v>84</v>
      </c>
      <c r="C165" t="s">
        <v>84</v>
      </c>
      <c r="D165" t="s">
        <v>17</v>
      </c>
      <c r="E165" t="s">
        <v>18</v>
      </c>
      <c r="F165" t="s">
        <v>21</v>
      </c>
      <c r="G165" t="s">
        <v>55</v>
      </c>
      <c r="H165">
        <v>1</v>
      </c>
      <c r="I165" t="s">
        <v>17</v>
      </c>
      <c r="J165" t="s">
        <v>23</v>
      </c>
      <c r="O165" t="s">
        <v>85</v>
      </c>
    </row>
    <row r="166" spans="1:15" x14ac:dyDescent="0.25">
      <c r="A166" t="s">
        <v>120</v>
      </c>
      <c r="B166" t="s">
        <v>84</v>
      </c>
      <c r="C166" t="s">
        <v>84</v>
      </c>
      <c r="D166" t="s">
        <v>17</v>
      </c>
      <c r="E166" t="s">
        <v>18</v>
      </c>
      <c r="F166" t="s">
        <v>21</v>
      </c>
      <c r="G166" t="s">
        <v>26</v>
      </c>
      <c r="H166">
        <f>6/0.44</f>
        <v>13.636363636363637</v>
      </c>
      <c r="I166" t="s">
        <v>17</v>
      </c>
      <c r="J166" t="s">
        <v>23</v>
      </c>
      <c r="O166" t="s">
        <v>85</v>
      </c>
    </row>
    <row r="167" spans="1:15" x14ac:dyDescent="0.25">
      <c r="A167" t="s">
        <v>120</v>
      </c>
      <c r="B167" t="s">
        <v>84</v>
      </c>
      <c r="C167" t="s">
        <v>84</v>
      </c>
      <c r="D167" t="s">
        <v>17</v>
      </c>
      <c r="E167" t="s">
        <v>18</v>
      </c>
      <c r="F167" t="s">
        <v>21</v>
      </c>
      <c r="G167" t="s">
        <v>86</v>
      </c>
      <c r="H167">
        <f>5.34/(1000*0.44)</f>
        <v>1.2136363636363636E-2</v>
      </c>
      <c r="I167" t="s">
        <v>17</v>
      </c>
      <c r="J167" t="s">
        <v>23</v>
      </c>
      <c r="O167" t="s">
        <v>85</v>
      </c>
    </row>
    <row r="168" spans="1:15" x14ac:dyDescent="0.25">
      <c r="A168" t="s">
        <v>120</v>
      </c>
      <c r="B168" t="s">
        <v>84</v>
      </c>
      <c r="C168" t="s">
        <v>84</v>
      </c>
      <c r="D168" t="s">
        <v>17</v>
      </c>
      <c r="E168" t="s">
        <v>18</v>
      </c>
      <c r="F168" t="s">
        <v>21</v>
      </c>
      <c r="G168" s="3" t="s">
        <v>56</v>
      </c>
      <c r="H168">
        <f>5.9/0.44</f>
        <v>13.40909090909091</v>
      </c>
      <c r="I168" t="s">
        <v>17</v>
      </c>
      <c r="J168" t="s">
        <v>23</v>
      </c>
      <c r="O168" t="s">
        <v>85</v>
      </c>
    </row>
    <row r="169" spans="1:15" x14ac:dyDescent="0.25">
      <c r="A169" t="s">
        <v>120</v>
      </c>
      <c r="B169" t="s">
        <v>84</v>
      </c>
      <c r="C169" t="s">
        <v>84</v>
      </c>
      <c r="D169" t="s">
        <v>17</v>
      </c>
      <c r="E169" t="s">
        <v>18</v>
      </c>
      <c r="F169" t="s">
        <v>21</v>
      </c>
      <c r="G169" t="s">
        <v>79</v>
      </c>
      <c r="H169">
        <f>37.5/(0.44*2.75)</f>
        <v>30.991735537190085</v>
      </c>
      <c r="I169" t="s">
        <v>17</v>
      </c>
      <c r="J169" t="s">
        <v>23</v>
      </c>
      <c r="O169" t="s">
        <v>87</v>
      </c>
    </row>
    <row r="170" spans="1:15" ht="15" customHeight="1" x14ac:dyDescent="0.25">
      <c r="A170" t="s">
        <v>120</v>
      </c>
      <c r="B170" t="s">
        <v>84</v>
      </c>
      <c r="C170" t="s">
        <v>84</v>
      </c>
      <c r="D170" t="s">
        <v>17</v>
      </c>
      <c r="E170" t="s">
        <v>18</v>
      </c>
      <c r="F170" t="s">
        <v>21</v>
      </c>
      <c r="G170" s="3" t="s">
        <v>29</v>
      </c>
      <c r="H170">
        <f>0.0469/0.44+0.0083</f>
        <v>0.11489090909090909</v>
      </c>
      <c r="I170" t="s">
        <v>30</v>
      </c>
      <c r="J170" t="s">
        <v>23</v>
      </c>
      <c r="O170" t="s">
        <v>85</v>
      </c>
    </row>
    <row r="171" spans="1:15" ht="15" customHeight="1" x14ac:dyDescent="0.25">
      <c r="A171" t="s">
        <v>120</v>
      </c>
      <c r="B171" t="s">
        <v>84</v>
      </c>
      <c r="C171" t="s">
        <v>84</v>
      </c>
      <c r="D171" t="s">
        <v>17</v>
      </c>
      <c r="E171" t="s">
        <v>18</v>
      </c>
      <c r="F171" t="s">
        <v>21</v>
      </c>
      <c r="G171" s="3" t="s">
        <v>123</v>
      </c>
      <c r="H171">
        <f>-1/0.44</f>
        <v>-2.2727272727272729</v>
      </c>
      <c r="I171" t="s">
        <v>17</v>
      </c>
      <c r="J171" t="s">
        <v>23</v>
      </c>
      <c r="O171" t="s">
        <v>85</v>
      </c>
    </row>
    <row r="172" spans="1:15" x14ac:dyDescent="0.25">
      <c r="A172" t="s">
        <v>120</v>
      </c>
      <c r="B172" t="s">
        <v>84</v>
      </c>
      <c r="C172" t="s">
        <v>84</v>
      </c>
      <c r="D172" t="s">
        <v>17</v>
      </c>
      <c r="E172" t="s">
        <v>18</v>
      </c>
      <c r="F172" t="s">
        <v>21</v>
      </c>
      <c r="G172" s="3" t="s">
        <v>88</v>
      </c>
      <c r="H172">
        <f>5.2/0.44</f>
        <v>11.818181818181818</v>
      </c>
      <c r="I172" t="s">
        <v>17</v>
      </c>
      <c r="J172" t="s">
        <v>23</v>
      </c>
      <c r="O172" t="s">
        <v>85</v>
      </c>
    </row>
    <row r="173" spans="1:15" x14ac:dyDescent="0.25">
      <c r="A173" t="s">
        <v>120</v>
      </c>
      <c r="B173" t="s">
        <v>89</v>
      </c>
      <c r="C173" t="s">
        <v>89</v>
      </c>
      <c r="D173" t="s">
        <v>17</v>
      </c>
      <c r="E173" t="s">
        <v>18</v>
      </c>
      <c r="F173" t="s">
        <v>120</v>
      </c>
      <c r="G173" t="s">
        <v>89</v>
      </c>
      <c r="H173">
        <v>1</v>
      </c>
      <c r="I173" t="s">
        <v>17</v>
      </c>
      <c r="J173" t="s">
        <v>19</v>
      </c>
      <c r="O173" t="s">
        <v>85</v>
      </c>
    </row>
    <row r="174" spans="1:15" x14ac:dyDescent="0.25">
      <c r="A174" t="s">
        <v>120</v>
      </c>
      <c r="B174" t="s">
        <v>89</v>
      </c>
      <c r="C174" t="s">
        <v>89</v>
      </c>
      <c r="D174" t="s">
        <v>17</v>
      </c>
      <c r="E174" t="s">
        <v>18</v>
      </c>
      <c r="F174" t="s">
        <v>21</v>
      </c>
      <c r="G174" s="3" t="s">
        <v>55</v>
      </c>
      <c r="H174">
        <v>1</v>
      </c>
      <c r="I174" t="s">
        <v>17</v>
      </c>
      <c r="J174" t="s">
        <v>23</v>
      </c>
      <c r="O174" t="s">
        <v>85</v>
      </c>
    </row>
    <row r="175" spans="1:15" x14ac:dyDescent="0.25">
      <c r="A175" t="s">
        <v>120</v>
      </c>
      <c r="B175" t="s">
        <v>89</v>
      </c>
      <c r="C175" t="s">
        <v>89</v>
      </c>
      <c r="D175" t="s">
        <v>17</v>
      </c>
      <c r="E175" t="s">
        <v>18</v>
      </c>
      <c r="F175" t="s">
        <v>21</v>
      </c>
      <c r="G175" s="3" t="s">
        <v>26</v>
      </c>
      <c r="H175">
        <f>6/0.44</f>
        <v>13.636363636363637</v>
      </c>
      <c r="I175" t="s">
        <v>17</v>
      </c>
      <c r="J175" t="s">
        <v>23</v>
      </c>
      <c r="O175" t="s">
        <v>85</v>
      </c>
    </row>
    <row r="176" spans="1:15" x14ac:dyDescent="0.25">
      <c r="A176" t="s">
        <v>120</v>
      </c>
      <c r="B176" t="s">
        <v>89</v>
      </c>
      <c r="C176" t="s">
        <v>89</v>
      </c>
      <c r="D176" t="s">
        <v>17</v>
      </c>
      <c r="E176" t="s">
        <v>18</v>
      </c>
      <c r="F176" t="s">
        <v>21</v>
      </c>
      <c r="G176" s="3" t="s">
        <v>86</v>
      </c>
      <c r="H176">
        <f>1.05/(1000*0.44)</f>
        <v>2.3863636363636366E-3</v>
      </c>
      <c r="I176" t="s">
        <v>17</v>
      </c>
      <c r="J176" t="s">
        <v>23</v>
      </c>
      <c r="O176" t="s">
        <v>85</v>
      </c>
    </row>
    <row r="177" spans="1:15" x14ac:dyDescent="0.25">
      <c r="A177" t="s">
        <v>120</v>
      </c>
      <c r="B177" t="s">
        <v>89</v>
      </c>
      <c r="C177" t="s">
        <v>89</v>
      </c>
      <c r="D177" t="s">
        <v>17</v>
      </c>
      <c r="E177" t="s">
        <v>18</v>
      </c>
      <c r="F177" t="s">
        <v>21</v>
      </c>
      <c r="G177" s="3" t="s">
        <v>56</v>
      </c>
      <c r="H177">
        <f>5.9/0.44</f>
        <v>13.40909090909091</v>
      </c>
      <c r="I177" t="s">
        <v>17</v>
      </c>
      <c r="J177" t="s">
        <v>23</v>
      </c>
      <c r="O177" t="s">
        <v>85</v>
      </c>
    </row>
    <row r="178" spans="1:15" x14ac:dyDescent="0.25">
      <c r="A178" t="s">
        <v>120</v>
      </c>
      <c r="B178" t="s">
        <v>89</v>
      </c>
      <c r="C178" t="s">
        <v>89</v>
      </c>
      <c r="D178" t="s">
        <v>17</v>
      </c>
      <c r="E178" t="s">
        <v>18</v>
      </c>
      <c r="F178" t="s">
        <v>21</v>
      </c>
      <c r="G178" s="3" t="s">
        <v>29</v>
      </c>
      <c r="H178">
        <f>0.111/0.44+0.0083</f>
        <v>0.26057272727272723</v>
      </c>
      <c r="I178" t="s">
        <v>30</v>
      </c>
      <c r="J178" t="s">
        <v>23</v>
      </c>
      <c r="O178" t="s">
        <v>85</v>
      </c>
    </row>
    <row r="179" spans="1:15" x14ac:dyDescent="0.25">
      <c r="A179" t="s">
        <v>120</v>
      </c>
      <c r="B179" t="s">
        <v>89</v>
      </c>
      <c r="C179" t="s">
        <v>89</v>
      </c>
      <c r="D179" t="s">
        <v>17</v>
      </c>
      <c r="E179" t="s">
        <v>18</v>
      </c>
      <c r="F179" t="s">
        <v>21</v>
      </c>
      <c r="G179" s="3" t="s">
        <v>123</v>
      </c>
      <c r="H179">
        <f>-1/0.44</f>
        <v>-2.2727272727272729</v>
      </c>
      <c r="I179" t="s">
        <v>17</v>
      </c>
      <c r="J179" t="s">
        <v>23</v>
      </c>
      <c r="O179" t="s">
        <v>85</v>
      </c>
    </row>
    <row r="180" spans="1:15" x14ac:dyDescent="0.25">
      <c r="A180" t="s">
        <v>120</v>
      </c>
      <c r="B180" t="s">
        <v>89</v>
      </c>
      <c r="C180" t="s">
        <v>89</v>
      </c>
      <c r="D180" t="s">
        <v>17</v>
      </c>
      <c r="E180" t="s">
        <v>18</v>
      </c>
      <c r="F180" t="s">
        <v>21</v>
      </c>
      <c r="G180" s="3" t="s">
        <v>88</v>
      </c>
      <c r="H180">
        <f>5.2/0.44</f>
        <v>11.818181818181818</v>
      </c>
      <c r="I180" t="s">
        <v>17</v>
      </c>
      <c r="J180" t="s">
        <v>23</v>
      </c>
      <c r="O180" t="s">
        <v>85</v>
      </c>
    </row>
    <row r="181" spans="1:15" x14ac:dyDescent="0.25">
      <c r="A181" t="s">
        <v>120</v>
      </c>
      <c r="B181" t="s">
        <v>90</v>
      </c>
      <c r="C181" t="s">
        <v>90</v>
      </c>
      <c r="D181" t="s">
        <v>17</v>
      </c>
      <c r="E181" t="s">
        <v>18</v>
      </c>
      <c r="F181" t="s">
        <v>120</v>
      </c>
      <c r="G181" t="s">
        <v>90</v>
      </c>
      <c r="H181">
        <v>1</v>
      </c>
      <c r="I181" t="s">
        <v>17</v>
      </c>
      <c r="J181" t="s">
        <v>19</v>
      </c>
      <c r="O181" t="s">
        <v>91</v>
      </c>
    </row>
    <row r="182" spans="1:15" x14ac:dyDescent="0.25">
      <c r="A182" t="s">
        <v>120</v>
      </c>
      <c r="B182" t="s">
        <v>90</v>
      </c>
      <c r="C182" t="s">
        <v>90</v>
      </c>
      <c r="D182" t="s">
        <v>17</v>
      </c>
      <c r="E182" t="s">
        <v>18</v>
      </c>
      <c r="F182" t="s">
        <v>21</v>
      </c>
      <c r="G182" t="s">
        <v>55</v>
      </c>
      <c r="H182">
        <v>1</v>
      </c>
      <c r="I182" t="s">
        <v>17</v>
      </c>
      <c r="J182" t="s">
        <v>23</v>
      </c>
      <c r="O182" t="s">
        <v>91</v>
      </c>
    </row>
    <row r="183" spans="1:15" x14ac:dyDescent="0.25">
      <c r="A183" t="s">
        <v>120</v>
      </c>
      <c r="B183" t="s">
        <v>90</v>
      </c>
      <c r="C183" t="s">
        <v>90</v>
      </c>
      <c r="D183" t="s">
        <v>17</v>
      </c>
      <c r="E183" t="s">
        <v>18</v>
      </c>
      <c r="F183" t="s">
        <v>21</v>
      </c>
      <c r="G183" t="s">
        <v>92</v>
      </c>
      <c r="H183">
        <f>(82456.65+2843.35)/241.408067</f>
        <v>353.3436187946445</v>
      </c>
      <c r="I183" t="s">
        <v>17</v>
      </c>
      <c r="J183" t="s">
        <v>23</v>
      </c>
      <c r="O183" t="s">
        <v>91</v>
      </c>
    </row>
    <row r="184" spans="1:15" x14ac:dyDescent="0.25">
      <c r="A184" t="s">
        <v>120</v>
      </c>
      <c r="B184" t="s">
        <v>90</v>
      </c>
      <c r="C184" t="s">
        <v>90</v>
      </c>
      <c r="D184" t="s">
        <v>17</v>
      </c>
      <c r="E184" t="s">
        <v>18</v>
      </c>
      <c r="F184" t="s">
        <v>21</v>
      </c>
      <c r="G184" t="s">
        <v>93</v>
      </c>
      <c r="H184">
        <f>772.16/241.4080673</f>
        <v>3.1985675070271355</v>
      </c>
      <c r="I184" t="s">
        <v>17</v>
      </c>
      <c r="J184" t="s">
        <v>23</v>
      </c>
      <c r="O184" t="s">
        <v>91</v>
      </c>
    </row>
    <row r="185" spans="1:15" x14ac:dyDescent="0.25">
      <c r="A185" t="s">
        <v>120</v>
      </c>
      <c r="B185" t="s">
        <v>90</v>
      </c>
      <c r="C185" t="s">
        <v>90</v>
      </c>
      <c r="D185" t="s">
        <v>17</v>
      </c>
      <c r="E185" t="s">
        <v>18</v>
      </c>
      <c r="F185" t="s">
        <v>21</v>
      </c>
      <c r="G185" t="s">
        <v>26</v>
      </c>
      <c r="H185">
        <f>875.33/241.4080673</f>
        <v>3.6259351636008894</v>
      </c>
      <c r="I185" t="s">
        <v>17</v>
      </c>
      <c r="J185" t="s">
        <v>23</v>
      </c>
      <c r="O185" t="s">
        <v>91</v>
      </c>
    </row>
    <row r="186" spans="1:15" x14ac:dyDescent="0.25">
      <c r="A186" t="s">
        <v>120</v>
      </c>
      <c r="B186" t="s">
        <v>90</v>
      </c>
      <c r="C186" t="s">
        <v>90</v>
      </c>
      <c r="D186" t="s">
        <v>17</v>
      </c>
      <c r="E186" t="s">
        <v>18</v>
      </c>
      <c r="F186" t="s">
        <v>21</v>
      </c>
      <c r="G186" t="s">
        <v>29</v>
      </c>
      <c r="H186">
        <f>836.256/241.4080673</f>
        <v>3.4640764467940377</v>
      </c>
      <c r="I186" t="s">
        <v>30</v>
      </c>
      <c r="J186" t="s">
        <v>23</v>
      </c>
      <c r="O186" t="s">
        <v>91</v>
      </c>
    </row>
    <row r="187" spans="1:15" x14ac:dyDescent="0.25">
      <c r="A187" t="s">
        <v>120</v>
      </c>
      <c r="B187" t="s">
        <v>90</v>
      </c>
      <c r="C187" t="s">
        <v>90</v>
      </c>
      <c r="D187" t="s">
        <v>17</v>
      </c>
      <c r="E187" t="s">
        <v>18</v>
      </c>
      <c r="F187" t="s">
        <v>21</v>
      </c>
      <c r="G187" t="s">
        <v>33</v>
      </c>
      <c r="H187">
        <f>106.668/241.4080673</f>
        <v>0.44185764458087773</v>
      </c>
      <c r="I187" t="s">
        <v>34</v>
      </c>
      <c r="J187" t="s">
        <v>23</v>
      </c>
      <c r="O187" t="s">
        <v>91</v>
      </c>
    </row>
    <row r="188" spans="1:15" x14ac:dyDescent="0.25">
      <c r="A188" t="s">
        <v>120</v>
      </c>
      <c r="B188" t="s">
        <v>90</v>
      </c>
      <c r="C188" t="s">
        <v>90</v>
      </c>
      <c r="D188" t="s">
        <v>17</v>
      </c>
      <c r="E188" t="s">
        <v>18</v>
      </c>
      <c r="F188" t="s">
        <v>21</v>
      </c>
      <c r="G188" s="3" t="s">
        <v>52</v>
      </c>
      <c r="H188">
        <f>(250.17+218.43+104.06+32.98+31.33+50.62+307.18)/241.4080673</f>
        <v>4.120699076571416</v>
      </c>
      <c r="I188" t="s">
        <v>17</v>
      </c>
      <c r="J188" t="s">
        <v>23</v>
      </c>
      <c r="O188" t="s">
        <v>91</v>
      </c>
    </row>
    <row r="189" spans="1:15" x14ac:dyDescent="0.25">
      <c r="A189" t="s">
        <v>120</v>
      </c>
      <c r="B189" t="s">
        <v>90</v>
      </c>
      <c r="C189" t="s">
        <v>90</v>
      </c>
      <c r="D189" t="s">
        <v>17</v>
      </c>
      <c r="E189" t="s">
        <v>18</v>
      </c>
      <c r="F189" t="s">
        <v>21</v>
      </c>
      <c r="G189" t="s">
        <v>94</v>
      </c>
      <c r="H189">
        <f>-4.96/241.4080673</f>
        <v>-2.0546123646465232E-2</v>
      </c>
      <c r="I189" t="s">
        <v>17</v>
      </c>
      <c r="J189" t="s">
        <v>23</v>
      </c>
      <c r="O189" t="s">
        <v>91</v>
      </c>
    </row>
    <row r="190" spans="1:15" x14ac:dyDescent="0.25">
      <c r="A190" t="s">
        <v>120</v>
      </c>
      <c r="B190" t="s">
        <v>90</v>
      </c>
      <c r="C190" t="s">
        <v>90</v>
      </c>
      <c r="D190" t="s">
        <v>17</v>
      </c>
      <c r="E190" t="s">
        <v>18</v>
      </c>
      <c r="F190" t="s">
        <v>21</v>
      </c>
      <c r="G190" t="s">
        <v>95</v>
      </c>
      <c r="H190">
        <f>-168.98/241.4080673</f>
        <v>-0.69997660761687397</v>
      </c>
      <c r="I190" t="s">
        <v>17</v>
      </c>
      <c r="J190" t="s">
        <v>23</v>
      </c>
      <c r="O190" t="s">
        <v>91</v>
      </c>
    </row>
    <row r="191" spans="1:15" x14ac:dyDescent="0.25">
      <c r="A191" t="s">
        <v>120</v>
      </c>
      <c r="B191" t="s">
        <v>90</v>
      </c>
      <c r="C191" t="s">
        <v>90</v>
      </c>
      <c r="D191" t="s">
        <v>17</v>
      </c>
      <c r="E191" t="s">
        <v>18</v>
      </c>
      <c r="F191" t="s">
        <v>21</v>
      </c>
      <c r="G191" t="s">
        <v>96</v>
      </c>
      <c r="H191">
        <f>-(81632.08+25.87)/241.4080673</f>
        <v>-338.25692286630556</v>
      </c>
      <c r="I191" t="s">
        <v>17</v>
      </c>
      <c r="J191" t="s">
        <v>23</v>
      </c>
      <c r="O191" t="s">
        <v>91</v>
      </c>
    </row>
    <row r="192" spans="1:15" x14ac:dyDescent="0.25">
      <c r="A192" t="s">
        <v>120</v>
      </c>
      <c r="B192" t="s">
        <v>90</v>
      </c>
      <c r="C192" t="s">
        <v>90</v>
      </c>
      <c r="D192" t="s">
        <v>17</v>
      </c>
      <c r="E192" t="s">
        <v>18</v>
      </c>
      <c r="F192" t="s">
        <v>21</v>
      </c>
      <c r="G192" t="s">
        <v>97</v>
      </c>
      <c r="H192">
        <f>-414.82/241.4080673</f>
        <v>-1.718335284481191</v>
      </c>
      <c r="I192" t="s">
        <v>17</v>
      </c>
      <c r="J192" t="s">
        <v>23</v>
      </c>
      <c r="O192" t="s">
        <v>91</v>
      </c>
    </row>
    <row r="193" spans="1:15" x14ac:dyDescent="0.25">
      <c r="A193" t="s">
        <v>120</v>
      </c>
      <c r="B193" t="s">
        <v>90</v>
      </c>
      <c r="C193" t="s">
        <v>90</v>
      </c>
      <c r="D193" t="s">
        <v>17</v>
      </c>
      <c r="E193" t="s">
        <v>18</v>
      </c>
      <c r="F193" t="s">
        <v>21</v>
      </c>
      <c r="G193" t="s">
        <v>93</v>
      </c>
      <c r="H193">
        <f>-2561.69/241.4080673</f>
        <v>-10.611451508853532</v>
      </c>
      <c r="I193" t="s">
        <v>17</v>
      </c>
      <c r="J193" t="s">
        <v>23</v>
      </c>
      <c r="O193" t="s">
        <v>91</v>
      </c>
    </row>
    <row r="194" spans="1:15" x14ac:dyDescent="0.25">
      <c r="A194" t="s">
        <v>120</v>
      </c>
      <c r="B194" t="s">
        <v>90</v>
      </c>
      <c r="C194" t="s">
        <v>90</v>
      </c>
      <c r="D194" t="s">
        <v>17</v>
      </c>
      <c r="E194" t="s">
        <v>18</v>
      </c>
      <c r="F194" t="s">
        <v>21</v>
      </c>
      <c r="G194" t="s">
        <v>26</v>
      </c>
      <c r="H194">
        <f>-(654.32)/241.4080673</f>
        <v>-2.7104313758780507</v>
      </c>
      <c r="I194" t="s">
        <v>17</v>
      </c>
      <c r="J194" t="s">
        <v>23</v>
      </c>
      <c r="O194" t="s">
        <v>91</v>
      </c>
    </row>
    <row r="195" spans="1:15" x14ac:dyDescent="0.25">
      <c r="A195" t="s">
        <v>120</v>
      </c>
      <c r="B195" t="s">
        <v>90</v>
      </c>
      <c r="C195" t="s">
        <v>90</v>
      </c>
      <c r="D195" t="s">
        <v>17</v>
      </c>
      <c r="E195" t="s">
        <v>18</v>
      </c>
      <c r="F195" t="s">
        <v>21</v>
      </c>
      <c r="G195" s="3" t="s">
        <v>57</v>
      </c>
      <c r="H195">
        <f>52.58/241.4080673</f>
        <v>0.21780548010708506</v>
      </c>
      <c r="I195" t="s">
        <v>17</v>
      </c>
      <c r="J195" t="s">
        <v>23</v>
      </c>
      <c r="O195" t="s">
        <v>91</v>
      </c>
    </row>
    <row r="196" spans="1:15" x14ac:dyDescent="0.25">
      <c r="A196" t="s">
        <v>120</v>
      </c>
      <c r="B196" t="s">
        <v>90</v>
      </c>
      <c r="C196" t="s">
        <v>90</v>
      </c>
      <c r="D196" t="s">
        <v>17</v>
      </c>
      <c r="E196" t="s">
        <v>18</v>
      </c>
      <c r="F196" t="s">
        <v>21</v>
      </c>
      <c r="G196" t="s">
        <v>98</v>
      </c>
      <c r="H196">
        <f>24.14/241.4080673</f>
        <v>9.9996658230982E-2</v>
      </c>
      <c r="I196" t="s">
        <v>17</v>
      </c>
      <c r="J196" t="s">
        <v>23</v>
      </c>
      <c r="O196" t="s">
        <v>91</v>
      </c>
    </row>
    <row r="197" spans="1:15" x14ac:dyDescent="0.25">
      <c r="A197" t="s">
        <v>120</v>
      </c>
      <c r="B197" t="s">
        <v>99</v>
      </c>
      <c r="C197" t="s">
        <v>99</v>
      </c>
      <c r="D197" t="s">
        <v>17</v>
      </c>
      <c r="E197" t="s">
        <v>18</v>
      </c>
      <c r="F197" t="s">
        <v>120</v>
      </c>
      <c r="G197" t="s">
        <v>99</v>
      </c>
      <c r="H197">
        <v>1</v>
      </c>
      <c r="I197" t="s">
        <v>17</v>
      </c>
      <c r="J197" t="s">
        <v>19</v>
      </c>
      <c r="O197" t="s">
        <v>100</v>
      </c>
    </row>
    <row r="198" spans="1:15" x14ac:dyDescent="0.25">
      <c r="A198" t="s">
        <v>120</v>
      </c>
      <c r="B198" t="s">
        <v>99</v>
      </c>
      <c r="C198" t="s">
        <v>99</v>
      </c>
      <c r="D198" t="s">
        <v>17</v>
      </c>
      <c r="E198" t="s">
        <v>18</v>
      </c>
      <c r="F198" t="s">
        <v>21</v>
      </c>
      <c r="G198" s="3" t="s">
        <v>55</v>
      </c>
      <c r="H198">
        <v>1</v>
      </c>
      <c r="I198" t="s">
        <v>17</v>
      </c>
      <c r="J198" t="s">
        <v>23</v>
      </c>
      <c r="O198" t="s">
        <v>100</v>
      </c>
    </row>
    <row r="199" spans="1:15" x14ac:dyDescent="0.25">
      <c r="A199" t="s">
        <v>120</v>
      </c>
      <c r="B199" t="s">
        <v>99</v>
      </c>
      <c r="C199" t="s">
        <v>99</v>
      </c>
      <c r="D199" t="s">
        <v>17</v>
      </c>
      <c r="E199" t="s">
        <v>18</v>
      </c>
      <c r="F199" t="s">
        <v>21</v>
      </c>
      <c r="G199" t="s">
        <v>101</v>
      </c>
      <c r="H199">
        <f>321.48/0.6347</f>
        <v>506.50701118638727</v>
      </c>
      <c r="I199" t="s">
        <v>17</v>
      </c>
      <c r="J199" t="s">
        <v>23</v>
      </c>
      <c r="O199" t="s">
        <v>100</v>
      </c>
    </row>
    <row r="200" spans="1:15" x14ac:dyDescent="0.25">
      <c r="A200" t="s">
        <v>120</v>
      </c>
      <c r="B200" t="s">
        <v>99</v>
      </c>
      <c r="C200" t="s">
        <v>99</v>
      </c>
      <c r="D200" t="s">
        <v>17</v>
      </c>
      <c r="E200" t="s">
        <v>18</v>
      </c>
      <c r="F200" t="s">
        <v>21</v>
      </c>
      <c r="G200" t="s">
        <v>26</v>
      </c>
      <c r="H200">
        <f>2.14/0.6347</f>
        <v>3.3716716559004252</v>
      </c>
      <c r="I200" t="s">
        <v>17</v>
      </c>
      <c r="J200" t="s">
        <v>23</v>
      </c>
      <c r="O200" t="s">
        <v>100</v>
      </c>
    </row>
    <row r="201" spans="1:15" x14ac:dyDescent="0.25">
      <c r="A201" t="s">
        <v>120</v>
      </c>
      <c r="B201" t="s">
        <v>99</v>
      </c>
      <c r="C201" t="s">
        <v>99</v>
      </c>
      <c r="D201" t="s">
        <v>17</v>
      </c>
      <c r="E201" t="s">
        <v>18</v>
      </c>
      <c r="F201" t="s">
        <v>21</v>
      </c>
      <c r="G201" t="s">
        <v>33</v>
      </c>
      <c r="H201">
        <f>(0.31*3600)/(0.6347*1000)</f>
        <v>1.7583110130770441</v>
      </c>
      <c r="I201" t="s">
        <v>34</v>
      </c>
      <c r="J201" t="s">
        <v>23</v>
      </c>
      <c r="O201" t="s">
        <v>100</v>
      </c>
    </row>
    <row r="202" spans="1:15" x14ac:dyDescent="0.25">
      <c r="A202" t="s">
        <v>120</v>
      </c>
      <c r="B202" t="s">
        <v>99</v>
      </c>
      <c r="C202" t="s">
        <v>99</v>
      </c>
      <c r="D202" t="s">
        <v>17</v>
      </c>
      <c r="E202" t="s">
        <v>18</v>
      </c>
      <c r="F202" t="s">
        <v>21</v>
      </c>
      <c r="G202" t="s">
        <v>29</v>
      </c>
      <c r="H202">
        <f>(2.02*1000)/(0.6347*1000)+0.0404</f>
        <v>3.22300595556956</v>
      </c>
      <c r="I202" t="s">
        <v>30</v>
      </c>
      <c r="J202" t="s">
        <v>23</v>
      </c>
      <c r="O202" t="s">
        <v>100</v>
      </c>
    </row>
    <row r="203" spans="1:15" x14ac:dyDescent="0.25">
      <c r="A203" t="s">
        <v>120</v>
      </c>
      <c r="B203" t="s">
        <v>99</v>
      </c>
      <c r="C203" t="s">
        <v>99</v>
      </c>
      <c r="D203" t="s">
        <v>17</v>
      </c>
      <c r="E203" t="s">
        <v>18</v>
      </c>
      <c r="F203" t="s">
        <v>21</v>
      </c>
      <c r="G203" t="s">
        <v>96</v>
      </c>
      <c r="H203">
        <f>-(224.23)/0.6347</f>
        <v>-353.28501654324873</v>
      </c>
      <c r="I203" t="s">
        <v>17</v>
      </c>
      <c r="J203" t="s">
        <v>23</v>
      </c>
      <c r="O203" t="s">
        <v>100</v>
      </c>
    </row>
    <row r="204" spans="1:15" x14ac:dyDescent="0.25">
      <c r="A204" t="s">
        <v>120</v>
      </c>
      <c r="B204" t="s">
        <v>99</v>
      </c>
      <c r="C204" t="s">
        <v>99</v>
      </c>
      <c r="D204" t="s">
        <v>17</v>
      </c>
      <c r="E204" t="s">
        <v>18</v>
      </c>
      <c r="F204" t="s">
        <v>21</v>
      </c>
      <c r="G204" t="s">
        <v>97</v>
      </c>
      <c r="H204">
        <f>-1/0.6347</f>
        <v>-1.5755475027572081</v>
      </c>
      <c r="I204" t="s">
        <v>17</v>
      </c>
      <c r="J204" t="s">
        <v>23</v>
      </c>
      <c r="O204" t="s">
        <v>100</v>
      </c>
    </row>
    <row r="205" spans="1:15" x14ac:dyDescent="0.25">
      <c r="A205" t="s">
        <v>120</v>
      </c>
      <c r="B205" t="s">
        <v>99</v>
      </c>
      <c r="C205" t="s">
        <v>99</v>
      </c>
      <c r="D205" t="s">
        <v>17</v>
      </c>
      <c r="E205" t="s">
        <v>18</v>
      </c>
      <c r="F205" t="s">
        <v>21</v>
      </c>
      <c r="G205" t="s">
        <v>94</v>
      </c>
      <c r="H205">
        <f>-0.01/0.6347</f>
        <v>-1.5755475027572081E-2</v>
      </c>
      <c r="I205" t="s">
        <v>17</v>
      </c>
      <c r="J205" t="s">
        <v>23</v>
      </c>
      <c r="O205" t="s">
        <v>100</v>
      </c>
    </row>
    <row r="206" spans="1:15" x14ac:dyDescent="0.25">
      <c r="A206" t="s">
        <v>120</v>
      </c>
      <c r="B206" t="s">
        <v>99</v>
      </c>
      <c r="C206" t="s">
        <v>99</v>
      </c>
      <c r="D206" t="s">
        <v>17</v>
      </c>
      <c r="E206" t="s">
        <v>18</v>
      </c>
      <c r="F206" t="s">
        <v>21</v>
      </c>
      <c r="G206" t="s">
        <v>95</v>
      </c>
      <c r="H206">
        <f>-0.42/0.6347</f>
        <v>-0.66172995115802735</v>
      </c>
      <c r="I206" t="s">
        <v>17</v>
      </c>
      <c r="J206" t="s">
        <v>23</v>
      </c>
      <c r="O206" t="s">
        <v>100</v>
      </c>
    </row>
    <row r="207" spans="1:15" x14ac:dyDescent="0.25">
      <c r="A207" t="s">
        <v>120</v>
      </c>
      <c r="B207" t="s">
        <v>99</v>
      </c>
      <c r="C207" t="s">
        <v>99</v>
      </c>
      <c r="D207" t="s">
        <v>17</v>
      </c>
      <c r="E207" t="s">
        <v>18</v>
      </c>
      <c r="F207" t="s">
        <v>21</v>
      </c>
      <c r="G207" t="s">
        <v>26</v>
      </c>
      <c r="H207">
        <f>-1.62/0.6347</f>
        <v>-2.5523869544666771</v>
      </c>
      <c r="I207" t="s">
        <v>17</v>
      </c>
      <c r="J207" t="s">
        <v>23</v>
      </c>
      <c r="O207" t="s">
        <v>100</v>
      </c>
    </row>
    <row r="208" spans="1:15" x14ac:dyDescent="0.25">
      <c r="A208" t="s">
        <v>120</v>
      </c>
      <c r="B208" t="s">
        <v>99</v>
      </c>
      <c r="C208" t="s">
        <v>99</v>
      </c>
      <c r="D208" t="s">
        <v>17</v>
      </c>
      <c r="E208" t="s">
        <v>18</v>
      </c>
      <c r="F208" t="s">
        <v>21</v>
      </c>
      <c r="G208" t="s">
        <v>57</v>
      </c>
      <c r="H208">
        <f>96.78/0.6347</f>
        <v>152.48148731684259</v>
      </c>
      <c r="I208" t="s">
        <v>17</v>
      </c>
      <c r="J208" t="s">
        <v>23</v>
      </c>
      <c r="O208" t="s">
        <v>100</v>
      </c>
    </row>
    <row r="209" spans="1:15" x14ac:dyDescent="0.25">
      <c r="A209" t="s">
        <v>120</v>
      </c>
      <c r="B209" t="s">
        <v>99</v>
      </c>
      <c r="C209" t="s">
        <v>99</v>
      </c>
      <c r="D209" t="s">
        <v>17</v>
      </c>
      <c r="E209" t="s">
        <v>18</v>
      </c>
      <c r="F209" t="s">
        <v>21</v>
      </c>
      <c r="G209" t="s">
        <v>98</v>
      </c>
      <c r="H209">
        <f>0.0254/0.6347</f>
        <v>4.0018906570033083E-2</v>
      </c>
      <c r="I209" t="s">
        <v>17</v>
      </c>
      <c r="J209" t="s">
        <v>23</v>
      </c>
      <c r="O209" t="s">
        <v>100</v>
      </c>
    </row>
    <row r="210" spans="1:15" x14ac:dyDescent="0.25">
      <c r="A210" t="s">
        <v>120</v>
      </c>
      <c r="B210" t="s">
        <v>102</v>
      </c>
      <c r="C210" t="s">
        <v>102</v>
      </c>
      <c r="D210" t="s">
        <v>17</v>
      </c>
      <c r="E210" t="s">
        <v>18</v>
      </c>
      <c r="F210" t="s">
        <v>120</v>
      </c>
      <c r="G210" t="s">
        <v>102</v>
      </c>
      <c r="H210">
        <v>1</v>
      </c>
      <c r="I210" t="s">
        <v>17</v>
      </c>
      <c r="J210" t="s">
        <v>19</v>
      </c>
      <c r="O210" t="s">
        <v>100</v>
      </c>
    </row>
    <row r="211" spans="1:15" x14ac:dyDescent="0.25">
      <c r="A211" t="s">
        <v>120</v>
      </c>
      <c r="B211" t="s">
        <v>102</v>
      </c>
      <c r="C211" t="s">
        <v>102</v>
      </c>
      <c r="D211" t="s">
        <v>17</v>
      </c>
      <c r="E211" t="s">
        <v>18</v>
      </c>
      <c r="F211" t="s">
        <v>21</v>
      </c>
      <c r="G211" t="s">
        <v>55</v>
      </c>
      <c r="H211">
        <v>1</v>
      </c>
      <c r="I211" t="s">
        <v>17</v>
      </c>
      <c r="J211" t="s">
        <v>23</v>
      </c>
      <c r="O211" t="s">
        <v>100</v>
      </c>
    </row>
    <row r="212" spans="1:15" x14ac:dyDescent="0.25">
      <c r="A212" t="s">
        <v>120</v>
      </c>
      <c r="B212" t="s">
        <v>102</v>
      </c>
      <c r="C212" t="s">
        <v>102</v>
      </c>
      <c r="D212" t="s">
        <v>17</v>
      </c>
      <c r="E212" t="s">
        <v>18</v>
      </c>
      <c r="F212" t="s">
        <v>21</v>
      </c>
      <c r="G212" t="s">
        <v>101</v>
      </c>
      <c r="H212">
        <f>359.15/0.6347</f>
        <v>565.85788561525123</v>
      </c>
      <c r="I212" t="s">
        <v>17</v>
      </c>
      <c r="J212" t="s">
        <v>23</v>
      </c>
      <c r="O212" t="s">
        <v>100</v>
      </c>
    </row>
    <row r="213" spans="1:15" x14ac:dyDescent="0.25">
      <c r="A213" t="s">
        <v>120</v>
      </c>
      <c r="B213" t="s">
        <v>102</v>
      </c>
      <c r="C213" t="s">
        <v>102</v>
      </c>
      <c r="D213" t="s">
        <v>17</v>
      </c>
      <c r="E213" t="s">
        <v>18</v>
      </c>
      <c r="F213" t="s">
        <v>21</v>
      </c>
      <c r="G213" t="s">
        <v>26</v>
      </c>
      <c r="H213">
        <f>2.16/0.6347</f>
        <v>3.4031826059555694</v>
      </c>
      <c r="I213" t="s">
        <v>17</v>
      </c>
      <c r="J213" t="s">
        <v>23</v>
      </c>
      <c r="O213" t="s">
        <v>100</v>
      </c>
    </row>
    <row r="214" spans="1:15" x14ac:dyDescent="0.25">
      <c r="A214" t="s">
        <v>120</v>
      </c>
      <c r="B214" t="s">
        <v>102</v>
      </c>
      <c r="C214" t="s">
        <v>102</v>
      </c>
      <c r="D214" t="s">
        <v>17</v>
      </c>
      <c r="E214" t="s">
        <v>18</v>
      </c>
      <c r="F214" t="s">
        <v>21</v>
      </c>
      <c r="G214" t="s">
        <v>33</v>
      </c>
      <c r="H214">
        <f>(0.31*3600)/(0.6347*1000)</f>
        <v>1.7583110130770441</v>
      </c>
      <c r="I214" t="s">
        <v>34</v>
      </c>
      <c r="J214" t="s">
        <v>23</v>
      </c>
      <c r="O214" t="s">
        <v>100</v>
      </c>
    </row>
    <row r="215" spans="1:15" x14ac:dyDescent="0.25">
      <c r="A215" t="s">
        <v>120</v>
      </c>
      <c r="B215" t="s">
        <v>102</v>
      </c>
      <c r="C215" t="s">
        <v>102</v>
      </c>
      <c r="D215" t="s">
        <v>17</v>
      </c>
      <c r="E215" t="s">
        <v>18</v>
      </c>
      <c r="F215" t="s">
        <v>21</v>
      </c>
      <c r="G215" t="s">
        <v>29</v>
      </c>
      <c r="H215">
        <f>(1.94*1000)/(0.6347*1000)+0.0404</f>
        <v>3.0969621553489834</v>
      </c>
      <c r="I215" t="s">
        <v>30</v>
      </c>
      <c r="J215" t="s">
        <v>23</v>
      </c>
      <c r="O215" t="s">
        <v>100</v>
      </c>
    </row>
    <row r="216" spans="1:15" x14ac:dyDescent="0.25">
      <c r="A216" t="s">
        <v>120</v>
      </c>
      <c r="B216" t="s">
        <v>102</v>
      </c>
      <c r="C216" t="s">
        <v>102</v>
      </c>
      <c r="D216" t="s">
        <v>17</v>
      </c>
      <c r="E216" t="s">
        <v>18</v>
      </c>
      <c r="F216" t="s">
        <v>21</v>
      </c>
      <c r="G216" t="s">
        <v>96</v>
      </c>
      <c r="H216">
        <f>-224.23/0.6347</f>
        <v>-353.28501654324873</v>
      </c>
      <c r="I216" t="s">
        <v>17</v>
      </c>
      <c r="J216" t="s">
        <v>23</v>
      </c>
      <c r="O216" t="s">
        <v>100</v>
      </c>
    </row>
    <row r="217" spans="1:15" x14ac:dyDescent="0.25">
      <c r="A217" t="s">
        <v>120</v>
      </c>
      <c r="B217" t="s">
        <v>102</v>
      </c>
      <c r="C217" t="s">
        <v>102</v>
      </c>
      <c r="D217" t="s">
        <v>17</v>
      </c>
      <c r="E217" t="s">
        <v>18</v>
      </c>
      <c r="F217" t="s">
        <v>21</v>
      </c>
      <c r="G217" t="s">
        <v>97</v>
      </c>
      <c r="H217">
        <f>-1/0.6347</f>
        <v>-1.5755475027572081</v>
      </c>
      <c r="I217" t="s">
        <v>17</v>
      </c>
      <c r="J217" t="s">
        <v>23</v>
      </c>
      <c r="O217" t="s">
        <v>100</v>
      </c>
    </row>
    <row r="218" spans="1:15" x14ac:dyDescent="0.25">
      <c r="A218" t="s">
        <v>120</v>
      </c>
      <c r="B218" t="s">
        <v>102</v>
      </c>
      <c r="C218" t="s">
        <v>102</v>
      </c>
      <c r="D218" t="s">
        <v>17</v>
      </c>
      <c r="E218" t="s">
        <v>18</v>
      </c>
      <c r="F218" t="s">
        <v>21</v>
      </c>
      <c r="G218" t="s">
        <v>94</v>
      </c>
      <c r="H218">
        <f>-0.01/0.6347</f>
        <v>-1.5755475027572081E-2</v>
      </c>
      <c r="I218" t="s">
        <v>17</v>
      </c>
      <c r="J218" t="s">
        <v>23</v>
      </c>
      <c r="O218" t="s">
        <v>100</v>
      </c>
    </row>
    <row r="219" spans="1:15" x14ac:dyDescent="0.25">
      <c r="A219" t="s">
        <v>120</v>
      </c>
      <c r="B219" t="s">
        <v>102</v>
      </c>
      <c r="C219" t="s">
        <v>102</v>
      </c>
      <c r="D219" t="s">
        <v>17</v>
      </c>
      <c r="E219" t="s">
        <v>18</v>
      </c>
      <c r="F219" t="s">
        <v>21</v>
      </c>
      <c r="G219" t="s">
        <v>95</v>
      </c>
      <c r="H219">
        <f>-0.42/0.6347</f>
        <v>-0.66172995115802735</v>
      </c>
      <c r="I219" t="s">
        <v>17</v>
      </c>
      <c r="J219" t="s">
        <v>23</v>
      </c>
      <c r="O219" t="s">
        <v>100</v>
      </c>
    </row>
    <row r="220" spans="1:15" x14ac:dyDescent="0.25">
      <c r="A220" t="s">
        <v>120</v>
      </c>
      <c r="B220" t="s">
        <v>102</v>
      </c>
      <c r="C220" t="s">
        <v>102</v>
      </c>
      <c r="D220" t="s">
        <v>17</v>
      </c>
      <c r="E220" t="s">
        <v>18</v>
      </c>
      <c r="F220" t="s">
        <v>21</v>
      </c>
      <c r="G220" t="s">
        <v>26</v>
      </c>
      <c r="H220">
        <f>-1.62/0.6347</f>
        <v>-2.5523869544666771</v>
      </c>
      <c r="I220" t="s">
        <v>17</v>
      </c>
      <c r="J220" t="s">
        <v>23</v>
      </c>
      <c r="O220" t="s">
        <v>100</v>
      </c>
    </row>
    <row r="221" spans="1:15" x14ac:dyDescent="0.25">
      <c r="A221" t="s">
        <v>120</v>
      </c>
      <c r="B221" t="s">
        <v>102</v>
      </c>
      <c r="C221" t="s">
        <v>102</v>
      </c>
      <c r="D221" t="s">
        <v>17</v>
      </c>
      <c r="E221" t="s">
        <v>18</v>
      </c>
      <c r="F221" t="s">
        <v>21</v>
      </c>
      <c r="G221" t="s">
        <v>57</v>
      </c>
      <c r="H221">
        <f>134.45/0.6347</f>
        <v>211.83236174570661</v>
      </c>
      <c r="I221" t="s">
        <v>17</v>
      </c>
      <c r="J221" t="s">
        <v>23</v>
      </c>
      <c r="O221" t="s">
        <v>100</v>
      </c>
    </row>
    <row r="222" spans="1:15" x14ac:dyDescent="0.25">
      <c r="A222" t="s">
        <v>120</v>
      </c>
      <c r="B222" t="s">
        <v>103</v>
      </c>
      <c r="C222" t="s">
        <v>103</v>
      </c>
      <c r="D222" t="s">
        <v>17</v>
      </c>
      <c r="E222" t="s">
        <v>18</v>
      </c>
      <c r="F222" t="s">
        <v>120</v>
      </c>
      <c r="G222" t="s">
        <v>103</v>
      </c>
      <c r="H222">
        <v>1</v>
      </c>
      <c r="I222" t="s">
        <v>17</v>
      </c>
      <c r="J222" t="s">
        <v>19</v>
      </c>
      <c r="O222" t="s">
        <v>65</v>
      </c>
    </row>
    <row r="223" spans="1:15" x14ac:dyDescent="0.25">
      <c r="A223" t="s">
        <v>120</v>
      </c>
      <c r="B223" t="s">
        <v>103</v>
      </c>
      <c r="C223" t="s">
        <v>103</v>
      </c>
      <c r="D223" t="s">
        <v>17</v>
      </c>
      <c r="E223" t="s">
        <v>18</v>
      </c>
      <c r="F223" t="s">
        <v>21</v>
      </c>
      <c r="G223" t="s">
        <v>55</v>
      </c>
      <c r="H223">
        <v>1</v>
      </c>
      <c r="I223" t="s">
        <v>17</v>
      </c>
      <c r="J223" t="s">
        <v>23</v>
      </c>
      <c r="O223" t="s">
        <v>65</v>
      </c>
    </row>
    <row r="224" spans="1:15" x14ac:dyDescent="0.25">
      <c r="A224" t="s">
        <v>120</v>
      </c>
      <c r="B224" t="s">
        <v>103</v>
      </c>
      <c r="C224" t="s">
        <v>103</v>
      </c>
      <c r="D224" t="s">
        <v>17</v>
      </c>
      <c r="E224" t="s">
        <v>18</v>
      </c>
      <c r="F224" t="s">
        <v>21</v>
      </c>
      <c r="G224" t="s">
        <v>66</v>
      </c>
      <c r="H224">
        <v>2.88</v>
      </c>
      <c r="I224" t="s">
        <v>17</v>
      </c>
      <c r="J224" t="s">
        <v>23</v>
      </c>
      <c r="O224" t="s">
        <v>65</v>
      </c>
    </row>
    <row r="225" spans="1:15" x14ac:dyDescent="0.25">
      <c r="A225" t="s">
        <v>120</v>
      </c>
      <c r="B225" t="s">
        <v>103</v>
      </c>
      <c r="C225" t="s">
        <v>103</v>
      </c>
      <c r="D225" t="s">
        <v>17</v>
      </c>
      <c r="E225" t="s">
        <v>18</v>
      </c>
      <c r="F225" t="s">
        <v>21</v>
      </c>
      <c r="G225" t="s">
        <v>67</v>
      </c>
      <c r="H225">
        <v>0.43</v>
      </c>
      <c r="I225" t="s">
        <v>17</v>
      </c>
      <c r="J225" t="s">
        <v>23</v>
      </c>
      <c r="O225" t="s">
        <v>65</v>
      </c>
    </row>
    <row r="226" spans="1:15" x14ac:dyDescent="0.25">
      <c r="A226" t="s">
        <v>120</v>
      </c>
      <c r="B226" t="s">
        <v>103</v>
      </c>
      <c r="C226" t="s">
        <v>103</v>
      </c>
      <c r="D226" t="s">
        <v>17</v>
      </c>
      <c r="E226" t="s">
        <v>18</v>
      </c>
      <c r="F226" t="s">
        <v>21</v>
      </c>
      <c r="G226" t="s">
        <v>29</v>
      </c>
      <c r="H226">
        <f>1095/1000</f>
        <v>1.095</v>
      </c>
      <c r="I226" t="s">
        <v>30</v>
      </c>
      <c r="J226" t="s">
        <v>23</v>
      </c>
      <c r="O226" t="s">
        <v>65</v>
      </c>
    </row>
    <row r="227" spans="1:15" x14ac:dyDescent="0.25">
      <c r="A227" t="s">
        <v>120</v>
      </c>
      <c r="B227" t="s">
        <v>103</v>
      </c>
      <c r="C227" t="s">
        <v>103</v>
      </c>
      <c r="D227" t="s">
        <v>17</v>
      </c>
      <c r="E227" t="s">
        <v>18</v>
      </c>
      <c r="F227" t="s">
        <v>21</v>
      </c>
      <c r="G227" t="s">
        <v>33</v>
      </c>
      <c r="H227">
        <f>2947*3.6/1000</f>
        <v>10.609200000000001</v>
      </c>
      <c r="I227" t="s">
        <v>34</v>
      </c>
      <c r="J227" t="s">
        <v>23</v>
      </c>
      <c r="O227" t="s">
        <v>65</v>
      </c>
    </row>
    <row r="228" spans="1:15" x14ac:dyDescent="0.25">
      <c r="A228" t="s">
        <v>120</v>
      </c>
      <c r="B228" t="s">
        <v>103</v>
      </c>
      <c r="C228" t="s">
        <v>103</v>
      </c>
      <c r="D228" t="s">
        <v>17</v>
      </c>
      <c r="E228" t="s">
        <v>18</v>
      </c>
      <c r="F228" t="s">
        <v>21</v>
      </c>
      <c r="G228" t="s">
        <v>121</v>
      </c>
      <c r="H228">
        <v>-2.25</v>
      </c>
      <c r="I228" t="s">
        <v>17</v>
      </c>
      <c r="J228" t="s">
        <v>23</v>
      </c>
      <c r="O228" t="s">
        <v>65</v>
      </c>
    </row>
    <row r="229" spans="1:15" x14ac:dyDescent="0.25">
      <c r="A229" t="s">
        <v>120</v>
      </c>
      <c r="B229" t="s">
        <v>103</v>
      </c>
      <c r="C229" t="s">
        <v>103</v>
      </c>
      <c r="D229" t="s">
        <v>17</v>
      </c>
      <c r="E229" t="s">
        <v>18</v>
      </c>
      <c r="F229" t="s">
        <v>21</v>
      </c>
      <c r="G229" t="s">
        <v>40</v>
      </c>
      <c r="H229">
        <v>-1.1399999999999999</v>
      </c>
      <c r="I229" t="s">
        <v>17</v>
      </c>
      <c r="J229" t="s">
        <v>23</v>
      </c>
      <c r="O229" t="s">
        <v>65</v>
      </c>
    </row>
    <row r="230" spans="1:15" x14ac:dyDescent="0.25">
      <c r="A230" t="s">
        <v>120</v>
      </c>
      <c r="B230" t="s">
        <v>103</v>
      </c>
      <c r="C230" t="s">
        <v>103</v>
      </c>
      <c r="D230" t="s">
        <v>17</v>
      </c>
      <c r="E230" t="s">
        <v>18</v>
      </c>
      <c r="F230" t="s">
        <v>21</v>
      </c>
      <c r="G230" t="s">
        <v>67</v>
      </c>
      <c r="H230">
        <v>-0.43</v>
      </c>
      <c r="I230" t="s">
        <v>17</v>
      </c>
      <c r="J230" t="s">
        <v>23</v>
      </c>
      <c r="O230" t="s">
        <v>65</v>
      </c>
    </row>
    <row r="231" spans="1:15" x14ac:dyDescent="0.25">
      <c r="A231" t="s">
        <v>120</v>
      </c>
      <c r="B231" t="s">
        <v>103</v>
      </c>
      <c r="C231" t="s">
        <v>103</v>
      </c>
      <c r="D231" t="s">
        <v>17</v>
      </c>
      <c r="E231" t="s">
        <v>18</v>
      </c>
      <c r="F231" t="s">
        <v>21</v>
      </c>
      <c r="G231" t="s">
        <v>66</v>
      </c>
      <c r="H231">
        <v>-0.49</v>
      </c>
      <c r="I231" t="s">
        <v>17</v>
      </c>
      <c r="J231" t="s">
        <v>23</v>
      </c>
      <c r="O231" t="s">
        <v>65</v>
      </c>
    </row>
    <row r="232" spans="1:15" x14ac:dyDescent="0.25">
      <c r="A232" s="6" t="s">
        <v>120</v>
      </c>
      <c r="B232" t="s">
        <v>104</v>
      </c>
      <c r="C232" t="s">
        <v>104</v>
      </c>
      <c r="D232" t="s">
        <v>17</v>
      </c>
      <c r="E232" t="s">
        <v>18</v>
      </c>
      <c r="F232" t="s">
        <v>120</v>
      </c>
      <c r="G232" t="s">
        <v>104</v>
      </c>
      <c r="H232">
        <v>1</v>
      </c>
      <c r="I232" t="s">
        <v>17</v>
      </c>
      <c r="J232" t="s">
        <v>19</v>
      </c>
      <c r="O232" t="s">
        <v>105</v>
      </c>
    </row>
    <row r="233" spans="1:15" x14ac:dyDescent="0.25">
      <c r="A233" s="6" t="s">
        <v>120</v>
      </c>
      <c r="B233" t="s">
        <v>104</v>
      </c>
      <c r="C233" t="s">
        <v>104</v>
      </c>
      <c r="D233" t="s">
        <v>17</v>
      </c>
      <c r="E233" t="s">
        <v>18</v>
      </c>
      <c r="F233" t="s">
        <v>21</v>
      </c>
      <c r="G233" t="s">
        <v>55</v>
      </c>
      <c r="H233">
        <v>1</v>
      </c>
      <c r="I233" t="s">
        <v>17</v>
      </c>
      <c r="J233" t="s">
        <v>23</v>
      </c>
      <c r="O233" t="s">
        <v>105</v>
      </c>
    </row>
    <row r="234" spans="1:15" x14ac:dyDescent="0.25">
      <c r="A234" s="6" t="s">
        <v>120</v>
      </c>
      <c r="B234" t="s">
        <v>104</v>
      </c>
      <c r="C234" t="s">
        <v>104</v>
      </c>
      <c r="D234" t="s">
        <v>17</v>
      </c>
      <c r="E234" t="s">
        <v>18</v>
      </c>
      <c r="F234" t="s">
        <v>21</v>
      </c>
      <c r="G234" s="3" t="s">
        <v>24</v>
      </c>
      <c r="H234">
        <f>2167/437</f>
        <v>4.9588100686498855</v>
      </c>
      <c r="I234" t="s">
        <v>17</v>
      </c>
      <c r="J234" t="s">
        <v>23</v>
      </c>
      <c r="O234" t="s">
        <v>105</v>
      </c>
    </row>
    <row r="235" spans="1:15" x14ac:dyDescent="0.25">
      <c r="A235" s="6" t="s">
        <v>120</v>
      </c>
      <c r="B235" t="s">
        <v>104</v>
      </c>
      <c r="C235" t="s">
        <v>104</v>
      </c>
      <c r="D235" t="s">
        <v>17</v>
      </c>
      <c r="E235" t="s">
        <v>18</v>
      </c>
      <c r="F235" t="s">
        <v>21</v>
      </c>
      <c r="G235" t="s">
        <v>26</v>
      </c>
      <c r="H235">
        <f>3030/437</f>
        <v>6.9336384439359264</v>
      </c>
      <c r="I235" t="s">
        <v>17</v>
      </c>
      <c r="J235" t="s">
        <v>23</v>
      </c>
      <c r="O235" t="s">
        <v>105</v>
      </c>
    </row>
    <row r="236" spans="1:15" x14ac:dyDescent="0.25">
      <c r="A236" s="6" t="s">
        <v>120</v>
      </c>
      <c r="B236" t="s">
        <v>104</v>
      </c>
      <c r="C236" t="s">
        <v>104</v>
      </c>
      <c r="D236" t="s">
        <v>17</v>
      </c>
      <c r="E236" t="s">
        <v>18</v>
      </c>
      <c r="F236" t="s">
        <v>21</v>
      </c>
      <c r="G236" t="s">
        <v>106</v>
      </c>
      <c r="H236">
        <f>1430/437</f>
        <v>3.2723112128146452</v>
      </c>
      <c r="I236" t="s">
        <v>17</v>
      </c>
      <c r="J236" t="s">
        <v>23</v>
      </c>
      <c r="O236" t="s">
        <v>105</v>
      </c>
    </row>
    <row r="237" spans="1:15" x14ac:dyDescent="0.25">
      <c r="A237" s="6" t="s">
        <v>120</v>
      </c>
      <c r="B237" t="s">
        <v>104</v>
      </c>
      <c r="C237" t="s">
        <v>104</v>
      </c>
      <c r="D237" t="s">
        <v>17</v>
      </c>
      <c r="E237" t="s">
        <v>18</v>
      </c>
      <c r="F237" t="s">
        <v>21</v>
      </c>
      <c r="G237" t="s">
        <v>29</v>
      </c>
      <c r="H237">
        <f>172/437</f>
        <v>0.39359267734553777</v>
      </c>
      <c r="I237" t="s">
        <v>30</v>
      </c>
      <c r="J237" t="s">
        <v>23</v>
      </c>
      <c r="O237" t="s">
        <v>105</v>
      </c>
    </row>
    <row r="238" spans="1:15" x14ac:dyDescent="0.25">
      <c r="A238" s="6" t="s">
        <v>120</v>
      </c>
      <c r="B238" t="s">
        <v>104</v>
      </c>
      <c r="C238" t="s">
        <v>104</v>
      </c>
      <c r="D238" t="s">
        <v>17</v>
      </c>
      <c r="E238" t="s">
        <v>18</v>
      </c>
      <c r="F238" t="s">
        <v>21</v>
      </c>
      <c r="G238" t="s">
        <v>79</v>
      </c>
      <c r="H238">
        <f>60*3.6/(437*2.75)</f>
        <v>0.17973788225504472</v>
      </c>
      <c r="I238" t="s">
        <v>17</v>
      </c>
      <c r="J238" t="s">
        <v>23</v>
      </c>
      <c r="O238" t="s">
        <v>107</v>
      </c>
    </row>
    <row r="239" spans="1:15" x14ac:dyDescent="0.25">
      <c r="A239" s="6" t="s">
        <v>120</v>
      </c>
      <c r="B239" t="s">
        <v>104</v>
      </c>
      <c r="C239" t="s">
        <v>104</v>
      </c>
      <c r="D239" t="s">
        <v>17</v>
      </c>
      <c r="E239" t="s">
        <v>18</v>
      </c>
      <c r="F239" t="s">
        <v>21</v>
      </c>
      <c r="G239" t="s">
        <v>123</v>
      </c>
      <c r="H239">
        <f>-1000/437</f>
        <v>-2.2883295194508011</v>
      </c>
      <c r="I239" t="s">
        <v>17</v>
      </c>
      <c r="J239" t="s">
        <v>23</v>
      </c>
      <c r="O239" t="s">
        <v>105</v>
      </c>
    </row>
    <row r="240" spans="1:15" x14ac:dyDescent="0.25">
      <c r="A240" s="6" t="s">
        <v>120</v>
      </c>
      <c r="B240" t="s">
        <v>104</v>
      </c>
      <c r="C240" t="s">
        <v>104</v>
      </c>
      <c r="D240" t="s">
        <v>17</v>
      </c>
      <c r="E240" t="s">
        <v>18</v>
      </c>
      <c r="F240" t="s">
        <v>21</v>
      </c>
      <c r="G240" t="s">
        <v>57</v>
      </c>
      <c r="H240">
        <f>2050/437</f>
        <v>4.6910755148741421</v>
      </c>
      <c r="I240" t="s">
        <v>17</v>
      </c>
      <c r="J240" t="s">
        <v>23</v>
      </c>
      <c r="O240" t="s">
        <v>105</v>
      </c>
    </row>
    <row r="241" spans="1:15" x14ac:dyDescent="0.25">
      <c r="A241" s="6" t="s">
        <v>120</v>
      </c>
      <c r="B241" t="s">
        <v>104</v>
      </c>
      <c r="C241" t="s">
        <v>104</v>
      </c>
      <c r="D241" t="s">
        <v>17</v>
      </c>
      <c r="E241" t="s">
        <v>18</v>
      </c>
      <c r="F241" t="s">
        <v>21</v>
      </c>
      <c r="G241" s="3" t="s">
        <v>88</v>
      </c>
      <c r="H241">
        <f>1390/437</f>
        <v>3.1807780320366135</v>
      </c>
      <c r="I241" t="s">
        <v>17</v>
      </c>
      <c r="J241" t="s">
        <v>23</v>
      </c>
      <c r="O241" t="s">
        <v>105</v>
      </c>
    </row>
    <row r="242" spans="1:15" x14ac:dyDescent="0.25">
      <c r="A242" s="6" t="s">
        <v>120</v>
      </c>
      <c r="B242" t="s">
        <v>108</v>
      </c>
      <c r="C242" t="s">
        <v>108</v>
      </c>
      <c r="D242" t="s">
        <v>17</v>
      </c>
      <c r="E242" t="s">
        <v>18</v>
      </c>
      <c r="F242" t="s">
        <v>120</v>
      </c>
      <c r="G242" t="s">
        <v>108</v>
      </c>
      <c r="H242">
        <v>1</v>
      </c>
      <c r="I242" t="s">
        <v>17</v>
      </c>
      <c r="J242" t="s">
        <v>19</v>
      </c>
      <c r="O242" t="s">
        <v>82</v>
      </c>
    </row>
    <row r="243" spans="1:15" x14ac:dyDescent="0.25">
      <c r="A243" s="6" t="s">
        <v>120</v>
      </c>
      <c r="B243" t="s">
        <v>108</v>
      </c>
      <c r="C243" t="s">
        <v>108</v>
      </c>
      <c r="D243" t="s">
        <v>17</v>
      </c>
      <c r="E243" t="s">
        <v>18</v>
      </c>
      <c r="F243" t="s">
        <v>21</v>
      </c>
      <c r="G243" s="3" t="s">
        <v>55</v>
      </c>
      <c r="H243">
        <v>1</v>
      </c>
      <c r="I243" t="s">
        <v>17</v>
      </c>
      <c r="J243" t="s">
        <v>23</v>
      </c>
      <c r="O243" t="s">
        <v>82</v>
      </c>
    </row>
    <row r="244" spans="1:15" x14ac:dyDescent="0.25">
      <c r="A244" s="6" t="s">
        <v>120</v>
      </c>
      <c r="B244" t="s">
        <v>108</v>
      </c>
      <c r="C244" t="s">
        <v>108</v>
      </c>
      <c r="D244" t="s">
        <v>17</v>
      </c>
      <c r="E244" t="s">
        <v>18</v>
      </c>
      <c r="F244" t="s">
        <v>21</v>
      </c>
      <c r="G244" s="3" t="s">
        <v>83</v>
      </c>
      <c r="H244">
        <f>2.8947/1.0334</f>
        <v>2.8011418618153665</v>
      </c>
      <c r="I244" t="s">
        <v>17</v>
      </c>
      <c r="J244" t="s">
        <v>23</v>
      </c>
      <c r="O244" t="s">
        <v>82</v>
      </c>
    </row>
    <row r="245" spans="1:15" x14ac:dyDescent="0.25">
      <c r="A245" s="6" t="s">
        <v>120</v>
      </c>
      <c r="B245" t="s">
        <v>108</v>
      </c>
      <c r="C245" t="s">
        <v>108</v>
      </c>
      <c r="D245" t="s">
        <v>17</v>
      </c>
      <c r="E245" t="s">
        <v>18</v>
      </c>
      <c r="F245" t="s">
        <v>21</v>
      </c>
      <c r="G245" s="3" t="s">
        <v>33</v>
      </c>
      <c r="H245">
        <f>6.692*3.6/1.0334</f>
        <v>23.312560479969033</v>
      </c>
      <c r="I245" t="s">
        <v>34</v>
      </c>
      <c r="J245" t="s">
        <v>23</v>
      </c>
      <c r="O245" t="s">
        <v>82</v>
      </c>
    </row>
    <row r="246" spans="1:15" x14ac:dyDescent="0.25">
      <c r="A246" s="6" t="s">
        <v>120</v>
      </c>
      <c r="B246" t="s">
        <v>108</v>
      </c>
      <c r="C246" t="s">
        <v>108</v>
      </c>
      <c r="D246" t="s">
        <v>17</v>
      </c>
      <c r="E246" t="s">
        <v>18</v>
      </c>
      <c r="F246" t="s">
        <v>21</v>
      </c>
      <c r="G246" s="3" t="s">
        <v>124</v>
      </c>
      <c r="H246">
        <f>-1.8579/1.0334</f>
        <v>-1.7978517514999031</v>
      </c>
      <c r="I246" t="s">
        <v>17</v>
      </c>
      <c r="J246" t="s">
        <v>23</v>
      </c>
      <c r="O246" t="s">
        <v>82</v>
      </c>
    </row>
    <row r="247" spans="1:15" x14ac:dyDescent="0.25">
      <c r="A247" t="s">
        <v>120</v>
      </c>
      <c r="B247" t="s">
        <v>109</v>
      </c>
      <c r="C247" t="s">
        <v>109</v>
      </c>
      <c r="D247" t="s">
        <v>17</v>
      </c>
      <c r="E247" t="s">
        <v>18</v>
      </c>
      <c r="F247" t="s">
        <v>120</v>
      </c>
      <c r="G247" t="s">
        <v>109</v>
      </c>
      <c r="H247">
        <v>1</v>
      </c>
      <c r="I247" t="s">
        <v>17</v>
      </c>
      <c r="J247" t="s">
        <v>19</v>
      </c>
      <c r="O247" t="s">
        <v>110</v>
      </c>
    </row>
    <row r="248" spans="1:15" x14ac:dyDescent="0.25">
      <c r="A248" t="s">
        <v>120</v>
      </c>
      <c r="B248" t="s">
        <v>109</v>
      </c>
      <c r="C248" t="s">
        <v>109</v>
      </c>
      <c r="D248" t="s">
        <v>17</v>
      </c>
      <c r="E248" t="s">
        <v>18</v>
      </c>
      <c r="F248" t="s">
        <v>21</v>
      </c>
      <c r="G248" t="s">
        <v>22</v>
      </c>
      <c r="H248">
        <v>1</v>
      </c>
      <c r="I248" t="s">
        <v>17</v>
      </c>
      <c r="J248" t="s">
        <v>23</v>
      </c>
      <c r="O248" t="s">
        <v>110</v>
      </c>
    </row>
    <row r="249" spans="1:15" x14ac:dyDescent="0.25">
      <c r="A249" t="s">
        <v>120</v>
      </c>
      <c r="B249" t="s">
        <v>109</v>
      </c>
      <c r="C249" t="s">
        <v>109</v>
      </c>
      <c r="D249" t="s">
        <v>17</v>
      </c>
      <c r="E249" t="s">
        <v>18</v>
      </c>
      <c r="F249" t="s">
        <v>21</v>
      </c>
      <c r="G249" t="s">
        <v>83</v>
      </c>
      <c r="H249">
        <f>2100/1000</f>
        <v>2.1</v>
      </c>
      <c r="I249" t="s">
        <v>17</v>
      </c>
      <c r="J249" t="s">
        <v>23</v>
      </c>
      <c r="O249" t="s">
        <v>110</v>
      </c>
    </row>
    <row r="250" spans="1:15" x14ac:dyDescent="0.25">
      <c r="A250" t="s">
        <v>120</v>
      </c>
      <c r="B250" t="s">
        <v>109</v>
      </c>
      <c r="C250" t="s">
        <v>109</v>
      </c>
      <c r="D250" t="s">
        <v>17</v>
      </c>
      <c r="E250" t="s">
        <v>18</v>
      </c>
      <c r="F250" t="s">
        <v>21</v>
      </c>
      <c r="G250" t="s">
        <v>111</v>
      </c>
      <c r="H250">
        <f>25/1000</f>
        <v>2.5000000000000001E-2</v>
      </c>
      <c r="I250" t="s">
        <v>17</v>
      </c>
      <c r="J250" t="s">
        <v>23</v>
      </c>
      <c r="O250" t="s">
        <v>110</v>
      </c>
    </row>
    <row r="251" spans="1:15" x14ac:dyDescent="0.25">
      <c r="A251" t="s">
        <v>120</v>
      </c>
      <c r="B251" t="s">
        <v>109</v>
      </c>
      <c r="C251" t="s">
        <v>109</v>
      </c>
      <c r="D251" t="s">
        <v>17</v>
      </c>
      <c r="E251" t="s">
        <v>18</v>
      </c>
      <c r="F251" t="s">
        <v>21</v>
      </c>
      <c r="G251" t="s">
        <v>112</v>
      </c>
      <c r="H251">
        <f>404/1000</f>
        <v>0.40400000000000003</v>
      </c>
      <c r="I251" t="s">
        <v>17</v>
      </c>
      <c r="J251" t="s">
        <v>23</v>
      </c>
      <c r="O251" t="s">
        <v>110</v>
      </c>
    </row>
    <row r="252" spans="1:15" x14ac:dyDescent="0.25">
      <c r="A252" t="s">
        <v>120</v>
      </c>
      <c r="B252" t="s">
        <v>109</v>
      </c>
      <c r="C252" t="s">
        <v>109</v>
      </c>
      <c r="D252" t="s">
        <v>17</v>
      </c>
      <c r="E252" t="s">
        <v>18</v>
      </c>
      <c r="F252" t="s">
        <v>21</v>
      </c>
      <c r="G252" t="s">
        <v>29</v>
      </c>
      <c r="H252">
        <f>(38+290)/1000 +0.1314</f>
        <v>0.45940000000000003</v>
      </c>
      <c r="I252" t="s">
        <v>30</v>
      </c>
      <c r="J252" t="s">
        <v>23</v>
      </c>
      <c r="O252" t="s">
        <v>110</v>
      </c>
    </row>
    <row r="253" spans="1:15" x14ac:dyDescent="0.25">
      <c r="A253" t="s">
        <v>120</v>
      </c>
      <c r="B253" t="s">
        <v>109</v>
      </c>
      <c r="C253" t="s">
        <v>109</v>
      </c>
      <c r="D253" t="s">
        <v>17</v>
      </c>
      <c r="E253" t="s">
        <v>18</v>
      </c>
      <c r="F253" t="s">
        <v>21</v>
      </c>
      <c r="G253" t="s">
        <v>33</v>
      </c>
      <c r="H253">
        <f>11900/1000</f>
        <v>11.9</v>
      </c>
      <c r="I253" t="s">
        <v>34</v>
      </c>
      <c r="J253" t="s">
        <v>23</v>
      </c>
      <c r="O253" t="s">
        <v>110</v>
      </c>
    </row>
    <row r="254" spans="1:15" x14ac:dyDescent="0.25">
      <c r="A254" t="s">
        <v>120</v>
      </c>
      <c r="B254" t="s">
        <v>109</v>
      </c>
      <c r="C254" t="s">
        <v>109</v>
      </c>
      <c r="D254" t="s">
        <v>17</v>
      </c>
      <c r="E254" t="s">
        <v>18</v>
      </c>
      <c r="F254" t="s">
        <v>21</v>
      </c>
      <c r="G254" t="s">
        <v>121</v>
      </c>
      <c r="H254">
        <f>-1915/1000</f>
        <v>-1.915</v>
      </c>
      <c r="I254" t="s">
        <v>17</v>
      </c>
      <c r="J254" t="s">
        <v>23</v>
      </c>
      <c r="O254" t="s">
        <v>110</v>
      </c>
    </row>
    <row r="255" spans="1:15" x14ac:dyDescent="0.25">
      <c r="A255" t="s">
        <v>120</v>
      </c>
      <c r="B255" t="s">
        <v>109</v>
      </c>
      <c r="C255" t="s">
        <v>109</v>
      </c>
      <c r="D255" t="s">
        <v>17</v>
      </c>
      <c r="E255" t="s">
        <v>18</v>
      </c>
      <c r="F255" t="s">
        <v>21</v>
      </c>
      <c r="G255" t="s">
        <v>67</v>
      </c>
      <c r="H255">
        <f>-(231.533/88.851)*(4/12)*(450/1000)</f>
        <v>-0.39087854948171658</v>
      </c>
      <c r="I255" t="s">
        <v>17</v>
      </c>
      <c r="J255" t="s">
        <v>23</v>
      </c>
      <c r="O255" t="s">
        <v>110</v>
      </c>
    </row>
    <row r="256" spans="1:15" x14ac:dyDescent="0.25">
      <c r="A256" t="s">
        <v>120</v>
      </c>
      <c r="B256" t="s">
        <v>109</v>
      </c>
      <c r="C256" t="s">
        <v>109</v>
      </c>
      <c r="D256" t="s">
        <v>17</v>
      </c>
      <c r="E256" t="s">
        <v>18</v>
      </c>
      <c r="F256" t="s">
        <v>21</v>
      </c>
      <c r="G256" t="s">
        <v>123</v>
      </c>
      <c r="H256">
        <f>-(100.087/74.093)*7/1000</f>
        <v>-9.4558055416840998E-3</v>
      </c>
      <c r="I256" t="s">
        <v>17</v>
      </c>
      <c r="J256" t="s">
        <v>23</v>
      </c>
      <c r="O256" t="s">
        <v>110</v>
      </c>
    </row>
    <row r="257" spans="1:15" x14ac:dyDescent="0.25">
      <c r="A257" t="s">
        <v>120</v>
      </c>
      <c r="B257" t="s">
        <v>109</v>
      </c>
      <c r="C257" t="s">
        <v>109</v>
      </c>
      <c r="D257" t="s">
        <v>17</v>
      </c>
      <c r="E257" t="s">
        <v>18</v>
      </c>
      <c r="F257" t="s">
        <v>21</v>
      </c>
      <c r="G257" t="s">
        <v>33</v>
      </c>
      <c r="H257">
        <f>-(15700+1940)/1000</f>
        <v>-17.64</v>
      </c>
      <c r="I257" t="s">
        <v>34</v>
      </c>
      <c r="J257" t="s">
        <v>23</v>
      </c>
      <c r="O257" t="s">
        <v>110</v>
      </c>
    </row>
    <row r="258" spans="1:15" x14ac:dyDescent="0.25">
      <c r="A258" t="s">
        <v>120</v>
      </c>
      <c r="B258" t="s">
        <v>109</v>
      </c>
      <c r="C258" t="s">
        <v>109</v>
      </c>
      <c r="D258" t="s">
        <v>17</v>
      </c>
      <c r="E258" t="s">
        <v>18</v>
      </c>
      <c r="F258" t="s">
        <v>21</v>
      </c>
      <c r="G258" t="s">
        <v>29</v>
      </c>
      <c r="H258">
        <f>-79/1000</f>
        <v>-7.9000000000000001E-2</v>
      </c>
      <c r="I258" t="s">
        <v>30</v>
      </c>
      <c r="J258" t="s">
        <v>23</v>
      </c>
      <c r="O258" t="s">
        <v>110</v>
      </c>
    </row>
    <row r="259" spans="1:15" ht="15" customHeight="1" x14ac:dyDescent="0.25">
      <c r="A259" t="s">
        <v>120</v>
      </c>
      <c r="B259" t="s">
        <v>113</v>
      </c>
      <c r="C259" t="s">
        <v>113</v>
      </c>
      <c r="D259" t="s">
        <v>17</v>
      </c>
      <c r="E259" t="s">
        <v>18</v>
      </c>
      <c r="F259" t="s">
        <v>120</v>
      </c>
      <c r="G259" t="s">
        <v>113</v>
      </c>
      <c r="H259">
        <v>1</v>
      </c>
      <c r="I259" t="s">
        <v>17</v>
      </c>
      <c r="J259" t="s">
        <v>19</v>
      </c>
      <c r="O259" t="s">
        <v>114</v>
      </c>
    </row>
    <row r="260" spans="1:15" x14ac:dyDescent="0.25">
      <c r="A260" t="s">
        <v>120</v>
      </c>
      <c r="B260" t="s">
        <v>113</v>
      </c>
      <c r="C260" t="s">
        <v>113</v>
      </c>
      <c r="D260" t="s">
        <v>17</v>
      </c>
      <c r="E260" t="s">
        <v>18</v>
      </c>
      <c r="F260" t="s">
        <v>21</v>
      </c>
      <c r="G260" t="s">
        <v>22</v>
      </c>
      <c r="H260">
        <v>1</v>
      </c>
      <c r="I260" t="s">
        <v>17</v>
      </c>
      <c r="J260" t="s">
        <v>23</v>
      </c>
      <c r="O260" t="s">
        <v>114</v>
      </c>
    </row>
    <row r="261" spans="1:15" x14ac:dyDescent="0.25">
      <c r="A261" t="s">
        <v>120</v>
      </c>
      <c r="B261" t="s">
        <v>113</v>
      </c>
      <c r="C261" t="s">
        <v>113</v>
      </c>
      <c r="D261" t="s">
        <v>17</v>
      </c>
      <c r="E261" t="s">
        <v>18</v>
      </c>
      <c r="F261" t="s">
        <v>21</v>
      </c>
      <c r="G261" t="s">
        <v>83</v>
      </c>
      <c r="H261">
        <f>2529/1000</f>
        <v>2.5289999999999999</v>
      </c>
      <c r="I261" t="s">
        <v>17</v>
      </c>
      <c r="J261" t="s">
        <v>23</v>
      </c>
      <c r="O261" t="s">
        <v>114</v>
      </c>
    </row>
    <row r="262" spans="1:15" x14ac:dyDescent="0.25">
      <c r="A262" t="s">
        <v>120</v>
      </c>
      <c r="B262" t="s">
        <v>113</v>
      </c>
      <c r="C262" t="s">
        <v>113</v>
      </c>
      <c r="D262" t="s">
        <v>17</v>
      </c>
      <c r="E262" t="s">
        <v>18</v>
      </c>
      <c r="F262" t="s">
        <v>21</v>
      </c>
      <c r="G262" t="s">
        <v>115</v>
      </c>
      <c r="H262">
        <f>38/1000</f>
        <v>3.7999999999999999E-2</v>
      </c>
      <c r="I262" t="s">
        <v>17</v>
      </c>
      <c r="J262" t="s">
        <v>23</v>
      </c>
      <c r="O262" t="s">
        <v>114</v>
      </c>
    </row>
    <row r="263" spans="1:15" x14ac:dyDescent="0.25">
      <c r="A263" t="s">
        <v>120</v>
      </c>
      <c r="B263" t="s">
        <v>113</v>
      </c>
      <c r="C263" t="s">
        <v>113</v>
      </c>
      <c r="D263" t="s">
        <v>17</v>
      </c>
      <c r="E263" t="s">
        <v>18</v>
      </c>
      <c r="F263" t="s">
        <v>21</v>
      </c>
      <c r="G263" t="s">
        <v>26</v>
      </c>
      <c r="H263">
        <f>400/1000</f>
        <v>0.4</v>
      </c>
      <c r="I263" t="s">
        <v>17</v>
      </c>
      <c r="J263" t="s">
        <v>23</v>
      </c>
      <c r="O263" t="s">
        <v>114</v>
      </c>
    </row>
    <row r="264" spans="1:15" x14ac:dyDescent="0.25">
      <c r="A264" t="s">
        <v>120</v>
      </c>
      <c r="B264" t="s">
        <v>113</v>
      </c>
      <c r="C264" t="s">
        <v>113</v>
      </c>
      <c r="D264" t="s">
        <v>17</v>
      </c>
      <c r="E264" t="s">
        <v>18</v>
      </c>
      <c r="F264" t="s">
        <v>21</v>
      </c>
      <c r="G264" t="s">
        <v>58</v>
      </c>
      <c r="H264">
        <f>920/1000</f>
        <v>0.92</v>
      </c>
      <c r="I264" t="s">
        <v>17</v>
      </c>
      <c r="J264" t="s">
        <v>23</v>
      </c>
      <c r="O264" t="s">
        <v>114</v>
      </c>
    </row>
    <row r="265" spans="1:15" x14ac:dyDescent="0.25">
      <c r="A265" t="s">
        <v>120</v>
      </c>
      <c r="B265" t="s">
        <v>113</v>
      </c>
      <c r="C265" t="s">
        <v>113</v>
      </c>
      <c r="D265" t="s">
        <v>17</v>
      </c>
      <c r="E265" t="s">
        <v>18</v>
      </c>
      <c r="F265" t="s">
        <v>21</v>
      </c>
      <c r="G265" t="s">
        <v>33</v>
      </c>
      <c r="H265">
        <f>2940/1000</f>
        <v>2.94</v>
      </c>
      <c r="I265" t="s">
        <v>34</v>
      </c>
      <c r="J265" t="s">
        <v>23</v>
      </c>
      <c r="O265" t="s">
        <v>114</v>
      </c>
    </row>
    <row r="266" spans="1:15" x14ac:dyDescent="0.25">
      <c r="A266" t="s">
        <v>120</v>
      </c>
      <c r="B266" t="s">
        <v>113</v>
      </c>
      <c r="C266" t="s">
        <v>113</v>
      </c>
      <c r="D266" t="s">
        <v>17</v>
      </c>
      <c r="E266" t="s">
        <v>18</v>
      </c>
      <c r="F266" t="s">
        <v>21</v>
      </c>
      <c r="G266" t="s">
        <v>29</v>
      </c>
      <c r="H266">
        <f>(327+42.4)/1000+0.0598</f>
        <v>0.42919999999999997</v>
      </c>
      <c r="I266" t="s">
        <v>30</v>
      </c>
      <c r="J266" t="s">
        <v>23</v>
      </c>
      <c r="O266" t="s">
        <v>114</v>
      </c>
    </row>
    <row r="267" spans="1:15" x14ac:dyDescent="0.25">
      <c r="A267" t="s">
        <v>120</v>
      </c>
      <c r="B267" t="s">
        <v>113</v>
      </c>
      <c r="C267" t="s">
        <v>113</v>
      </c>
      <c r="D267" t="s">
        <v>17</v>
      </c>
      <c r="E267" t="s">
        <v>18</v>
      </c>
      <c r="F267" t="s">
        <v>21</v>
      </c>
      <c r="G267" t="s">
        <v>121</v>
      </c>
      <c r="H267">
        <f>-1915/1000</f>
        <v>-1.915</v>
      </c>
      <c r="I267" t="s">
        <v>17</v>
      </c>
      <c r="J267" t="s">
        <v>23</v>
      </c>
      <c r="O267" t="s">
        <v>114</v>
      </c>
    </row>
    <row r="268" spans="1:15" x14ac:dyDescent="0.25">
      <c r="A268" t="s">
        <v>120</v>
      </c>
      <c r="B268" t="s">
        <v>113</v>
      </c>
      <c r="C268" t="s">
        <v>113</v>
      </c>
      <c r="D268" t="s">
        <v>17</v>
      </c>
      <c r="E268" t="s">
        <v>18</v>
      </c>
      <c r="F268" t="s">
        <v>21</v>
      </c>
      <c r="G268" t="s">
        <v>67</v>
      </c>
      <c r="H268">
        <f>-(231.533/88.851)*(4/12)*(450/1000)</f>
        <v>-0.39087854948171658</v>
      </c>
      <c r="I268" t="s">
        <v>17</v>
      </c>
      <c r="J268" t="s">
        <v>23</v>
      </c>
      <c r="O268" t="s">
        <v>114</v>
      </c>
    </row>
    <row r="269" spans="1:15" x14ac:dyDescent="0.25">
      <c r="A269" t="s">
        <v>120</v>
      </c>
      <c r="B269" t="s">
        <v>113</v>
      </c>
      <c r="C269" t="s">
        <v>113</v>
      </c>
      <c r="D269" t="s">
        <v>17</v>
      </c>
      <c r="E269" t="s">
        <v>18</v>
      </c>
      <c r="F269" t="s">
        <v>21</v>
      </c>
      <c r="G269" t="s">
        <v>123</v>
      </c>
      <c r="H269">
        <f>-(7/1000)*(100.087/74.093)</f>
        <v>-9.4558055416840998E-3</v>
      </c>
      <c r="I269" t="s">
        <v>17</v>
      </c>
      <c r="J269" t="s">
        <v>23</v>
      </c>
      <c r="O269" t="s">
        <v>114</v>
      </c>
    </row>
    <row r="270" spans="1:15" x14ac:dyDescent="0.25">
      <c r="A270" t="s">
        <v>120</v>
      </c>
      <c r="B270" t="s">
        <v>113</v>
      </c>
      <c r="C270" t="s">
        <v>113</v>
      </c>
      <c r="D270" t="s">
        <v>17</v>
      </c>
      <c r="E270" t="s">
        <v>18</v>
      </c>
      <c r="F270" t="s">
        <v>21</v>
      </c>
      <c r="G270" t="s">
        <v>33</v>
      </c>
      <c r="H270">
        <f>-550/1000</f>
        <v>-0.55000000000000004</v>
      </c>
      <c r="I270" t="s">
        <v>34</v>
      </c>
      <c r="J270" t="s">
        <v>23</v>
      </c>
      <c r="O270" t="s">
        <v>114</v>
      </c>
    </row>
    <row r="271" spans="1:15" x14ac:dyDescent="0.25">
      <c r="A271" t="s">
        <v>120</v>
      </c>
      <c r="B271" t="s">
        <v>113</v>
      </c>
      <c r="C271" t="s">
        <v>113</v>
      </c>
      <c r="D271" t="s">
        <v>17</v>
      </c>
      <c r="E271" t="s">
        <v>18</v>
      </c>
      <c r="F271" t="s">
        <v>21</v>
      </c>
      <c r="G271" t="s">
        <v>29</v>
      </c>
      <c r="H271">
        <f>-66/1000</f>
        <v>-6.6000000000000003E-2</v>
      </c>
      <c r="I271" t="s">
        <v>30</v>
      </c>
      <c r="J271" t="s">
        <v>23</v>
      </c>
      <c r="O271" t="s">
        <v>114</v>
      </c>
    </row>
    <row r="272" spans="1:15" x14ac:dyDescent="0.25">
      <c r="A272" t="s">
        <v>120</v>
      </c>
      <c r="B272" t="s">
        <v>116</v>
      </c>
      <c r="C272" t="s">
        <v>116</v>
      </c>
      <c r="D272" t="s">
        <v>17</v>
      </c>
      <c r="E272" t="s">
        <v>18</v>
      </c>
      <c r="F272" t="s">
        <v>120</v>
      </c>
      <c r="G272" t="s">
        <v>116</v>
      </c>
      <c r="H272">
        <v>1</v>
      </c>
      <c r="I272" t="s">
        <v>17</v>
      </c>
      <c r="J272" t="s">
        <v>19</v>
      </c>
      <c r="O272" t="s">
        <v>65</v>
      </c>
    </row>
    <row r="273" spans="1:15" x14ac:dyDescent="0.25">
      <c r="A273" t="s">
        <v>120</v>
      </c>
      <c r="B273" t="s">
        <v>116</v>
      </c>
      <c r="C273" t="s">
        <v>116</v>
      </c>
      <c r="D273" t="s">
        <v>17</v>
      </c>
      <c r="E273" t="s">
        <v>18</v>
      </c>
      <c r="F273" t="s">
        <v>21</v>
      </c>
      <c r="G273" t="s">
        <v>22</v>
      </c>
      <c r="H273">
        <v>1</v>
      </c>
      <c r="I273" t="s">
        <v>17</v>
      </c>
      <c r="J273" t="s">
        <v>23</v>
      </c>
      <c r="O273" t="s">
        <v>65</v>
      </c>
    </row>
    <row r="274" spans="1:15" ht="15" customHeight="1" x14ac:dyDescent="0.25">
      <c r="A274" t="s">
        <v>120</v>
      </c>
      <c r="B274" t="s">
        <v>116</v>
      </c>
      <c r="C274" t="s">
        <v>116</v>
      </c>
      <c r="D274" t="s">
        <v>17</v>
      </c>
      <c r="E274" t="s">
        <v>18</v>
      </c>
      <c r="F274" t="s">
        <v>21</v>
      </c>
      <c r="G274" t="s">
        <v>66</v>
      </c>
      <c r="H274">
        <v>3.85</v>
      </c>
      <c r="I274" t="s">
        <v>17</v>
      </c>
      <c r="J274" t="s">
        <v>23</v>
      </c>
      <c r="O274" t="s">
        <v>65</v>
      </c>
    </row>
    <row r="275" spans="1:15" x14ac:dyDescent="0.25">
      <c r="A275" t="s">
        <v>120</v>
      </c>
      <c r="B275" t="s">
        <v>116</v>
      </c>
      <c r="C275" t="s">
        <v>116</v>
      </c>
      <c r="D275" t="s">
        <v>17</v>
      </c>
      <c r="E275" t="s">
        <v>18</v>
      </c>
      <c r="F275" t="s">
        <v>21</v>
      </c>
      <c r="G275" t="s">
        <v>67</v>
      </c>
      <c r="H275">
        <v>0.43</v>
      </c>
      <c r="I275" t="s">
        <v>17</v>
      </c>
      <c r="J275" t="s">
        <v>23</v>
      </c>
      <c r="O275" t="s">
        <v>65</v>
      </c>
    </row>
    <row r="276" spans="1:15" x14ac:dyDescent="0.25">
      <c r="A276" t="s">
        <v>120</v>
      </c>
      <c r="B276" t="s">
        <v>116</v>
      </c>
      <c r="C276" t="s">
        <v>116</v>
      </c>
      <c r="D276" t="s">
        <v>17</v>
      </c>
      <c r="E276" t="s">
        <v>18</v>
      </c>
      <c r="F276" t="s">
        <v>21</v>
      </c>
      <c r="G276" t="s">
        <v>29</v>
      </c>
      <c r="H276">
        <f>161/1000</f>
        <v>0.161</v>
      </c>
      <c r="I276" t="s">
        <v>30</v>
      </c>
      <c r="J276" t="s">
        <v>23</v>
      </c>
      <c r="O276" t="s">
        <v>65</v>
      </c>
    </row>
    <row r="277" spans="1:15" x14ac:dyDescent="0.25">
      <c r="A277" t="s">
        <v>120</v>
      </c>
      <c r="B277" t="s">
        <v>116</v>
      </c>
      <c r="C277" t="s">
        <v>116</v>
      </c>
      <c r="D277" t="s">
        <v>17</v>
      </c>
      <c r="E277" t="s">
        <v>18</v>
      </c>
      <c r="F277" t="s">
        <v>21</v>
      </c>
      <c r="G277" t="s">
        <v>33</v>
      </c>
      <c r="H277">
        <f>2896*3.6/1000</f>
        <v>10.425600000000001</v>
      </c>
      <c r="I277" t="s">
        <v>34</v>
      </c>
      <c r="J277" t="s">
        <v>23</v>
      </c>
      <c r="O277" t="s">
        <v>65</v>
      </c>
    </row>
    <row r="278" spans="1:15" x14ac:dyDescent="0.25">
      <c r="A278" t="s">
        <v>120</v>
      </c>
      <c r="B278" t="s">
        <v>116</v>
      </c>
      <c r="C278" t="s">
        <v>116</v>
      </c>
      <c r="D278" t="s">
        <v>17</v>
      </c>
      <c r="E278" t="s">
        <v>18</v>
      </c>
      <c r="F278" t="s">
        <v>21</v>
      </c>
      <c r="G278" t="s">
        <v>121</v>
      </c>
      <c r="H278">
        <v>-1.92</v>
      </c>
      <c r="I278" t="s">
        <v>17</v>
      </c>
      <c r="J278" t="s">
        <v>23</v>
      </c>
      <c r="O278" t="s">
        <v>65</v>
      </c>
    </row>
    <row r="279" spans="1:15" x14ac:dyDescent="0.25">
      <c r="A279" t="s">
        <v>120</v>
      </c>
      <c r="B279" t="s">
        <v>116</v>
      </c>
      <c r="C279" t="s">
        <v>116</v>
      </c>
      <c r="D279" t="s">
        <v>17</v>
      </c>
      <c r="E279" t="s">
        <v>18</v>
      </c>
      <c r="F279" t="s">
        <v>21</v>
      </c>
      <c r="G279" t="s">
        <v>40</v>
      </c>
      <c r="H279">
        <v>-1.67</v>
      </c>
      <c r="I279" t="s">
        <v>17</v>
      </c>
      <c r="J279" t="s">
        <v>23</v>
      </c>
      <c r="O279" t="s">
        <v>65</v>
      </c>
    </row>
    <row r="280" spans="1:15" x14ac:dyDescent="0.25">
      <c r="A280" t="s">
        <v>120</v>
      </c>
      <c r="B280" t="s">
        <v>116</v>
      </c>
      <c r="C280" t="s">
        <v>116</v>
      </c>
      <c r="D280" t="s">
        <v>17</v>
      </c>
      <c r="E280" t="s">
        <v>18</v>
      </c>
      <c r="F280" t="s">
        <v>21</v>
      </c>
      <c r="G280" t="s">
        <v>67</v>
      </c>
      <c r="H280">
        <v>-0.43</v>
      </c>
      <c r="I280" t="s">
        <v>17</v>
      </c>
      <c r="J280" t="s">
        <v>23</v>
      </c>
      <c r="O280" t="s">
        <v>65</v>
      </c>
    </row>
    <row r="281" spans="1:15" x14ac:dyDescent="0.25">
      <c r="A281" t="s">
        <v>120</v>
      </c>
      <c r="B281" t="s">
        <v>116</v>
      </c>
      <c r="C281" t="s">
        <v>116</v>
      </c>
      <c r="D281" t="s">
        <v>17</v>
      </c>
      <c r="E281" t="s">
        <v>18</v>
      </c>
      <c r="F281" t="s">
        <v>21</v>
      </c>
      <c r="G281" t="s">
        <v>66</v>
      </c>
      <c r="H281">
        <v>-1.26</v>
      </c>
      <c r="I281" t="s">
        <v>17</v>
      </c>
      <c r="J281" t="s">
        <v>23</v>
      </c>
      <c r="O281" t="s">
        <v>65</v>
      </c>
    </row>
    <row r="282" spans="1:15" x14ac:dyDescent="0.25">
      <c r="A282" s="6" t="s">
        <v>120</v>
      </c>
      <c r="B282" t="s">
        <v>117</v>
      </c>
      <c r="C282" t="s">
        <v>117</v>
      </c>
      <c r="D282" t="s">
        <v>17</v>
      </c>
      <c r="E282" t="s">
        <v>18</v>
      </c>
      <c r="F282" t="s">
        <v>120</v>
      </c>
      <c r="G282" t="s">
        <v>117</v>
      </c>
      <c r="H282">
        <v>1</v>
      </c>
      <c r="I282" t="s">
        <v>17</v>
      </c>
      <c r="J282" t="s">
        <v>19</v>
      </c>
      <c r="O282" t="s">
        <v>82</v>
      </c>
    </row>
    <row r="283" spans="1:15" x14ac:dyDescent="0.25">
      <c r="A283" s="6" t="s">
        <v>120</v>
      </c>
      <c r="B283" t="s">
        <v>117</v>
      </c>
      <c r="C283" t="s">
        <v>117</v>
      </c>
      <c r="D283" t="s">
        <v>17</v>
      </c>
      <c r="E283" t="s">
        <v>18</v>
      </c>
      <c r="F283" t="s">
        <v>21</v>
      </c>
      <c r="G283" s="3" t="s">
        <v>55</v>
      </c>
      <c r="H283">
        <v>1</v>
      </c>
      <c r="I283" t="s">
        <v>17</v>
      </c>
      <c r="J283" t="s">
        <v>23</v>
      </c>
      <c r="O283" t="s">
        <v>82</v>
      </c>
    </row>
    <row r="284" spans="1:15" x14ac:dyDescent="0.25">
      <c r="A284" s="6" t="s">
        <v>120</v>
      </c>
      <c r="B284" t="s">
        <v>117</v>
      </c>
      <c r="C284" t="s">
        <v>117</v>
      </c>
      <c r="D284" t="s">
        <v>17</v>
      </c>
      <c r="E284" t="s">
        <v>18</v>
      </c>
      <c r="F284" t="s">
        <v>21</v>
      </c>
      <c r="G284" s="3" t="s">
        <v>83</v>
      </c>
      <c r="H284">
        <f>2.9412/1.0499</f>
        <v>2.8014096580626724</v>
      </c>
      <c r="I284" t="s">
        <v>17</v>
      </c>
      <c r="J284" t="s">
        <v>23</v>
      </c>
      <c r="O284" t="s">
        <v>82</v>
      </c>
    </row>
    <row r="285" spans="1:15" ht="15" customHeight="1" x14ac:dyDescent="0.25">
      <c r="A285" s="6" t="s">
        <v>120</v>
      </c>
      <c r="B285" t="s">
        <v>117</v>
      </c>
      <c r="C285" t="s">
        <v>117</v>
      </c>
      <c r="D285" t="s">
        <v>17</v>
      </c>
      <c r="E285" t="s">
        <v>18</v>
      </c>
      <c r="F285" t="s">
        <v>21</v>
      </c>
      <c r="G285" s="3" t="s">
        <v>29</v>
      </c>
      <c r="H285">
        <f>0.4591</f>
        <v>0.45910000000000001</v>
      </c>
      <c r="I285" t="s">
        <v>30</v>
      </c>
      <c r="J285" t="s">
        <v>23</v>
      </c>
      <c r="O285" t="s">
        <v>82</v>
      </c>
    </row>
    <row r="286" spans="1:15" ht="15" customHeight="1" x14ac:dyDescent="0.25">
      <c r="A286" s="6" t="s">
        <v>120</v>
      </c>
      <c r="B286" t="s">
        <v>117</v>
      </c>
      <c r="C286" t="s">
        <v>117</v>
      </c>
      <c r="D286" t="s">
        <v>17</v>
      </c>
      <c r="E286" t="s">
        <v>18</v>
      </c>
      <c r="F286" t="s">
        <v>21</v>
      </c>
      <c r="G286" s="3" t="s">
        <v>33</v>
      </c>
      <c r="H286">
        <f>1.1277*3.6/1.0499</f>
        <v>3.8667682636441558</v>
      </c>
      <c r="I286" t="s">
        <v>34</v>
      </c>
      <c r="J286" t="s">
        <v>23</v>
      </c>
      <c r="O286" t="s">
        <v>82</v>
      </c>
    </row>
    <row r="287" spans="1:15" x14ac:dyDescent="0.25">
      <c r="A287" s="6" t="s">
        <v>120</v>
      </c>
      <c r="B287" t="s">
        <v>117</v>
      </c>
      <c r="C287" t="s">
        <v>117</v>
      </c>
      <c r="D287" t="s">
        <v>17</v>
      </c>
      <c r="E287" t="s">
        <v>18</v>
      </c>
      <c r="F287" t="s">
        <v>21</v>
      </c>
      <c r="G287" s="3" t="s">
        <v>121</v>
      </c>
      <c r="H287">
        <f>-2.0642/1.0499</f>
        <v>-1.9660920087627392</v>
      </c>
      <c r="I287" t="s">
        <v>17</v>
      </c>
      <c r="J287" t="s">
        <v>23</v>
      </c>
      <c r="O287" t="s">
        <v>82</v>
      </c>
    </row>
    <row r="288" spans="1:15" x14ac:dyDescent="0.25">
      <c r="A288" s="6" t="s">
        <v>120</v>
      </c>
      <c r="B288" t="s">
        <v>118</v>
      </c>
      <c r="C288" t="s">
        <v>118</v>
      </c>
      <c r="D288" t="s">
        <v>17</v>
      </c>
      <c r="E288" t="s">
        <v>18</v>
      </c>
      <c r="F288" t="s">
        <v>120</v>
      </c>
      <c r="G288" t="s">
        <v>118</v>
      </c>
      <c r="H288">
        <v>1</v>
      </c>
      <c r="I288" t="s">
        <v>17</v>
      </c>
      <c r="J288" t="s">
        <v>19</v>
      </c>
      <c r="O288" t="s">
        <v>82</v>
      </c>
    </row>
    <row r="289" spans="1:15" x14ac:dyDescent="0.25">
      <c r="A289" s="6" t="s">
        <v>120</v>
      </c>
      <c r="B289" t="s">
        <v>118</v>
      </c>
      <c r="C289" t="s">
        <v>118</v>
      </c>
      <c r="D289" t="s">
        <v>17</v>
      </c>
      <c r="E289" t="s">
        <v>18</v>
      </c>
      <c r="F289" t="s">
        <v>21</v>
      </c>
      <c r="G289" s="3" t="s">
        <v>55</v>
      </c>
      <c r="H289">
        <v>1</v>
      </c>
      <c r="I289" t="s">
        <v>17</v>
      </c>
      <c r="J289" t="s">
        <v>23</v>
      </c>
      <c r="O289" t="s">
        <v>82</v>
      </c>
    </row>
    <row r="290" spans="1:15" x14ac:dyDescent="0.25">
      <c r="A290" s="6" t="s">
        <v>120</v>
      </c>
      <c r="B290" t="s">
        <v>118</v>
      </c>
      <c r="C290" t="s">
        <v>118</v>
      </c>
      <c r="D290" t="s">
        <v>17</v>
      </c>
      <c r="E290" t="s">
        <v>18</v>
      </c>
      <c r="F290" t="s">
        <v>21</v>
      </c>
      <c r="G290" s="3" t="s">
        <v>83</v>
      </c>
      <c r="H290">
        <f>2.9412/1.0138</f>
        <v>2.9011639376602876</v>
      </c>
      <c r="I290" t="s">
        <v>17</v>
      </c>
      <c r="J290" t="s">
        <v>23</v>
      </c>
      <c r="O290" t="s">
        <v>82</v>
      </c>
    </row>
    <row r="291" spans="1:15" x14ac:dyDescent="0.25">
      <c r="A291" s="6" t="s">
        <v>120</v>
      </c>
      <c r="B291" t="s">
        <v>118</v>
      </c>
      <c r="C291" t="s">
        <v>118</v>
      </c>
      <c r="D291" t="s">
        <v>17</v>
      </c>
      <c r="E291" t="s">
        <v>18</v>
      </c>
      <c r="F291" t="s">
        <v>21</v>
      </c>
      <c r="G291" s="3" t="s">
        <v>33</v>
      </c>
      <c r="H291">
        <f>5.7719*3.6/1.0138</f>
        <v>20.49599526533833</v>
      </c>
      <c r="I291" t="s">
        <v>34</v>
      </c>
      <c r="J291" t="s">
        <v>23</v>
      </c>
      <c r="O291" t="s">
        <v>82</v>
      </c>
    </row>
    <row r="292" spans="1:15" x14ac:dyDescent="0.25">
      <c r="A292" s="6" t="s">
        <v>120</v>
      </c>
      <c r="B292" t="s">
        <v>118</v>
      </c>
      <c r="C292" t="s">
        <v>118</v>
      </c>
      <c r="D292" t="s">
        <v>17</v>
      </c>
      <c r="E292" t="s">
        <v>18</v>
      </c>
      <c r="F292" t="s">
        <v>21</v>
      </c>
      <c r="G292" s="3" t="s">
        <v>29</v>
      </c>
      <c r="H292">
        <f>3.0503</f>
        <v>3.0503</v>
      </c>
      <c r="I292" t="s">
        <v>30</v>
      </c>
      <c r="J292" t="s">
        <v>23</v>
      </c>
      <c r="O292" t="s">
        <v>82</v>
      </c>
    </row>
    <row r="293" spans="1:15" x14ac:dyDescent="0.25">
      <c r="A293" s="6" t="s">
        <v>120</v>
      </c>
      <c r="B293" t="s">
        <v>118</v>
      </c>
      <c r="C293" t="s">
        <v>118</v>
      </c>
      <c r="D293" t="s">
        <v>17</v>
      </c>
      <c r="E293" t="s">
        <v>18</v>
      </c>
      <c r="F293" t="s">
        <v>21</v>
      </c>
      <c r="G293" s="3" t="s">
        <v>121</v>
      </c>
      <c r="H293">
        <f>-2.0642/1.0138</f>
        <v>-2.0361017952258829</v>
      </c>
      <c r="I293" t="s">
        <v>17</v>
      </c>
      <c r="J293" t="s">
        <v>23</v>
      </c>
      <c r="O293" t="s">
        <v>82</v>
      </c>
    </row>
  </sheetData>
  <autoFilter ref="A1:O294" xr:uid="{00000000-0009-0000-0000-000002000000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5"/>
  <sheetViews>
    <sheetView zoomScale="90" zoomScaleNormal="90" workbookViewId="0">
      <selection activeCell="B7" sqref="B7"/>
    </sheetView>
  </sheetViews>
  <sheetFormatPr defaultColWidth="11.42578125" defaultRowHeight="15" x14ac:dyDescent="0.25"/>
  <cols>
    <col min="1" max="1" width="16.28515625" bestFit="1" customWidth="1"/>
    <col min="2" max="3" width="43.42578125" bestFit="1" customWidth="1"/>
    <col min="4" max="4" width="12.85546875" bestFit="1" customWidth="1"/>
    <col min="5" max="5" width="12.140625" bestFit="1" customWidth="1"/>
    <col min="6" max="6" width="20.28515625" bestFit="1" customWidth="1"/>
    <col min="7" max="7" width="43.42578125" bestFit="1" customWidth="1"/>
    <col min="8" max="8" width="16.7109375" bestFit="1" customWidth="1"/>
    <col min="9" max="9" width="13.28515625" bestFit="1" customWidth="1"/>
    <col min="10" max="10" width="13.7109375" bestFit="1" customWidth="1"/>
    <col min="11" max="11" width="24.42578125" bestFit="1" customWidth="1"/>
    <col min="12" max="12" width="12.28515625" bestFit="1" customWidth="1"/>
    <col min="13" max="13" width="14.140625" bestFit="1" customWidth="1"/>
    <col min="14" max="14" width="17.42578125" bestFit="1" customWidth="1"/>
    <col min="15" max="15" width="95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21</v>
      </c>
      <c r="B2" t="s">
        <v>51</v>
      </c>
      <c r="C2" t="s">
        <v>51</v>
      </c>
      <c r="D2" t="s">
        <v>17</v>
      </c>
      <c r="E2" t="s">
        <v>18</v>
      </c>
      <c r="F2" t="s">
        <v>21</v>
      </c>
      <c r="G2" t="s">
        <v>51</v>
      </c>
      <c r="H2">
        <v>1</v>
      </c>
      <c r="I2" t="s">
        <v>17</v>
      </c>
      <c r="J2" t="s">
        <v>19</v>
      </c>
      <c r="O2" t="s">
        <v>125</v>
      </c>
    </row>
    <row r="3" spans="1:15" x14ac:dyDescent="0.25">
      <c r="A3" t="s">
        <v>21</v>
      </c>
      <c r="B3" t="s">
        <v>51</v>
      </c>
      <c r="C3" t="s">
        <v>51</v>
      </c>
      <c r="D3" t="s">
        <v>17</v>
      </c>
      <c r="E3" t="s">
        <v>18</v>
      </c>
      <c r="F3" t="s">
        <v>21</v>
      </c>
      <c r="G3" t="s">
        <v>29</v>
      </c>
      <c r="H3">
        <v>5.2300000000000003E-3</v>
      </c>
      <c r="I3" t="s">
        <v>30</v>
      </c>
      <c r="J3" t="s">
        <v>23</v>
      </c>
    </row>
    <row r="4" spans="1:15" x14ac:dyDescent="0.25">
      <c r="A4" t="s">
        <v>21</v>
      </c>
      <c r="B4" t="s">
        <v>66</v>
      </c>
      <c r="C4" t="s">
        <v>66</v>
      </c>
      <c r="D4" t="s">
        <v>17</v>
      </c>
      <c r="E4" t="s">
        <v>18</v>
      </c>
      <c r="F4" t="s">
        <v>21</v>
      </c>
      <c r="G4" t="s">
        <v>66</v>
      </c>
      <c r="H4">
        <v>1</v>
      </c>
      <c r="I4" t="s">
        <v>17</v>
      </c>
      <c r="J4" t="s">
        <v>19</v>
      </c>
      <c r="O4" t="s">
        <v>125</v>
      </c>
    </row>
    <row r="5" spans="1:15" x14ac:dyDescent="0.25">
      <c r="A5" t="s">
        <v>21</v>
      </c>
      <c r="B5" t="s">
        <v>66</v>
      </c>
      <c r="C5" t="s">
        <v>66</v>
      </c>
      <c r="D5" t="s">
        <v>17</v>
      </c>
      <c r="E5" t="s">
        <v>18</v>
      </c>
      <c r="F5" t="s">
        <v>21</v>
      </c>
      <c r="G5" t="s">
        <v>29</v>
      </c>
      <c r="H5">
        <v>5.2300000000000003E-3</v>
      </c>
      <c r="I5" t="s">
        <v>30</v>
      </c>
      <c r="J5" t="s">
        <v>23</v>
      </c>
    </row>
    <row r="6" spans="1:15" x14ac:dyDescent="0.25">
      <c r="A6" t="s">
        <v>21</v>
      </c>
      <c r="B6" t="s">
        <v>83</v>
      </c>
      <c r="C6" t="s">
        <v>83</v>
      </c>
      <c r="D6" t="s">
        <v>17</v>
      </c>
      <c r="E6" t="s">
        <v>18</v>
      </c>
      <c r="F6" t="s">
        <v>21</v>
      </c>
      <c r="G6" t="s">
        <v>83</v>
      </c>
      <c r="H6">
        <v>1</v>
      </c>
      <c r="I6" t="s">
        <v>17</v>
      </c>
      <c r="J6" t="s">
        <v>19</v>
      </c>
      <c r="O6" t="s">
        <v>125</v>
      </c>
    </row>
    <row r="7" spans="1:15" x14ac:dyDescent="0.25">
      <c r="A7" t="s">
        <v>21</v>
      </c>
      <c r="B7" t="s">
        <v>83</v>
      </c>
      <c r="C7" t="s">
        <v>83</v>
      </c>
      <c r="D7" t="s">
        <v>17</v>
      </c>
      <c r="E7" t="s">
        <v>18</v>
      </c>
      <c r="F7" t="s">
        <v>21</v>
      </c>
      <c r="G7" t="s">
        <v>29</v>
      </c>
      <c r="H7">
        <v>5.2300000000000003E-3</v>
      </c>
      <c r="I7" t="s">
        <v>30</v>
      </c>
      <c r="J7" t="s">
        <v>23</v>
      </c>
    </row>
    <row r="8" spans="1:15" x14ac:dyDescent="0.25">
      <c r="A8" t="s">
        <v>21</v>
      </c>
      <c r="B8" t="s">
        <v>111</v>
      </c>
      <c r="C8" t="s">
        <v>111</v>
      </c>
      <c r="D8" t="s">
        <v>17</v>
      </c>
      <c r="E8" t="s">
        <v>18</v>
      </c>
      <c r="F8" t="s">
        <v>21</v>
      </c>
      <c r="G8" t="s">
        <v>111</v>
      </c>
      <c r="H8">
        <v>1</v>
      </c>
      <c r="I8" t="s">
        <v>17</v>
      </c>
      <c r="J8" t="s">
        <v>19</v>
      </c>
      <c r="O8" t="s">
        <v>125</v>
      </c>
    </row>
    <row r="9" spans="1:15" x14ac:dyDescent="0.25">
      <c r="A9" t="s">
        <v>21</v>
      </c>
      <c r="B9" t="s">
        <v>111</v>
      </c>
      <c r="C9" t="s">
        <v>111</v>
      </c>
      <c r="D9" t="s">
        <v>17</v>
      </c>
      <c r="E9" t="s">
        <v>18</v>
      </c>
      <c r="F9" t="s">
        <v>21</v>
      </c>
      <c r="G9" t="s">
        <v>29</v>
      </c>
      <c r="H9">
        <v>5.2300000000000003E-3</v>
      </c>
      <c r="I9" t="s">
        <v>30</v>
      </c>
      <c r="J9" t="s">
        <v>23</v>
      </c>
    </row>
    <row r="10" spans="1:15" x14ac:dyDescent="0.25">
      <c r="A10" t="s">
        <v>21</v>
      </c>
      <c r="B10" t="s">
        <v>67</v>
      </c>
      <c r="C10" t="s">
        <v>67</v>
      </c>
      <c r="D10" t="s">
        <v>17</v>
      </c>
      <c r="E10" t="s">
        <v>18</v>
      </c>
      <c r="F10" t="s">
        <v>21</v>
      </c>
      <c r="G10" t="s">
        <v>67</v>
      </c>
      <c r="H10">
        <v>1</v>
      </c>
      <c r="I10" t="s">
        <v>17</v>
      </c>
      <c r="J10" t="s">
        <v>19</v>
      </c>
      <c r="O10" t="s">
        <v>125</v>
      </c>
    </row>
    <row r="11" spans="1:15" x14ac:dyDescent="0.25">
      <c r="A11" t="s">
        <v>21</v>
      </c>
      <c r="B11" t="s">
        <v>67</v>
      </c>
      <c r="C11" t="s">
        <v>67</v>
      </c>
      <c r="D11" t="s">
        <v>17</v>
      </c>
      <c r="E11" t="s">
        <v>18</v>
      </c>
      <c r="F11" t="s">
        <v>21</v>
      </c>
      <c r="G11" t="s">
        <v>29</v>
      </c>
      <c r="H11">
        <v>5.2300000000000003E-3</v>
      </c>
      <c r="I11" t="s">
        <v>30</v>
      </c>
      <c r="J11" t="s">
        <v>23</v>
      </c>
    </row>
    <row r="12" spans="1:15" x14ac:dyDescent="0.25">
      <c r="A12" t="s">
        <v>21</v>
      </c>
      <c r="B12" t="s">
        <v>112</v>
      </c>
      <c r="C12" t="s">
        <v>112</v>
      </c>
      <c r="D12" t="s">
        <v>17</v>
      </c>
      <c r="E12" t="s">
        <v>18</v>
      </c>
      <c r="F12" t="s">
        <v>21</v>
      </c>
      <c r="G12" t="s">
        <v>112</v>
      </c>
      <c r="H12">
        <v>1</v>
      </c>
      <c r="I12" t="s">
        <v>17</v>
      </c>
      <c r="J12" t="s">
        <v>19</v>
      </c>
      <c r="O12" t="s">
        <v>125</v>
      </c>
    </row>
    <row r="13" spans="1:15" x14ac:dyDescent="0.25">
      <c r="A13" t="s">
        <v>21</v>
      </c>
      <c r="B13" t="s">
        <v>112</v>
      </c>
      <c r="C13" t="s">
        <v>112</v>
      </c>
      <c r="D13" t="s">
        <v>17</v>
      </c>
      <c r="E13" t="s">
        <v>18</v>
      </c>
      <c r="F13" t="s">
        <v>126</v>
      </c>
      <c r="G13" t="s">
        <v>127</v>
      </c>
      <c r="H13">
        <v>1</v>
      </c>
      <c r="I13" t="s">
        <v>17</v>
      </c>
      <c r="J13" t="s">
        <v>23</v>
      </c>
      <c r="O13" t="s">
        <v>128</v>
      </c>
    </row>
    <row r="14" spans="1:15" x14ac:dyDescent="0.25">
      <c r="A14" t="s">
        <v>21</v>
      </c>
      <c r="B14" t="s">
        <v>71</v>
      </c>
      <c r="C14" t="s">
        <v>71</v>
      </c>
      <c r="D14" t="s">
        <v>17</v>
      </c>
      <c r="E14" t="s">
        <v>18</v>
      </c>
      <c r="F14" t="s">
        <v>21</v>
      </c>
      <c r="G14" t="s">
        <v>71</v>
      </c>
      <c r="H14">
        <v>1</v>
      </c>
      <c r="I14" t="s">
        <v>17</v>
      </c>
      <c r="J14" t="s">
        <v>19</v>
      </c>
      <c r="O14" t="s">
        <v>125</v>
      </c>
    </row>
    <row r="15" spans="1:15" x14ac:dyDescent="0.25">
      <c r="A15" t="s">
        <v>21</v>
      </c>
      <c r="B15" t="s">
        <v>129</v>
      </c>
      <c r="C15" t="s">
        <v>129</v>
      </c>
      <c r="D15" t="s">
        <v>17</v>
      </c>
      <c r="E15" t="s">
        <v>18</v>
      </c>
      <c r="F15" t="s">
        <v>21</v>
      </c>
      <c r="G15" t="s">
        <v>129</v>
      </c>
      <c r="H15">
        <v>1</v>
      </c>
      <c r="I15" t="s">
        <v>17</v>
      </c>
      <c r="J15" t="s">
        <v>19</v>
      </c>
      <c r="O15" t="s">
        <v>125</v>
      </c>
    </row>
    <row r="16" spans="1:15" x14ac:dyDescent="0.25">
      <c r="A16" t="s">
        <v>21</v>
      </c>
      <c r="B16" t="s">
        <v>129</v>
      </c>
      <c r="C16" t="s">
        <v>129</v>
      </c>
      <c r="D16" t="s">
        <v>17</v>
      </c>
      <c r="E16" t="s">
        <v>18</v>
      </c>
      <c r="F16" t="s">
        <v>126</v>
      </c>
      <c r="G16" t="s">
        <v>130</v>
      </c>
      <c r="H16">
        <v>1</v>
      </c>
      <c r="I16" t="s">
        <v>17</v>
      </c>
      <c r="J16" t="s">
        <v>23</v>
      </c>
      <c r="O16" t="s">
        <v>131</v>
      </c>
    </row>
    <row r="17" spans="1:15" x14ac:dyDescent="0.25">
      <c r="A17" t="s">
        <v>21</v>
      </c>
      <c r="B17" t="s">
        <v>93</v>
      </c>
      <c r="C17" t="s">
        <v>93</v>
      </c>
      <c r="D17" t="s">
        <v>17</v>
      </c>
      <c r="E17" t="s">
        <v>18</v>
      </c>
      <c r="F17" t="s">
        <v>21</v>
      </c>
      <c r="G17" t="s">
        <v>93</v>
      </c>
      <c r="H17">
        <v>1</v>
      </c>
      <c r="I17" t="s">
        <v>17</v>
      </c>
      <c r="J17" t="s">
        <v>19</v>
      </c>
      <c r="O17" t="s">
        <v>125</v>
      </c>
    </row>
    <row r="18" spans="1:15" x14ac:dyDescent="0.25">
      <c r="A18" t="s">
        <v>21</v>
      </c>
      <c r="B18" t="s">
        <v>93</v>
      </c>
      <c r="C18" t="s">
        <v>93</v>
      </c>
      <c r="D18" t="s">
        <v>17</v>
      </c>
      <c r="E18" t="s">
        <v>18</v>
      </c>
      <c r="F18" t="s">
        <v>126</v>
      </c>
      <c r="G18" t="s">
        <v>132</v>
      </c>
      <c r="H18">
        <v>1</v>
      </c>
      <c r="I18" t="s">
        <v>17</v>
      </c>
      <c r="J18" t="s">
        <v>23</v>
      </c>
      <c r="O18" t="s">
        <v>133</v>
      </c>
    </row>
    <row r="19" spans="1:15" x14ac:dyDescent="0.25">
      <c r="A19" t="s">
        <v>21</v>
      </c>
      <c r="B19" t="s">
        <v>86</v>
      </c>
      <c r="C19" t="s">
        <v>86</v>
      </c>
      <c r="D19" t="s">
        <v>17</v>
      </c>
      <c r="E19" t="s">
        <v>18</v>
      </c>
      <c r="F19" t="s">
        <v>21</v>
      </c>
      <c r="G19" t="s">
        <v>86</v>
      </c>
      <c r="H19">
        <v>1</v>
      </c>
      <c r="I19" t="s">
        <v>17</v>
      </c>
      <c r="J19" t="s">
        <v>19</v>
      </c>
      <c r="O19" t="s">
        <v>125</v>
      </c>
    </row>
    <row r="20" spans="1:15" x14ac:dyDescent="0.25">
      <c r="A20" t="s">
        <v>21</v>
      </c>
      <c r="B20" t="s">
        <v>86</v>
      </c>
      <c r="C20" t="s">
        <v>86</v>
      </c>
      <c r="D20" t="s">
        <v>17</v>
      </c>
      <c r="E20" t="s">
        <v>18</v>
      </c>
      <c r="F20" t="s">
        <v>126</v>
      </c>
      <c r="G20" s="1" t="s">
        <v>134</v>
      </c>
      <c r="H20">
        <v>1</v>
      </c>
      <c r="I20" t="s">
        <v>17</v>
      </c>
      <c r="J20" t="s">
        <v>23</v>
      </c>
      <c r="O20" t="s">
        <v>135</v>
      </c>
    </row>
    <row r="21" spans="1:15" x14ac:dyDescent="0.25">
      <c r="A21" t="s">
        <v>21</v>
      </c>
      <c r="B21" t="s">
        <v>136</v>
      </c>
      <c r="C21" t="s">
        <v>136</v>
      </c>
      <c r="D21" t="s">
        <v>17</v>
      </c>
      <c r="E21" t="s">
        <v>18</v>
      </c>
      <c r="F21" t="s">
        <v>21</v>
      </c>
      <c r="G21" t="s">
        <v>136</v>
      </c>
      <c r="H21">
        <v>1</v>
      </c>
      <c r="I21" t="s">
        <v>17</v>
      </c>
      <c r="J21" t="s">
        <v>19</v>
      </c>
      <c r="O21" t="s">
        <v>125</v>
      </c>
    </row>
    <row r="22" spans="1:15" x14ac:dyDescent="0.25">
      <c r="A22" t="s">
        <v>21</v>
      </c>
      <c r="B22" t="s">
        <v>136</v>
      </c>
      <c r="C22" t="s">
        <v>136</v>
      </c>
      <c r="D22" t="s">
        <v>17</v>
      </c>
      <c r="E22" t="s">
        <v>18</v>
      </c>
      <c r="F22" t="s">
        <v>126</v>
      </c>
      <c r="G22" t="s">
        <v>137</v>
      </c>
      <c r="H22">
        <v>1</v>
      </c>
      <c r="I22" t="s">
        <v>17</v>
      </c>
      <c r="J22" t="s">
        <v>23</v>
      </c>
      <c r="O22" t="s">
        <v>138</v>
      </c>
    </row>
    <row r="23" spans="1:15" x14ac:dyDescent="0.25">
      <c r="A23" t="s">
        <v>21</v>
      </c>
      <c r="B23" t="s">
        <v>115</v>
      </c>
      <c r="C23" t="s">
        <v>115</v>
      </c>
      <c r="D23" t="s">
        <v>17</v>
      </c>
      <c r="E23" t="s">
        <v>18</v>
      </c>
      <c r="F23" t="s">
        <v>21</v>
      </c>
      <c r="G23" t="s">
        <v>115</v>
      </c>
      <c r="H23">
        <v>1</v>
      </c>
      <c r="I23" t="s">
        <v>17</v>
      </c>
      <c r="J23" t="s">
        <v>19</v>
      </c>
      <c r="O23" t="s">
        <v>125</v>
      </c>
    </row>
    <row r="24" spans="1:15" x14ac:dyDescent="0.25">
      <c r="A24" t="s">
        <v>21</v>
      </c>
      <c r="B24" t="s">
        <v>115</v>
      </c>
      <c r="C24" t="s">
        <v>115</v>
      </c>
      <c r="D24" t="s">
        <v>17</v>
      </c>
      <c r="E24" t="s">
        <v>18</v>
      </c>
      <c r="F24" t="s">
        <v>126</v>
      </c>
      <c r="G24" t="s">
        <v>139</v>
      </c>
      <c r="H24">
        <v>1</v>
      </c>
      <c r="I24" t="s">
        <v>17</v>
      </c>
      <c r="J24" t="s">
        <v>23</v>
      </c>
      <c r="O24" t="s">
        <v>140</v>
      </c>
    </row>
    <row r="25" spans="1:15" x14ac:dyDescent="0.25">
      <c r="A25" t="s">
        <v>21</v>
      </c>
      <c r="B25" t="s">
        <v>141</v>
      </c>
      <c r="C25" t="s">
        <v>141</v>
      </c>
      <c r="D25" t="s">
        <v>17</v>
      </c>
      <c r="E25" t="s">
        <v>18</v>
      </c>
      <c r="F25" t="s">
        <v>21</v>
      </c>
      <c r="G25" t="s">
        <v>141</v>
      </c>
      <c r="H25">
        <v>1</v>
      </c>
      <c r="I25" t="s">
        <v>17</v>
      </c>
      <c r="J25" t="s">
        <v>19</v>
      </c>
      <c r="O25" t="s">
        <v>125</v>
      </c>
    </row>
    <row r="26" spans="1:15" x14ac:dyDescent="0.25">
      <c r="A26" t="s">
        <v>21</v>
      </c>
      <c r="B26" t="s">
        <v>141</v>
      </c>
      <c r="C26" t="s">
        <v>141</v>
      </c>
      <c r="D26" t="s">
        <v>17</v>
      </c>
      <c r="E26" t="s">
        <v>18</v>
      </c>
      <c r="F26" t="s">
        <v>126</v>
      </c>
      <c r="G26" t="s">
        <v>142</v>
      </c>
      <c r="H26">
        <v>1</v>
      </c>
      <c r="I26" t="s">
        <v>17</v>
      </c>
      <c r="J26" t="s">
        <v>23</v>
      </c>
      <c r="O26" t="s">
        <v>143</v>
      </c>
    </row>
    <row r="27" spans="1:15" x14ac:dyDescent="0.25">
      <c r="A27" t="s">
        <v>21</v>
      </c>
      <c r="B27" t="s">
        <v>106</v>
      </c>
      <c r="C27" t="s">
        <v>106</v>
      </c>
      <c r="D27" t="s">
        <v>17</v>
      </c>
      <c r="E27" t="s">
        <v>18</v>
      </c>
      <c r="F27" t="s">
        <v>21</v>
      </c>
      <c r="G27" t="s">
        <v>106</v>
      </c>
      <c r="H27">
        <v>1</v>
      </c>
      <c r="I27" t="s">
        <v>17</v>
      </c>
      <c r="J27" t="s">
        <v>19</v>
      </c>
      <c r="O27" t="s">
        <v>125</v>
      </c>
    </row>
    <row r="28" spans="1:15" x14ac:dyDescent="0.25">
      <c r="A28" t="s">
        <v>21</v>
      </c>
      <c r="B28" t="s">
        <v>106</v>
      </c>
      <c r="C28" t="s">
        <v>106</v>
      </c>
      <c r="D28" t="s">
        <v>17</v>
      </c>
      <c r="E28" t="s">
        <v>18</v>
      </c>
      <c r="F28" t="s">
        <v>126</v>
      </c>
      <c r="G28" t="s">
        <v>144</v>
      </c>
      <c r="H28">
        <v>1</v>
      </c>
      <c r="I28" t="s">
        <v>17</v>
      </c>
      <c r="J28" t="s">
        <v>23</v>
      </c>
      <c r="O28" t="s">
        <v>145</v>
      </c>
    </row>
    <row r="29" spans="1:15" x14ac:dyDescent="0.25">
      <c r="A29" t="s">
        <v>21</v>
      </c>
      <c r="B29" t="s">
        <v>58</v>
      </c>
      <c r="C29" t="s">
        <v>58</v>
      </c>
      <c r="D29" t="s">
        <v>17</v>
      </c>
      <c r="E29" t="s">
        <v>18</v>
      </c>
      <c r="F29" t="s">
        <v>21</v>
      </c>
      <c r="G29" t="s">
        <v>58</v>
      </c>
      <c r="H29">
        <v>1</v>
      </c>
      <c r="I29" t="s">
        <v>17</v>
      </c>
      <c r="J29" t="s">
        <v>19</v>
      </c>
      <c r="O29" t="s">
        <v>125</v>
      </c>
    </row>
    <row r="30" spans="1:15" x14ac:dyDescent="0.25">
      <c r="A30" t="s">
        <v>21</v>
      </c>
      <c r="B30" t="s">
        <v>58</v>
      </c>
      <c r="C30" t="s">
        <v>58</v>
      </c>
      <c r="D30" t="s">
        <v>17</v>
      </c>
      <c r="E30" t="s">
        <v>18</v>
      </c>
      <c r="F30" t="s">
        <v>126</v>
      </c>
      <c r="G30" t="s">
        <v>146</v>
      </c>
      <c r="H30">
        <v>1</v>
      </c>
      <c r="I30" t="s">
        <v>17</v>
      </c>
      <c r="J30" t="s">
        <v>23</v>
      </c>
      <c r="O30" t="s">
        <v>147</v>
      </c>
    </row>
    <row r="31" spans="1:15" x14ac:dyDescent="0.25">
      <c r="A31" t="s">
        <v>21</v>
      </c>
      <c r="B31" t="s">
        <v>40</v>
      </c>
      <c r="C31" t="s">
        <v>40</v>
      </c>
      <c r="D31" t="s">
        <v>17</v>
      </c>
      <c r="E31" t="s">
        <v>18</v>
      </c>
      <c r="F31" t="s">
        <v>21</v>
      </c>
      <c r="G31" t="s">
        <v>40</v>
      </c>
      <c r="H31">
        <v>1</v>
      </c>
      <c r="I31" t="s">
        <v>17</v>
      </c>
      <c r="J31" t="s">
        <v>19</v>
      </c>
      <c r="O31" t="s">
        <v>125</v>
      </c>
    </row>
    <row r="32" spans="1:15" x14ac:dyDescent="0.25">
      <c r="A32" t="s">
        <v>21</v>
      </c>
      <c r="B32" t="s">
        <v>40</v>
      </c>
      <c r="C32" t="s">
        <v>40</v>
      </c>
      <c r="D32" t="s">
        <v>17</v>
      </c>
      <c r="E32" t="s">
        <v>18</v>
      </c>
      <c r="F32" t="s">
        <v>126</v>
      </c>
      <c r="G32" t="s">
        <v>148</v>
      </c>
      <c r="H32">
        <v>1</v>
      </c>
      <c r="I32" t="s">
        <v>17</v>
      </c>
      <c r="J32" t="s">
        <v>23</v>
      </c>
      <c r="O32" t="s">
        <v>149</v>
      </c>
    </row>
    <row r="33" spans="1:15" x14ac:dyDescent="0.25">
      <c r="A33" t="s">
        <v>21</v>
      </c>
      <c r="B33" t="s">
        <v>35</v>
      </c>
      <c r="C33" t="s">
        <v>35</v>
      </c>
      <c r="D33" t="s">
        <v>17</v>
      </c>
      <c r="E33" t="s">
        <v>18</v>
      </c>
      <c r="F33" t="s">
        <v>21</v>
      </c>
      <c r="G33" t="s">
        <v>35</v>
      </c>
      <c r="H33">
        <v>1</v>
      </c>
      <c r="I33" t="s">
        <v>17</v>
      </c>
      <c r="J33" t="s">
        <v>19</v>
      </c>
      <c r="O33" t="s">
        <v>125</v>
      </c>
    </row>
    <row r="34" spans="1:15" x14ac:dyDescent="0.25">
      <c r="A34" t="s">
        <v>21</v>
      </c>
      <c r="B34" t="s">
        <v>35</v>
      </c>
      <c r="C34" t="s">
        <v>35</v>
      </c>
      <c r="D34" t="s">
        <v>17</v>
      </c>
      <c r="E34" t="s">
        <v>18</v>
      </c>
      <c r="F34" t="s">
        <v>126</v>
      </c>
      <c r="G34" t="s">
        <v>150</v>
      </c>
      <c r="H34">
        <v>1</v>
      </c>
      <c r="I34" t="s">
        <v>17</v>
      </c>
      <c r="J34" t="s">
        <v>23</v>
      </c>
      <c r="O34" t="s">
        <v>151</v>
      </c>
    </row>
    <row r="35" spans="1:15" x14ac:dyDescent="0.25">
      <c r="A35" t="s">
        <v>21</v>
      </c>
      <c r="B35" t="s">
        <v>152</v>
      </c>
      <c r="C35" t="s">
        <v>152</v>
      </c>
      <c r="D35" t="s">
        <v>17</v>
      </c>
      <c r="E35" t="s">
        <v>18</v>
      </c>
      <c r="F35" t="s">
        <v>21</v>
      </c>
      <c r="G35" t="s">
        <v>152</v>
      </c>
      <c r="H35">
        <v>1</v>
      </c>
      <c r="I35" t="s">
        <v>17</v>
      </c>
      <c r="J35" t="s">
        <v>19</v>
      </c>
      <c r="O35" t="s">
        <v>125</v>
      </c>
    </row>
    <row r="36" spans="1:15" x14ac:dyDescent="0.25">
      <c r="A36" t="s">
        <v>21</v>
      </c>
      <c r="B36" t="s">
        <v>152</v>
      </c>
      <c r="C36" t="s">
        <v>152</v>
      </c>
      <c r="D36" t="s">
        <v>17</v>
      </c>
      <c r="E36" t="s">
        <v>18</v>
      </c>
      <c r="F36" t="s">
        <v>126</v>
      </c>
      <c r="G36" t="s">
        <v>153</v>
      </c>
      <c r="H36">
        <v>1</v>
      </c>
      <c r="I36" t="s">
        <v>17</v>
      </c>
      <c r="J36" t="s">
        <v>23</v>
      </c>
      <c r="O36" t="s">
        <v>154</v>
      </c>
    </row>
    <row r="37" spans="1:15" x14ac:dyDescent="0.25">
      <c r="A37" t="s">
        <v>21</v>
      </c>
      <c r="B37" t="s">
        <v>155</v>
      </c>
      <c r="C37" t="s">
        <v>155</v>
      </c>
      <c r="D37" t="s">
        <v>17</v>
      </c>
      <c r="E37" t="s">
        <v>18</v>
      </c>
      <c r="F37" t="s">
        <v>21</v>
      </c>
      <c r="G37" t="s">
        <v>155</v>
      </c>
      <c r="H37">
        <v>1</v>
      </c>
      <c r="I37" t="s">
        <v>17</v>
      </c>
      <c r="J37" t="s">
        <v>19</v>
      </c>
      <c r="O37" t="s">
        <v>125</v>
      </c>
    </row>
    <row r="38" spans="1:15" x14ac:dyDescent="0.25">
      <c r="A38" t="s">
        <v>21</v>
      </c>
      <c r="B38" t="s">
        <v>155</v>
      </c>
      <c r="C38" t="s">
        <v>155</v>
      </c>
      <c r="D38" t="s">
        <v>17</v>
      </c>
      <c r="E38" t="s">
        <v>18</v>
      </c>
      <c r="F38" t="s">
        <v>126</v>
      </c>
      <c r="G38" t="s">
        <v>156</v>
      </c>
      <c r="H38">
        <v>1</v>
      </c>
      <c r="I38" t="s">
        <v>17</v>
      </c>
      <c r="J38" t="s">
        <v>23</v>
      </c>
      <c r="O38" t="s">
        <v>157</v>
      </c>
    </row>
    <row r="39" spans="1:15" x14ac:dyDescent="0.25">
      <c r="A39" t="s">
        <v>21</v>
      </c>
      <c r="B39" t="s">
        <v>25</v>
      </c>
      <c r="C39" t="s">
        <v>25</v>
      </c>
      <c r="D39" t="s">
        <v>17</v>
      </c>
      <c r="E39" t="s">
        <v>18</v>
      </c>
      <c r="F39" t="s">
        <v>21</v>
      </c>
      <c r="G39" t="s">
        <v>25</v>
      </c>
      <c r="H39">
        <v>1</v>
      </c>
      <c r="I39" t="s">
        <v>17</v>
      </c>
      <c r="J39" t="s">
        <v>19</v>
      </c>
      <c r="O39" t="s">
        <v>125</v>
      </c>
    </row>
    <row r="40" spans="1:15" x14ac:dyDescent="0.25">
      <c r="A40" t="s">
        <v>21</v>
      </c>
      <c r="B40" t="s">
        <v>25</v>
      </c>
      <c r="C40" t="s">
        <v>25</v>
      </c>
      <c r="D40" t="s">
        <v>17</v>
      </c>
      <c r="E40" t="s">
        <v>18</v>
      </c>
      <c r="F40" t="s">
        <v>21</v>
      </c>
      <c r="G40" t="s">
        <v>35</v>
      </c>
      <c r="H40">
        <v>0.35</v>
      </c>
      <c r="I40" t="s">
        <v>17</v>
      </c>
      <c r="J40" t="s">
        <v>23</v>
      </c>
    </row>
    <row r="41" spans="1:15" x14ac:dyDescent="0.25">
      <c r="A41" t="s">
        <v>21</v>
      </c>
      <c r="B41" t="s">
        <v>25</v>
      </c>
      <c r="C41" t="s">
        <v>25</v>
      </c>
      <c r="D41" t="s">
        <v>17</v>
      </c>
      <c r="E41" t="s">
        <v>18</v>
      </c>
      <c r="F41" t="s">
        <v>21</v>
      </c>
      <c r="G41" t="s">
        <v>152</v>
      </c>
      <c r="H41">
        <v>0.65</v>
      </c>
      <c r="I41" t="s">
        <v>17</v>
      </c>
      <c r="J41" t="s">
        <v>23</v>
      </c>
    </row>
    <row r="42" spans="1:15" x14ac:dyDescent="0.25">
      <c r="A42" t="s">
        <v>21</v>
      </c>
      <c r="B42" t="s">
        <v>43</v>
      </c>
      <c r="C42" t="s">
        <v>43</v>
      </c>
      <c r="D42" t="s">
        <v>17</v>
      </c>
      <c r="E42" t="s">
        <v>18</v>
      </c>
      <c r="F42" t="s">
        <v>21</v>
      </c>
      <c r="G42" t="s">
        <v>43</v>
      </c>
      <c r="H42">
        <v>1</v>
      </c>
      <c r="I42" t="s">
        <v>17</v>
      </c>
      <c r="J42" t="s">
        <v>19</v>
      </c>
      <c r="O42" t="s">
        <v>125</v>
      </c>
    </row>
    <row r="43" spans="1:15" x14ac:dyDescent="0.25">
      <c r="A43" t="s">
        <v>21</v>
      </c>
      <c r="B43" t="s">
        <v>43</v>
      </c>
      <c r="C43" t="s">
        <v>43</v>
      </c>
      <c r="D43" t="s">
        <v>17</v>
      </c>
      <c r="E43" t="s">
        <v>18</v>
      </c>
      <c r="F43" t="s">
        <v>21</v>
      </c>
      <c r="G43" t="s">
        <v>152</v>
      </c>
      <c r="H43">
        <v>1</v>
      </c>
      <c r="I43" t="s">
        <v>17</v>
      </c>
      <c r="J43" t="s">
        <v>23</v>
      </c>
    </row>
    <row r="44" spans="1:15" x14ac:dyDescent="0.25">
      <c r="A44" t="s">
        <v>21</v>
      </c>
      <c r="B44" t="s">
        <v>44</v>
      </c>
      <c r="C44" t="s">
        <v>44</v>
      </c>
      <c r="D44" t="s">
        <v>17</v>
      </c>
      <c r="E44" t="s">
        <v>18</v>
      </c>
      <c r="F44" t="s">
        <v>21</v>
      </c>
      <c r="G44" t="s">
        <v>44</v>
      </c>
      <c r="H44">
        <v>1</v>
      </c>
      <c r="I44" t="s">
        <v>17</v>
      </c>
      <c r="J44" t="s">
        <v>19</v>
      </c>
      <c r="O44" t="s">
        <v>125</v>
      </c>
    </row>
    <row r="45" spans="1:15" x14ac:dyDescent="0.25">
      <c r="A45" t="s">
        <v>21</v>
      </c>
      <c r="B45" t="s">
        <v>44</v>
      </c>
      <c r="C45" t="s">
        <v>44</v>
      </c>
      <c r="D45" t="s">
        <v>17</v>
      </c>
      <c r="E45" t="s">
        <v>18</v>
      </c>
      <c r="F45" t="s">
        <v>21</v>
      </c>
      <c r="G45" t="s">
        <v>35</v>
      </c>
      <c r="H45">
        <v>1</v>
      </c>
      <c r="I45" t="s">
        <v>17</v>
      </c>
      <c r="J45" t="s">
        <v>23</v>
      </c>
    </row>
    <row r="46" spans="1:15" x14ac:dyDescent="0.25">
      <c r="A46" t="s">
        <v>21</v>
      </c>
      <c r="B46" t="s">
        <v>45</v>
      </c>
      <c r="C46" t="s">
        <v>45</v>
      </c>
      <c r="D46" t="s">
        <v>17</v>
      </c>
      <c r="E46" t="s">
        <v>18</v>
      </c>
      <c r="F46" t="s">
        <v>21</v>
      </c>
      <c r="G46" t="s">
        <v>45</v>
      </c>
      <c r="H46">
        <v>1</v>
      </c>
      <c r="I46" t="s">
        <v>17</v>
      </c>
      <c r="J46" t="s">
        <v>19</v>
      </c>
      <c r="O46" t="s">
        <v>125</v>
      </c>
    </row>
    <row r="47" spans="1:15" x14ac:dyDescent="0.25">
      <c r="A47" t="s">
        <v>21</v>
      </c>
      <c r="B47" t="s">
        <v>45</v>
      </c>
      <c r="C47" t="s">
        <v>45</v>
      </c>
      <c r="D47" t="s">
        <v>17</v>
      </c>
      <c r="E47" t="s">
        <v>18</v>
      </c>
      <c r="F47" t="s">
        <v>126</v>
      </c>
      <c r="G47" t="s">
        <v>158</v>
      </c>
      <c r="H47">
        <v>1</v>
      </c>
      <c r="I47" t="s">
        <v>17</v>
      </c>
      <c r="J47" t="s">
        <v>23</v>
      </c>
      <c r="O47" t="s">
        <v>159</v>
      </c>
    </row>
    <row r="48" spans="1:15" x14ac:dyDescent="0.25">
      <c r="A48" t="s">
        <v>21</v>
      </c>
      <c r="B48" t="s">
        <v>101</v>
      </c>
      <c r="C48" t="s">
        <v>101</v>
      </c>
      <c r="D48" t="s">
        <v>17</v>
      </c>
      <c r="E48" t="s">
        <v>18</v>
      </c>
      <c r="F48" t="s">
        <v>21</v>
      </c>
      <c r="G48" t="s">
        <v>101</v>
      </c>
      <c r="H48">
        <v>1</v>
      </c>
      <c r="I48" t="s">
        <v>17</v>
      </c>
      <c r="J48" t="s">
        <v>19</v>
      </c>
      <c r="O48" t="s">
        <v>125</v>
      </c>
    </row>
    <row r="49" spans="1:15" x14ac:dyDescent="0.25">
      <c r="A49" t="s">
        <v>21</v>
      </c>
      <c r="B49" t="s">
        <v>101</v>
      </c>
      <c r="C49" t="s">
        <v>101</v>
      </c>
      <c r="D49" t="s">
        <v>17</v>
      </c>
      <c r="E49" t="s">
        <v>18</v>
      </c>
      <c r="F49" t="s">
        <v>160</v>
      </c>
      <c r="G49" t="s">
        <v>161</v>
      </c>
      <c r="H49">
        <f>1/((997.453+998.584)/2)</f>
        <v>1.0019854341377441E-3</v>
      </c>
      <c r="I49" t="s">
        <v>47</v>
      </c>
      <c r="J49" t="s">
        <v>162</v>
      </c>
      <c r="O49" s="2" t="s">
        <v>163</v>
      </c>
    </row>
    <row r="50" spans="1:15" x14ac:dyDescent="0.25">
      <c r="A50" t="s">
        <v>21</v>
      </c>
      <c r="B50" t="s">
        <v>92</v>
      </c>
      <c r="C50" t="s">
        <v>92</v>
      </c>
      <c r="D50" t="s">
        <v>17</v>
      </c>
      <c r="E50" t="s">
        <v>18</v>
      </c>
      <c r="F50" t="s">
        <v>21</v>
      </c>
      <c r="G50" t="s">
        <v>92</v>
      </c>
      <c r="H50">
        <v>1</v>
      </c>
      <c r="I50" t="s">
        <v>17</v>
      </c>
      <c r="J50" t="s">
        <v>19</v>
      </c>
      <c r="O50" t="s">
        <v>125</v>
      </c>
    </row>
    <row r="51" spans="1:15" x14ac:dyDescent="0.25">
      <c r="A51" t="s">
        <v>21</v>
      </c>
      <c r="B51" t="s">
        <v>92</v>
      </c>
      <c r="C51" t="s">
        <v>92</v>
      </c>
      <c r="D51" t="s">
        <v>17</v>
      </c>
      <c r="E51" t="s">
        <v>18</v>
      </c>
      <c r="F51" t="s">
        <v>160</v>
      </c>
      <c r="G51" t="s">
        <v>161</v>
      </c>
      <c r="H51">
        <f>1/((1020+1029)/2)</f>
        <v>9.760858955588092E-4</v>
      </c>
      <c r="I51" t="s">
        <v>47</v>
      </c>
      <c r="J51" t="s">
        <v>162</v>
      </c>
      <c r="O51" t="s">
        <v>164</v>
      </c>
    </row>
    <row r="52" spans="1:15" x14ac:dyDescent="0.25">
      <c r="A52" t="s">
        <v>21</v>
      </c>
      <c r="B52" t="s">
        <v>46</v>
      </c>
      <c r="C52" t="s">
        <v>46</v>
      </c>
      <c r="D52" t="s">
        <v>47</v>
      </c>
      <c r="E52" t="s">
        <v>18</v>
      </c>
      <c r="F52" t="s">
        <v>21</v>
      </c>
      <c r="G52" t="s">
        <v>46</v>
      </c>
      <c r="H52">
        <v>1</v>
      </c>
      <c r="I52" t="s">
        <v>47</v>
      </c>
      <c r="J52" t="s">
        <v>19</v>
      </c>
      <c r="O52" t="s">
        <v>125</v>
      </c>
    </row>
    <row r="53" spans="1:15" x14ac:dyDescent="0.25">
      <c r="A53" t="s">
        <v>21</v>
      </c>
      <c r="B53" t="s">
        <v>46</v>
      </c>
      <c r="C53" t="s">
        <v>46</v>
      </c>
      <c r="D53" t="s">
        <v>47</v>
      </c>
      <c r="E53" t="s">
        <v>18</v>
      </c>
      <c r="F53" t="s">
        <v>126</v>
      </c>
      <c r="G53" t="s">
        <v>165</v>
      </c>
      <c r="H53">
        <v>1</v>
      </c>
      <c r="I53" t="s">
        <v>47</v>
      </c>
      <c r="J53" t="s">
        <v>23</v>
      </c>
      <c r="O53" s="2" t="s">
        <v>166</v>
      </c>
    </row>
    <row r="54" spans="1:15" x14ac:dyDescent="0.25">
      <c r="A54" t="s">
        <v>21</v>
      </c>
      <c r="B54" t="s">
        <v>29</v>
      </c>
      <c r="C54" t="s">
        <v>29</v>
      </c>
      <c r="D54" t="s">
        <v>30</v>
      </c>
      <c r="E54" t="s">
        <v>18</v>
      </c>
      <c r="F54" t="s">
        <v>21</v>
      </c>
      <c r="G54" t="s">
        <v>29</v>
      </c>
      <c r="H54">
        <v>1</v>
      </c>
      <c r="I54" t="s">
        <v>30</v>
      </c>
      <c r="J54" t="s">
        <v>19</v>
      </c>
      <c r="O54" t="s">
        <v>167</v>
      </c>
    </row>
    <row r="55" spans="1:15" x14ac:dyDescent="0.25">
      <c r="A55" t="s">
        <v>21</v>
      </c>
      <c r="B55" t="s">
        <v>29</v>
      </c>
      <c r="C55" t="s">
        <v>29</v>
      </c>
      <c r="D55" t="s">
        <v>30</v>
      </c>
      <c r="E55" t="s">
        <v>18</v>
      </c>
      <c r="F55" t="s">
        <v>126</v>
      </c>
      <c r="G55" t="s">
        <v>168</v>
      </c>
      <c r="H55">
        <v>1</v>
      </c>
      <c r="I55" t="s">
        <v>30</v>
      </c>
      <c r="J55" t="s">
        <v>23</v>
      </c>
      <c r="O55" t="s">
        <v>169</v>
      </c>
    </row>
    <row r="56" spans="1:15" x14ac:dyDescent="0.25">
      <c r="A56" t="s">
        <v>21</v>
      </c>
      <c r="B56" t="s">
        <v>79</v>
      </c>
      <c r="C56" t="s">
        <v>79</v>
      </c>
      <c r="D56" t="s">
        <v>17</v>
      </c>
      <c r="E56" t="s">
        <v>18</v>
      </c>
      <c r="F56" t="s">
        <v>21</v>
      </c>
      <c r="G56" t="s">
        <v>79</v>
      </c>
      <c r="H56">
        <v>1</v>
      </c>
      <c r="I56" t="s">
        <v>17</v>
      </c>
      <c r="J56" t="s">
        <v>19</v>
      </c>
      <c r="O56" t="s">
        <v>167</v>
      </c>
    </row>
    <row r="57" spans="1:15" x14ac:dyDescent="0.25">
      <c r="A57" t="s">
        <v>21</v>
      </c>
      <c r="B57" t="s">
        <v>79</v>
      </c>
      <c r="C57" t="s">
        <v>79</v>
      </c>
      <c r="D57" t="s">
        <v>17</v>
      </c>
      <c r="E57" t="s">
        <v>18</v>
      </c>
      <c r="F57" t="s">
        <v>126</v>
      </c>
      <c r="G57" t="s">
        <v>170</v>
      </c>
      <c r="H57">
        <v>1</v>
      </c>
      <c r="I57" t="s">
        <v>17</v>
      </c>
      <c r="J57" t="s">
        <v>23</v>
      </c>
      <c r="O57" t="s">
        <v>171</v>
      </c>
    </row>
    <row r="58" spans="1:15" x14ac:dyDescent="0.25">
      <c r="A58" t="s">
        <v>21</v>
      </c>
      <c r="B58" t="s">
        <v>33</v>
      </c>
      <c r="C58" t="s">
        <v>33</v>
      </c>
      <c r="D58" t="s">
        <v>34</v>
      </c>
      <c r="E58" t="s">
        <v>18</v>
      </c>
      <c r="F58" t="s">
        <v>21</v>
      </c>
      <c r="G58" t="s">
        <v>33</v>
      </c>
      <c r="H58">
        <v>1</v>
      </c>
      <c r="I58" t="s">
        <v>34</v>
      </c>
      <c r="J58" t="s">
        <v>19</v>
      </c>
      <c r="O58" t="s">
        <v>167</v>
      </c>
    </row>
    <row r="59" spans="1:15" x14ac:dyDescent="0.25">
      <c r="A59" t="s">
        <v>21</v>
      </c>
      <c r="B59" t="s">
        <v>33</v>
      </c>
      <c r="C59" t="s">
        <v>33</v>
      </c>
      <c r="D59" t="s">
        <v>34</v>
      </c>
      <c r="E59" t="s">
        <v>18</v>
      </c>
      <c r="F59" t="s">
        <v>126</v>
      </c>
      <c r="G59" t="s">
        <v>172</v>
      </c>
      <c r="H59">
        <v>1</v>
      </c>
      <c r="I59" t="s">
        <v>34</v>
      </c>
      <c r="J59" t="s">
        <v>23</v>
      </c>
      <c r="O59" t="s">
        <v>173</v>
      </c>
    </row>
    <row r="60" spans="1:15" s="3" customFormat="1" x14ac:dyDescent="0.25">
      <c r="A60" s="3" t="s">
        <v>21</v>
      </c>
      <c r="B60" s="3" t="s">
        <v>27</v>
      </c>
      <c r="C60" s="3" t="s">
        <v>27</v>
      </c>
      <c r="D60" s="3" t="s">
        <v>17</v>
      </c>
      <c r="E60" s="3" t="s">
        <v>18</v>
      </c>
      <c r="F60" s="3" t="s">
        <v>21</v>
      </c>
      <c r="G60" s="3" t="s">
        <v>27</v>
      </c>
      <c r="H60" s="3">
        <v>1</v>
      </c>
      <c r="I60" s="3" t="s">
        <v>17</v>
      </c>
      <c r="J60" s="3" t="s">
        <v>19</v>
      </c>
      <c r="O60" s="3" t="s">
        <v>174</v>
      </c>
    </row>
    <row r="61" spans="1:15" s="3" customFormat="1" x14ac:dyDescent="0.25">
      <c r="A61" s="3" t="s">
        <v>21</v>
      </c>
      <c r="B61" s="3" t="s">
        <v>27</v>
      </c>
      <c r="C61" s="3" t="s">
        <v>27</v>
      </c>
      <c r="D61" s="3" t="s">
        <v>17</v>
      </c>
      <c r="E61" s="3" t="s">
        <v>18</v>
      </c>
      <c r="F61" s="3" t="s">
        <v>21</v>
      </c>
      <c r="G61" s="3" t="s">
        <v>25</v>
      </c>
      <c r="H61" s="3">
        <f>108/134</f>
        <v>0.80597014925373134</v>
      </c>
      <c r="I61" s="3" t="s">
        <v>17</v>
      </c>
      <c r="J61" s="3" t="s">
        <v>23</v>
      </c>
      <c r="N61"/>
    </row>
    <row r="62" spans="1:15" s="3" customFormat="1" x14ac:dyDescent="0.25">
      <c r="A62" s="3" t="s">
        <v>21</v>
      </c>
      <c r="B62" s="3" t="s">
        <v>27</v>
      </c>
      <c r="C62" s="3" t="s">
        <v>27</v>
      </c>
      <c r="D62" s="3" t="s">
        <v>17</v>
      </c>
      <c r="E62" s="3" t="s">
        <v>18</v>
      </c>
      <c r="F62" s="3" t="s">
        <v>21</v>
      </c>
      <c r="G62" s="3" t="s">
        <v>40</v>
      </c>
      <c r="H62" s="3">
        <f>20/134</f>
        <v>0.14925373134328357</v>
      </c>
      <c r="I62" s="3" t="s">
        <v>17</v>
      </c>
      <c r="J62" s="3" t="s">
        <v>23</v>
      </c>
      <c r="N62"/>
    </row>
    <row r="63" spans="1:15" s="3" customFormat="1" x14ac:dyDescent="0.25">
      <c r="A63" s="3" t="s">
        <v>21</v>
      </c>
      <c r="B63" s="3" t="s">
        <v>36</v>
      </c>
      <c r="C63" s="3" t="s">
        <v>36</v>
      </c>
      <c r="D63" s="3" t="s">
        <v>17</v>
      </c>
      <c r="E63" s="3" t="s">
        <v>18</v>
      </c>
      <c r="F63" s="3" t="s">
        <v>21</v>
      </c>
      <c r="G63" s="3" t="s">
        <v>36</v>
      </c>
      <c r="H63" s="3">
        <v>1</v>
      </c>
      <c r="I63" s="3" t="s">
        <v>17</v>
      </c>
      <c r="J63" s="3" t="s">
        <v>19</v>
      </c>
      <c r="O63" s="3" t="s">
        <v>174</v>
      </c>
    </row>
    <row r="64" spans="1:15" s="3" customFormat="1" x14ac:dyDescent="0.25">
      <c r="A64" s="3" t="s">
        <v>21</v>
      </c>
      <c r="B64" s="3" t="s">
        <v>36</v>
      </c>
      <c r="C64" s="3" t="s">
        <v>36</v>
      </c>
      <c r="D64" s="3" t="s">
        <v>17</v>
      </c>
      <c r="E64" s="3" t="s">
        <v>18</v>
      </c>
      <c r="F64" s="3" t="s">
        <v>21</v>
      </c>
      <c r="G64" s="3" t="s">
        <v>26</v>
      </c>
      <c r="H64" s="3">
        <f>7.2/94.4</f>
        <v>7.6271186440677957E-2</v>
      </c>
      <c r="I64" s="3" t="s">
        <v>17</v>
      </c>
      <c r="J64" s="3" t="s">
        <v>23</v>
      </c>
      <c r="N64"/>
    </row>
    <row r="65" spans="1:15" s="3" customFormat="1" x14ac:dyDescent="0.25">
      <c r="A65" s="3" t="s">
        <v>21</v>
      </c>
      <c r="B65" s="3" t="s">
        <v>36</v>
      </c>
      <c r="C65" s="3" t="s">
        <v>36</v>
      </c>
      <c r="D65" s="3" t="s">
        <v>17</v>
      </c>
      <c r="E65" s="3" t="s">
        <v>18</v>
      </c>
      <c r="F65" s="3" t="s">
        <v>21</v>
      </c>
      <c r="G65" s="3" t="s">
        <v>35</v>
      </c>
      <c r="H65" s="3">
        <f>24.8/94.4</f>
        <v>0.26271186440677963</v>
      </c>
      <c r="I65" s="3" t="s">
        <v>17</v>
      </c>
      <c r="J65" s="3" t="s">
        <v>23</v>
      </c>
      <c r="N65"/>
    </row>
    <row r="66" spans="1:15" s="3" customFormat="1" x14ac:dyDescent="0.25">
      <c r="A66" s="3" t="s">
        <v>21</v>
      </c>
      <c r="B66" s="3" t="s">
        <v>36</v>
      </c>
      <c r="C66" s="3" t="s">
        <v>36</v>
      </c>
      <c r="D66" s="3" t="s">
        <v>17</v>
      </c>
      <c r="E66" s="3" t="s">
        <v>18</v>
      </c>
      <c r="F66" s="3" t="s">
        <v>21</v>
      </c>
      <c r="G66" s="3" t="s">
        <v>40</v>
      </c>
      <c r="H66" s="3">
        <f>14.4/94.4</f>
        <v>0.15254237288135591</v>
      </c>
      <c r="I66" s="3" t="s">
        <v>17</v>
      </c>
      <c r="J66" s="3" t="s">
        <v>23</v>
      </c>
      <c r="N66"/>
    </row>
    <row r="67" spans="1:15" s="3" customFormat="1" x14ac:dyDescent="0.25">
      <c r="A67" s="3" t="s">
        <v>21</v>
      </c>
      <c r="B67" s="3" t="s">
        <v>36</v>
      </c>
      <c r="C67" s="3" t="s">
        <v>36</v>
      </c>
      <c r="D67" s="3" t="s">
        <v>17</v>
      </c>
      <c r="E67" s="3" t="s">
        <v>18</v>
      </c>
      <c r="F67" s="3" t="s">
        <v>21</v>
      </c>
      <c r="G67" s="3" t="s">
        <v>152</v>
      </c>
      <c r="H67" s="3">
        <f>48/94.4</f>
        <v>0.50847457627118642</v>
      </c>
      <c r="I67" s="3" t="s">
        <v>17</v>
      </c>
      <c r="J67" s="3" t="s">
        <v>23</v>
      </c>
      <c r="N67"/>
    </row>
    <row r="68" spans="1:15" x14ac:dyDescent="0.25">
      <c r="A68" t="s">
        <v>21</v>
      </c>
      <c r="B68" t="s">
        <v>123</v>
      </c>
      <c r="C68" t="s">
        <v>123</v>
      </c>
      <c r="D68" t="s">
        <v>17</v>
      </c>
      <c r="E68" t="s">
        <v>18</v>
      </c>
      <c r="F68" t="s">
        <v>21</v>
      </c>
      <c r="G68" t="s">
        <v>123</v>
      </c>
      <c r="H68">
        <v>1</v>
      </c>
      <c r="I68" t="s">
        <v>17</v>
      </c>
      <c r="J68" t="s">
        <v>19</v>
      </c>
      <c r="O68" t="s">
        <v>174</v>
      </c>
    </row>
    <row r="69" spans="1:15" x14ac:dyDescent="0.25">
      <c r="A69" t="s">
        <v>21</v>
      </c>
      <c r="B69" t="s">
        <v>123</v>
      </c>
      <c r="C69" t="s">
        <v>123</v>
      </c>
      <c r="D69" t="s">
        <v>17</v>
      </c>
      <c r="E69" t="s">
        <v>18</v>
      </c>
      <c r="F69" t="s">
        <v>126</v>
      </c>
      <c r="G69" t="s">
        <v>142</v>
      </c>
      <c r="H69">
        <v>1</v>
      </c>
      <c r="I69" t="s">
        <v>17</v>
      </c>
      <c r="J69" t="s">
        <v>23</v>
      </c>
      <c r="O69" t="s">
        <v>143</v>
      </c>
    </row>
    <row r="70" spans="1:15" x14ac:dyDescent="0.25">
      <c r="A70" t="s">
        <v>21</v>
      </c>
      <c r="B70" t="s">
        <v>48</v>
      </c>
      <c r="C70" t="s">
        <v>48</v>
      </c>
      <c r="D70" t="s">
        <v>47</v>
      </c>
      <c r="E70" t="s">
        <v>18</v>
      </c>
      <c r="F70" t="s">
        <v>21</v>
      </c>
      <c r="G70" t="s">
        <v>48</v>
      </c>
      <c r="H70">
        <v>1</v>
      </c>
      <c r="I70" t="s">
        <v>47</v>
      </c>
      <c r="J70" t="s">
        <v>19</v>
      </c>
      <c r="O70" t="s">
        <v>174</v>
      </c>
    </row>
    <row r="71" spans="1:15" x14ac:dyDescent="0.25">
      <c r="A71" t="s">
        <v>21</v>
      </c>
      <c r="B71" t="s">
        <v>48</v>
      </c>
      <c r="C71" t="s">
        <v>48</v>
      </c>
      <c r="D71" t="s">
        <v>47</v>
      </c>
      <c r="E71" t="s">
        <v>18</v>
      </c>
      <c r="F71" t="s">
        <v>126</v>
      </c>
      <c r="G71" t="s">
        <v>175</v>
      </c>
      <c r="H71">
        <v>1</v>
      </c>
      <c r="I71" t="s">
        <v>47</v>
      </c>
      <c r="J71" t="s">
        <v>23</v>
      </c>
      <c r="O71" t="s">
        <v>176</v>
      </c>
    </row>
    <row r="72" spans="1:15" x14ac:dyDescent="0.25">
      <c r="A72" t="s">
        <v>21</v>
      </c>
      <c r="B72" t="s">
        <v>97</v>
      </c>
      <c r="C72" t="s">
        <v>97</v>
      </c>
      <c r="D72" t="s">
        <v>17</v>
      </c>
      <c r="E72" t="s">
        <v>18</v>
      </c>
      <c r="F72" t="s">
        <v>21</v>
      </c>
      <c r="G72" t="s">
        <v>97</v>
      </c>
      <c r="H72">
        <v>1</v>
      </c>
      <c r="I72" t="s">
        <v>17</v>
      </c>
      <c r="J72" t="s">
        <v>19</v>
      </c>
      <c r="O72" t="s">
        <v>174</v>
      </c>
    </row>
    <row r="73" spans="1:15" x14ac:dyDescent="0.25">
      <c r="A73" t="s">
        <v>21</v>
      </c>
      <c r="B73" t="s">
        <v>97</v>
      </c>
      <c r="C73" t="s">
        <v>97</v>
      </c>
      <c r="D73" t="s">
        <v>17</v>
      </c>
      <c r="E73" t="s">
        <v>18</v>
      </c>
      <c r="F73" t="s">
        <v>126</v>
      </c>
      <c r="G73" t="s">
        <v>130</v>
      </c>
      <c r="H73">
        <v>1</v>
      </c>
      <c r="I73" t="s">
        <v>17</v>
      </c>
      <c r="J73" t="s">
        <v>23</v>
      </c>
      <c r="O73" t="s">
        <v>131</v>
      </c>
    </row>
    <row r="74" spans="1:15" s="3" customFormat="1" x14ac:dyDescent="0.25">
      <c r="A74" s="3" t="s">
        <v>21</v>
      </c>
      <c r="B74" s="3" t="s">
        <v>121</v>
      </c>
      <c r="C74" s="3" t="s">
        <v>121</v>
      </c>
      <c r="D74" s="3" t="s">
        <v>17</v>
      </c>
      <c r="E74" s="3" t="s">
        <v>18</v>
      </c>
      <c r="F74" s="3" t="s">
        <v>21</v>
      </c>
      <c r="G74" s="3" t="s">
        <v>121</v>
      </c>
      <c r="H74" s="3">
        <v>1</v>
      </c>
      <c r="I74" s="3" t="s">
        <v>17</v>
      </c>
      <c r="J74" s="3" t="s">
        <v>19</v>
      </c>
      <c r="O74" s="4" t="s">
        <v>177</v>
      </c>
    </row>
    <row r="75" spans="1:15" s="3" customFormat="1" x14ac:dyDescent="0.25">
      <c r="A75" s="3" t="s">
        <v>21</v>
      </c>
      <c r="B75" s="3" t="s">
        <v>121</v>
      </c>
      <c r="C75" s="3" t="s">
        <v>121</v>
      </c>
      <c r="D75" s="3" t="s">
        <v>17</v>
      </c>
      <c r="E75" s="3" t="s">
        <v>18</v>
      </c>
      <c r="F75" s="3" t="s">
        <v>126</v>
      </c>
      <c r="G75" s="3" t="s">
        <v>178</v>
      </c>
      <c r="H75" s="3">
        <v>0.549446063215</v>
      </c>
      <c r="I75" s="3" t="s">
        <v>17</v>
      </c>
      <c r="J75" s="3" t="s">
        <v>23</v>
      </c>
      <c r="N75"/>
      <c r="O75" s="3" t="s">
        <v>179</v>
      </c>
    </row>
    <row r="76" spans="1:15" s="3" customFormat="1" x14ac:dyDescent="0.25">
      <c r="A76" s="3" t="s">
        <v>21</v>
      </c>
      <c r="B76" s="3" t="s">
        <v>121</v>
      </c>
      <c r="C76" s="3" t="s">
        <v>121</v>
      </c>
      <c r="D76" s="3" t="s">
        <v>17</v>
      </c>
      <c r="E76" s="3" t="s">
        <v>18</v>
      </c>
      <c r="F76" s="3" t="s">
        <v>126</v>
      </c>
      <c r="G76" s="3" t="s">
        <v>180</v>
      </c>
      <c r="H76" s="5">
        <v>4.0000000000000001E-10</v>
      </c>
      <c r="I76" s="3" t="s">
        <v>181</v>
      </c>
      <c r="J76" s="3" t="s">
        <v>23</v>
      </c>
      <c r="N76"/>
      <c r="O76" s="3" t="s">
        <v>182</v>
      </c>
    </row>
    <row r="77" spans="1:15" s="3" customFormat="1" x14ac:dyDescent="0.25">
      <c r="A77" s="3" t="s">
        <v>21</v>
      </c>
      <c r="B77" s="3" t="s">
        <v>121</v>
      </c>
      <c r="C77" s="3" t="s">
        <v>121</v>
      </c>
      <c r="D77" s="3" t="s">
        <v>17</v>
      </c>
      <c r="E77" s="3" t="s">
        <v>18</v>
      </c>
      <c r="F77" s="3" t="s">
        <v>21</v>
      </c>
      <c r="G77" s="3" t="s">
        <v>33</v>
      </c>
      <c r="H77" s="3">
        <v>2.35</v>
      </c>
      <c r="I77" s="3" t="s">
        <v>34</v>
      </c>
      <c r="J77" s="3" t="s">
        <v>23</v>
      </c>
      <c r="N77"/>
      <c r="O77" s="3" t="s">
        <v>33</v>
      </c>
    </row>
    <row r="78" spans="1:15" s="3" customFormat="1" x14ac:dyDescent="0.25">
      <c r="A78" s="3" t="s">
        <v>21</v>
      </c>
      <c r="B78" s="3" t="s">
        <v>121</v>
      </c>
      <c r="C78" s="3" t="s">
        <v>121</v>
      </c>
      <c r="D78" s="3" t="s">
        <v>17</v>
      </c>
      <c r="E78" s="3" t="s">
        <v>18</v>
      </c>
      <c r="F78" s="3" t="s">
        <v>126</v>
      </c>
      <c r="G78" s="3" t="s">
        <v>183</v>
      </c>
      <c r="H78" s="3">
        <v>1.9E-2</v>
      </c>
      <c r="I78" s="3" t="s">
        <v>17</v>
      </c>
      <c r="J78" s="3" t="s">
        <v>23</v>
      </c>
      <c r="N78"/>
      <c r="O78" s="3" t="s">
        <v>184</v>
      </c>
    </row>
    <row r="79" spans="1:15" s="3" customFormat="1" x14ac:dyDescent="0.25">
      <c r="A79" s="3" t="s">
        <v>21</v>
      </c>
      <c r="B79" s="3" t="s">
        <v>121</v>
      </c>
      <c r="C79" s="3" t="s">
        <v>121</v>
      </c>
      <c r="D79" s="3" t="s">
        <v>17</v>
      </c>
      <c r="E79" s="3" t="s">
        <v>18</v>
      </c>
      <c r="F79" s="3" t="s">
        <v>21</v>
      </c>
      <c r="G79" t="s">
        <v>96</v>
      </c>
      <c r="H79" s="3">
        <v>2.5999999999999999E-2</v>
      </c>
      <c r="I79" s="3" t="s">
        <v>17</v>
      </c>
      <c r="J79" s="3" t="s">
        <v>23</v>
      </c>
      <c r="N79"/>
      <c r="O79" t="s">
        <v>96</v>
      </c>
    </row>
    <row r="80" spans="1:15" s="3" customFormat="1" x14ac:dyDescent="0.25">
      <c r="A80" s="3" t="s">
        <v>21</v>
      </c>
      <c r="B80" s="3" t="s">
        <v>121</v>
      </c>
      <c r="C80" s="3" t="s">
        <v>121</v>
      </c>
      <c r="D80" s="3" t="s">
        <v>17</v>
      </c>
      <c r="E80" s="3" t="s">
        <v>18</v>
      </c>
      <c r="F80" s="3" t="s">
        <v>21</v>
      </c>
      <c r="G80" s="3" t="s">
        <v>57</v>
      </c>
      <c r="H80" s="5">
        <f>0.0000027*997</f>
        <v>2.6919000000000001E-3</v>
      </c>
      <c r="I80" s="3" t="s">
        <v>17</v>
      </c>
      <c r="J80" s="3" t="s">
        <v>23</v>
      </c>
      <c r="N80"/>
      <c r="O80" s="3" t="s">
        <v>185</v>
      </c>
    </row>
    <row r="81" spans="1:15" s="3" customFormat="1" x14ac:dyDescent="0.25">
      <c r="A81" s="3" t="s">
        <v>21</v>
      </c>
      <c r="B81" s="3" t="s">
        <v>121</v>
      </c>
      <c r="C81" s="3" t="s">
        <v>121</v>
      </c>
      <c r="D81" s="3" t="s">
        <v>17</v>
      </c>
      <c r="E81" s="3" t="s">
        <v>18</v>
      </c>
      <c r="F81" s="3" t="s">
        <v>21</v>
      </c>
      <c r="G81" s="3" t="s">
        <v>29</v>
      </c>
      <c r="H81" s="3">
        <v>0.41599999999999998</v>
      </c>
      <c r="I81" s="3" t="s">
        <v>30</v>
      </c>
      <c r="J81" s="3" t="s">
        <v>23</v>
      </c>
      <c r="N81"/>
      <c r="O81" s="3" t="s">
        <v>29</v>
      </c>
    </row>
    <row r="82" spans="1:15" s="3" customFormat="1" x14ac:dyDescent="0.25">
      <c r="A82" s="3" t="s">
        <v>21</v>
      </c>
      <c r="B82" s="3" t="s">
        <v>121</v>
      </c>
      <c r="C82" s="3" t="s">
        <v>121</v>
      </c>
      <c r="D82" s="3" t="s">
        <v>17</v>
      </c>
      <c r="E82" s="3" t="s">
        <v>18</v>
      </c>
      <c r="F82" s="3" t="s">
        <v>21</v>
      </c>
      <c r="G82" s="3" t="s">
        <v>186</v>
      </c>
      <c r="H82" s="3">
        <v>0.72809961835699999</v>
      </c>
      <c r="I82" s="3" t="s">
        <v>17</v>
      </c>
      <c r="J82" s="3" t="s">
        <v>23</v>
      </c>
      <c r="N82"/>
      <c r="O82" s="3" t="s">
        <v>186</v>
      </c>
    </row>
    <row r="83" spans="1:15" s="3" customFormat="1" x14ac:dyDescent="0.25">
      <c r="A83" s="3" t="s">
        <v>21</v>
      </c>
      <c r="B83" s="3" t="s">
        <v>186</v>
      </c>
      <c r="C83" s="3" t="s">
        <v>186</v>
      </c>
      <c r="D83" s="3" t="s">
        <v>17</v>
      </c>
      <c r="E83" s="3" t="s">
        <v>18</v>
      </c>
      <c r="F83" s="3" t="s">
        <v>21</v>
      </c>
      <c r="G83" s="3" t="s">
        <v>186</v>
      </c>
      <c r="H83" s="3">
        <v>1</v>
      </c>
      <c r="I83" s="3" t="s">
        <v>17</v>
      </c>
      <c r="J83" s="3" t="s">
        <v>19</v>
      </c>
      <c r="N83"/>
      <c r="O83" s="10" t="s">
        <v>187</v>
      </c>
    </row>
    <row r="84" spans="1:15" s="3" customFormat="1" x14ac:dyDescent="0.25">
      <c r="A84" s="3" t="s">
        <v>21</v>
      </c>
      <c r="B84" s="3" t="s">
        <v>186</v>
      </c>
      <c r="C84" s="3" t="s">
        <v>186</v>
      </c>
      <c r="D84" s="3" t="s">
        <v>17</v>
      </c>
      <c r="E84" s="3" t="s">
        <v>18</v>
      </c>
      <c r="F84" s="3" t="s">
        <v>126</v>
      </c>
      <c r="G84" s="3" t="s">
        <v>180</v>
      </c>
      <c r="H84" s="5">
        <v>4.0000000000000001E-10</v>
      </c>
      <c r="I84" s="3" t="s">
        <v>181</v>
      </c>
      <c r="J84" s="3" t="s">
        <v>23</v>
      </c>
      <c r="N84"/>
      <c r="O84" s="3" t="s">
        <v>182</v>
      </c>
    </row>
    <row r="85" spans="1:15" s="3" customFormat="1" x14ac:dyDescent="0.25">
      <c r="A85" s="3" t="s">
        <v>21</v>
      </c>
      <c r="B85" s="3" t="s">
        <v>186</v>
      </c>
      <c r="C85" s="3" t="s">
        <v>186</v>
      </c>
      <c r="D85" s="3" t="s">
        <v>17</v>
      </c>
      <c r="E85" s="3" t="s">
        <v>18</v>
      </c>
      <c r="F85" s="3" t="s">
        <v>21</v>
      </c>
      <c r="G85" s="3" t="s">
        <v>33</v>
      </c>
      <c r="H85" s="3">
        <f>0.38775+2.513469572</f>
        <v>2.901219572</v>
      </c>
      <c r="I85" s="3" t="s">
        <v>34</v>
      </c>
      <c r="J85" s="3" t="s">
        <v>23</v>
      </c>
      <c r="N85"/>
      <c r="O85" s="3" t="s">
        <v>33</v>
      </c>
    </row>
    <row r="86" spans="1:15" s="3" customFormat="1" x14ac:dyDescent="0.25">
      <c r="A86" s="3" t="s">
        <v>21</v>
      </c>
      <c r="B86" s="3" t="s">
        <v>186</v>
      </c>
      <c r="C86" s="3" t="s">
        <v>186</v>
      </c>
      <c r="D86" s="3" t="s">
        <v>17</v>
      </c>
      <c r="E86" s="3" t="s">
        <v>18</v>
      </c>
      <c r="F86" s="3" t="s">
        <v>126</v>
      </c>
      <c r="G86" s="3" t="s">
        <v>188</v>
      </c>
      <c r="H86" s="3">
        <v>1.3373237770999999</v>
      </c>
      <c r="I86" s="3" t="s">
        <v>17</v>
      </c>
      <c r="J86" s="3" t="s">
        <v>23</v>
      </c>
      <c r="N86"/>
      <c r="O86" s="3" t="s">
        <v>189</v>
      </c>
    </row>
    <row r="87" spans="1:15" s="3" customFormat="1" x14ac:dyDescent="0.25">
      <c r="A87" s="3" t="s">
        <v>21</v>
      </c>
      <c r="B87" s="3" t="s">
        <v>186</v>
      </c>
      <c r="C87" s="3" t="s">
        <v>186</v>
      </c>
      <c r="D87" s="3" t="s">
        <v>17</v>
      </c>
      <c r="E87" s="3" t="s">
        <v>18</v>
      </c>
      <c r="F87" s="3" t="s">
        <v>126</v>
      </c>
      <c r="G87" s="3" t="s">
        <v>183</v>
      </c>
      <c r="H87" s="3">
        <v>1.9E-2</v>
      </c>
      <c r="I87" s="3" t="s">
        <v>17</v>
      </c>
      <c r="J87" s="3" t="s">
        <v>23</v>
      </c>
      <c r="N87"/>
      <c r="O87" s="3" t="s">
        <v>184</v>
      </c>
    </row>
    <row r="88" spans="1:15" s="3" customFormat="1" x14ac:dyDescent="0.25">
      <c r="A88" s="3" t="s">
        <v>21</v>
      </c>
      <c r="B88" s="3" t="s">
        <v>186</v>
      </c>
      <c r="C88" s="3" t="s">
        <v>186</v>
      </c>
      <c r="D88" s="3" t="s">
        <v>17</v>
      </c>
      <c r="E88" s="3" t="s">
        <v>18</v>
      </c>
      <c r="F88" s="3" t="s">
        <v>21</v>
      </c>
      <c r="G88" s="3" t="s">
        <v>96</v>
      </c>
      <c r="H88" s="3">
        <v>2.5999999999999999E-2</v>
      </c>
      <c r="I88" s="3" t="s">
        <v>17</v>
      </c>
      <c r="J88" s="3" t="s">
        <v>23</v>
      </c>
      <c r="N88"/>
      <c r="O88" s="3" t="s">
        <v>96</v>
      </c>
    </row>
    <row r="89" spans="1:15" s="3" customFormat="1" x14ac:dyDescent="0.25">
      <c r="A89" s="3" t="s">
        <v>21</v>
      </c>
      <c r="B89" s="3" t="s">
        <v>186</v>
      </c>
      <c r="C89" s="3" t="s">
        <v>186</v>
      </c>
      <c r="D89" s="3" t="s">
        <v>17</v>
      </c>
      <c r="E89" s="3" t="s">
        <v>18</v>
      </c>
      <c r="F89" s="3" t="s">
        <v>21</v>
      </c>
      <c r="G89" s="3" t="s">
        <v>57</v>
      </c>
      <c r="H89" s="5">
        <f>0.0000027*997</f>
        <v>2.6919000000000001E-3</v>
      </c>
      <c r="I89" s="3" t="s">
        <v>17</v>
      </c>
      <c r="J89" s="3" t="s">
        <v>23</v>
      </c>
      <c r="N89"/>
      <c r="O89" s="3" t="s">
        <v>185</v>
      </c>
    </row>
    <row r="90" spans="1:15" s="3" customFormat="1" x14ac:dyDescent="0.25">
      <c r="A90" s="3" t="s">
        <v>21</v>
      </c>
      <c r="B90" s="3" t="s">
        <v>186</v>
      </c>
      <c r="C90" s="3" t="s">
        <v>186</v>
      </c>
      <c r="D90" s="3" t="s">
        <v>17</v>
      </c>
      <c r="E90" s="3" t="s">
        <v>18</v>
      </c>
      <c r="F90" s="3" t="s">
        <v>21</v>
      </c>
      <c r="G90" s="3" t="s">
        <v>29</v>
      </c>
      <c r="H90" s="3">
        <v>0.47930340579399999</v>
      </c>
      <c r="I90" s="3" t="s">
        <v>30</v>
      </c>
      <c r="J90" s="3" t="s">
        <v>23</v>
      </c>
      <c r="N90"/>
      <c r="O90" s="3" t="s">
        <v>29</v>
      </c>
    </row>
    <row r="91" spans="1:15" s="3" customFormat="1" x14ac:dyDescent="0.25">
      <c r="A91" s="3" t="s">
        <v>21</v>
      </c>
      <c r="B91" s="3" t="s">
        <v>124</v>
      </c>
      <c r="C91" s="3" t="s">
        <v>124</v>
      </c>
      <c r="D91" s="3" t="s">
        <v>17</v>
      </c>
      <c r="E91" s="3" t="s">
        <v>18</v>
      </c>
      <c r="F91" s="3" t="s">
        <v>21</v>
      </c>
      <c r="G91" s="3" t="s">
        <v>124</v>
      </c>
      <c r="H91" s="3">
        <v>1</v>
      </c>
      <c r="I91" s="3" t="s">
        <v>17</v>
      </c>
      <c r="J91" s="3" t="s">
        <v>19</v>
      </c>
      <c r="O91" s="3" t="s">
        <v>174</v>
      </c>
    </row>
    <row r="92" spans="1:15" s="3" customFormat="1" x14ac:dyDescent="0.25">
      <c r="A92" s="3" t="s">
        <v>21</v>
      </c>
      <c r="B92" s="3" t="s">
        <v>124</v>
      </c>
      <c r="C92" s="3" t="s">
        <v>124</v>
      </c>
      <c r="D92" s="3" t="s">
        <v>17</v>
      </c>
      <c r="E92" s="3" t="s">
        <v>18</v>
      </c>
      <c r="F92" s="3" t="s">
        <v>21</v>
      </c>
      <c r="G92" s="3" t="s">
        <v>121</v>
      </c>
      <c r="H92" s="3">
        <v>1</v>
      </c>
      <c r="I92" s="3" t="s">
        <v>17</v>
      </c>
      <c r="J92" s="3" t="s">
        <v>23</v>
      </c>
      <c r="N92"/>
      <c r="O92" s="3" t="s">
        <v>121</v>
      </c>
    </row>
    <row r="93" spans="1:15" x14ac:dyDescent="0.25">
      <c r="A93" t="s">
        <v>21</v>
      </c>
      <c r="B93" t="s">
        <v>26</v>
      </c>
      <c r="C93" t="s">
        <v>26</v>
      </c>
      <c r="D93" t="s">
        <v>17</v>
      </c>
      <c r="E93" t="s">
        <v>18</v>
      </c>
      <c r="F93" t="s">
        <v>21</v>
      </c>
      <c r="G93" t="s">
        <v>26</v>
      </c>
      <c r="H93">
        <v>1</v>
      </c>
      <c r="I93" t="s">
        <v>17</v>
      </c>
      <c r="J93" t="s">
        <v>19</v>
      </c>
      <c r="O93" t="s">
        <v>174</v>
      </c>
    </row>
    <row r="94" spans="1:15" x14ac:dyDescent="0.25">
      <c r="A94" t="s">
        <v>21</v>
      </c>
      <c r="B94" t="s">
        <v>26</v>
      </c>
      <c r="C94" t="s">
        <v>26</v>
      </c>
      <c r="D94" t="s">
        <v>17</v>
      </c>
      <c r="E94" t="s">
        <v>18</v>
      </c>
      <c r="F94" t="s">
        <v>126</v>
      </c>
      <c r="G94" t="s">
        <v>190</v>
      </c>
      <c r="H94">
        <v>1</v>
      </c>
      <c r="I94" t="s">
        <v>17</v>
      </c>
      <c r="J94" t="s">
        <v>23</v>
      </c>
      <c r="O94" t="s">
        <v>191</v>
      </c>
    </row>
    <row r="95" spans="1:15" x14ac:dyDescent="0.25">
      <c r="A95" t="s">
        <v>21</v>
      </c>
      <c r="B95" t="s">
        <v>96</v>
      </c>
      <c r="C95" t="s">
        <v>96</v>
      </c>
      <c r="D95" t="s">
        <v>17</v>
      </c>
      <c r="E95" t="s">
        <v>18</v>
      </c>
      <c r="F95" t="s">
        <v>21</v>
      </c>
      <c r="G95" t="s">
        <v>96</v>
      </c>
      <c r="H95">
        <v>1</v>
      </c>
      <c r="I95" t="s">
        <v>17</v>
      </c>
      <c r="J95" t="s">
        <v>19</v>
      </c>
      <c r="O95" t="s">
        <v>174</v>
      </c>
    </row>
    <row r="96" spans="1:15" x14ac:dyDescent="0.25">
      <c r="A96" t="s">
        <v>21</v>
      </c>
      <c r="B96" t="s">
        <v>96</v>
      </c>
      <c r="C96" t="s">
        <v>96</v>
      </c>
      <c r="D96" t="s">
        <v>17</v>
      </c>
      <c r="E96" t="s">
        <v>18</v>
      </c>
      <c r="F96" t="s">
        <v>126</v>
      </c>
      <c r="G96" t="s">
        <v>190</v>
      </c>
      <c r="H96">
        <v>1</v>
      </c>
      <c r="I96" t="s">
        <v>17</v>
      </c>
      <c r="J96" t="s">
        <v>23</v>
      </c>
      <c r="O96" t="s">
        <v>191</v>
      </c>
    </row>
    <row r="97" spans="1:15" x14ac:dyDescent="0.25">
      <c r="A97" t="s">
        <v>21</v>
      </c>
      <c r="B97" t="s">
        <v>192</v>
      </c>
      <c r="C97" t="s">
        <v>192</v>
      </c>
      <c r="D97" t="s">
        <v>17</v>
      </c>
      <c r="E97" t="s">
        <v>18</v>
      </c>
      <c r="F97" t="s">
        <v>21</v>
      </c>
      <c r="G97" t="s">
        <v>192</v>
      </c>
      <c r="H97">
        <v>1</v>
      </c>
      <c r="I97" t="s">
        <v>17</v>
      </c>
      <c r="J97" t="s">
        <v>19</v>
      </c>
      <c r="O97" s="7" t="s">
        <v>174</v>
      </c>
    </row>
    <row r="98" spans="1:15" x14ac:dyDescent="0.25">
      <c r="A98" t="s">
        <v>21</v>
      </c>
      <c r="B98" t="s">
        <v>192</v>
      </c>
      <c r="C98" t="s">
        <v>192</v>
      </c>
      <c r="D98" t="s">
        <v>17</v>
      </c>
      <c r="E98" t="s">
        <v>18</v>
      </c>
      <c r="F98" t="s">
        <v>126</v>
      </c>
      <c r="G98" t="s">
        <v>193</v>
      </c>
      <c r="H98">
        <v>1</v>
      </c>
      <c r="I98" t="s">
        <v>17</v>
      </c>
      <c r="J98" t="s">
        <v>23</v>
      </c>
      <c r="O98" s="8" t="s">
        <v>194</v>
      </c>
    </row>
    <row r="99" spans="1:15" x14ac:dyDescent="0.25">
      <c r="A99" t="s">
        <v>21</v>
      </c>
      <c r="B99" t="s">
        <v>37</v>
      </c>
      <c r="C99" t="s">
        <v>37</v>
      </c>
      <c r="D99" t="s">
        <v>17</v>
      </c>
      <c r="E99" t="s">
        <v>18</v>
      </c>
      <c r="F99" t="s">
        <v>21</v>
      </c>
      <c r="G99" t="s">
        <v>37</v>
      </c>
      <c r="H99">
        <v>1</v>
      </c>
      <c r="I99" t="s">
        <v>17</v>
      </c>
      <c r="J99" t="s">
        <v>19</v>
      </c>
      <c r="O99" t="s">
        <v>174</v>
      </c>
    </row>
    <row r="100" spans="1:15" x14ac:dyDescent="0.25">
      <c r="A100" t="s">
        <v>21</v>
      </c>
      <c r="B100" t="s">
        <v>37</v>
      </c>
      <c r="C100" t="s">
        <v>37</v>
      </c>
      <c r="D100" t="s">
        <v>17</v>
      </c>
      <c r="E100" t="s">
        <v>18</v>
      </c>
      <c r="F100" t="s">
        <v>126</v>
      </c>
      <c r="G100" t="s">
        <v>195</v>
      </c>
      <c r="H100">
        <f>-1/997</f>
        <v>-1.0030090270812437E-3</v>
      </c>
      <c r="I100" t="s">
        <v>47</v>
      </c>
      <c r="J100" t="s">
        <v>23</v>
      </c>
      <c r="O100" s="2" t="s">
        <v>196</v>
      </c>
    </row>
    <row r="101" spans="1:15" s="3" customFormat="1" x14ac:dyDescent="0.25">
      <c r="A101" s="3" t="s">
        <v>21</v>
      </c>
      <c r="B101" s="3" t="s">
        <v>57</v>
      </c>
      <c r="C101" s="3" t="s">
        <v>57</v>
      </c>
      <c r="D101" s="3" t="s">
        <v>17</v>
      </c>
      <c r="E101" s="3" t="s">
        <v>18</v>
      </c>
      <c r="F101" s="3" t="s">
        <v>21</v>
      </c>
      <c r="G101" s="3" t="s">
        <v>57</v>
      </c>
      <c r="H101" s="3">
        <v>1</v>
      </c>
      <c r="I101" s="3" t="s">
        <v>17</v>
      </c>
      <c r="J101" s="3" t="s">
        <v>19</v>
      </c>
      <c r="O101" s="3" t="s">
        <v>174</v>
      </c>
    </row>
    <row r="102" spans="1:15" s="3" customFormat="1" x14ac:dyDescent="0.25">
      <c r="A102" s="3" t="s">
        <v>21</v>
      </c>
      <c r="B102" s="3" t="s">
        <v>57</v>
      </c>
      <c r="C102" s="3" t="s">
        <v>57</v>
      </c>
      <c r="D102" s="3" t="s">
        <v>17</v>
      </c>
      <c r="E102" s="3" t="s">
        <v>18</v>
      </c>
      <c r="F102" s="3" t="s">
        <v>126</v>
      </c>
      <c r="G102" s="3" t="s">
        <v>195</v>
      </c>
      <c r="H102" s="3">
        <f>1/997</f>
        <v>1.0030090270812437E-3</v>
      </c>
      <c r="I102" s="3" t="s">
        <v>47</v>
      </c>
      <c r="J102" s="3" t="s">
        <v>23</v>
      </c>
      <c r="N102"/>
      <c r="O102" s="4" t="s">
        <v>196</v>
      </c>
    </row>
    <row r="103" spans="1:15" s="3" customFormat="1" x14ac:dyDescent="0.25">
      <c r="A103" s="3" t="s">
        <v>21</v>
      </c>
      <c r="B103" s="3" t="s">
        <v>88</v>
      </c>
      <c r="C103" s="3" t="s">
        <v>88</v>
      </c>
      <c r="D103" s="3" t="s">
        <v>17</v>
      </c>
      <c r="E103" s="3" t="s">
        <v>18</v>
      </c>
      <c r="F103" s="3" t="s">
        <v>21</v>
      </c>
      <c r="G103" s="3" t="s">
        <v>88</v>
      </c>
      <c r="H103" s="3">
        <v>1</v>
      </c>
      <c r="I103" s="3" t="s">
        <v>17</v>
      </c>
      <c r="J103" s="3" t="s">
        <v>19</v>
      </c>
      <c r="O103" s="3" t="s">
        <v>174</v>
      </c>
    </row>
    <row r="104" spans="1:15" s="3" customFormat="1" x14ac:dyDescent="0.25">
      <c r="A104" s="3" t="s">
        <v>21</v>
      </c>
      <c r="B104" s="3" t="s">
        <v>52</v>
      </c>
      <c r="C104" s="3" t="s">
        <v>52</v>
      </c>
      <c r="D104" s="3" t="s">
        <v>17</v>
      </c>
      <c r="E104" s="3" t="s">
        <v>18</v>
      </c>
      <c r="F104" s="3" t="s">
        <v>21</v>
      </c>
      <c r="G104" s="3" t="s">
        <v>52</v>
      </c>
      <c r="H104" s="3">
        <v>1</v>
      </c>
      <c r="I104" s="3" t="s">
        <v>17</v>
      </c>
      <c r="J104" s="3" t="s">
        <v>19</v>
      </c>
      <c r="O104" s="3" t="s">
        <v>174</v>
      </c>
    </row>
    <row r="105" spans="1:15" s="3" customFormat="1" x14ac:dyDescent="0.25">
      <c r="A105" s="3" t="s">
        <v>21</v>
      </c>
      <c r="B105" s="3" t="s">
        <v>56</v>
      </c>
      <c r="C105" s="3" t="s">
        <v>56</v>
      </c>
      <c r="D105" s="3" t="s">
        <v>17</v>
      </c>
      <c r="E105" s="3" t="s">
        <v>18</v>
      </c>
      <c r="F105" s="3" t="s">
        <v>21</v>
      </c>
      <c r="G105" s="3" t="s">
        <v>56</v>
      </c>
      <c r="H105" s="3">
        <v>1</v>
      </c>
      <c r="I105" s="3" t="s">
        <v>17</v>
      </c>
      <c r="J105" s="3" t="s">
        <v>19</v>
      </c>
      <c r="O105" s="3" t="s">
        <v>174</v>
      </c>
    </row>
    <row r="106" spans="1:15" s="3" customFormat="1" x14ac:dyDescent="0.25">
      <c r="A106" s="3" t="s">
        <v>21</v>
      </c>
      <c r="B106" s="3" t="s">
        <v>24</v>
      </c>
      <c r="C106" s="3" t="s">
        <v>24</v>
      </c>
      <c r="D106" s="3" t="s">
        <v>17</v>
      </c>
      <c r="E106" s="3" t="s">
        <v>18</v>
      </c>
      <c r="F106" s="3" t="s">
        <v>21</v>
      </c>
      <c r="G106" s="3" t="s">
        <v>24</v>
      </c>
      <c r="H106" s="3">
        <v>1</v>
      </c>
      <c r="I106" s="3" t="s">
        <v>17</v>
      </c>
      <c r="J106" s="3" t="s">
        <v>19</v>
      </c>
      <c r="O106" s="3" t="s">
        <v>125</v>
      </c>
    </row>
    <row r="107" spans="1:15" x14ac:dyDescent="0.25">
      <c r="A107" s="3" t="s">
        <v>21</v>
      </c>
      <c r="B107" s="3" t="s">
        <v>42</v>
      </c>
      <c r="C107" s="3" t="s">
        <v>42</v>
      </c>
      <c r="D107" s="3" t="s">
        <v>17</v>
      </c>
      <c r="E107" s="3" t="s">
        <v>18</v>
      </c>
      <c r="F107" s="3" t="s">
        <v>21</v>
      </c>
      <c r="G107" s="3" t="s">
        <v>42</v>
      </c>
      <c r="H107" s="3">
        <v>1</v>
      </c>
      <c r="I107" s="3" t="s">
        <v>17</v>
      </c>
      <c r="J107" s="3" t="s">
        <v>19</v>
      </c>
      <c r="O107" s="3" t="s">
        <v>125</v>
      </c>
    </row>
    <row r="108" spans="1:15" x14ac:dyDescent="0.25">
      <c r="A108" s="3" t="s">
        <v>21</v>
      </c>
      <c r="B108" s="3" t="s">
        <v>41</v>
      </c>
      <c r="C108" s="3" t="s">
        <v>41</v>
      </c>
      <c r="D108" s="3" t="s">
        <v>17</v>
      </c>
      <c r="E108" s="3" t="s">
        <v>18</v>
      </c>
      <c r="F108" s="3" t="s">
        <v>21</v>
      </c>
      <c r="G108" s="3" t="s">
        <v>41</v>
      </c>
      <c r="H108" s="3">
        <v>1</v>
      </c>
      <c r="I108" s="3" t="s">
        <v>17</v>
      </c>
      <c r="J108" s="3" t="s">
        <v>19</v>
      </c>
      <c r="O108" s="3" t="s">
        <v>125</v>
      </c>
    </row>
    <row r="109" spans="1:15" x14ac:dyDescent="0.25">
      <c r="A109" t="s">
        <v>21</v>
      </c>
      <c r="B109" t="s">
        <v>55</v>
      </c>
      <c r="C109" t="s">
        <v>55</v>
      </c>
      <c r="D109" t="s">
        <v>17</v>
      </c>
      <c r="E109" t="s">
        <v>18</v>
      </c>
      <c r="F109" t="s">
        <v>21</v>
      </c>
      <c r="G109" t="s">
        <v>55</v>
      </c>
      <c r="H109">
        <v>1</v>
      </c>
      <c r="I109" t="s">
        <v>17</v>
      </c>
      <c r="J109" t="s">
        <v>19</v>
      </c>
      <c r="O109" t="s">
        <v>197</v>
      </c>
    </row>
    <row r="110" spans="1:15" x14ac:dyDescent="0.25">
      <c r="A110" t="s">
        <v>21</v>
      </c>
      <c r="B110" t="s">
        <v>55</v>
      </c>
      <c r="C110" t="s">
        <v>55</v>
      </c>
      <c r="D110" t="s">
        <v>17</v>
      </c>
      <c r="E110" t="s">
        <v>18</v>
      </c>
      <c r="F110" t="s">
        <v>21</v>
      </c>
      <c r="G110" t="s">
        <v>98</v>
      </c>
      <c r="H110">
        <v>-1</v>
      </c>
      <c r="I110" t="s">
        <v>17</v>
      </c>
      <c r="J110" t="s">
        <v>23</v>
      </c>
      <c r="O110" t="s">
        <v>198</v>
      </c>
    </row>
    <row r="111" spans="1:15" x14ac:dyDescent="0.25">
      <c r="A111" t="s">
        <v>21</v>
      </c>
      <c r="B111" t="s">
        <v>22</v>
      </c>
      <c r="C111" t="s">
        <v>22</v>
      </c>
      <c r="D111" t="s">
        <v>17</v>
      </c>
      <c r="E111" t="s">
        <v>18</v>
      </c>
      <c r="F111" t="s">
        <v>21</v>
      </c>
      <c r="G111" t="s">
        <v>22</v>
      </c>
      <c r="H111">
        <v>1</v>
      </c>
      <c r="I111" t="s">
        <v>17</v>
      </c>
      <c r="J111" t="s">
        <v>19</v>
      </c>
      <c r="O111" t="s">
        <v>199</v>
      </c>
    </row>
    <row r="112" spans="1:15" x14ac:dyDescent="0.25">
      <c r="A112" s="3" t="s">
        <v>21</v>
      </c>
      <c r="B112" s="3" t="s">
        <v>22</v>
      </c>
      <c r="C112" s="3" t="s">
        <v>22</v>
      </c>
      <c r="D112" s="3" t="s">
        <v>17</v>
      </c>
      <c r="E112" s="3" t="s">
        <v>18</v>
      </c>
      <c r="F112" s="3" t="s">
        <v>21</v>
      </c>
      <c r="G112" s="3" t="s">
        <v>200</v>
      </c>
      <c r="H112" s="3">
        <v>0.48</v>
      </c>
      <c r="I112" s="3" t="s">
        <v>17</v>
      </c>
      <c r="J112" t="s">
        <v>23</v>
      </c>
      <c r="O112" s="3" t="s">
        <v>201</v>
      </c>
    </row>
    <row r="113" spans="1:15" x14ac:dyDescent="0.25">
      <c r="A113" s="3" t="s">
        <v>21</v>
      </c>
      <c r="B113" s="3" t="s">
        <v>22</v>
      </c>
      <c r="C113" s="3" t="s">
        <v>22</v>
      </c>
      <c r="D113" s="3" t="s">
        <v>17</v>
      </c>
      <c r="E113" s="3" t="s">
        <v>18</v>
      </c>
      <c r="F113" s="3" t="s">
        <v>21</v>
      </c>
      <c r="G113" s="3" t="s">
        <v>202</v>
      </c>
      <c r="H113" s="3">
        <v>0.26400000000000001</v>
      </c>
      <c r="I113" s="3" t="s">
        <v>17</v>
      </c>
      <c r="J113" t="s">
        <v>23</v>
      </c>
      <c r="O113" s="3" t="s">
        <v>203</v>
      </c>
    </row>
    <row r="114" spans="1:15" x14ac:dyDescent="0.25">
      <c r="A114" s="3" t="s">
        <v>21</v>
      </c>
      <c r="B114" s="3" t="s">
        <v>22</v>
      </c>
      <c r="C114" s="3" t="s">
        <v>22</v>
      </c>
      <c r="D114" s="3" t="s">
        <v>17</v>
      </c>
      <c r="E114" s="3" t="s">
        <v>18</v>
      </c>
      <c r="F114" s="3" t="s">
        <v>21</v>
      </c>
      <c r="G114" s="3" t="s">
        <v>204</v>
      </c>
      <c r="H114" s="3">
        <v>0.184</v>
      </c>
      <c r="I114" s="3" t="s">
        <v>17</v>
      </c>
      <c r="J114" t="s">
        <v>23</v>
      </c>
      <c r="O114" s="3" t="s">
        <v>205</v>
      </c>
    </row>
    <row r="115" spans="1:15" x14ac:dyDescent="0.25">
      <c r="A115" s="3" t="s">
        <v>21</v>
      </c>
      <c r="B115" s="3" t="s">
        <v>22</v>
      </c>
      <c r="C115" s="3" t="s">
        <v>22</v>
      </c>
      <c r="D115" s="3" t="s">
        <v>17</v>
      </c>
      <c r="E115" s="3" t="s">
        <v>18</v>
      </c>
      <c r="F115" s="3" t="s">
        <v>21</v>
      </c>
      <c r="G115" s="3" t="s">
        <v>206</v>
      </c>
      <c r="H115" s="3">
        <v>7.1999999999999995E-2</v>
      </c>
      <c r="I115" s="3" t="s">
        <v>17</v>
      </c>
      <c r="J115" t="s">
        <v>23</v>
      </c>
      <c r="O115" s="3" t="s">
        <v>207</v>
      </c>
    </row>
    <row r="116" spans="1:15" x14ac:dyDescent="0.25">
      <c r="A116" s="3" t="s">
        <v>21</v>
      </c>
      <c r="B116" s="3" t="s">
        <v>200</v>
      </c>
      <c r="C116" s="3" t="s">
        <v>200</v>
      </c>
      <c r="D116" s="3" t="s">
        <v>17</v>
      </c>
      <c r="E116" s="3" t="s">
        <v>18</v>
      </c>
      <c r="F116" s="3" t="s">
        <v>21</v>
      </c>
      <c r="G116" s="3" t="s">
        <v>200</v>
      </c>
      <c r="H116" s="3">
        <v>1</v>
      </c>
      <c r="I116" s="3" t="s">
        <v>17</v>
      </c>
      <c r="J116" t="s">
        <v>19</v>
      </c>
      <c r="O116" s="3" t="s">
        <v>201</v>
      </c>
    </row>
    <row r="117" spans="1:15" x14ac:dyDescent="0.25">
      <c r="A117" s="3" t="s">
        <v>21</v>
      </c>
      <c r="B117" s="3" t="s">
        <v>200</v>
      </c>
      <c r="C117" s="3" t="s">
        <v>200</v>
      </c>
      <c r="D117" s="3" t="s">
        <v>17</v>
      </c>
      <c r="E117" s="3" t="s">
        <v>18</v>
      </c>
      <c r="F117" s="3" t="s">
        <v>21</v>
      </c>
      <c r="G117" s="3" t="s">
        <v>208</v>
      </c>
      <c r="H117" s="3">
        <v>7.1599999999999997E-3</v>
      </c>
      <c r="I117" s="3" t="s">
        <v>47</v>
      </c>
      <c r="J117" t="s">
        <v>23</v>
      </c>
      <c r="O117" t="s">
        <v>209</v>
      </c>
    </row>
    <row r="118" spans="1:15" x14ac:dyDescent="0.25">
      <c r="A118" s="3" t="s">
        <v>21</v>
      </c>
      <c r="B118" s="3" t="s">
        <v>200</v>
      </c>
      <c r="C118" s="3" t="s">
        <v>200</v>
      </c>
      <c r="D118" s="3" t="s">
        <v>17</v>
      </c>
      <c r="E118" s="3" t="s">
        <v>18</v>
      </c>
      <c r="F118" s="3" t="s">
        <v>21</v>
      </c>
      <c r="G118" s="3" t="s">
        <v>29</v>
      </c>
      <c r="H118" s="3">
        <v>0.10886</v>
      </c>
      <c r="I118" s="3" t="s">
        <v>30</v>
      </c>
      <c r="J118" t="s">
        <v>23</v>
      </c>
      <c r="O118" s="3" t="s">
        <v>29</v>
      </c>
    </row>
    <row r="119" spans="1:15" x14ac:dyDescent="0.25">
      <c r="A119" s="3" t="s">
        <v>21</v>
      </c>
      <c r="B119" s="3" t="s">
        <v>200</v>
      </c>
      <c r="C119" s="3" t="s">
        <v>200</v>
      </c>
      <c r="D119" s="3" t="s">
        <v>17</v>
      </c>
      <c r="E119" s="3" t="s">
        <v>18</v>
      </c>
      <c r="F119" s="3" t="s">
        <v>21</v>
      </c>
      <c r="G119" s="3" t="s">
        <v>33</v>
      </c>
      <c r="H119" s="3">
        <v>0.46400000000000002</v>
      </c>
      <c r="I119" s="3" t="s">
        <v>34</v>
      </c>
      <c r="J119" t="s">
        <v>23</v>
      </c>
      <c r="O119" s="3" t="s">
        <v>33</v>
      </c>
    </row>
    <row r="120" spans="1:15" x14ac:dyDescent="0.25">
      <c r="A120" s="3" t="s">
        <v>21</v>
      </c>
      <c r="B120" s="3" t="s">
        <v>200</v>
      </c>
      <c r="C120" s="3" t="s">
        <v>200</v>
      </c>
      <c r="D120" s="3" t="s">
        <v>17</v>
      </c>
      <c r="E120" s="3" t="s">
        <v>18</v>
      </c>
      <c r="F120" s="3" t="s">
        <v>21</v>
      </c>
      <c r="G120" s="3" t="s">
        <v>210</v>
      </c>
      <c r="H120" s="3">
        <v>8.1200000000000005E-3</v>
      </c>
      <c r="I120" s="3" t="s">
        <v>47</v>
      </c>
      <c r="J120" t="s">
        <v>23</v>
      </c>
      <c r="O120" s="8" t="s">
        <v>211</v>
      </c>
    </row>
    <row r="121" spans="1:15" x14ac:dyDescent="0.25">
      <c r="A121" s="3" t="s">
        <v>21</v>
      </c>
      <c r="B121" s="3" t="s">
        <v>200</v>
      </c>
      <c r="C121" s="3" t="s">
        <v>200</v>
      </c>
      <c r="D121" s="3" t="s">
        <v>17</v>
      </c>
      <c r="E121" s="3" t="s">
        <v>18</v>
      </c>
      <c r="F121" s="3" t="s">
        <v>21</v>
      </c>
      <c r="G121" s="3" t="s">
        <v>79</v>
      </c>
      <c r="H121" s="3">
        <v>0.11527999999999999</v>
      </c>
      <c r="I121" s="3" t="s">
        <v>17</v>
      </c>
      <c r="J121" t="s">
        <v>23</v>
      </c>
      <c r="O121" t="s">
        <v>212</v>
      </c>
    </row>
    <row r="122" spans="1:15" x14ac:dyDescent="0.25">
      <c r="A122" s="3" t="s">
        <v>21</v>
      </c>
      <c r="B122" s="3" t="s">
        <v>200</v>
      </c>
      <c r="C122" s="3" t="s">
        <v>200</v>
      </c>
      <c r="D122" s="3" t="s">
        <v>17</v>
      </c>
      <c r="E122" s="3" t="s">
        <v>18</v>
      </c>
      <c r="F122" s="3" t="s">
        <v>21</v>
      </c>
      <c r="G122" s="3" t="s">
        <v>213</v>
      </c>
      <c r="H122" s="3">
        <v>2.0000000000000002E-5</v>
      </c>
      <c r="I122" s="3" t="s">
        <v>17</v>
      </c>
      <c r="J122" t="s">
        <v>23</v>
      </c>
      <c r="O122" t="s">
        <v>214</v>
      </c>
    </row>
    <row r="123" spans="1:15" x14ac:dyDescent="0.25">
      <c r="A123" s="3" t="s">
        <v>21</v>
      </c>
      <c r="B123" s="3" t="s">
        <v>200</v>
      </c>
      <c r="C123" s="3" t="s">
        <v>200</v>
      </c>
      <c r="D123" s="3" t="s">
        <v>17</v>
      </c>
      <c r="E123" s="3" t="s">
        <v>18</v>
      </c>
      <c r="F123" s="3" t="s">
        <v>21</v>
      </c>
      <c r="G123" s="3" t="s">
        <v>192</v>
      </c>
      <c r="H123" s="3">
        <v>0.62122999999999995</v>
      </c>
      <c r="I123" s="3" t="s">
        <v>17</v>
      </c>
      <c r="J123" t="s">
        <v>23</v>
      </c>
      <c r="O123" t="s">
        <v>192</v>
      </c>
    </row>
    <row r="124" spans="1:15" x14ac:dyDescent="0.25">
      <c r="A124" s="3" t="s">
        <v>21</v>
      </c>
      <c r="B124" s="3" t="s">
        <v>200</v>
      </c>
      <c r="C124" s="3" t="s">
        <v>200</v>
      </c>
      <c r="D124" s="3" t="s">
        <v>17</v>
      </c>
      <c r="E124" s="3" t="s">
        <v>18</v>
      </c>
      <c r="F124" s="3" t="s">
        <v>21</v>
      </c>
      <c r="G124" s="3" t="s">
        <v>98</v>
      </c>
      <c r="H124" s="3">
        <v>-1</v>
      </c>
      <c r="I124" s="3" t="s">
        <v>17</v>
      </c>
      <c r="J124" t="s">
        <v>23</v>
      </c>
      <c r="O124" s="8" t="s">
        <v>215</v>
      </c>
    </row>
    <row r="125" spans="1:15" x14ac:dyDescent="0.25">
      <c r="A125" s="3" t="s">
        <v>21</v>
      </c>
      <c r="B125" s="3" t="s">
        <v>98</v>
      </c>
      <c r="C125" s="3" t="s">
        <v>98</v>
      </c>
      <c r="D125" s="3" t="s">
        <v>17</v>
      </c>
      <c r="E125" s="3" t="s">
        <v>18</v>
      </c>
      <c r="F125" s="3" t="s">
        <v>21</v>
      </c>
      <c r="G125" s="3" t="s">
        <v>98</v>
      </c>
      <c r="H125" s="3">
        <v>1</v>
      </c>
      <c r="I125" s="3" t="s">
        <v>17</v>
      </c>
      <c r="J125" t="s">
        <v>19</v>
      </c>
      <c r="O125" t="s">
        <v>125</v>
      </c>
    </row>
    <row r="126" spans="1:15" x14ac:dyDescent="0.25">
      <c r="A126" s="3" t="s">
        <v>21</v>
      </c>
      <c r="B126" s="3" t="s">
        <v>98</v>
      </c>
      <c r="C126" s="3" t="s">
        <v>98</v>
      </c>
      <c r="D126" s="3" t="s">
        <v>17</v>
      </c>
      <c r="E126" s="3" t="s">
        <v>18</v>
      </c>
      <c r="F126" s="3" t="s">
        <v>160</v>
      </c>
      <c r="G126" s="3" t="s">
        <v>216</v>
      </c>
      <c r="H126" s="3">
        <v>1</v>
      </c>
      <c r="I126" s="3" t="s">
        <v>17</v>
      </c>
      <c r="J126" t="s">
        <v>162</v>
      </c>
      <c r="O126" s="8" t="s">
        <v>215</v>
      </c>
    </row>
    <row r="127" spans="1:15" x14ac:dyDescent="0.25">
      <c r="A127" t="s">
        <v>21</v>
      </c>
      <c r="B127" t="s">
        <v>208</v>
      </c>
      <c r="C127" t="s">
        <v>208</v>
      </c>
      <c r="D127" t="s">
        <v>47</v>
      </c>
      <c r="E127" t="s">
        <v>18</v>
      </c>
      <c r="F127" t="s">
        <v>21</v>
      </c>
      <c r="G127" t="s">
        <v>208</v>
      </c>
      <c r="H127">
        <v>1</v>
      </c>
      <c r="I127" t="s">
        <v>47</v>
      </c>
      <c r="J127" t="s">
        <v>19</v>
      </c>
      <c r="O127" t="s">
        <v>125</v>
      </c>
    </row>
    <row r="128" spans="1:15" x14ac:dyDescent="0.25">
      <c r="A128" t="s">
        <v>21</v>
      </c>
      <c r="B128" t="s">
        <v>208</v>
      </c>
      <c r="C128" t="s">
        <v>208</v>
      </c>
      <c r="D128" t="s">
        <v>47</v>
      </c>
      <c r="E128" t="s">
        <v>18</v>
      </c>
      <c r="F128" t="s">
        <v>126</v>
      </c>
      <c r="G128" t="s">
        <v>217</v>
      </c>
      <c r="H128">
        <v>1</v>
      </c>
      <c r="I128" t="s">
        <v>47</v>
      </c>
      <c r="J128" t="s">
        <v>23</v>
      </c>
      <c r="O128" s="8" t="s">
        <v>218</v>
      </c>
    </row>
    <row r="129" spans="1:15" x14ac:dyDescent="0.25">
      <c r="A129" t="s">
        <v>21</v>
      </c>
      <c r="B129" t="s">
        <v>210</v>
      </c>
      <c r="C129" t="s">
        <v>210</v>
      </c>
      <c r="D129" t="s">
        <v>47</v>
      </c>
      <c r="E129" t="s">
        <v>18</v>
      </c>
      <c r="F129" t="s">
        <v>21</v>
      </c>
      <c r="G129" t="s">
        <v>210</v>
      </c>
      <c r="H129">
        <v>1</v>
      </c>
      <c r="I129" t="s">
        <v>47</v>
      </c>
      <c r="J129" t="s">
        <v>19</v>
      </c>
      <c r="O129" t="s">
        <v>125</v>
      </c>
    </row>
    <row r="130" spans="1:15" x14ac:dyDescent="0.25">
      <c r="A130" t="s">
        <v>21</v>
      </c>
      <c r="B130" t="s">
        <v>210</v>
      </c>
      <c r="C130" t="s">
        <v>210</v>
      </c>
      <c r="D130" t="s">
        <v>47</v>
      </c>
      <c r="E130" t="s">
        <v>18</v>
      </c>
      <c r="F130" t="s">
        <v>126</v>
      </c>
      <c r="G130" t="s">
        <v>219</v>
      </c>
      <c r="H130">
        <v>1</v>
      </c>
      <c r="I130" t="s">
        <v>47</v>
      </c>
      <c r="J130" t="s">
        <v>23</v>
      </c>
      <c r="O130" s="8" t="s">
        <v>211</v>
      </c>
    </row>
    <row r="131" spans="1:15" x14ac:dyDescent="0.25">
      <c r="A131" t="s">
        <v>21</v>
      </c>
      <c r="B131" t="s">
        <v>79</v>
      </c>
      <c r="C131" t="s">
        <v>79</v>
      </c>
      <c r="D131" t="s">
        <v>17</v>
      </c>
      <c r="E131" t="s">
        <v>18</v>
      </c>
      <c r="F131" t="s">
        <v>21</v>
      </c>
      <c r="G131" t="s">
        <v>79</v>
      </c>
      <c r="H131">
        <v>1</v>
      </c>
      <c r="I131" t="s">
        <v>17</v>
      </c>
      <c r="J131" t="s">
        <v>19</v>
      </c>
      <c r="O131" t="s">
        <v>125</v>
      </c>
    </row>
    <row r="132" spans="1:15" x14ac:dyDescent="0.25">
      <c r="A132" t="s">
        <v>21</v>
      </c>
      <c r="B132" t="s">
        <v>79</v>
      </c>
      <c r="C132" t="s">
        <v>79</v>
      </c>
      <c r="D132" t="s">
        <v>17</v>
      </c>
      <c r="E132" t="s">
        <v>18</v>
      </c>
      <c r="F132" t="s">
        <v>126</v>
      </c>
      <c r="G132" t="s">
        <v>170</v>
      </c>
      <c r="H132">
        <v>1</v>
      </c>
      <c r="I132" t="s">
        <v>17</v>
      </c>
      <c r="J132" t="s">
        <v>23</v>
      </c>
      <c r="O132" s="8" t="s">
        <v>171</v>
      </c>
    </row>
    <row r="133" spans="1:15" x14ac:dyDescent="0.25">
      <c r="A133" t="s">
        <v>21</v>
      </c>
      <c r="B133" t="s">
        <v>213</v>
      </c>
      <c r="C133" t="s">
        <v>213</v>
      </c>
      <c r="D133" t="s">
        <v>17</v>
      </c>
      <c r="E133" t="s">
        <v>18</v>
      </c>
      <c r="F133" t="s">
        <v>21</v>
      </c>
      <c r="G133" t="s">
        <v>213</v>
      </c>
      <c r="H133">
        <v>1</v>
      </c>
      <c r="I133" t="s">
        <v>17</v>
      </c>
      <c r="J133" t="s">
        <v>19</v>
      </c>
      <c r="O133" t="s">
        <v>125</v>
      </c>
    </row>
    <row r="134" spans="1:15" x14ac:dyDescent="0.25">
      <c r="A134" t="s">
        <v>21</v>
      </c>
      <c r="B134" t="s">
        <v>213</v>
      </c>
      <c r="C134" t="s">
        <v>213</v>
      </c>
      <c r="D134" t="s">
        <v>17</v>
      </c>
      <c r="E134" t="s">
        <v>18</v>
      </c>
      <c r="F134" t="s">
        <v>126</v>
      </c>
      <c r="G134" t="s">
        <v>220</v>
      </c>
      <c r="H134">
        <v>1</v>
      </c>
      <c r="I134" t="s">
        <v>17</v>
      </c>
      <c r="J134" t="s">
        <v>23</v>
      </c>
      <c r="O134" s="8" t="s">
        <v>221</v>
      </c>
    </row>
    <row r="135" spans="1:15" x14ac:dyDescent="0.25">
      <c r="A135" t="s">
        <v>21</v>
      </c>
      <c r="B135" s="3" t="s">
        <v>202</v>
      </c>
      <c r="C135" s="3" t="s">
        <v>202</v>
      </c>
      <c r="D135" t="s">
        <v>17</v>
      </c>
      <c r="E135" t="s">
        <v>18</v>
      </c>
      <c r="F135" t="s">
        <v>21</v>
      </c>
      <c r="G135" s="3" t="s">
        <v>202</v>
      </c>
      <c r="H135">
        <v>1</v>
      </c>
      <c r="I135" t="s">
        <v>17</v>
      </c>
      <c r="J135" t="s">
        <v>19</v>
      </c>
      <c r="O135" s="3" t="s">
        <v>203</v>
      </c>
    </row>
    <row r="136" spans="1:15" x14ac:dyDescent="0.25">
      <c r="A136" t="s">
        <v>21</v>
      </c>
      <c r="B136" s="3" t="s">
        <v>202</v>
      </c>
      <c r="C136" s="3" t="s">
        <v>202</v>
      </c>
      <c r="D136" t="s">
        <v>17</v>
      </c>
      <c r="E136" t="s">
        <v>18</v>
      </c>
      <c r="F136" t="s">
        <v>21</v>
      </c>
      <c r="G136" t="s">
        <v>29</v>
      </c>
      <c r="H136">
        <v>0.15</v>
      </c>
      <c r="I136" t="s">
        <v>30</v>
      </c>
      <c r="J136" t="s">
        <v>23</v>
      </c>
      <c r="O136" t="s">
        <v>29</v>
      </c>
    </row>
    <row r="137" spans="1:15" x14ac:dyDescent="0.25">
      <c r="A137" t="s">
        <v>21</v>
      </c>
      <c r="B137" s="3" t="s">
        <v>202</v>
      </c>
      <c r="C137" s="3" t="s">
        <v>202</v>
      </c>
      <c r="D137" t="s">
        <v>17</v>
      </c>
      <c r="E137" t="s">
        <v>18</v>
      </c>
      <c r="F137" t="s">
        <v>21</v>
      </c>
      <c r="G137" t="s">
        <v>33</v>
      </c>
      <c r="H137">
        <v>0.28999999999999998</v>
      </c>
      <c r="I137" t="s">
        <v>34</v>
      </c>
      <c r="J137" t="s">
        <v>23</v>
      </c>
      <c r="O137" t="s">
        <v>33</v>
      </c>
    </row>
    <row r="138" spans="1:15" x14ac:dyDescent="0.25">
      <c r="A138" t="s">
        <v>21</v>
      </c>
      <c r="B138" s="3" t="s">
        <v>202</v>
      </c>
      <c r="C138" s="3" t="s">
        <v>202</v>
      </c>
      <c r="D138" t="s">
        <v>17</v>
      </c>
      <c r="E138" t="s">
        <v>18</v>
      </c>
      <c r="F138" t="s">
        <v>21</v>
      </c>
      <c r="G138" s="3" t="s">
        <v>98</v>
      </c>
      <c r="H138">
        <v>-1</v>
      </c>
      <c r="I138" s="3" t="s">
        <v>17</v>
      </c>
      <c r="J138" t="s">
        <v>23</v>
      </c>
      <c r="O138" s="8" t="s">
        <v>215</v>
      </c>
    </row>
    <row r="139" spans="1:15" x14ac:dyDescent="0.25">
      <c r="A139" t="s">
        <v>21</v>
      </c>
      <c r="B139" t="s">
        <v>204</v>
      </c>
      <c r="C139" t="s">
        <v>204</v>
      </c>
      <c r="D139" t="s">
        <v>17</v>
      </c>
      <c r="E139" t="s">
        <v>18</v>
      </c>
      <c r="F139" t="s">
        <v>21</v>
      </c>
      <c r="G139" t="s">
        <v>204</v>
      </c>
      <c r="H139">
        <v>1</v>
      </c>
      <c r="I139" t="s">
        <v>17</v>
      </c>
      <c r="J139" t="s">
        <v>19</v>
      </c>
      <c r="O139" t="s">
        <v>205</v>
      </c>
    </row>
    <row r="140" spans="1:15" x14ac:dyDescent="0.25">
      <c r="A140" t="s">
        <v>21</v>
      </c>
      <c r="B140" t="s">
        <v>204</v>
      </c>
      <c r="C140" t="s">
        <v>204</v>
      </c>
      <c r="D140" t="s">
        <v>17</v>
      </c>
      <c r="E140" t="s">
        <v>18</v>
      </c>
      <c r="F140" t="s">
        <v>21</v>
      </c>
      <c r="G140" t="s">
        <v>208</v>
      </c>
      <c r="H140">
        <v>7.1599999999999997E-3</v>
      </c>
      <c r="I140" s="3" t="s">
        <v>47</v>
      </c>
      <c r="J140" t="s">
        <v>23</v>
      </c>
      <c r="O140" t="s">
        <v>209</v>
      </c>
    </row>
    <row r="141" spans="1:15" x14ac:dyDescent="0.25">
      <c r="A141" t="s">
        <v>21</v>
      </c>
      <c r="B141" t="s">
        <v>204</v>
      </c>
      <c r="C141" t="s">
        <v>204</v>
      </c>
      <c r="D141" t="s">
        <v>17</v>
      </c>
      <c r="E141" t="s">
        <v>18</v>
      </c>
      <c r="F141" t="s">
        <v>21</v>
      </c>
      <c r="G141" t="s">
        <v>29</v>
      </c>
      <c r="H141">
        <v>0.15826999999999999</v>
      </c>
      <c r="I141" t="s">
        <v>30</v>
      </c>
      <c r="J141" t="s">
        <v>23</v>
      </c>
      <c r="O141" t="s">
        <v>29</v>
      </c>
    </row>
    <row r="142" spans="1:15" x14ac:dyDescent="0.25">
      <c r="A142" t="s">
        <v>21</v>
      </c>
      <c r="B142" t="s">
        <v>204</v>
      </c>
      <c r="C142" t="s">
        <v>204</v>
      </c>
      <c r="D142" t="s">
        <v>17</v>
      </c>
      <c r="E142" t="s">
        <v>18</v>
      </c>
      <c r="F142" t="s">
        <v>21</v>
      </c>
      <c r="G142" t="s">
        <v>79</v>
      </c>
      <c r="H142">
        <v>0.23349</v>
      </c>
      <c r="I142" t="s">
        <v>34</v>
      </c>
      <c r="J142" t="s">
        <v>23</v>
      </c>
      <c r="O142" s="8" t="s">
        <v>171</v>
      </c>
    </row>
    <row r="143" spans="1:15" x14ac:dyDescent="0.25">
      <c r="A143" t="s">
        <v>21</v>
      </c>
      <c r="B143" t="s">
        <v>204</v>
      </c>
      <c r="C143" t="s">
        <v>204</v>
      </c>
      <c r="D143" t="s">
        <v>17</v>
      </c>
      <c r="E143" t="s">
        <v>18</v>
      </c>
      <c r="F143" t="s">
        <v>21</v>
      </c>
      <c r="G143" t="s">
        <v>222</v>
      </c>
      <c r="H143">
        <v>5.5500000000000002E-3</v>
      </c>
      <c r="I143" t="s">
        <v>17</v>
      </c>
      <c r="J143" t="s">
        <v>23</v>
      </c>
      <c r="O143" s="8" t="s">
        <v>223</v>
      </c>
    </row>
    <row r="144" spans="1:15" x14ac:dyDescent="0.25">
      <c r="A144" t="s">
        <v>21</v>
      </c>
      <c r="B144" t="s">
        <v>204</v>
      </c>
      <c r="C144" t="s">
        <v>204</v>
      </c>
      <c r="D144" t="s">
        <v>17</v>
      </c>
      <c r="E144" t="s">
        <v>18</v>
      </c>
      <c r="F144" t="s">
        <v>21</v>
      </c>
      <c r="G144" t="s">
        <v>210</v>
      </c>
      <c r="H144">
        <v>5.4400000000000004E-3</v>
      </c>
      <c r="I144" t="s">
        <v>47</v>
      </c>
      <c r="J144" t="s">
        <v>23</v>
      </c>
      <c r="O144" s="8" t="s">
        <v>211</v>
      </c>
    </row>
    <row r="145" spans="1:15" x14ac:dyDescent="0.25">
      <c r="A145" t="s">
        <v>21</v>
      </c>
      <c r="B145" t="s">
        <v>204</v>
      </c>
      <c r="C145" t="s">
        <v>204</v>
      </c>
      <c r="D145" t="s">
        <v>17</v>
      </c>
      <c r="E145" t="s">
        <v>18</v>
      </c>
      <c r="F145" t="s">
        <v>21</v>
      </c>
      <c r="G145" s="3" t="s">
        <v>79</v>
      </c>
      <c r="H145" s="3">
        <v>0.11527999999999999</v>
      </c>
      <c r="I145" s="3" t="s">
        <v>17</v>
      </c>
      <c r="J145" t="s">
        <v>23</v>
      </c>
      <c r="O145" t="s">
        <v>212</v>
      </c>
    </row>
    <row r="146" spans="1:15" x14ac:dyDescent="0.25">
      <c r="A146" t="s">
        <v>21</v>
      </c>
      <c r="B146" t="s">
        <v>204</v>
      </c>
      <c r="C146" t="s">
        <v>204</v>
      </c>
      <c r="D146" t="s">
        <v>17</v>
      </c>
      <c r="E146" t="s">
        <v>18</v>
      </c>
      <c r="F146" t="s">
        <v>21</v>
      </c>
      <c r="G146" s="3" t="s">
        <v>213</v>
      </c>
      <c r="H146" s="3">
        <v>2.0000000000000002E-5</v>
      </c>
      <c r="I146" s="3" t="s">
        <v>17</v>
      </c>
      <c r="J146" t="s">
        <v>23</v>
      </c>
      <c r="O146" t="s">
        <v>214</v>
      </c>
    </row>
    <row r="147" spans="1:15" x14ac:dyDescent="0.25">
      <c r="A147" t="s">
        <v>21</v>
      </c>
      <c r="B147" t="s">
        <v>204</v>
      </c>
      <c r="C147" t="s">
        <v>204</v>
      </c>
      <c r="D147" t="s">
        <v>17</v>
      </c>
      <c r="E147" t="s">
        <v>18</v>
      </c>
      <c r="F147" t="s">
        <v>21</v>
      </c>
      <c r="G147" s="3" t="s">
        <v>192</v>
      </c>
      <c r="H147" s="3">
        <v>0.62124999999999997</v>
      </c>
      <c r="I147" s="3" t="s">
        <v>17</v>
      </c>
      <c r="J147" t="s">
        <v>23</v>
      </c>
      <c r="O147" t="s">
        <v>192</v>
      </c>
    </row>
    <row r="148" spans="1:15" x14ac:dyDescent="0.25">
      <c r="A148" t="s">
        <v>21</v>
      </c>
      <c r="B148" t="s">
        <v>204</v>
      </c>
      <c r="C148" t="s">
        <v>204</v>
      </c>
      <c r="D148" t="s">
        <v>17</v>
      </c>
      <c r="E148" t="s">
        <v>18</v>
      </c>
      <c r="F148" t="s">
        <v>21</v>
      </c>
      <c r="G148" s="3" t="s">
        <v>98</v>
      </c>
      <c r="H148" s="3">
        <v>-1</v>
      </c>
      <c r="I148" s="3" t="s">
        <v>17</v>
      </c>
      <c r="J148" t="s">
        <v>23</v>
      </c>
      <c r="O148" s="8" t="s">
        <v>215</v>
      </c>
    </row>
    <row r="149" spans="1:15" x14ac:dyDescent="0.25">
      <c r="A149" t="s">
        <v>21</v>
      </c>
      <c r="B149" t="s">
        <v>222</v>
      </c>
      <c r="C149" t="s">
        <v>222</v>
      </c>
      <c r="D149" t="s">
        <v>17</v>
      </c>
      <c r="E149" t="s">
        <v>18</v>
      </c>
      <c r="F149" t="s">
        <v>21</v>
      </c>
      <c r="G149" t="s">
        <v>222</v>
      </c>
      <c r="H149">
        <v>1</v>
      </c>
      <c r="I149" t="s">
        <v>17</v>
      </c>
      <c r="J149" t="s">
        <v>19</v>
      </c>
      <c r="O149" t="s">
        <v>125</v>
      </c>
    </row>
    <row r="150" spans="1:15" x14ac:dyDescent="0.25">
      <c r="A150" t="s">
        <v>21</v>
      </c>
      <c r="B150" t="s">
        <v>222</v>
      </c>
      <c r="C150" t="s">
        <v>222</v>
      </c>
      <c r="D150" t="s">
        <v>17</v>
      </c>
      <c r="E150" t="s">
        <v>18</v>
      </c>
      <c r="F150" t="s">
        <v>126</v>
      </c>
      <c r="G150" t="s">
        <v>224</v>
      </c>
      <c r="H150">
        <v>1</v>
      </c>
      <c r="I150" t="s">
        <v>17</v>
      </c>
      <c r="J150" t="s">
        <v>23</v>
      </c>
      <c r="O150" s="8" t="s">
        <v>223</v>
      </c>
    </row>
    <row r="151" spans="1:15" x14ac:dyDescent="0.25">
      <c r="A151" s="3" t="s">
        <v>21</v>
      </c>
      <c r="B151" s="3" t="s">
        <v>206</v>
      </c>
      <c r="C151" s="3" t="s">
        <v>206</v>
      </c>
      <c r="D151" s="3" t="s">
        <v>17</v>
      </c>
      <c r="E151" s="3" t="s">
        <v>18</v>
      </c>
      <c r="F151" s="3" t="s">
        <v>21</v>
      </c>
      <c r="G151" s="3" t="s">
        <v>206</v>
      </c>
      <c r="H151" s="3">
        <v>1</v>
      </c>
      <c r="I151" s="3" t="s">
        <v>17</v>
      </c>
      <c r="J151" t="s">
        <v>19</v>
      </c>
      <c r="O151" s="3" t="s">
        <v>207</v>
      </c>
    </row>
    <row r="152" spans="1:15" x14ac:dyDescent="0.25">
      <c r="A152" s="3" t="s">
        <v>21</v>
      </c>
      <c r="B152" s="3" t="s">
        <v>206</v>
      </c>
      <c r="C152" s="3" t="s">
        <v>206</v>
      </c>
      <c r="D152" s="3" t="s">
        <v>17</v>
      </c>
      <c r="E152" s="3" t="s">
        <v>18</v>
      </c>
      <c r="F152" s="3" t="s">
        <v>21</v>
      </c>
      <c r="G152" s="3" t="s">
        <v>208</v>
      </c>
      <c r="H152" s="3">
        <v>7.1599999999999997E-3</v>
      </c>
      <c r="I152" s="3" t="s">
        <v>47</v>
      </c>
      <c r="J152" t="s">
        <v>23</v>
      </c>
      <c r="O152" t="s">
        <v>209</v>
      </c>
    </row>
    <row r="153" spans="1:15" x14ac:dyDescent="0.25">
      <c r="A153" s="3" t="s">
        <v>21</v>
      </c>
      <c r="B153" s="3" t="s">
        <v>206</v>
      </c>
      <c r="C153" s="3" t="s">
        <v>206</v>
      </c>
      <c r="D153" s="3" t="s">
        <v>17</v>
      </c>
      <c r="E153" s="3" t="s">
        <v>18</v>
      </c>
      <c r="F153" s="3" t="s">
        <v>21</v>
      </c>
      <c r="G153" s="3" t="s">
        <v>29</v>
      </c>
      <c r="H153" s="3">
        <v>0.10886</v>
      </c>
      <c r="I153" s="3" t="s">
        <v>30</v>
      </c>
      <c r="J153" t="s">
        <v>23</v>
      </c>
      <c r="O153" s="3" t="s">
        <v>29</v>
      </c>
    </row>
    <row r="154" spans="1:15" x14ac:dyDescent="0.25">
      <c r="A154" s="3" t="s">
        <v>21</v>
      </c>
      <c r="B154" s="3" t="s">
        <v>206</v>
      </c>
      <c r="C154" s="3" t="s">
        <v>206</v>
      </c>
      <c r="D154" s="3" t="s">
        <v>17</v>
      </c>
      <c r="E154" s="3" t="s">
        <v>18</v>
      </c>
      <c r="F154" s="3" t="s">
        <v>21</v>
      </c>
      <c r="G154" s="3" t="s">
        <v>33</v>
      </c>
      <c r="H154" s="3">
        <v>0.46400000000000002</v>
      </c>
      <c r="I154" s="3" t="s">
        <v>34</v>
      </c>
      <c r="J154" t="s">
        <v>23</v>
      </c>
      <c r="O154" s="3" t="s">
        <v>33</v>
      </c>
    </row>
    <row r="155" spans="1:15" x14ac:dyDescent="0.25">
      <c r="A155" s="3" t="s">
        <v>21</v>
      </c>
      <c r="B155" s="3" t="s">
        <v>206</v>
      </c>
      <c r="C155" s="3" t="s">
        <v>206</v>
      </c>
      <c r="D155" s="3" t="s">
        <v>17</v>
      </c>
      <c r="E155" s="3" t="s">
        <v>18</v>
      </c>
      <c r="F155" s="3" t="s">
        <v>21</v>
      </c>
      <c r="G155" s="3" t="s">
        <v>210</v>
      </c>
      <c r="H155" s="3">
        <v>8.1200000000000005E-3</v>
      </c>
      <c r="I155" s="3" t="s">
        <v>47</v>
      </c>
      <c r="J155" t="s">
        <v>23</v>
      </c>
      <c r="O155" s="8" t="s">
        <v>211</v>
      </c>
    </row>
    <row r="156" spans="1:15" x14ac:dyDescent="0.25">
      <c r="A156" s="3" t="s">
        <v>21</v>
      </c>
      <c r="B156" s="3" t="s">
        <v>206</v>
      </c>
      <c r="C156" s="3" t="s">
        <v>206</v>
      </c>
      <c r="D156" s="3" t="s">
        <v>17</v>
      </c>
      <c r="E156" s="3" t="s">
        <v>18</v>
      </c>
      <c r="F156" s="3" t="s">
        <v>21</v>
      </c>
      <c r="G156" s="3" t="s">
        <v>79</v>
      </c>
      <c r="H156" s="3">
        <v>0.11527999999999999</v>
      </c>
      <c r="I156" s="3" t="s">
        <v>17</v>
      </c>
      <c r="J156" t="s">
        <v>23</v>
      </c>
      <c r="O156" t="s">
        <v>212</v>
      </c>
    </row>
    <row r="157" spans="1:15" x14ac:dyDescent="0.25">
      <c r="A157" s="3" t="s">
        <v>21</v>
      </c>
      <c r="B157" s="3" t="s">
        <v>206</v>
      </c>
      <c r="C157" s="3" t="s">
        <v>206</v>
      </c>
      <c r="D157" s="3" t="s">
        <v>17</v>
      </c>
      <c r="E157" s="3" t="s">
        <v>18</v>
      </c>
      <c r="F157" s="3" t="s">
        <v>21</v>
      </c>
      <c r="G157" s="3" t="s">
        <v>213</v>
      </c>
      <c r="H157" s="3">
        <v>2.0000000000000002E-5</v>
      </c>
      <c r="I157" s="3" t="s">
        <v>17</v>
      </c>
      <c r="J157" t="s">
        <v>23</v>
      </c>
      <c r="O157" t="s">
        <v>214</v>
      </c>
    </row>
    <row r="158" spans="1:15" x14ac:dyDescent="0.25">
      <c r="A158" s="3" t="s">
        <v>21</v>
      </c>
      <c r="B158" s="3" t="s">
        <v>206</v>
      </c>
      <c r="C158" s="3" t="s">
        <v>206</v>
      </c>
      <c r="D158" s="3" t="s">
        <v>17</v>
      </c>
      <c r="E158" s="3" t="s">
        <v>18</v>
      </c>
      <c r="F158" s="3" t="s">
        <v>21</v>
      </c>
      <c r="G158" s="3" t="s">
        <v>192</v>
      </c>
      <c r="H158" s="3">
        <v>0.62122999999999995</v>
      </c>
      <c r="I158" s="3" t="s">
        <v>17</v>
      </c>
      <c r="J158" t="s">
        <v>23</v>
      </c>
      <c r="O158" t="s">
        <v>192</v>
      </c>
    </row>
    <row r="159" spans="1:15" x14ac:dyDescent="0.25">
      <c r="A159" s="3" t="s">
        <v>21</v>
      </c>
      <c r="B159" s="3" t="s">
        <v>206</v>
      </c>
      <c r="C159" s="3" t="s">
        <v>206</v>
      </c>
      <c r="D159" s="3" t="s">
        <v>17</v>
      </c>
      <c r="E159" s="3" t="s">
        <v>18</v>
      </c>
      <c r="F159" s="3" t="s">
        <v>21</v>
      </c>
      <c r="G159" s="3" t="s">
        <v>98</v>
      </c>
      <c r="H159" s="3">
        <v>-1</v>
      </c>
      <c r="I159" s="3" t="s">
        <v>17</v>
      </c>
      <c r="J159" t="s">
        <v>23</v>
      </c>
      <c r="O159" s="8" t="s">
        <v>215</v>
      </c>
    </row>
    <row r="160" spans="1:15" x14ac:dyDescent="0.25">
      <c r="A160" t="s">
        <v>21</v>
      </c>
      <c r="B160" t="s">
        <v>94</v>
      </c>
      <c r="C160" t="s">
        <v>94</v>
      </c>
      <c r="D160" t="s">
        <v>17</v>
      </c>
      <c r="E160" t="s">
        <v>18</v>
      </c>
      <c r="F160" t="s">
        <v>21</v>
      </c>
      <c r="G160" t="s">
        <v>94</v>
      </c>
      <c r="H160">
        <v>1</v>
      </c>
      <c r="I160" t="s">
        <v>17</v>
      </c>
      <c r="J160" t="s">
        <v>19</v>
      </c>
      <c r="O160" s="7" t="s">
        <v>174</v>
      </c>
    </row>
    <row r="161" spans="1:15" x14ac:dyDescent="0.25">
      <c r="A161" t="s">
        <v>21</v>
      </c>
      <c r="B161" t="s">
        <v>94</v>
      </c>
      <c r="C161" t="s">
        <v>94</v>
      </c>
      <c r="D161" t="s">
        <v>17</v>
      </c>
      <c r="E161" t="s">
        <v>18</v>
      </c>
      <c r="F161" t="s">
        <v>126</v>
      </c>
      <c r="G161" s="9" t="s">
        <v>225</v>
      </c>
      <c r="H161">
        <v>1</v>
      </c>
      <c r="I161" t="s">
        <v>17</v>
      </c>
      <c r="J161" t="s">
        <v>23</v>
      </c>
      <c r="O161" s="9" t="s">
        <v>226</v>
      </c>
    </row>
    <row r="162" spans="1:15" x14ac:dyDescent="0.25">
      <c r="A162" t="s">
        <v>21</v>
      </c>
      <c r="B162" t="s">
        <v>95</v>
      </c>
      <c r="C162" t="s">
        <v>95</v>
      </c>
      <c r="D162" t="s">
        <v>17</v>
      </c>
      <c r="E162" t="s">
        <v>18</v>
      </c>
      <c r="F162" t="s">
        <v>21</v>
      </c>
      <c r="G162" t="s">
        <v>95</v>
      </c>
      <c r="H162">
        <v>1</v>
      </c>
      <c r="I162" t="s">
        <v>17</v>
      </c>
      <c r="J162" t="s">
        <v>19</v>
      </c>
      <c r="O162" s="7" t="s">
        <v>174</v>
      </c>
    </row>
    <row r="163" spans="1:15" x14ac:dyDescent="0.25">
      <c r="A163" t="s">
        <v>21</v>
      </c>
      <c r="B163" t="s">
        <v>95</v>
      </c>
      <c r="C163" t="s">
        <v>95</v>
      </c>
      <c r="D163" t="s">
        <v>17</v>
      </c>
      <c r="E163" t="s">
        <v>18</v>
      </c>
      <c r="F163" t="s">
        <v>126</v>
      </c>
      <c r="G163" s="9" t="s">
        <v>227</v>
      </c>
      <c r="H163">
        <v>1</v>
      </c>
      <c r="I163" t="s">
        <v>17</v>
      </c>
      <c r="J163" t="s">
        <v>23</v>
      </c>
      <c r="O163" s="9" t="s">
        <v>228</v>
      </c>
    </row>
    <row r="164" spans="1:15" x14ac:dyDescent="0.25">
      <c r="A164" t="s">
        <v>21</v>
      </c>
      <c r="B164" t="s">
        <v>229</v>
      </c>
      <c r="C164" t="s">
        <v>229</v>
      </c>
      <c r="D164" t="s">
        <v>17</v>
      </c>
      <c r="E164" t="s">
        <v>18</v>
      </c>
      <c r="F164" t="s">
        <v>21</v>
      </c>
      <c r="G164" t="s">
        <v>229</v>
      </c>
      <c r="H164">
        <v>1</v>
      </c>
      <c r="I164" t="s">
        <v>17</v>
      </c>
      <c r="J164" t="s">
        <v>19</v>
      </c>
      <c r="O164" t="s">
        <v>174</v>
      </c>
    </row>
    <row r="165" spans="1:15" x14ac:dyDescent="0.25">
      <c r="A165" t="s">
        <v>21</v>
      </c>
      <c r="B165" t="s">
        <v>229</v>
      </c>
      <c r="C165" t="s">
        <v>229</v>
      </c>
      <c r="D165" t="s">
        <v>17</v>
      </c>
      <c r="E165" t="s">
        <v>18</v>
      </c>
      <c r="F165" t="s">
        <v>126</v>
      </c>
      <c r="G165" t="s">
        <v>230</v>
      </c>
      <c r="H165">
        <v>1</v>
      </c>
      <c r="I165" t="s">
        <v>17</v>
      </c>
      <c r="J165" t="s">
        <v>23</v>
      </c>
      <c r="O165" s="9" t="s">
        <v>231</v>
      </c>
    </row>
  </sheetData>
  <autoFilter ref="A1:O163" xr:uid="{00000000-0009-0000-0000-000003000000}"/>
  <hyperlinks>
    <hyperlink ref="O83" r:id="rId1" xr:uid="{00000000-0004-0000-0300-000000000000}"/>
  </hyperlinks>
  <pageMargins left="0.7" right="0.7" top="0.78740157499999996" bottom="0.78740157499999996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75B014E1987FD48AF520384B3D1C075" ma:contentTypeVersion="8" ma:contentTypeDescription="Ein neues Dokument erstellen." ma:contentTypeScope="" ma:versionID="c0858f40d7f1d22963808a7ece8cac0a">
  <xsd:schema xmlns:xsd="http://www.w3.org/2001/XMLSchema" xmlns:xs="http://www.w3.org/2001/XMLSchema" xmlns:p="http://schemas.microsoft.com/office/2006/metadata/properties" xmlns:ns2="32fd9960-50b0-4529-afa4-1efdaa588ec8" targetNamespace="http://schemas.microsoft.com/office/2006/metadata/properties" ma:root="true" ma:fieldsID="06ae00202c06f671ec5acc5302044a59" ns2:_="">
    <xsd:import namespace="32fd9960-50b0-4529-afa4-1efdaa588e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d9960-50b0-4529-afa4-1efdaa588e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FE00F5-1254-429E-BA2F-D91B9174A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0E2E67D-E755-4A0B-89A4-4672D74F6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9B82C1-A456-4E7F-9EE1-F9ABA2BB7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fd9960-50b0-4529-afa4-1efdaa588e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Foreground_db_pessimistic</vt:lpstr>
      <vt:lpstr>Foreground_db_realistic</vt:lpstr>
      <vt:lpstr>Foreground_db_optimistic</vt:lpstr>
      <vt:lpstr>Background_db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Nils Thonemann</cp:lastModifiedBy>
  <cp:revision/>
  <dcterms:created xsi:type="dcterms:W3CDTF">2021-05-25T14:54:37Z</dcterms:created>
  <dcterms:modified xsi:type="dcterms:W3CDTF">2021-10-26T10:21:54Z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0x010100375B014E1987FD48AF520384B3D1C075</vt:lpwstr>
  </property>
</Properties>
</file>