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11"/>
  <workbookPr autoCompressPictures="0"/>
  <mc:AlternateContent xmlns:mc="http://schemas.openxmlformats.org/markup-compatibility/2006">
    <mc:Choice Requires="x15">
      <x15ac:absPath xmlns:x15ac="http://schemas.microsoft.com/office/spreadsheetml/2010/11/ac" url="https://dtudk.sharepoint.com/sites/GENESIS/Delte dokumenter/General/3_Collaboration/7_BW2/Modeling/LCI/Short_term/Conventional/"/>
    </mc:Choice>
  </mc:AlternateContent>
  <xr:revisionPtr revIDLastSave="1993" documentId="8_{46D448AD-18E0-4123-883C-99FE432E0328}" xr6:coauthVersionLast="47" xr6:coauthVersionMax="47" xr10:uidLastSave="{0822F676-43DA-4E12-9056-FE393D9D85AA}"/>
  <bookViews>
    <workbookView xWindow="-120" yWindow="-120" windowWidth="29040" windowHeight="15840" tabRatio="692" firstSheet="12" activeTab="12" xr2:uid="{00000000-000D-0000-FFFF-FFFF00000000}"/>
  </bookViews>
  <sheets>
    <sheet name="Use" sheetId="37" r:id="rId1"/>
    <sheet name="SAF" sheetId="42" r:id="rId2"/>
    <sheet name="Aircraft" sheetId="30" r:id="rId3"/>
    <sheet name="MAIN EoL" sheetId="43" r:id="rId4"/>
    <sheet name="powerplant EoL LCI" sheetId="44" r:id="rId5"/>
    <sheet name="airframe EoL LCI" sheetId="45" r:id="rId6"/>
    <sheet name="Airframe" sheetId="29" r:id="rId7"/>
    <sheet name="Systems" sheetId="31" r:id="rId8"/>
    <sheet name="Furnishing" sheetId="32" r:id="rId9"/>
    <sheet name="Operative equipment" sheetId="33" r:id="rId10"/>
    <sheet name="Powerplant" sheetId="35" r:id="rId11"/>
    <sheet name="Powerplant treatment processes" sheetId="36" r:id="rId12"/>
    <sheet name="Airport_use" sheetId="38" r:id="rId13"/>
    <sheet name="Airport_construction" sheetId="39" r:id="rId14"/>
    <sheet name="Airport_decommission " sheetId="40" r:id="rId15"/>
  </sheets>
  <externalReferences>
    <externalReference r:id="rId16"/>
  </externalReferenc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B14" i="38" l="1"/>
  <c r="A127" i="44"/>
  <c r="I18" i="30"/>
  <c r="N247" i="45"/>
  <c r="M247" i="45"/>
  <c r="L247" i="45"/>
  <c r="K247" i="45"/>
  <c r="J247" i="45"/>
  <c r="I247" i="45"/>
  <c r="G247" i="45"/>
  <c r="F247" i="45"/>
  <c r="E247" i="45"/>
  <c r="D247" i="45"/>
  <c r="B247" i="45"/>
  <c r="N246" i="45"/>
  <c r="M246" i="45"/>
  <c r="L246" i="45"/>
  <c r="K246" i="45"/>
  <c r="J246" i="45"/>
  <c r="I246" i="45"/>
  <c r="G246" i="45"/>
  <c r="E246" i="45"/>
  <c r="D246" i="45"/>
  <c r="B246" i="45"/>
  <c r="N245" i="45"/>
  <c r="M245" i="45"/>
  <c r="L245" i="45"/>
  <c r="K245" i="45"/>
  <c r="J245" i="45"/>
  <c r="I245" i="45"/>
  <c r="G245" i="45"/>
  <c r="E245" i="45"/>
  <c r="D245" i="45"/>
  <c r="B245" i="45"/>
  <c r="N244" i="45"/>
  <c r="M244" i="45"/>
  <c r="L244" i="45"/>
  <c r="K244" i="45"/>
  <c r="J244" i="45"/>
  <c r="I244" i="45"/>
  <c r="G244" i="45"/>
  <c r="E244" i="45"/>
  <c r="D244" i="45"/>
  <c r="B244" i="45"/>
  <c r="A244" i="45"/>
  <c r="N243" i="45"/>
  <c r="M243" i="45"/>
  <c r="L243" i="45"/>
  <c r="K243" i="45"/>
  <c r="J243" i="45"/>
  <c r="I243" i="45"/>
  <c r="G243" i="45"/>
  <c r="E243" i="45"/>
  <c r="D243" i="45"/>
  <c r="B243" i="45"/>
  <c r="A242" i="45"/>
  <c r="A224" i="45"/>
  <c r="A247" i="45" s="1"/>
  <c r="A213" i="45"/>
  <c r="A212" i="45"/>
  <c r="A211" i="45"/>
  <c r="A210" i="45"/>
  <c r="A209" i="45"/>
  <c r="A208" i="45"/>
  <c r="A243" i="45" s="1"/>
  <c r="A197" i="45"/>
  <c r="A196" i="45"/>
  <c r="A195" i="45"/>
  <c r="A194" i="45"/>
  <c r="A183" i="45"/>
  <c r="A182" i="45"/>
  <c r="A181" i="45"/>
  <c r="A180" i="45"/>
  <c r="A179" i="45"/>
  <c r="A245" i="45" s="1"/>
  <c r="A160" i="45"/>
  <c r="A159" i="45"/>
  <c r="A246" i="45" s="1"/>
  <c r="B148" i="45"/>
  <c r="U147" i="45"/>
  <c r="B147" i="45" s="1"/>
  <c r="S147" i="45"/>
  <c r="U146" i="45"/>
  <c r="B146" i="45" s="1"/>
  <c r="S146" i="45"/>
  <c r="A145" i="45"/>
  <c r="B133" i="45"/>
  <c r="B134" i="45" s="1"/>
  <c r="A131" i="45"/>
  <c r="B119" i="45"/>
  <c r="B118" i="45"/>
  <c r="A116" i="45"/>
  <c r="B105" i="45"/>
  <c r="B104" i="45"/>
  <c r="A101" i="45"/>
  <c r="B89" i="45"/>
  <c r="B88" i="45" s="1"/>
  <c r="A86" i="45"/>
  <c r="B75" i="45"/>
  <c r="B74" i="45"/>
  <c r="A71" i="45"/>
  <c r="B60" i="45"/>
  <c r="B59" i="45"/>
  <c r="J59" i="45" s="1"/>
  <c r="S58" i="45"/>
  <c r="U58" i="45" s="1"/>
  <c r="B58" i="45" s="1"/>
  <c r="S57" i="45"/>
  <c r="U57" i="45" s="1"/>
  <c r="B57" i="45" s="1"/>
  <c r="A56" i="45"/>
  <c r="B45" i="45"/>
  <c r="B44" i="45"/>
  <c r="A42" i="45"/>
  <c r="B30" i="45"/>
  <c r="B29" i="45" s="1"/>
  <c r="A27" i="45"/>
  <c r="B15" i="45"/>
  <c r="B16" i="45" s="1"/>
  <c r="A12" i="45"/>
  <c r="A135" i="44"/>
  <c r="A134" i="44"/>
  <c r="A133" i="44"/>
  <c r="A132" i="44"/>
  <c r="A131" i="44"/>
  <c r="A130" i="44"/>
  <c r="A129" i="44"/>
  <c r="A128" i="44"/>
  <c r="A126" i="44"/>
  <c r="A125" i="44"/>
  <c r="A13" i="43" s="1"/>
  <c r="B114" i="44"/>
  <c r="A113" i="44"/>
  <c r="B102" i="44"/>
  <c r="B101" i="44"/>
  <c r="A99" i="44"/>
  <c r="B88" i="44"/>
  <c r="A85" i="44"/>
  <c r="B74" i="44"/>
  <c r="A71" i="44"/>
  <c r="B60" i="44"/>
  <c r="A57" i="44"/>
  <c r="B46" i="44"/>
  <c r="A42" i="44"/>
  <c r="B31" i="44"/>
  <c r="B30" i="44"/>
  <c r="B29" i="44"/>
  <c r="A27" i="44"/>
  <c r="B16" i="44"/>
  <c r="B15" i="44"/>
  <c r="J15" i="44" s="1"/>
  <c r="U14" i="44"/>
  <c r="B14" i="44" s="1"/>
  <c r="S14" i="44"/>
  <c r="U13" i="44"/>
  <c r="B13" i="44" s="1"/>
  <c r="S13" i="44"/>
  <c r="A12" i="44"/>
  <c r="N14" i="43"/>
  <c r="M14" i="43"/>
  <c r="L14" i="43"/>
  <c r="K14" i="43"/>
  <c r="J14" i="43"/>
  <c r="I14" i="43"/>
  <c r="G14" i="43"/>
  <c r="F14" i="43"/>
  <c r="E14" i="43"/>
  <c r="D14" i="43"/>
  <c r="B14" i="43"/>
  <c r="A14" i="43"/>
  <c r="N13" i="43"/>
  <c r="M13" i="43"/>
  <c r="L13" i="43"/>
  <c r="K13" i="43"/>
  <c r="J13" i="43"/>
  <c r="I13" i="43"/>
  <c r="G13" i="43"/>
  <c r="F13" i="43"/>
  <c r="E13" i="43"/>
  <c r="D13" i="43"/>
  <c r="B13" i="43"/>
  <c r="A12" i="43"/>
  <c r="N83" i="37"/>
  <c r="N82" i="37"/>
  <c r="N81" i="37"/>
  <c r="N80" i="37"/>
  <c r="N79" i="37"/>
  <c r="N78" i="37"/>
  <c r="N63" i="37"/>
  <c r="N62" i="37"/>
  <c r="N61" i="37"/>
  <c r="N60" i="37"/>
  <c r="N59" i="37"/>
  <c r="N58" i="37"/>
  <c r="B83" i="37" l="1"/>
  <c r="I83" i="37" s="1"/>
  <c r="B82" i="37"/>
  <c r="I82" i="37" s="1"/>
  <c r="B81" i="37"/>
  <c r="I81" i="37" s="1"/>
  <c r="B80" i="37"/>
  <c r="I80" i="37" s="1"/>
  <c r="B79" i="37"/>
  <c r="I79" i="37" s="1"/>
  <c r="B78" i="37"/>
  <c r="I78" i="37" s="1"/>
  <c r="I77" i="37"/>
  <c r="B76" i="37"/>
  <c r="B75" i="37"/>
  <c r="B63" i="37"/>
  <c r="I63" i="37" s="1"/>
  <c r="B62" i="37"/>
  <c r="I62" i="37" s="1"/>
  <c r="B61" i="37"/>
  <c r="I61" i="37" s="1"/>
  <c r="B60" i="37"/>
  <c r="I60" i="37" s="1"/>
  <c r="B59" i="37"/>
  <c r="I59" i="37" s="1"/>
  <c r="B58" i="37"/>
  <c r="I58" i="37" s="1"/>
  <c r="I57" i="37"/>
  <c r="B56" i="37"/>
  <c r="B55" i="37"/>
  <c r="A12" i="42"/>
  <c r="N39" i="37"/>
  <c r="B39" i="37" s="1"/>
  <c r="I39" i="37" s="1"/>
  <c r="N40" i="37"/>
  <c r="B40" i="37" s="1"/>
  <c r="I40" i="37" s="1"/>
  <c r="N41" i="37"/>
  <c r="B41" i="37" s="1"/>
  <c r="I41" i="37" s="1"/>
  <c r="N42" i="37"/>
  <c r="B42" i="37" s="1"/>
  <c r="I42" i="37" s="1"/>
  <c r="N43" i="37"/>
  <c r="B43" i="37" s="1"/>
  <c r="I43" i="37" s="1"/>
  <c r="N38" i="37"/>
  <c r="B38" i="37" s="1"/>
  <c r="I38" i="37" s="1"/>
  <c r="B35" i="37"/>
  <c r="I37" i="37"/>
  <c r="B36" i="37"/>
  <c r="N23" i="37"/>
  <c r="B23" i="37" s="1"/>
  <c r="N22" i="37"/>
  <c r="B22" i="37" s="1"/>
  <c r="N21" i="37"/>
  <c r="B21" i="37" s="1"/>
  <c r="N20" i="37"/>
  <c r="B20" i="37" s="1"/>
  <c r="N19" i="37"/>
  <c r="B19" i="37" s="1"/>
  <c r="N18" i="37"/>
  <c r="B18" i="37" s="1"/>
  <c r="B16" i="37" l="1"/>
  <c r="B15" i="37"/>
  <c r="B54" i="40"/>
  <c r="I54" i="40" s="1"/>
  <c r="B53" i="40"/>
  <c r="I53" i="40" s="1"/>
  <c r="F52" i="40"/>
  <c r="C52" i="40"/>
  <c r="B52" i="40"/>
  <c r="I52" i="40" s="1"/>
  <c r="A52" i="40"/>
  <c r="B41" i="40"/>
  <c r="I41" i="40" s="1"/>
  <c r="B40" i="40"/>
  <c r="I40" i="40" s="1"/>
  <c r="F39" i="40"/>
  <c r="C39" i="40"/>
  <c r="B39" i="40"/>
  <c r="I39" i="40" s="1"/>
  <c r="A39" i="40"/>
  <c r="I28" i="40"/>
  <c r="B28" i="40"/>
  <c r="I27" i="40"/>
  <c r="B27" i="40"/>
  <c r="F26" i="40"/>
  <c r="C26" i="40"/>
  <c r="B26" i="40"/>
  <c r="I26" i="40" s="1"/>
  <c r="A26" i="40"/>
  <c r="I12" i="40"/>
  <c r="F12" i="40"/>
  <c r="C12" i="40"/>
  <c r="B12" i="40"/>
  <c r="A12" i="40"/>
  <c r="Q8" i="40"/>
  <c r="B15" i="40" s="1"/>
  <c r="I15" i="40" s="1"/>
  <c r="Q7" i="40"/>
  <c r="B14" i="40" s="1"/>
  <c r="I14" i="40" s="1"/>
  <c r="Q6" i="40"/>
  <c r="B13" i="40" s="1"/>
  <c r="I13" i="40" s="1"/>
  <c r="Q5" i="40"/>
  <c r="I200" i="39"/>
  <c r="F199" i="39"/>
  <c r="C199" i="39"/>
  <c r="B199" i="39"/>
  <c r="I199" i="39" s="1"/>
  <c r="A199" i="39"/>
  <c r="I188" i="39"/>
  <c r="B188" i="39"/>
  <c r="I187" i="39"/>
  <c r="B187" i="39"/>
  <c r="I186" i="39"/>
  <c r="B186" i="39"/>
  <c r="B185" i="39"/>
  <c r="I185" i="39" s="1"/>
  <c r="I182" i="39"/>
  <c r="B182" i="39"/>
  <c r="I181" i="39"/>
  <c r="I180" i="39"/>
  <c r="F180" i="39"/>
  <c r="C180" i="39"/>
  <c r="B180" i="39"/>
  <c r="A180" i="39"/>
  <c r="I169" i="39"/>
  <c r="B169" i="39"/>
  <c r="B168" i="39"/>
  <c r="I168" i="39" s="1"/>
  <c r="I167" i="39"/>
  <c r="B167" i="39"/>
  <c r="I166" i="39"/>
  <c r="B166" i="39"/>
  <c r="B164" i="39"/>
  <c r="I164" i="39" s="1"/>
  <c r="I163" i="39"/>
  <c r="B163" i="39"/>
  <c r="I162" i="39"/>
  <c r="I161" i="39"/>
  <c r="F161" i="39"/>
  <c r="C161" i="39"/>
  <c r="B161" i="39"/>
  <c r="A161" i="39"/>
  <c r="I150" i="39"/>
  <c r="B150" i="39"/>
  <c r="I149" i="39"/>
  <c r="B149" i="39"/>
  <c r="I148" i="39"/>
  <c r="B148" i="39"/>
  <c r="B147" i="39"/>
  <c r="I147" i="39" s="1"/>
  <c r="I144" i="39"/>
  <c r="B144" i="39"/>
  <c r="I143" i="39"/>
  <c r="I142" i="39"/>
  <c r="F142" i="39"/>
  <c r="C142" i="39"/>
  <c r="B142" i="39"/>
  <c r="A142" i="39"/>
  <c r="B130" i="39"/>
  <c r="I128" i="39"/>
  <c r="F128" i="39"/>
  <c r="C128" i="39"/>
  <c r="B128" i="39"/>
  <c r="A128" i="39"/>
  <c r="B116" i="39"/>
  <c r="I116" i="39" s="1"/>
  <c r="B115" i="39"/>
  <c r="F113" i="39"/>
  <c r="C113" i="39"/>
  <c r="B113" i="39"/>
  <c r="I113" i="39" s="1"/>
  <c r="A113" i="39"/>
  <c r="B102" i="39"/>
  <c r="I102" i="39" s="1"/>
  <c r="B101" i="39"/>
  <c r="I101" i="39" s="1"/>
  <c r="B100" i="39"/>
  <c r="I98" i="39"/>
  <c r="F98" i="39"/>
  <c r="C98" i="39"/>
  <c r="B98" i="39"/>
  <c r="A98" i="39"/>
  <c r="I87" i="39"/>
  <c r="I86" i="39"/>
  <c r="I85" i="39"/>
  <c r="I84" i="39"/>
  <c r="I83" i="39"/>
  <c r="I82" i="39"/>
  <c r="I81" i="39"/>
  <c r="I80" i="39"/>
  <c r="F80" i="39"/>
  <c r="C80" i="39"/>
  <c r="B80" i="39"/>
  <c r="A80" i="39"/>
  <c r="B69" i="39"/>
  <c r="I69" i="39" s="1"/>
  <c r="F68" i="39"/>
  <c r="C68" i="39"/>
  <c r="B68" i="39"/>
  <c r="I68" i="39" s="1"/>
  <c r="A68" i="39"/>
  <c r="I56" i="39"/>
  <c r="B56" i="39"/>
  <c r="I55" i="39"/>
  <c r="F54" i="39"/>
  <c r="C54" i="39"/>
  <c r="B54" i="39"/>
  <c r="I54" i="39" s="1"/>
  <c r="A54" i="39"/>
  <c r="I42" i="39"/>
  <c r="B42" i="39"/>
  <c r="B41" i="39"/>
  <c r="I41" i="39" s="1"/>
  <c r="I40" i="39"/>
  <c r="F39" i="39"/>
  <c r="C39" i="39"/>
  <c r="B39" i="39"/>
  <c r="I39" i="39" s="1"/>
  <c r="A39" i="39"/>
  <c r="I28" i="39"/>
  <c r="I27" i="39"/>
  <c r="I26" i="39"/>
  <c r="F25" i="39"/>
  <c r="C25" i="39"/>
  <c r="B25" i="39"/>
  <c r="I25" i="39" s="1"/>
  <c r="A25" i="39"/>
  <c r="I14" i="39"/>
  <c r="I13" i="39"/>
  <c r="F12" i="39"/>
  <c r="C12" i="39"/>
  <c r="B12" i="39"/>
  <c r="I12" i="39" s="1"/>
  <c r="A12" i="39"/>
  <c r="P7" i="39"/>
  <c r="B184" i="39" s="1"/>
  <c r="I184" i="39" s="1"/>
  <c r="I45" i="38"/>
  <c r="F44" i="38"/>
  <c r="C44" i="38"/>
  <c r="B44" i="38"/>
  <c r="I44" i="38" s="1"/>
  <c r="A44" i="38"/>
  <c r="I33" i="38"/>
  <c r="F32" i="38"/>
  <c r="C32" i="38"/>
  <c r="B32" i="38"/>
  <c r="I32" i="38" s="1"/>
  <c r="A32" i="38"/>
  <c r="B20" i="38"/>
  <c r="I20" i="38" s="1"/>
  <c r="B19" i="38"/>
  <c r="I19" i="38" s="1"/>
  <c r="I18" i="38"/>
  <c r="I17" i="38"/>
  <c r="B16" i="38"/>
  <c r="I16" i="38" s="1"/>
  <c r="I15" i="38"/>
  <c r="I14" i="38"/>
  <c r="F12" i="38"/>
  <c r="C12" i="38"/>
  <c r="B12" i="38"/>
  <c r="I12" i="38" s="1"/>
  <c r="A12" i="38"/>
  <c r="Q7" i="38"/>
  <c r="B21" i="38" s="1"/>
  <c r="I21" i="38" s="1"/>
  <c r="Q6" i="38"/>
  <c r="B13" i="38" s="1"/>
  <c r="I13" i="38" s="1"/>
  <c r="Q5" i="38"/>
  <c r="B43" i="39" l="1"/>
  <c r="I43" i="39" s="1"/>
  <c r="B117" i="39"/>
  <c r="I117" i="39" s="1"/>
  <c r="B131" i="39"/>
  <c r="I131" i="39" s="1"/>
  <c r="B165" i="39"/>
  <c r="I165" i="39" s="1"/>
  <c r="B57" i="39"/>
  <c r="I57" i="39" s="1"/>
  <c r="B145" i="39"/>
  <c r="I145" i="39" s="1"/>
  <c r="B183" i="39"/>
  <c r="I183" i="39" s="1"/>
  <c r="B146" i="39"/>
  <c r="I146" i="39" s="1"/>
  <c r="I22" i="37" l="1"/>
  <c r="I21" i="37"/>
  <c r="I18" i="37"/>
  <c r="I23" i="37"/>
  <c r="I20" i="37"/>
  <c r="I19" i="37"/>
  <c r="I17" i="37" l="1"/>
  <c r="N2" i="37" l="1"/>
  <c r="B33" i="36"/>
  <c r="J396" i="35"/>
  <c r="J395" i="35"/>
  <c r="J394" i="35"/>
  <c r="J393" i="35"/>
  <c r="J392" i="35"/>
  <c r="J391" i="35"/>
  <c r="J390" i="35"/>
  <c r="U389" i="35"/>
  <c r="W389" i="35" s="1"/>
  <c r="B389" i="35" s="1"/>
  <c r="J389" i="35" s="1"/>
  <c r="U388" i="35"/>
  <c r="W388" i="35" s="1"/>
  <c r="J388" i="35"/>
  <c r="U387" i="35"/>
  <c r="W387" i="35" s="1"/>
  <c r="J387" i="35"/>
  <c r="U386" i="35"/>
  <c r="J386" i="35"/>
  <c r="W385" i="35"/>
  <c r="U385" i="35"/>
  <c r="J385" i="35"/>
  <c r="J384" i="35"/>
  <c r="J383" i="35"/>
  <c r="J382" i="35"/>
  <c r="J381" i="35"/>
  <c r="J380" i="35"/>
  <c r="J379" i="35"/>
  <c r="J378" i="35"/>
  <c r="J377" i="35"/>
  <c r="J376" i="35"/>
  <c r="J375" i="35"/>
  <c r="J374" i="35"/>
  <c r="J373" i="35"/>
  <c r="J372" i="35"/>
  <c r="J371" i="35"/>
  <c r="J370" i="35"/>
  <c r="J369" i="35"/>
  <c r="J368" i="35"/>
  <c r="J367" i="35"/>
  <c r="J366" i="35"/>
  <c r="J365" i="35"/>
  <c r="J364" i="35"/>
  <c r="J363" i="35"/>
  <c r="J362" i="35"/>
  <c r="J350" i="35"/>
  <c r="J349" i="35"/>
  <c r="J348" i="35"/>
  <c r="J347" i="35"/>
  <c r="J346" i="35"/>
  <c r="J345" i="35"/>
  <c r="J344" i="35"/>
  <c r="U343" i="35"/>
  <c r="W343" i="35" s="1"/>
  <c r="B343" i="35" s="1"/>
  <c r="J343" i="35" s="1"/>
  <c r="U342" i="35"/>
  <c r="W342" i="35" s="1"/>
  <c r="J342" i="35"/>
  <c r="U341" i="35"/>
  <c r="W341" i="35" s="1"/>
  <c r="J341" i="35"/>
  <c r="U340" i="35"/>
  <c r="J340" i="35"/>
  <c r="U339" i="35"/>
  <c r="W339" i="35" s="1"/>
  <c r="J339" i="35"/>
  <c r="J338" i="35"/>
  <c r="J337" i="35"/>
  <c r="J336" i="35"/>
  <c r="J335" i="35"/>
  <c r="J334" i="35"/>
  <c r="J333" i="35"/>
  <c r="J332" i="35"/>
  <c r="J331" i="35"/>
  <c r="J330" i="35"/>
  <c r="J329" i="35"/>
  <c r="J317" i="35"/>
  <c r="J316" i="35"/>
  <c r="J315" i="35"/>
  <c r="J314" i="35"/>
  <c r="J313" i="35"/>
  <c r="J312" i="35"/>
  <c r="J311" i="35"/>
  <c r="U310" i="35"/>
  <c r="W310" i="35" s="1"/>
  <c r="B310" i="35" s="1"/>
  <c r="J310" i="35" s="1"/>
  <c r="U309" i="35"/>
  <c r="W309" i="35" s="1"/>
  <c r="J309" i="35"/>
  <c r="U308" i="35"/>
  <c r="W308" i="35" s="1"/>
  <c r="J308" i="35"/>
  <c r="U307" i="35"/>
  <c r="J307" i="35"/>
  <c r="U306" i="35"/>
  <c r="W306" i="35" s="1"/>
  <c r="J306" i="35"/>
  <c r="J305" i="35"/>
  <c r="J304" i="35"/>
  <c r="J303" i="35"/>
  <c r="J302" i="35"/>
  <c r="J301" i="35"/>
  <c r="J300" i="35"/>
  <c r="J299" i="35"/>
  <c r="J298" i="35"/>
  <c r="J297" i="35"/>
  <c r="J285" i="35"/>
  <c r="J284" i="35"/>
  <c r="J283" i="35"/>
  <c r="J282" i="35"/>
  <c r="J281" i="35"/>
  <c r="J280" i="35"/>
  <c r="J279" i="35"/>
  <c r="U278" i="35"/>
  <c r="W278" i="35" s="1"/>
  <c r="B278" i="35" s="1"/>
  <c r="J278" i="35" s="1"/>
  <c r="U277" i="35"/>
  <c r="W277" i="35" s="1"/>
  <c r="J277" i="35"/>
  <c r="W276" i="35"/>
  <c r="U276" i="35"/>
  <c r="J276" i="35"/>
  <c r="U275" i="35"/>
  <c r="J275" i="35"/>
  <c r="W274" i="35"/>
  <c r="U274" i="35"/>
  <c r="J274" i="35"/>
  <c r="J273" i="35"/>
  <c r="J272" i="35"/>
  <c r="U271" i="35"/>
  <c r="W271" i="35" s="1"/>
  <c r="J271" i="35"/>
  <c r="J270" i="35"/>
  <c r="J269" i="35"/>
  <c r="U268" i="35"/>
  <c r="W268" i="35" s="1"/>
  <c r="J268" i="35"/>
  <c r="J256" i="35"/>
  <c r="J255" i="35"/>
  <c r="J254" i="35"/>
  <c r="J253" i="35"/>
  <c r="J252" i="35"/>
  <c r="J251" i="35"/>
  <c r="J250" i="35"/>
  <c r="U249" i="35"/>
  <c r="W249" i="35" s="1"/>
  <c r="B249" i="35" s="1"/>
  <c r="J249" i="35" s="1"/>
  <c r="W248" i="35"/>
  <c r="U248" i="35"/>
  <c r="J248" i="35"/>
  <c r="U247" i="35"/>
  <c r="W247" i="35" s="1"/>
  <c r="J247" i="35"/>
  <c r="U246" i="35"/>
  <c r="J246" i="35"/>
  <c r="U245" i="35"/>
  <c r="W245" i="35" s="1"/>
  <c r="J245" i="35"/>
  <c r="J244" i="35"/>
  <c r="J243" i="35"/>
  <c r="J242" i="35"/>
  <c r="J241" i="35"/>
  <c r="J229" i="35"/>
  <c r="J228" i="35"/>
  <c r="J227" i="35"/>
  <c r="J226" i="35"/>
  <c r="J225" i="35"/>
  <c r="J224" i="35"/>
  <c r="J223" i="35"/>
  <c r="U222" i="35"/>
  <c r="W222" i="35" s="1"/>
  <c r="B222" i="35" s="1"/>
  <c r="J222" i="35" s="1"/>
  <c r="U221" i="35"/>
  <c r="W221" i="35" s="1"/>
  <c r="J221" i="35"/>
  <c r="U220" i="35"/>
  <c r="W220" i="35" s="1"/>
  <c r="J220" i="35"/>
  <c r="U219" i="35"/>
  <c r="J219" i="35"/>
  <c r="U218" i="35"/>
  <c r="W218" i="35" s="1"/>
  <c r="J218" i="35"/>
  <c r="J217" i="35"/>
  <c r="J216" i="35"/>
  <c r="J215" i="35"/>
  <c r="J214" i="35"/>
  <c r="J213" i="35"/>
  <c r="J212" i="35"/>
  <c r="J200" i="35"/>
  <c r="J199" i="35"/>
  <c r="J198" i="35"/>
  <c r="J197" i="35"/>
  <c r="J196" i="35"/>
  <c r="J195" i="35"/>
  <c r="J194" i="35"/>
  <c r="U193" i="35"/>
  <c r="W193" i="35" s="1"/>
  <c r="B193" i="35" s="1"/>
  <c r="J193" i="35" s="1"/>
  <c r="U192" i="35"/>
  <c r="W192" i="35" s="1"/>
  <c r="J192" i="35"/>
  <c r="U191" i="35"/>
  <c r="W191" i="35" s="1"/>
  <c r="J191" i="35"/>
  <c r="U190" i="35"/>
  <c r="J190" i="35"/>
  <c r="U189" i="35"/>
  <c r="W189" i="35" s="1"/>
  <c r="J189" i="35"/>
  <c r="J188" i="35"/>
  <c r="J187" i="35"/>
  <c r="J186" i="35"/>
  <c r="J185" i="35"/>
  <c r="J184" i="35"/>
  <c r="J183" i="35"/>
  <c r="J182" i="35"/>
  <c r="J181" i="35"/>
  <c r="J180" i="35"/>
  <c r="J179" i="35"/>
  <c r="J167" i="35"/>
  <c r="J166" i="35"/>
  <c r="J165" i="35"/>
  <c r="J164" i="35"/>
  <c r="J163" i="35"/>
  <c r="J162" i="35"/>
  <c r="J161" i="35"/>
  <c r="U160" i="35"/>
  <c r="W160" i="35" s="1"/>
  <c r="B160" i="35" s="1"/>
  <c r="J160" i="35" s="1"/>
  <c r="U159" i="35"/>
  <c r="W159" i="35" s="1"/>
  <c r="J159" i="35"/>
  <c r="U158" i="35"/>
  <c r="W158" i="35" s="1"/>
  <c r="J158" i="35"/>
  <c r="U157" i="35"/>
  <c r="J157" i="35"/>
  <c r="U156" i="35"/>
  <c r="W156" i="35" s="1"/>
  <c r="J156" i="35"/>
  <c r="J155" i="35"/>
  <c r="J154" i="35"/>
  <c r="J153" i="35"/>
  <c r="J152" i="35"/>
  <c r="J151" i="35"/>
  <c r="J150" i="35"/>
  <c r="J149" i="35"/>
  <c r="J148" i="35"/>
  <c r="J136" i="35"/>
  <c r="J135" i="35"/>
  <c r="J134" i="35"/>
  <c r="J133" i="35"/>
  <c r="J132" i="35"/>
  <c r="J131" i="35"/>
  <c r="J130" i="35"/>
  <c r="U129" i="35"/>
  <c r="W129" i="35" s="1"/>
  <c r="B129" i="35" s="1"/>
  <c r="J129" i="35" s="1"/>
  <c r="U128" i="35"/>
  <c r="W128" i="35" s="1"/>
  <c r="J128" i="35"/>
  <c r="U127" i="35"/>
  <c r="W127" i="35" s="1"/>
  <c r="J127" i="35"/>
  <c r="U126" i="35"/>
  <c r="J126" i="35"/>
  <c r="U125" i="35"/>
  <c r="W125" i="35" s="1"/>
  <c r="J125" i="35"/>
  <c r="J124" i="35"/>
  <c r="J123" i="35"/>
  <c r="J122" i="35"/>
  <c r="J121" i="35"/>
  <c r="J120" i="35"/>
  <c r="S119" i="35"/>
  <c r="U119" i="35" s="1"/>
  <c r="B119" i="35" s="1"/>
  <c r="J119" i="35" s="1"/>
  <c r="S118" i="35"/>
  <c r="U118" i="35" s="1"/>
  <c r="B118" i="35" s="1"/>
  <c r="J118" i="35" s="1"/>
  <c r="J117" i="35"/>
  <c r="J116" i="35"/>
  <c r="J115" i="35"/>
  <c r="J114" i="35"/>
  <c r="J102" i="35"/>
  <c r="J101" i="35"/>
  <c r="J100" i="35"/>
  <c r="J99" i="35"/>
  <c r="J98" i="35"/>
  <c r="J97" i="35"/>
  <c r="J96" i="35"/>
  <c r="U95" i="35"/>
  <c r="W95" i="35" s="1"/>
  <c r="B95" i="35" s="1"/>
  <c r="J95" i="35" s="1"/>
  <c r="U94" i="35"/>
  <c r="W94" i="35" s="1"/>
  <c r="J94" i="35"/>
  <c r="U93" i="35"/>
  <c r="W93" i="35" s="1"/>
  <c r="J93" i="35"/>
  <c r="U92" i="35"/>
  <c r="J92" i="35"/>
  <c r="U91" i="35"/>
  <c r="W91" i="35" s="1"/>
  <c r="J91" i="35"/>
  <c r="J90" i="35"/>
  <c r="J89" i="35"/>
  <c r="J88" i="35"/>
  <c r="J87" i="35"/>
  <c r="J86" i="35"/>
  <c r="J85" i="35"/>
  <c r="J84" i="35"/>
  <c r="J83" i="35"/>
  <c r="J82" i="35"/>
  <c r="J81" i="35"/>
  <c r="J80" i="35"/>
  <c r="J79" i="35"/>
  <c r="S78" i="35"/>
  <c r="J78" i="35"/>
  <c r="S77" i="35"/>
  <c r="U77" i="35" s="1"/>
  <c r="B77" i="35" s="1"/>
  <c r="J77" i="35" s="1"/>
  <c r="S76" i="35"/>
  <c r="U76" i="35" s="1"/>
  <c r="B76" i="35" s="1"/>
  <c r="J76" i="35" s="1"/>
  <c r="J75" i="35"/>
  <c r="J74" i="35"/>
  <c r="J73" i="35"/>
  <c r="J72" i="35"/>
  <c r="J71" i="35"/>
  <c r="J70" i="35"/>
  <c r="J69" i="35"/>
  <c r="J68" i="35"/>
  <c r="J67" i="35"/>
  <c r="J55" i="35"/>
  <c r="J54" i="35"/>
  <c r="J53" i="35"/>
  <c r="J52" i="35"/>
  <c r="J51" i="35"/>
  <c r="J50" i="35"/>
  <c r="J49" i="35"/>
  <c r="U48" i="35"/>
  <c r="W48" i="35" s="1"/>
  <c r="B48" i="35" s="1"/>
  <c r="J48" i="35" s="1"/>
  <c r="U47" i="35"/>
  <c r="W47" i="35" s="1"/>
  <c r="J47" i="35"/>
  <c r="U46" i="35"/>
  <c r="W46" i="35" s="1"/>
  <c r="J46" i="35"/>
  <c r="U45" i="35"/>
  <c r="J45" i="35"/>
  <c r="W44" i="35"/>
  <c r="U44" i="35"/>
  <c r="J44" i="35"/>
  <c r="J43" i="35"/>
  <c r="J42" i="35"/>
  <c r="J41" i="35"/>
  <c r="J29" i="35"/>
  <c r="J28" i="35"/>
  <c r="J27" i="35"/>
  <c r="J26" i="35"/>
  <c r="J25" i="35"/>
  <c r="J24" i="35"/>
  <c r="J23" i="35"/>
  <c r="U22" i="35"/>
  <c r="W22" i="35" s="1"/>
  <c r="B22" i="35" s="1"/>
  <c r="J22" i="35" s="1"/>
  <c r="U21" i="35"/>
  <c r="W21" i="35" s="1"/>
  <c r="J21" i="35"/>
  <c r="U20" i="35"/>
  <c r="W20" i="35" s="1"/>
  <c r="J20" i="35"/>
  <c r="U19" i="35"/>
  <c r="J19" i="35"/>
  <c r="U18" i="35"/>
  <c r="W18" i="35" s="1"/>
  <c r="J18" i="35"/>
  <c r="J17" i="35"/>
  <c r="J16" i="35"/>
  <c r="J15" i="35"/>
  <c r="J14" i="35"/>
  <c r="J13" i="35"/>
  <c r="B124" i="31" l="1"/>
  <c r="B123" i="31"/>
  <c r="B120" i="31"/>
  <c r="B122" i="31"/>
  <c r="B121" i="31"/>
  <c r="B119" i="31"/>
  <c r="B118" i="31"/>
  <c r="B117" i="31"/>
  <c r="B105" i="31"/>
  <c r="B104" i="31"/>
  <c r="B103" i="31"/>
  <c r="B102" i="31"/>
  <c r="B101" i="31"/>
  <c r="B100" i="31"/>
  <c r="B87" i="31"/>
  <c r="B86" i="31"/>
  <c r="B85" i="31"/>
  <c r="B73" i="31"/>
  <c r="B72" i="31"/>
  <c r="B71" i="31"/>
  <c r="B89" i="29" l="1"/>
  <c r="B85" i="29"/>
  <c r="B25" i="29"/>
  <c r="B23" i="29"/>
  <c r="B22" i="29"/>
  <c r="B21" i="29"/>
  <c r="B20" i="29"/>
  <c r="I93" i="33"/>
  <c r="I81" i="33"/>
  <c r="I80" i="33"/>
  <c r="I68" i="33"/>
  <c r="I67" i="33"/>
  <c r="I55" i="33"/>
  <c r="I43" i="33"/>
  <c r="I31" i="33"/>
  <c r="I30" i="33"/>
  <c r="I15" i="32" l="1"/>
  <c r="I14" i="32"/>
  <c r="I13" i="32"/>
  <c r="B157" i="31"/>
  <c r="B154" i="31"/>
  <c r="B151" i="31"/>
  <c r="B158" i="31" l="1"/>
  <c r="I158" i="31" s="1"/>
  <c r="B156" i="31"/>
  <c r="I156" i="31" s="1"/>
  <c r="B155" i="31"/>
  <c r="I155" i="31" s="1"/>
  <c r="B153" i="31"/>
  <c r="I153" i="31" s="1"/>
  <c r="B152" i="31"/>
  <c r="I152" i="31" s="1"/>
  <c r="B150" i="31"/>
  <c r="I150" i="31" s="1"/>
  <c r="B149" i="31"/>
  <c r="B148" i="31"/>
  <c r="B147" i="31"/>
  <c r="I149" i="31" l="1"/>
  <c r="I148" i="31"/>
  <c r="I147" i="31"/>
  <c r="I136" i="31"/>
  <c r="I124" i="31"/>
  <c r="I123" i="31"/>
  <c r="I122" i="31"/>
  <c r="I121" i="31"/>
  <c r="I119" i="31"/>
  <c r="I118" i="31"/>
  <c r="I117" i="31"/>
  <c r="I120" i="31"/>
  <c r="I105" i="31"/>
  <c r="I104" i="31"/>
  <c r="I103" i="31"/>
  <c r="I102" i="31"/>
  <c r="I101" i="31"/>
  <c r="I100" i="31"/>
  <c r="I88" i="31" l="1"/>
  <c r="I87" i="31" l="1"/>
  <c r="I86" i="31"/>
  <c r="I85" i="31"/>
  <c r="I72" i="31"/>
  <c r="I73" i="31"/>
  <c r="I71" i="31"/>
  <c r="I44" i="31"/>
  <c r="I32" i="31"/>
  <c r="I31" i="31"/>
  <c r="I30" i="31"/>
  <c r="I29" i="31"/>
  <c r="I17" i="30"/>
  <c r="I16" i="30"/>
  <c r="I15" i="30"/>
  <c r="I14" i="30"/>
  <c r="I13" i="30"/>
  <c r="I119" i="29" l="1"/>
  <c r="I118" i="29"/>
  <c r="I117" i="29"/>
  <c r="I116" i="29"/>
  <c r="I104" i="29"/>
  <c r="I103" i="29"/>
  <c r="I102" i="29"/>
  <c r="I101" i="29"/>
  <c r="I89" i="29"/>
  <c r="B88" i="29"/>
  <c r="I88" i="29" s="1"/>
  <c r="B87" i="29"/>
  <c r="I87" i="29" s="1"/>
  <c r="B86" i="29"/>
  <c r="I86" i="29" s="1"/>
  <c r="I85" i="29"/>
  <c r="I71" i="29"/>
  <c r="I72" i="29"/>
  <c r="I73" i="29"/>
  <c r="I59" i="29"/>
  <c r="I58" i="29"/>
  <c r="I57" i="29"/>
  <c r="I45" i="29"/>
  <c r="I44" i="29"/>
  <c r="I43" i="29"/>
  <c r="I42" i="29"/>
  <c r="I13" i="29"/>
  <c r="I14" i="29"/>
  <c r="I15" i="29"/>
  <c r="I16" i="29"/>
  <c r="I17" i="29"/>
  <c r="I18" i="29"/>
  <c r="I24" i="29"/>
  <c r="I26" i="29"/>
  <c r="I27" i="29"/>
  <c r="I28" i="29"/>
  <c r="I29" i="29"/>
  <c r="I30" i="29"/>
  <c r="I19" i="29" l="1"/>
  <c r="I25" i="29" l="1"/>
  <c r="I23" i="29"/>
  <c r="I22" i="29"/>
  <c r="I21" i="29"/>
  <c r="I20" i="29"/>
</calcChain>
</file>

<file path=xl/sharedStrings.xml><?xml version="1.0" encoding="utf-8"?>
<sst xmlns="http://schemas.openxmlformats.org/spreadsheetml/2006/main" count="10398" uniqueCount="594">
  <si>
    <t>cutoff</t>
  </si>
  <si>
    <t>Database</t>
  </si>
  <si>
    <t>GENESIS_2030_conventional_NDC</t>
  </si>
  <si>
    <t>format</t>
  </si>
  <si>
    <t>Excel spreadsheet</t>
  </si>
  <si>
    <t>Activity</t>
  </si>
  <si>
    <t>aircraft usage, design mission, conventional</t>
  </si>
  <si>
    <t>categories</t>
  </si>
  <si>
    <t>Use</t>
  </si>
  <si>
    <t>code</t>
  </si>
  <si>
    <t>0808F060E0F94D1BB0380DFA4A9065F5</t>
  </si>
  <si>
    <t>comment</t>
  </si>
  <si>
    <t>Table B1 of GENESIS_LCI_powerplant_short-term_conventional_v01.xlsx. 1 unit corresponds to 1 flight over 1118.88 km (design mission) with 50 passengers</t>
  </si>
  <si>
    <t>location</t>
  </si>
  <si>
    <t>EUR</t>
  </si>
  <si>
    <t>production amount</t>
  </si>
  <si>
    <t>type</t>
  </si>
  <si>
    <t>process</t>
  </si>
  <si>
    <t>unit</t>
  </si>
  <si>
    <t>Exchanges</t>
  </si>
  <si>
    <t>name</t>
  </si>
  <si>
    <t>amount</t>
  </si>
  <si>
    <t>database</t>
  </si>
  <si>
    <t>uncertainty type</t>
  </si>
  <si>
    <t>loc</t>
  </si>
  <si>
    <t>scale</t>
  </si>
  <si>
    <t>shape</t>
  </si>
  <si>
    <t>minimum</t>
  </si>
  <si>
    <t>maximum</t>
  </si>
  <si>
    <t>None</t>
  </si>
  <si>
    <t>production</t>
  </si>
  <si>
    <t>(Unknown)</t>
  </si>
  <si>
    <t>production of aircraft, conventional</t>
  </si>
  <si>
    <t>technosphere</t>
  </si>
  <si>
    <t>taken into account 20 years lifetime and 4 flights a day</t>
  </si>
  <si>
    <t>airport use</t>
  </si>
  <si>
    <t>RER</t>
  </si>
  <si>
    <t>taken into consideration the 18835 departing and 18859 landing flights. Could also be downscaled according to passengers (2133976)</t>
  </si>
  <si>
    <t>market for kerosene</t>
  </si>
  <si>
    <t>kilogram</t>
  </si>
  <si>
    <t>ecoinvent_remind_SSP2-NDC_2030</t>
  </si>
  <si>
    <t>Europe without Switzerland</t>
  </si>
  <si>
    <t>Nitrogen oxides</t>
  </si>
  <si>
    <t>biosphere3</t>
  </si>
  <si>
    <t>air</t>
  </si>
  <si>
    <t>biosphere</t>
  </si>
  <si>
    <t>Carbon monoxide, fossil</t>
  </si>
  <si>
    <t>Hydrocarbons, aliphatic, alkanes, unspecified</t>
  </si>
  <si>
    <t>Carbon dioxide, fossil</t>
  </si>
  <si>
    <t>Water</t>
  </si>
  <si>
    <t>cubic meter</t>
  </si>
  <si>
    <t>Sulfur oxides</t>
  </si>
  <si>
    <t>aircraft usage, typical mission, conventional</t>
  </si>
  <si>
    <t>F2FEAAE907F648A69BFB501E91366D35</t>
  </si>
  <si>
    <t>Table B2 of GENESIS_LCI_powerplant_short-term_conventional_v01.xlsx. 1 unit corresponds to 1 flight over 378.057 km (design mission) with 50 passengers</t>
  </si>
  <si>
    <t>taken into account 20 years lifetime and 6 flights a day</t>
  </si>
  <si>
    <t>aircraft usage, design mission, conventional, SAF</t>
  </si>
  <si>
    <t>BA3B99FBFBDA4677867DD3202F1BD7CC</t>
  </si>
  <si>
    <t>Table B1 of GENESIS_LCI_powerplant_short-term_conventional_v01.xlsx. 1 unit corresponds to 1 flight over 1118.88 km (design mission) with 50 passengers using SAF</t>
  </si>
  <si>
    <t>SAF production, biodiesel proxy</t>
  </si>
  <si>
    <t>BR</t>
  </si>
  <si>
    <t>aircraft usage, typical mission, conventional, SAF</t>
  </si>
  <si>
    <t>BE40C283116D46E986C246F2B77A86D7</t>
  </si>
  <si>
    <t>Table B2 of GENESIS_LCI_powerplant_short-term_conventional_v01.xlsx. 1 unit corresponds to 1 flight over 378.057 km (design mission) with 50 passengers using SAF</t>
  </si>
  <si>
    <t>You can tell the importer to ignore some columns, where you can do calculations or take notes.</t>
  </si>
  <si>
    <t>biodiesel, vehicle grade</t>
  </si>
  <si>
    <t>SAF</t>
  </si>
  <si>
    <t>ee1a8bb0f96d4982bff1a4b69ee4901c</t>
  </si>
  <si>
    <t>ED28A167477F4AC1A8A8BDA5F0F70CD13</t>
  </si>
  <si>
    <t>proxy for short term SAF</t>
  </si>
  <si>
    <t>'Biodiesel production, via transesterification, from palm oil, energy allocation' (kilogram, LAM, None)</t>
  </si>
  <si>
    <t>biodiesel, from palm oil</t>
  </si>
  <si>
    <t>5367e43e64ba43bf829537a77806e999</t>
  </si>
  <si>
    <t>reference product</t>
  </si>
  <si>
    <t>Biodiesel production, via transesterification, from palm oil, energy allocation</t>
  </si>
  <si>
    <t>LAM</t>
  </si>
  <si>
    <t>according to the emission index provided by UNINA</t>
  </si>
  <si>
    <t>Airframe</t>
  </si>
  <si>
    <t>37FFB979681B4B78ACA8544CB7ACA6A3</t>
  </si>
  <si>
    <t>Table 00 of GENESIS_LCI_airframe_short-term_conventional_v01.xlsx. 1 unit corresponds to 11163.5 kg of airframe structure</t>
  </si>
  <si>
    <t>Production of Power Plant, Conventional</t>
  </si>
  <si>
    <t>production of structure/airframe, conventional</t>
  </si>
  <si>
    <t>production of systems, conventional</t>
  </si>
  <si>
    <t>production of furnishing, conventional</t>
  </si>
  <si>
    <t>production of operative equipment, conventional</t>
  </si>
  <si>
    <t>Decommissioning of aircraft, conventional, Short-Term</t>
  </si>
  <si>
    <t>GLO</t>
  </si>
  <si>
    <t>EoL, conventional, Short-Term</t>
  </si>
  <si>
    <t>4B5C8D9CA0434FE4AED70722F35072B6</t>
  </si>
  <si>
    <t>decomissioning master process for aiframe, powerplant and power electronics and drives</t>
  </si>
  <si>
    <t>full names</t>
  </si>
  <si>
    <t>comment 2</t>
  </si>
  <si>
    <t>treatment of titanium,powerplant, conventional, Short-Term</t>
  </si>
  <si>
    <t>powerplant EoL, conventional, Short-Term</t>
  </si>
  <si>
    <t>69789903FBEA4E7C86B8882F20DC0645</t>
  </si>
  <si>
    <t>powerplant</t>
  </si>
  <si>
    <t>from pamela: 50% recycled and 50% landfilled</t>
  </si>
  <si>
    <t>market group for electricity, medium voltage</t>
  </si>
  <si>
    <t>kilowatt hour</t>
  </si>
  <si>
    <t>waste amounts= input mass*ratio - input mass</t>
  </si>
  <si>
    <t>assumed proxy LHV: 114MJ/kg, Rupcic et al. https://doi.org/10.1016/j.cirp.2022.04.047 , 50% goes to be melted and recycled</t>
  </si>
  <si>
    <t>-</t>
  </si>
  <si>
    <t>60% el</t>
  </si>
  <si>
    <t>MJ</t>
  </si>
  <si>
    <t>kWh</t>
  </si>
  <si>
    <t>market for natural gas, high pressure</t>
  </si>
  <si>
    <t>World</t>
  </si>
  <si>
    <t>40% natural gas</t>
  </si>
  <si>
    <t>m3</t>
  </si>
  <si>
    <t>market for titanium</t>
  </si>
  <si>
    <t>substitution</t>
  </si>
  <si>
    <t>kg</t>
  </si>
  <si>
    <t>treatment of basic oxygen furnace secondary metallurgy slag, residual material landfill</t>
  </si>
  <si>
    <t>remaining 50% slag to landfill</t>
  </si>
  <si>
    <t>treatment of CFRP,powerplant, conventional, Short-Term</t>
  </si>
  <si>
    <t>162F1A9D70474ED3928DFAAC536FCFC1</t>
  </si>
  <si>
    <t>treatment of waste plastic, mixture, municipal incineration</t>
  </si>
  <si>
    <t>RoW</t>
  </si>
  <si>
    <t xml:space="preserve">assumption for Polypropylene, Polyethylene therephtalate (PET),Polyurethane resin, Polyphenylene sulfide (PPS), Polypropylene </t>
  </si>
  <si>
    <t>LHV of mixture (ecoinvent) = 34,78 MJ/kg</t>
  </si>
  <si>
    <t>roughly assuming the LHV is comparable to that of an average plastic</t>
  </si>
  <si>
    <t>market group for electricity, low voltage</t>
  </si>
  <si>
    <t>electricity recovery from plastic , We assume 50% of heat recovery from incineration, LHV = 34,78 MJ/kg converted to kWh</t>
  </si>
  <si>
    <t>market group for heat, district or industrial, natural gas</t>
  </si>
  <si>
    <t>megajoule</t>
  </si>
  <si>
    <t>heat recovery from plastic packaging, We assume 50% of electricity recovery from incinertion LHV = 34,78 MJ/kg</t>
  </si>
  <si>
    <t>treatment of waste plastic, mixture, sanitary landfill</t>
  </si>
  <si>
    <t>assumed 50% landfilled form Pamela project</t>
  </si>
  <si>
    <t>treatment of aluminium,powerplant, conventional, Short-Term</t>
  </si>
  <si>
    <t>33F477CFDBCB405391908F2491B0F118</t>
  </si>
  <si>
    <t>from pamela: (using aluminium in "all materials") 85% recycled and 15% landfilled</t>
  </si>
  <si>
    <t>treatment of aluminium scrap, post-consumer, by collecting, sorting, cleaning, pressing</t>
  </si>
  <si>
    <t>assuming same EoL percentages as specified for engine for steel in pamela project</t>
  </si>
  <si>
    <t>treatment of aluminium scrap, post-consumer, prepared for recycling, at refiner</t>
  </si>
  <si>
    <t>aluminium, cast alloy</t>
  </si>
  <si>
    <t>includes remelting</t>
  </si>
  <si>
    <t>market for aluminium, cast alloy</t>
  </si>
  <si>
    <t>treatment of iron-nickel chromium alloy,powerplant, conventional, Short-Term</t>
  </si>
  <si>
    <t>FB03C16B690F40E39B5F7B3A317E21AE</t>
  </si>
  <si>
    <t>treatment of electronics scrap, metals recovery in copper smelter</t>
  </si>
  <si>
    <t>metal part of electronics scrap, in copper, anode</t>
  </si>
  <si>
    <t>market for iron-nickel-chromium alloy</t>
  </si>
  <si>
    <t>treatment of nickel,powerplant, conventional, Short-Term</t>
  </si>
  <si>
    <t>5CD9B4AE8DD546D8994FB29C32AE3742</t>
  </si>
  <si>
    <t>market for nickel, class 1</t>
  </si>
  <si>
    <t>treatment of copper,powerplant, conventional, Short-Term</t>
  </si>
  <si>
    <t>A78C94BFD705430CB124E21AB7996301</t>
  </si>
  <si>
    <t>market for copper-rich materials</t>
  </si>
  <si>
    <t>treatment of magnesium alloy powerplant, conventional, Short-Term</t>
  </si>
  <si>
    <t>4335D843A7824447BCE3C08638AFB0B1</t>
  </si>
  <si>
    <t>from pamela: (using magnesium in "all materials") 85% recycled and 15% landfilled</t>
  </si>
  <si>
    <t>10% of not magnesium in alloy</t>
  </si>
  <si>
    <t>proxy for magnesium (90% of total weight * 85% recycled as indicated by Pamela project)</t>
  </si>
  <si>
    <t>15% landfilled * 90% magnesium</t>
  </si>
  <si>
    <t>treatment of rubber and cellulose fibre powerplant, conventional, Short-Term</t>
  </si>
  <si>
    <t>C06FA2935FD34CD88AB015F69A731E39</t>
  </si>
  <si>
    <t>no el or heat recovery</t>
  </si>
  <si>
    <t>market for hazardous waste, for incineration</t>
  </si>
  <si>
    <t>treatment of powerplant, conventional, Short-Term</t>
  </si>
  <si>
    <t>D1443E23C98F4D77AF9FE53CD3183471</t>
  </si>
  <si>
    <t>treatment of aluminium, wing, airframe, conventional, Short-Term</t>
  </si>
  <si>
    <t>0D6678B59EEC41E39100598CF1E0713C</t>
  </si>
  <si>
    <t>airframe EoL, same for all configs</t>
  </si>
  <si>
    <t>airframe EoL, conventional, Short-Term</t>
  </si>
  <si>
    <t>assuming % for wing aluminium -project Pamela</t>
  </si>
  <si>
    <t>assuming 90% of that is recovered</t>
  </si>
  <si>
    <t>treatment of CFRP, wing, airframe, conventional, Short-Term</t>
  </si>
  <si>
    <t>0A6C76E781CD43F3A6D7D7F99F90A09A</t>
  </si>
  <si>
    <t>assuming % for wing composites -project Pamela</t>
  </si>
  <si>
    <t>heat recovery from plastic , We assume 50% of electricity recovery from incinertion LHV = 34,78 MJ/kg</t>
  </si>
  <si>
    <t>treatment of steel, wing, airframe, conventional, Short-Term</t>
  </si>
  <si>
    <t>8FD25591CC0C46B595B06F394B0E05A2</t>
  </si>
  <si>
    <t>assuming % for wing steel -project Pamela</t>
  </si>
  <si>
    <t>treatment of waste reinforcement steel, recycling</t>
  </si>
  <si>
    <t>market for steel, low-alloyed, hot rolled</t>
  </si>
  <si>
    <t>crediting assuming 90% is recovered</t>
  </si>
  <si>
    <t>rest to slag landfill</t>
  </si>
  <si>
    <t>treatment of titanium, wing, airframe, conventional, Short-Term</t>
  </si>
  <si>
    <t>D2D046AAD49F4DF4819AFFE4927F6418</t>
  </si>
  <si>
    <t>required el from rupcic et al.</t>
  </si>
  <si>
    <t>required heat from Rupcic et al.</t>
  </si>
  <si>
    <t>treatment of aluminium, tail, airframe, conventional, Short-Term</t>
  </si>
  <si>
    <t>573922E9210A43579665F086D2D5B062</t>
  </si>
  <si>
    <t>assuming % for tail aluminium -project Pamela</t>
  </si>
  <si>
    <t>treatment of composites, tail, airframe, conventional, Short-Term</t>
  </si>
  <si>
    <t>E02A83C5066149419E70507817D711B5</t>
  </si>
  <si>
    <t>airframe EoL, works for CFRP and GFRP, same for all configs</t>
  </si>
  <si>
    <t>assuming % for stabilising part composites -project Pamela</t>
  </si>
  <si>
    <t>treatment of aluminium, fuselage, airframe, conventional, Short-Term</t>
  </si>
  <si>
    <t>2AEC534AC2B9431C986AB19FCBEA3A12</t>
  </si>
  <si>
    <t>assuming % for fuselage aluminium -project Pamela</t>
  </si>
  <si>
    <t>treatment of composites, fuselage, airframe, conventional, Short-Term</t>
  </si>
  <si>
    <t>97CCD8A0F932410B8FC30FA0ACDA435A</t>
  </si>
  <si>
    <t>assuming % for fuesalage composites -project Pamela</t>
  </si>
  <si>
    <t>treatment of steel, fuselage, airframe, conventional, Short-Term</t>
  </si>
  <si>
    <t>6F34126744984A859D53DF3C096F7747</t>
  </si>
  <si>
    <t>assuming % for fuselage steel -project Pamela</t>
  </si>
  <si>
    <t>treatment of titanium, fuselage, airframe, conventional, Short-Term</t>
  </si>
  <si>
    <t>CB2E5F2BB422453CA9768B6A4D6E8334</t>
  </si>
  <si>
    <t>needed el</t>
  </si>
  <si>
    <t>assumed proxy LHV: 114MJ/kg, Rupcic et al. https://doi.org/10.1016/j.cirp.2022.04.047</t>
  </si>
  <si>
    <t>needed heat</t>
  </si>
  <si>
    <t xml:space="preserve">assumed proxy LHV: 114MJ/kg, Rupcic et al. https://doi.org/10.1016/j.cirp.2022.04.047 , </t>
  </si>
  <si>
    <t>slag to landfill</t>
  </si>
  <si>
    <t>treatment of frunishing and, operative equipment, airframe, conventional, Short-Term</t>
  </si>
  <si>
    <t>4429C0C7336045B989EB88E7B307DF1B</t>
  </si>
  <si>
    <t>% for fuselage from pamela project</t>
  </si>
  <si>
    <t>viscose: assuming incineration and no heat or el recovery</t>
  </si>
  <si>
    <t>iron-nickel-chromium alloy</t>
  </si>
  <si>
    <t>magnesium 'alloy</t>
  </si>
  <si>
    <t>nylon 6: assuming incineration and no heat or el recovery</t>
  </si>
  <si>
    <t>paper: assuming incineration and no heat or el recovery</t>
  </si>
  <si>
    <t>silicone: assuming incineration and no heat or el recovery</t>
  </si>
  <si>
    <t>steel</t>
  </si>
  <si>
    <t>titanium</t>
  </si>
  <si>
    <t>treatment wing , airframe, conventional, Short-Term</t>
  </si>
  <si>
    <t>CDA4BB82E5724BE6B9AEF9C621D73F93</t>
  </si>
  <si>
    <t>airframe EoL, changes for different config</t>
  </si>
  <si>
    <t>treatment tail , airframe, conventional, Short-Term</t>
  </si>
  <si>
    <t>344330F43E72429AA0DC5C65D25C9105</t>
  </si>
  <si>
    <t>CFRP</t>
  </si>
  <si>
    <t>GFRP</t>
  </si>
  <si>
    <t>treatment fuselage , airframe, conventional, Short-Term</t>
  </si>
  <si>
    <t>F30083A33DC24954AD95DE2A00CB6CE4</t>
  </si>
  <si>
    <t>treatment systems, airframe, conventional, Short-Term</t>
  </si>
  <si>
    <t>29C4D90B8ED243D2A428F90AEB4F48AF</t>
  </si>
  <si>
    <t>assuming same percentages as for fuselage</t>
  </si>
  <si>
    <t>assuming same tratment for copper as in powerplant</t>
  </si>
  <si>
    <t>treatment of electronics scrap from control units</t>
  </si>
  <si>
    <t>treatment of airframe , conventional, Short-Term</t>
  </si>
  <si>
    <t>6E6B00B353DC4A47A5F93CB10B42DF5A</t>
  </si>
  <si>
    <t xml:space="preserve">  </t>
  </si>
  <si>
    <t>Aircraft</t>
  </si>
  <si>
    <t>866C8316FF114F9987EC0DEA4817F114</t>
  </si>
  <si>
    <t>Table 0 of GENESIS_LCI_airframe_short-term_conventional_v01.xlsx. 1 unit corresponds to 5485 kg of airframe structure</t>
  </si>
  <si>
    <t>production of wings and control surfaces for airframe, conventional</t>
  </si>
  <si>
    <t>production of horizontal Tail for airframe, conventional</t>
  </si>
  <si>
    <t>production of vertical Tail for airframe, conventional</t>
  </si>
  <si>
    <t>production of fuselage for airframe, conventional</t>
  </si>
  <si>
    <t>production of main undercarriage for airframe, conventional</t>
  </si>
  <si>
    <t>production of nose undercarriage for airframe, conventional</t>
  </si>
  <si>
    <t>market for diesel</t>
  </si>
  <si>
    <t>market group for tap water</t>
  </si>
  <si>
    <t>market for wastewater, average</t>
  </si>
  <si>
    <t>VOC, volatile organic compounds, unspecified origin</t>
  </si>
  <si>
    <t>treatment of waste plastic, industrial electronics, municipal incineration</t>
  </si>
  <si>
    <t>8C7E2D4A1D994218BDF436661E3C914A</t>
  </si>
  <si>
    <t>Table 1 of GENESIS_LCI_airframe_short-term_conventional_v01.xlsx. 1 unit corresponds to 1839.2 kg of airframe structure</t>
  </si>
  <si>
    <t>market for aluminium alloy, AlMg3</t>
  </si>
  <si>
    <t>market for reinforcing steel</t>
  </si>
  <si>
    <t>market for carbon fibre reinforced plastic, injection moulded</t>
  </si>
  <si>
    <t>B7B89EF16E6F49B2B915051FE595481E</t>
  </si>
  <si>
    <t>Table 2 of GENESIS_LCI_airframe_short-term_conventional_v01.xlsx. 1 unit corresponds to 201 kg of the horizontal tail</t>
  </si>
  <si>
    <t>market for glass fibre reinforced plastic, polyamide, injection moulded</t>
  </si>
  <si>
    <t>7075311181464349930562CF352A2395</t>
  </si>
  <si>
    <t>Table 3 of GENESIS_LCI_airframe_short-term_conventional_v01.xlsx. 1 unit corresponds to 257.4 kg of the vertical tail</t>
  </si>
  <si>
    <t>AC4588891BD64434B1E4C5298240C664</t>
  </si>
  <si>
    <t>Table 4 of GENESIS_LCI_airframe_short-term_conventional_v01.xlsx. 1 unit corresponds to 2374.3 kg of the fuselage. Amount of misc material distributed evenly on the remaining materials</t>
  </si>
  <si>
    <t>C47E82889A394C4B94774DC085988AF0</t>
  </si>
  <si>
    <t>Table 5 of GENESIS_LCI_airframe_short-term_conventional_v01.xlsx. 1 unit corresponds to 659.3 kg of the main undercarriage.</t>
  </si>
  <si>
    <t>8B54AD66CA0D4F1CA284D579E5C59F02</t>
  </si>
  <si>
    <t>Table 5 of GENESIS_LCI_airframe_short-term_conventional_v01.xlsx. 1 unit corresponds to 153.8 kg of the nose undercarriage.</t>
  </si>
  <si>
    <t>BF18CFA1312848E58146221A89377C43</t>
  </si>
  <si>
    <t>Table 7 of GENESIS_LCI_airframe_short-term_conventional_v01.xlsx. 1 unit corresponds to 2257.6 kg of systems</t>
  </si>
  <si>
    <t>production of air conditioning system for systems, conventional</t>
  </si>
  <si>
    <t>production of electrical systems for systems, conventional</t>
  </si>
  <si>
    <t>production of pneumatic/hydraulic systems for systems, conventional</t>
  </si>
  <si>
    <t>production of instruments for systems, conventional</t>
  </si>
  <si>
    <t>production of APU for systems, conventional</t>
  </si>
  <si>
    <t>Systems</t>
  </si>
  <si>
    <t>39364CCBDB5E427BAB090943103853A0</t>
  </si>
  <si>
    <t>Table 10 of GENESIS_LCI_airframe_short-term_conventional_v01.xlsx. 1 unit corresponds to 591.4 kg of the AC system.</t>
  </si>
  <si>
    <t>market for copper, cathode</t>
  </si>
  <si>
    <t>market for polypropylene, granulate</t>
  </si>
  <si>
    <t>813991AEA6A247DDACB78CAC8E547569</t>
  </si>
  <si>
    <t>Table 7 of GENESIS_LCI_airframe_short-term_conventional_v01.xlsx. 1 unit corresponds to 741.6 kg of the electrical systems.</t>
  </si>
  <si>
    <t>market for electronics, for control units</t>
  </si>
  <si>
    <t>079223B7950040C39F8AD4ED30BA9B32</t>
  </si>
  <si>
    <t>Table 11 of GENESIS_LCI_airframe_short-term_conventional_v01.xlsx. 1 unit corresponds to 416.1 kg of the pneumatic/hydraulic systems.</t>
  </si>
  <si>
    <t>production of valves for pneumatic/hydraulic systems, conventional</t>
  </si>
  <si>
    <t>production of filters for pneumatic/hydraulic systems, conventional</t>
  </si>
  <si>
    <t>production of pumps for pneumatic/hydraulic systems, conventional</t>
  </si>
  <si>
    <t>production of lines/pipes for pneumatic/hydraulic systems, conventional</t>
  </si>
  <si>
    <t>Pneumatic/hydraulic systems</t>
  </si>
  <si>
    <t>F9967964549042AD8E0B8C42ED794D47</t>
  </si>
  <si>
    <t>Table 11 of GENESIS_LCI_airframe_short-term_conventional_v01.xlsx. 1 unit corresponds to 120.864 kg of the valves.</t>
  </si>
  <si>
    <t>market for steel, low-alloyed</t>
  </si>
  <si>
    <t>9D134265CF7E44A2959739DBC2EB1D6E</t>
  </si>
  <si>
    <t>Table 11 of GENESIS_LCI_airframe_short-term_conventional_v01.xlsx. 1 unit corresponds to 36.409 kg of the filters.</t>
  </si>
  <si>
    <t>market for cellulose fibre</t>
  </si>
  <si>
    <t>B3BCA3A1A8CF4AFC9453A3E716E41333</t>
  </si>
  <si>
    <t>Table 11 of GENESIS_LCI_airframe_short-term_conventional_v01.xlsx. 1 unit corresponds to 98.824 kg of the pumps.</t>
  </si>
  <si>
    <t>treatment of aluminium scrap, post-consumer, prepared for recycling, at remelter</t>
  </si>
  <si>
    <t>7D66CED5A1DE431FB1B7CC137E878F78</t>
  </si>
  <si>
    <t>Table 11 of GENESIS_LCI_airframe_short-term_conventional_v01.xlsx. 1 unit corresponds to 182.044 kg of the lines/pipes.</t>
  </si>
  <si>
    <t>market for synthetic rubber</t>
  </si>
  <si>
    <t>treatment of waste rubber, unspecified, municipal incineration</t>
  </si>
  <si>
    <t>E3B2D1306BCB492290253CCC7115C36E</t>
  </si>
  <si>
    <t>Table 7 of GENESIS_LCI_airframe_short-term_conventional_v01.xlsx. 1 unit corresponds to 326.9 kg of the instruments.</t>
  </si>
  <si>
    <t>01C076B2C55841369149E7BC8A87212B</t>
  </si>
  <si>
    <t>Table 12 of GENESIS_LCI_airframe_short-term_conventional_v01.xlsx. 1 unit corresponds to 181.6 kg of the APU.</t>
  </si>
  <si>
    <t>market for magnesium-alloy, AZ91</t>
  </si>
  <si>
    <t>63A2F271D96742C49C5E0667AED70D92</t>
  </si>
  <si>
    <t>Table 8 of GENESIS_LCI_airframe_short-term_conventional_v01.xlsx. 1 unit corresponds to 1158.8 kg of furnishing</t>
  </si>
  <si>
    <t>market for nylon 6</t>
  </si>
  <si>
    <t>market for fibre, viscose</t>
  </si>
  <si>
    <t>market for polyurethane, flexible foam, flame retardant</t>
  </si>
  <si>
    <t>D0B1C6825EF140E7917496E3BE8AD9FD</t>
  </si>
  <si>
    <t>Table 9 of GENESIS_LCI_airframe_short-term_conventional_v01.xlsx. 1 unit corresponds to 430.9 kg of operative equipment</t>
  </si>
  <si>
    <t>production of trolleys</t>
  </si>
  <si>
    <t>production of galley</t>
  </si>
  <si>
    <t>production of manuals</t>
  </si>
  <si>
    <t>production of fire extinguishers</t>
  </si>
  <si>
    <t>production of oxygen masks</t>
  </si>
  <si>
    <t>production of life vests</t>
  </si>
  <si>
    <t>Operative equipment</t>
  </si>
  <si>
    <t>FB3D3662971940E2BC2117562A9D4665</t>
  </si>
  <si>
    <t>Table 9 of GENESIS_LCI_airframe_short-term_conventional_v01.xlsx. 1 unit corresponds to 19 kg of trolleys</t>
  </si>
  <si>
    <t>B52EAA71759749C5B2EC88CBB69F0FB6</t>
  </si>
  <si>
    <t>Table 9 of GENESIS_LCI_airframe_short-term_conventional_v01.xlsx. 1 unit corresponds to 301.190 kg of galley</t>
  </si>
  <si>
    <t>26394D604703401FA76EF5CD773B80D5</t>
  </si>
  <si>
    <t>Table 9 of GENESIS_LCI_airframe_short-term_conventional_v01.xlsx. 1 unit corresponds to 10 kg of Manuals</t>
  </si>
  <si>
    <t>market for printed paper</t>
  </si>
  <si>
    <t>D2A4BB91AA034E78A5DA6DEF2F54D03F</t>
  </si>
  <si>
    <t>Table 9 of GENESIS_LCI_airframe_short-term_conventional_v01.xlsx. 1 unit corresponds to 18.060 kg of fire extinguishers</t>
  </si>
  <si>
    <t>market for 1,1-difluoroethane, HFC-152a</t>
  </si>
  <si>
    <t>as proxy for HFC-227</t>
  </si>
  <si>
    <t>972FD20C1F6848429263C50594D96A9A</t>
  </si>
  <si>
    <t>Table 9 of GENESIS_LCI_airframe_short-term_conventional_v01.xlsx. 1 unit corresponds to 21 kg of oxygen masks</t>
  </si>
  <si>
    <t>market for silicone product</t>
  </si>
  <si>
    <t>market for polyvinylchloride, emulsion polymerised</t>
  </si>
  <si>
    <t>4B41C7BCCC5448B2B5BBD97680E141E0</t>
  </si>
  <si>
    <t>Table 9 of GENESIS_LCI_airframe_short-term_conventional_v01.xlsx. 1 unit corresponds to 61.6 kg of life vests</t>
  </si>
  <si>
    <t xml:space="preserve"> </t>
  </si>
  <si>
    <t>Power plant</t>
  </si>
  <si>
    <t>974BB07DF6ED4E49B79076B9CC74C462</t>
  </si>
  <si>
    <t>Table 00 (lifetime: 20 years) of GENESIS_LCI_powerplant_short-term_conventional_v01_DTU</t>
  </si>
  <si>
    <t>additional comment/assumptions</t>
  </si>
  <si>
    <t>Production of Engine, Conventional</t>
  </si>
  <si>
    <t>Production of Gearbox, Conventional</t>
  </si>
  <si>
    <t>Production of Propellers, Conventional</t>
  </si>
  <si>
    <t>Production of Fuel System, Conventional</t>
  </si>
  <si>
    <t xml:space="preserve">conversions: </t>
  </si>
  <si>
    <t>market group for electricity, high voltage</t>
  </si>
  <si>
    <t>market group for diesel</t>
  </si>
  <si>
    <t/>
  </si>
  <si>
    <t>718ABF285FE444E69F22ACC399CC26CA</t>
  </si>
  <si>
    <t>Table A1 of GENESIS_LCI_powerplant_short-term_conventional_v01_DTU</t>
  </si>
  <si>
    <t>Production of Turboprop Engine, Conventional</t>
  </si>
  <si>
    <t>Production of Nacelle, Conventional</t>
  </si>
  <si>
    <t>7380D244ACD742DB99002D28EA0FA7D2</t>
  </si>
  <si>
    <t>Table A1.1  of GENESIS_LCI_powerplant_short-term_conventional_v01_DTU</t>
  </si>
  <si>
    <t>input= input mass*ratio</t>
  </si>
  <si>
    <t>assumed proxy for Aluminium alloy (Al5052)</t>
  </si>
  <si>
    <t>assumed proxy for titanium aluminide</t>
  </si>
  <si>
    <t>assumed proxy for Nickel Alloy</t>
  </si>
  <si>
    <t>market for aluminium alloy, metal matrix composite</t>
  </si>
  <si>
    <t>assumed proxy for Metal Matrix Composite</t>
  </si>
  <si>
    <t>assumed proxy for Ceramic Matrix Composite</t>
  </si>
  <si>
    <t>assumed proxy for treatment of Aluminium alloy (Al5052)</t>
  </si>
  <si>
    <t>assumed proxy for substituted scraps of Aluminium alloy (Al5052)</t>
  </si>
  <si>
    <t xml:space="preserve">assumed proxy for treatment of titanium 114MJ/kg, Rupcic et al. https://doi.org/10.1016/j.cirp.2022.04.047 </t>
  </si>
  <si>
    <t>assumed proxy for treatment of titanium 114MJ/kg from Rupcic et al. https://doi.org/10.1016/j.cirp.2022.04.047</t>
  </si>
  <si>
    <t>assumed proxy for substituted scraps of titanium</t>
  </si>
  <si>
    <t>assumed proxy for treatment of magnesium-alu alloy</t>
  </si>
  <si>
    <t>assumed proxy for substituted scraps of magnesium-alu alloy</t>
  </si>
  <si>
    <t>assumed proxy for treatment of Nickel alloy</t>
  </si>
  <si>
    <t>assumed proxy for susbtituted scraps of Nickel alloy</t>
  </si>
  <si>
    <t>assumed proxy for treatment of Metal Matrix Composite</t>
  </si>
  <si>
    <t>assumed proxy for substituted scraps of Metal Matrix Composite</t>
  </si>
  <si>
    <t>assumed proxy for treatment of Ceramic Matrix Composite</t>
  </si>
  <si>
    <t>assumed proxy for substituted scraps of Ceramic Matrix Composite</t>
  </si>
  <si>
    <t>0755D3225A4C4630A03C99E7D16EA821</t>
  </si>
  <si>
    <t>Table A.1.2 of GENESIS_LCI_powerplant_short-term_conventional_v01_DTU</t>
  </si>
  <si>
    <t>market for titanium, triple-melt</t>
  </si>
  <si>
    <t>assumed proxy for titanium alloy</t>
  </si>
  <si>
    <t>assumed proxy for Aluminium alloy (Al2023/Al2019/Al7000)</t>
  </si>
  <si>
    <t>Incineration of CFRP</t>
  </si>
  <si>
    <t>assumed proxy for treatment of CFRP</t>
  </si>
  <si>
    <t>assumed proxy for substituted scraps of titanium triple-melt</t>
  </si>
  <si>
    <t>assumed proxy for treatment of Aluminium alloy (Al2023/Al2019/Al7000)</t>
  </si>
  <si>
    <t>assumed proxy for substituted scraps of Aluminium alloy (Al2023/Al2019/Al7000)</t>
  </si>
  <si>
    <t>82A2C1230970458AB00D9DEA38B4CF61</t>
  </si>
  <si>
    <t>Table B1 of GENESIS_LCI_powerplant_short-term_conventional_v01_DTU</t>
  </si>
  <si>
    <t>assumed proxy for steel alloy</t>
  </si>
  <si>
    <t>assumed proxy for Aluminium alloy (ADC-12)</t>
  </si>
  <si>
    <t>assumed proxy for treatment steel alloy</t>
  </si>
  <si>
    <t>assumed proxy for substituted scraps of steel alloy</t>
  </si>
  <si>
    <t>assumed proxy for treatment Aluminium alloy (ADC-12)</t>
  </si>
  <si>
    <t>assumed proxy for substituted scraps of Aluminium alloy (ADC-12)</t>
  </si>
  <si>
    <t>3657B3ADBE924EE8A39D5B509BEA60DC</t>
  </si>
  <si>
    <t>Table C.1 of GENESIS_LCI_powerplant_short-term_conventional_v01_DTU</t>
  </si>
  <si>
    <t>assumed proxy for 20% of ASC-II composite material along with steel 80%</t>
  </si>
  <si>
    <t>assumed proxy for 80% of ASC-II composite material along with CFRP</t>
  </si>
  <si>
    <t>assumed proxy for Aluminum alloy (Al2024/Al2017/Al2014)</t>
  </si>
  <si>
    <t>assumed proxy for treatment of steel low alloyed</t>
  </si>
  <si>
    <t>assumed proxy for substituted scraps of steel low alloyed</t>
  </si>
  <si>
    <t>assumed proxy for treatment Aluminium alloy (Al2024/Al2017/Al2014)</t>
  </si>
  <si>
    <t>assumed proxy for substituted scraps of Aluminium alloy (Al2024/Al2017/Al2014)</t>
  </si>
  <si>
    <t>29E082A162C54209A3ABF61813D8BD94</t>
  </si>
  <si>
    <t>Table D.1 of GENESIS_LCI_powerplant_short-term_conventional_v01_DTU</t>
  </si>
  <si>
    <t>Production of Fuel Valves, Conventional</t>
  </si>
  <si>
    <t>Production of Fuel Filters, Conventional</t>
  </si>
  <si>
    <t>Production of Fuel Pump, Conventional</t>
  </si>
  <si>
    <t>Production of Fuel Lines, Conventional</t>
  </si>
  <si>
    <t>Production of Fuel Heater, Conventional</t>
  </si>
  <si>
    <t>2060D61A245E4F2F8F8F8CF0C8001034</t>
  </si>
  <si>
    <t>Table D1.2 of GENESIS_LCI_powerplant_short-term_conventional_v01_DTU</t>
  </si>
  <si>
    <t>assumed proxy for steel low alloyed</t>
  </si>
  <si>
    <t>D210153CAE9343BA92F70AAFE69EBC70</t>
  </si>
  <si>
    <t>Table D1.3 of GENESIS_LCI_powerplant_short-term_conventional_v01_DTU</t>
  </si>
  <si>
    <t xml:space="preserve">market for tin plated chromium steel sheet, 2 mm </t>
  </si>
  <si>
    <t>square meter</t>
  </si>
  <si>
    <t>assumed proxy for coated steel 68,82 kg converted to square metres based on density of 7300</t>
  </si>
  <si>
    <t>m2 (with thickness of 2mm)</t>
  </si>
  <si>
    <t>assumed proxy for Resin impregnated microfiberglass/cellulose media</t>
  </si>
  <si>
    <t>assumed proxy for treatment of coated steel</t>
  </si>
  <si>
    <t>assumed proxy for substituted scraps of coated steel 64,232 kg converted to square metres based on density of 7300</t>
  </si>
  <si>
    <t>Incineration of biowaste</t>
  </si>
  <si>
    <t>assumed proxy for treatment of Resin impregnated microfiberglass/cellulose media</t>
  </si>
  <si>
    <t>E8FE6AC6F6CD4EFFA7C9BA5F1C0163EC</t>
  </si>
  <si>
    <t>Table D1.5 of GENESIS_LCI_powerplant_short-term_conventional_v01_DTU</t>
  </si>
  <si>
    <t>market for casting, steel, lost-wax</t>
  </si>
  <si>
    <t>assumed proxy for steel casting process (does not include steel input)</t>
  </si>
  <si>
    <t>assumed proxy for cast steel</t>
  </si>
  <si>
    <t>assumed proxy for aluminium alloy</t>
  </si>
  <si>
    <t>assumed proxy for treatment of cast steel</t>
  </si>
  <si>
    <t>assumed proxy for substituted scraps of  cast steel</t>
  </si>
  <si>
    <t>assumed proxy for treatment Aluminium alloy</t>
  </si>
  <si>
    <t xml:space="preserve">assumed proxy for substituted scraps of Aluminium alloy </t>
  </si>
  <si>
    <t>7BF97872554F43EF87E603FA5532C81D</t>
  </si>
  <si>
    <t>Table D1.6 of GENESIS_LCI_powerplant_short-term_conventional_v01_DTU</t>
  </si>
  <si>
    <t>assumed proxy for alluminium alloy</t>
  </si>
  <si>
    <t>market for steel, chromium steel 18/8, hot rolled</t>
  </si>
  <si>
    <t>assumed proxy for steel</t>
  </si>
  <si>
    <t>assumed proxy for treatment of steel</t>
  </si>
  <si>
    <t>assumed proxy for substituted scraps of steel</t>
  </si>
  <si>
    <t>Incineration of waste rubber</t>
  </si>
  <si>
    <t>assumed for treatment of synthetic rubber</t>
  </si>
  <si>
    <t>B782FEDB23304B05A22DD76C8CD20B6B</t>
  </si>
  <si>
    <t>Table D1.7 of GENESIS_LCI_powerplant_short-term_conventional_v01_DTU</t>
  </si>
  <si>
    <t xml:space="preserve">assumed proxy for aluminium </t>
  </si>
  <si>
    <t xml:space="preserve">assumed proxy for carbon steel </t>
  </si>
  <si>
    <t xml:space="preserve">assumed proxy for copper </t>
  </si>
  <si>
    <t>assumed proxy for cupronickel (70%) along with market for nickel, class 1 (30%)</t>
  </si>
  <si>
    <t>assumed proxy for cupronickel (30%) along with market for copper-rich materials (30%)</t>
  </si>
  <si>
    <t>assumed proxy for nickel alloy</t>
  </si>
  <si>
    <t>assumed proxy for stainless steel</t>
  </si>
  <si>
    <t>assumed proxy for treatment of aluminium</t>
  </si>
  <si>
    <t>assumed proxy for substituted scraps of aluminium</t>
  </si>
  <si>
    <t>assumed proxy for treatment of carbon steel</t>
  </si>
  <si>
    <t>assumed proxy for substituted scraps of carbon steel</t>
  </si>
  <si>
    <t>assumed proxy for treatment of copper</t>
  </si>
  <si>
    <t>assumed proxy for substituted scraps of copper</t>
  </si>
  <si>
    <t>assumed proxy for treatment of cupronickel (copper part)</t>
  </si>
  <si>
    <t>assumed proxy for substituted scraps of curponickel (copper part)</t>
  </si>
  <si>
    <t>assumed proxy for treatment of cupronickel (nickel part)</t>
  </si>
  <si>
    <t>assumed proxy for substituted scraps of curponickel (nickel part)</t>
  </si>
  <si>
    <t>assumed proxy for treatment of nicklel alloys</t>
  </si>
  <si>
    <t>assumed proxy for substituted scraps of nickel alloys</t>
  </si>
  <si>
    <t>assumed proxy for treatment of stainless steel</t>
  </si>
  <si>
    <t>assumed proxy for substituted scraps of stainless steel</t>
  </si>
  <si>
    <t>14</t>
  </si>
  <si>
    <t>455E911D7E0E4A74917A7D87083C0773</t>
  </si>
  <si>
    <t>powerplant negative treatment processes</t>
  </si>
  <si>
    <t>6E04E00AEFA0415E933E877A372D71F5</t>
  </si>
  <si>
    <t>treatment of biowaste, municipal incineration</t>
  </si>
  <si>
    <t>40BAC6F4A00441BC878154263A7239E7</t>
  </si>
  <si>
    <t>Airport</t>
  </si>
  <si>
    <t>Lifetime scaling parameters</t>
  </si>
  <si>
    <t>FD2826B9B2F64B429982853636F19390</t>
  </si>
  <si>
    <t>System</t>
  </si>
  <si>
    <t>years</t>
  </si>
  <si>
    <t>factor</t>
  </si>
  <si>
    <t>Airport use for 1 y valid for 2030-time horizon. Regional airport in the Netherlands, with surface area of 2,200,000 m2. The lifetime of infrastructure is 100 years. The airport only has commercial and private flights but not freight. 
The dataset represents the use of 1 airport for 1 year. The dataset includes the airport infrastructure accounting for the land transformation and occupation of the airport rescaled to 1y operation. Also included are the energy, water, and deicing fluids consumption along with the waste generated during the airport operation through 1 year. Such numbers are linked to the number of passengers serviced by the airport. 
Included activities start: The activity starts with the material for the construction (concrete, gravel and reinforcing steel) and the land transformation and occupation of the airport. For the operation of the airport the activity includes the numbers for 1y of operation. 
Included activities end: The activity ends with the use of the airport for 1y.
The airport has a total of 30 vehicles (e.g., bus shuttles, GPU’s, vans, and tractor luggage) to support its operation. From these, in 2030 it is considered that 23 use fossil fuel (diesel) and 7 are electric. Diesel and electricity consumption for vehicles is reflected as a separate process from other fuels or energy sources needed at the airport for its operation. 
Statistics for 2030: i) passengers = 2,133,976 pax/y. ii) departure flights = 18,835 out of which 12,034 commercial and 6,801 private. iii) landing flights = 18,859 out of which 12,042 are commercial (based on RTHA airport 2019 numbers).
Data partially adapted from Spielmann et al., 2007. Transport Services. Ecoinvent report No. 14. Swiss Centre for Life Cycle Inventories and rescaled with data collected from Rotterdam The Hague Innovation Airport (RTHA). Personal communication and data exchange with Cor de Ruiter from RTHA.</t>
  </si>
  <si>
    <t>airport construction</t>
  </si>
  <si>
    <t>airport decomission</t>
  </si>
  <si>
    <t>comments</t>
  </si>
  <si>
    <t>NL</t>
  </si>
  <si>
    <t>Airport infrastructure with lifetime of 100y</t>
  </si>
  <si>
    <t>Yearly diesel demand for airport vehicles operated with fossil fuels (GPU's + tractor luggage + vans). Diesel density of 846 kg/L. Based on reported numbers form year 2019 for RTHA. See S3 worksheet.</t>
  </si>
  <si>
    <t>market for ethylene glycol</t>
  </si>
  <si>
    <t xml:space="preserve">Yearly glycol consuption. Rescaled value obtained from glycol use at Schiphol airport adjusted using fight departure numbers. Based on reported numbers form year 2019 for Schiphol group. </t>
  </si>
  <si>
    <t>Yearly electricity consuption for airport operations (e.g., lightning, heating, cooling, etc.) + electricity used by electric airport vehicles (passenger shuttle bus + GPU). Based on reported numbers form year 2019 for RTHA. See S3 worksheet</t>
  </si>
  <si>
    <t>Yearly natural gas consuption for airport operations (e.g., backup generators, heating, etc.). Based on reported numbers form year 2019 for RTHA.</t>
  </si>
  <si>
    <t>Yearly water consuption for airport operations. Rescaled value obtained from water use at Schiphol airport adjusted using passenger numbers. Based on reported numbers form year 2019 for Schiphol group.</t>
  </si>
  <si>
    <t>solid waste from terminals</t>
  </si>
  <si>
    <t>Yearly waste production from airport terminals. The waste per passenger ratio (0.437) is from Baxter et al., 2018. Sustainable airport waste management: The case of Kansai International Airport. https://doi.org/10.3390/recycling3010006. Ratio adjusted using RTHA passengers for 2019 y (2,133,976). See S4 worksheet.</t>
  </si>
  <si>
    <t>solid waste from planes</t>
  </si>
  <si>
    <t>Yearly waste production from incoming flights. The waste per passenger ratio (0.25) is from Blanca-Alcubilla et al., 2018 Tackling International Airline Catering Waste Management: Life zero cabin waste project. State of the art and first steps. DOI 10.31025/2611-4135/2018.13698. Ratio adjusted using RTHA incoming passengers for 2019 y (1,063,218). See S4 worksheet.</t>
  </si>
  <si>
    <t>airport decommission</t>
  </si>
  <si>
    <t>Airport decomission</t>
  </si>
  <si>
    <t>955DDDC801CA44D78B9CC7F2796D783D</t>
  </si>
  <si>
    <t>waste originating from terminals and buildings</t>
  </si>
  <si>
    <t>market group for municipal solid waste</t>
  </si>
  <si>
    <t>to reflect treatment of waste originating from terminals and buildings</t>
  </si>
  <si>
    <t>EC082D3B4E7647A8B7B74B37012B01CF</t>
  </si>
  <si>
    <t>waste originating from incoming planes</t>
  </si>
  <si>
    <t>to reflect treatment of waste originating from incoming regional flights</t>
  </si>
  <si>
    <t>8F2E71B49B0C4D17964DBE71AAD64238</t>
  </si>
  <si>
    <t>Airport construction is valid for all time horizons. Surface area 2,200,000 m2. Lifetime 100 years. 
The airport is divided in landside and airside. The dataset represents the construction and land use of the airport infrastructure of one entire regional airport in Europe. In this case Rotterdam The Hague Innovation Airport (RTHA) in the Netherlands. 
Included activities start: The activity starts with the material for the construction (concrete, gravel and reinforcing steel) and the land transformation and occupation of the airport.
Included activities end: The activity ends with the construction and land use of airport infrastructure. The activity includes the material consumption for the construction (concrete, gravel and reinforcing steel), the energy consumption (diesel and electricity), the excavation, the building of the hall and until and including the building of the multi-story. The activity also includes the land transformation and occupation. 
For the sealed area corresponding to traffic area (e.g., apron, taxiway, runway, etc.) the following considerations were made: i) Foundation layer with a 40 cm thickness and made of gravel. Life span of 100 years. ii) Concrete floor (poured over foundation layer) with a thickness of 22 cm and a concrete reinforcement of 1.8 kg steel/m2. The lifespan of the concrete layer is assumed to be 33.3 years, thus requiring 3 replacements over the lifetime of the foundation layer. iii) Excavation thickness it thus the sum of the foundation and concrete floor thickness. 
For the sealed traffic areas with precast concrete blocks (e.g., parking and helipad) a concrete slab thickness of 0.3 and 0.5 m, respectively were assumed. Life span of 33.33 years assumed, thus requiring 3 replacements over the lifetime of the airport.
For the sealed area corresponding to built-up areas (e.g., terminals &amp; buildings) it was assumed that 70% of the built-up area is occupied with building halls and 30% are multi-story buildings with an average of 5 floors. The assumed height between the floors is 2.7m and these are also assumed to have a lifetime of 33.3y. Expenditures due to construction, refurbishment and demolition are included within the generic processes used. 
Data taken from Spielmann et al., 2007. Transport Services. Ecoinvent report No. 14. Swiss Centre for Life Cycle Inventories and rescaled with data collected from Rotterdam The Hague Innovation Airport (RTHA). Personal communication and data exchange with Cor de Ruiter from RTHA.</t>
  </si>
  <si>
    <t xml:space="preserve">airport </t>
  </si>
  <si>
    <t>cement &amp; multi-storey</t>
  </si>
  <si>
    <t>landside construction</t>
  </si>
  <si>
    <t>airport landside with surface area of 466,000 m2</t>
  </si>
  <si>
    <t>airside construction</t>
  </si>
  <si>
    <t>airport airside with surface area of 1,734,000 m2</t>
  </si>
  <si>
    <t>2264A2E7C91B4144823B0A3EDFD8E290</t>
  </si>
  <si>
    <t>Landside construction valid for all time horizons. Surface area 466,000 m2. Landside includes some administrative and commercial buildings, parking, and green areas. Based on data from Rotterdam The Hague Innovation Airport (RTHA). Personal communication and data exchange with Cor de Ruiter from RTHA.</t>
  </si>
  <si>
    <t>landside building construction</t>
  </si>
  <si>
    <t>landside buildings with surface area of 49,625 m2</t>
  </si>
  <si>
    <t>parking construction</t>
  </si>
  <si>
    <t>landside parking with surface area of 96,841 m2</t>
  </si>
  <si>
    <t>landside green areas</t>
  </si>
  <si>
    <t>76BBE554ED324147B60127477E013C77</t>
  </si>
  <si>
    <t>Landside buildings construction valid for all time horizons. Surface area 49,625 m2. Based on data from Rotterdam The Hague Innovation Airport (RTHA). Personal communication and data exchange with Cor de Ruiter from RTHA.</t>
  </si>
  <si>
    <t>Transformation, to industrial area</t>
  </si>
  <si>
    <t>natural resource::land</t>
  </si>
  <si>
    <t>measurement from RTHA</t>
  </si>
  <si>
    <t>Occupation, industrial area</t>
  </si>
  <si>
    <t>square meter-year</t>
  </si>
  <si>
    <t>considering 100y lifetime</t>
  </si>
  <si>
    <t>market for building, hall</t>
  </si>
  <si>
    <t xml:space="preserve">70% of landside building construction surface area is occupied with building halls. Data taken from Spielmann et al., 2007. Transport Services. Ecoinvent report No. 14. Swiss Centre for Life Cycle Inventories. </t>
  </si>
  <si>
    <t>market for building, multi-storey</t>
  </si>
  <si>
    <t>30% of landside building construction surface area is occupied with multi-storey building. Assuming a total building height of 12.5m resulting from the assumption of buildings with 5 floors in average and a height of 2.5m for each floor. Data taken from Spielmann et al., 2007. Transport Services. Ecoinvent report No. 14. Swiss Centre for Life Cycle Inventories.</t>
  </si>
  <si>
    <t>7F6EA9531E734B7484F8910B37415084</t>
  </si>
  <si>
    <t>Landside parking construction valid for all time horizons. Surface area 96,841 m2. Based on data from Rotterdam The Hague Innovation Airport (RTHA). Personal communication and data exchange with Cor de Ruiter from RTHA.</t>
  </si>
  <si>
    <t>Transformation, to traffic area, road network</t>
  </si>
  <si>
    <t>Occupation, traffic area, road network</t>
  </si>
  <si>
    <t>market for concrete slab</t>
  </si>
  <si>
    <t>Assuming a slab thickness of 0.3 m (average between 0.1 - 0.5 m)</t>
  </si>
  <si>
    <t>888E5B9A69364A869A3A5758F05A9815</t>
  </si>
  <si>
    <t>Landside green areas valid for all time horizons. Surface area 319,625 m2. Based on data from Rotterdam The Hague Innovation Airport (RTHA). Personal communication and data exchange with Cor de Ruiter from RTHA.</t>
  </si>
  <si>
    <t>Transformation, from unspecified</t>
  </si>
  <si>
    <t>A8C5978DB9134D2C8558C9C65E91B16A</t>
  </si>
  <si>
    <t>Airside construction valid for all time horizons. Surface area 1,734,000 m2. Airside includes terminals, hangars, helipad, apron, taxiway, runway, and airside green areas. Based on data from Rotterdam The Hague Innovation Airport (RTHA). Personal communication and data exchange with Cor de Ruiter from RTHA.</t>
  </si>
  <si>
    <t>terminals</t>
  </si>
  <si>
    <t>terminals with surface area of 44,863 m2</t>
  </si>
  <si>
    <t>hangars</t>
  </si>
  <si>
    <t>hangars with surface area of 9,369 m2</t>
  </si>
  <si>
    <t>helipad</t>
  </si>
  <si>
    <t>helipad with surface area of 100 m2</t>
  </si>
  <si>
    <t>apron</t>
  </si>
  <si>
    <t>apron with surface area of 98,000 m2</t>
  </si>
  <si>
    <t>taxiway</t>
  </si>
  <si>
    <t>taxiway with surface area of 78,720 m2</t>
  </si>
  <si>
    <t>runway</t>
  </si>
  <si>
    <t>runway with surface area of 99,000 m2</t>
  </si>
  <si>
    <t>airside green areas</t>
  </si>
  <si>
    <t>airside green areas with surface area of 1,403,948 m2</t>
  </si>
  <si>
    <t>8033F3B5D6A94721BDCBFA3809655923</t>
  </si>
  <si>
    <t>Terminals construction valid for all time horizons. Surface area 44,863 m2. Based on data from Rotterdam The Hague Innovation Airport (RTHA). Personal communication and data exchange with Cor de Ruiter from RTHA.</t>
  </si>
  <si>
    <t>4BDBADE1C6F441779057F578DF8E7C5C</t>
  </si>
  <si>
    <t>Hangars construction valid for all time horizons. Surface area 9,369 m2. Based on data from Rotterdam The Hague Innovation Airport (RTHA). Personal communication and data exchange with Cor de Ruiter from RTHA.</t>
  </si>
  <si>
    <t>70% of landside building construction surface area is occupied with building halls. Data taken from Spielmann et al., 2007. Transport Services. Ecoinvent report No. 14. Swiss Centre for Life Cycle Inventories</t>
  </si>
  <si>
    <t>D09F2E8BA1A3431FA3CF7C8051D2D6D1</t>
  </si>
  <si>
    <t>Helipad construction valid for all time horizons. Surface area 100 m2. Based on data from Rotterdam The Hague Innovation Airport (RTHA). Personal communication and data exchange with Cor de Ruiter from RTHA.</t>
  </si>
  <si>
    <t>Assuming a slab thickness of 0.5 m. Concrete pannels of 5x5</t>
  </si>
  <si>
    <t>C002F0410DC345249893EB22555100D9</t>
  </si>
  <si>
    <t>Apron construction valid for all time horizons. Surface area 98,000 m2. Based on data from Rotterdam The Hague Innovation Airport (RTHA). Personal communication and data exchange with Cor de Ruiter from RTHA.</t>
  </si>
  <si>
    <t>market group for concrete, medium strength</t>
  </si>
  <si>
    <t>Concrete exacting with de-icing salt contact. Concrete floor of 22 cm with steel reinforcement of 1.8 kilogram steel/m2 (see next line). Life span 30y. Data taken from Spielmann et al., 2007. Transport Services. Ecoinvent report No. 14. Swiss Centre for Life Cycle Inventories.</t>
  </si>
  <si>
    <t xml:space="preserve">Taking 1.8 kg steel/m2. Data taken from Spielmann et al., 2007. Transport Services. Ecoinvent report No. 14. Swiss Centre for Life Cycle Inventories </t>
  </si>
  <si>
    <t>market for gravel, crushed</t>
  </si>
  <si>
    <t>CH</t>
  </si>
  <si>
    <t>Foundation layer of 40 cm gravel with life span of 100y and a density of 1600 kilogram/cubic meter. Data taken from Spielmann et al., 2007. Transport Services. Ecoinvent report No. 14. Swiss Centre for Life Cycle Inventories and Hartman, H L., ed. (1992). Society for mining, metallurgy and exploration (SME) Mining Engineering Handbook. Vol. 2 (2nd ed.). Littleton, Colorado, USA: Society for mining, metallurgy and exploration (SME). ISBN.</t>
  </si>
  <si>
    <t>excavation, skid-steer loader</t>
  </si>
  <si>
    <t>Considering an excavation depth of 75 cm obtained from back calculation from Spielmann et al., 2007. Transport Services. Ecoinvent report No. 14. Swiss Centre for Life Cycle Inventories.</t>
  </si>
  <si>
    <t>kWh/m2 values from Spielmann et al., 2007. Transport Services. Ecoinvent report No. 14. Swiss Centre for Life Cycle Inventories and upscaled to the respective surface area.</t>
  </si>
  <si>
    <t>market for diesel, burned in building machine</t>
  </si>
  <si>
    <t>MJ/m2 values from Spielmann et al., 2007. Transport Services. Ecoinvent report No. 14. Swiss Centre for Life Cycle Inventories and upscaled to the respective surface area.</t>
  </si>
  <si>
    <t>4EEF90F5D2534696AD586EB61AF44B9F</t>
  </si>
  <si>
    <t>Taxiway construction valid for all time horizons. Surface area 78,720 m2. Based on data from Rotterdam The Hague Innovation Airport (RTHA). Personal communication and data exchange with Cor de Ruiter from RTHA.</t>
  </si>
  <si>
    <t xml:space="preserve">Taking 1.8kilogram steel/m2. Data taken from Spielmann et al., 2007. Transport Services. Ecoinvent report No. 14. Swiss Centre for Life Cycle Inventories </t>
  </si>
  <si>
    <t>6F2310D18088428FADEBFE5871D517A4</t>
  </si>
  <si>
    <t>Runway construction valid for all time horizons. Surface area 78,720 m2. Based on data from Rotterdam The Hague Innovation Airport (RTHA). Personal communication and data exchange with Cor de Ruiter from RTHA.</t>
  </si>
  <si>
    <t>6852457A59BA43F59C0DD607A3A9E924</t>
  </si>
  <si>
    <t>Airside green areas valid for all time horizons. Surface area 319,625 m2. Based on data from Rotterdam The Hague Innovation Airport (RTHA). Personal communication and data exchange with Cor de Ruiter from RTHA.</t>
  </si>
  <si>
    <t>1A8A735B05404B698D359E51AFD4F80E</t>
  </si>
  <si>
    <t>Airport decommission. Includes the decomissioning of apron, taxiway, and runway. Across the lifetime of the airport, such airport components need to be replaced 3 times as their assumed life span is 33.33 years while the airport life span is 100 y.</t>
  </si>
  <si>
    <t>apron disposal</t>
  </si>
  <si>
    <t>taxiway disposal</t>
  </si>
  <si>
    <t>runway disposal</t>
  </si>
  <si>
    <t>Apron surface area</t>
  </si>
  <si>
    <t>AA7F2CEA790A4E8786295EC08C3BCB7C</t>
  </si>
  <si>
    <t>Airport decommission</t>
  </si>
  <si>
    <t>Surface area: 98000. Considering an excavation depth of 21 cm obtained from back calculation from Spielmann et al., 2007. Transport Services. Ecoinvent report No. 14. Swiss Centre for Life Cycle Inventories.</t>
  </si>
  <si>
    <t>market for inert waste, for final disposal</t>
  </si>
  <si>
    <t>Surface area: 98000. Concrete density: 2195.45 kg/m3 (back calculation from Spielmann et al., 2007). Factor to adjust concrete amount from aiprot construction input to amount send to disposal: 0.02 (back calculation form Spielmann et al., 2007).</t>
  </si>
  <si>
    <t>Taxiway surface area</t>
  </si>
  <si>
    <t>2224D08F3535467B9C62A61330E3E1B8</t>
  </si>
  <si>
    <t>Runway surface area</t>
  </si>
  <si>
    <t>C0B53B8C5C334EA391D76EE0ADB4EE16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</si>
</sst>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0">
    <font>
      <sz val="11"/>
      <color theme="1"/>
      <name val="Calibri"/>
      <family val="2"/>
      <scheme val="minor"/>
    </font>
    <font>
      <sz val="12"/>
      <color theme="1"/>
      <name val="Calibri"/>
      <family val="2"/>
      <scheme val="minor"/>
    </font>
    <font>
      <b/>
      <sz val="12"/>
      <color theme="1"/>
      <name val="Calibri"/>
      <family val="2"/>
      <scheme val="minor"/>
    </font>
    <font>
      <u/>
      <sz val="11"/>
      <color theme="10"/>
      <name val="Calibri"/>
      <family val="2"/>
      <scheme val="minor"/>
    </font>
    <font>
      <u/>
      <sz val="11"/>
      <color theme="11"/>
      <name val="Calibri"/>
      <family val="2"/>
      <scheme val="minor"/>
    </font>
    <font>
      <i/>
      <sz val="11"/>
      <color rgb="FFFF0000"/>
      <name val="Calibri"/>
      <family val="2"/>
      <scheme val="minor"/>
    </font>
    <font>
      <sz val="11"/>
      <name val="Calibri"/>
      <family val="2"/>
      <scheme val="minor"/>
    </font>
    <font>
      <sz val="12"/>
      <name val="Calibri"/>
      <family val="2"/>
      <scheme val="minor"/>
    </font>
    <font>
      <sz val="10"/>
      <color theme="1"/>
      <name val="Calibri"/>
      <family val="2"/>
      <scheme val="minor"/>
    </font>
    <font>
      <b/>
      <sz val="11"/>
      <color theme="1"/>
      <name val="Calibri"/>
      <family val="2"/>
      <scheme val="minor"/>
    </font>
    <font>
      <sz val="11"/>
      <color rgb="FFFF0000"/>
      <name val="Calibri"/>
      <family val="2"/>
      <scheme val="minor"/>
    </font>
    <font>
      <b/>
      <sz val="11"/>
      <name val="Calibri"/>
      <family val="2"/>
      <scheme val="minor"/>
    </font>
    <font>
      <i/>
      <sz val="11"/>
      <name val="Calibri"/>
      <family val="2"/>
      <scheme val="minor"/>
    </font>
    <font>
      <sz val="10"/>
      <name val="Var(--jp-code-font-family)"/>
    </font>
    <font>
      <sz val="11"/>
      <color rgb="FF000000"/>
      <name val="Calibri"/>
      <family val="2"/>
      <scheme val="minor"/>
    </font>
    <font>
      <sz val="10"/>
      <color theme="1"/>
      <name val="Var(--jp-code-font-family)"/>
    </font>
    <font>
      <b/>
      <sz val="10"/>
      <color theme="1"/>
      <name val="Calibri"/>
      <family val="2"/>
      <scheme val="minor"/>
    </font>
    <font>
      <sz val="10"/>
      <color theme="1"/>
      <name val="Arial Unicode MS"/>
    </font>
    <font>
      <b/>
      <sz val="12"/>
      <color rgb="FF000000"/>
      <name val="Calibri"/>
      <family val="2"/>
      <scheme val="minor"/>
    </font>
    <font>
      <sz val="12"/>
      <color rgb="FF000000"/>
      <name val="Calibri"/>
      <family val="2"/>
      <scheme val="minor"/>
    </font>
  </fonts>
  <fills count="12">
    <fill>
      <patternFill patternType="none"/>
    </fill>
    <fill>
      <patternFill patternType="gray125"/>
    </fill>
    <fill>
      <patternFill patternType="solid">
        <fgColor theme="6" tint="0.39997558519241921"/>
        <bgColor indexed="64"/>
      </patternFill>
    </fill>
    <fill>
      <patternFill patternType="solid">
        <fgColor rgb="FFFFFF00"/>
        <bgColor indexed="64"/>
      </patternFill>
    </fill>
    <fill>
      <patternFill patternType="solid">
        <fgColor rgb="FFEFDECD"/>
        <bgColor indexed="64"/>
      </patternFill>
    </fill>
    <fill>
      <patternFill patternType="solid">
        <fgColor rgb="FFEEEEEE"/>
        <bgColor indexed="64"/>
      </patternFill>
    </fill>
    <fill>
      <patternFill patternType="solid">
        <fgColor theme="8" tint="0.79998168889431442"/>
        <bgColor indexed="64"/>
      </patternFill>
    </fill>
    <fill>
      <patternFill patternType="solid">
        <fgColor rgb="FFEFDECD"/>
        <bgColor rgb="FFD9D9D9"/>
      </patternFill>
    </fill>
    <fill>
      <patternFill patternType="solid">
        <fgColor theme="6" tint="0.79998168889431442"/>
        <bgColor indexed="64"/>
      </patternFill>
    </fill>
    <fill>
      <patternFill patternType="solid">
        <fgColor theme="8"/>
        <bgColor indexed="64"/>
      </patternFill>
    </fill>
    <fill>
      <patternFill patternType="solid">
        <fgColor theme="9" tint="0.79998168889431442"/>
        <bgColor indexed="64"/>
      </patternFill>
    </fill>
    <fill>
      <patternFill patternType="solid">
        <fgColor rgb="FFFF0000"/>
        <bgColor indexed="64"/>
      </patternFill>
    </fill>
  </fills>
  <borders count="19">
    <border>
      <left/>
      <right/>
      <top/>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s>
  <cellStyleXfs count="29">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138">
    <xf numFmtId="0" fontId="0" fillId="0" borderId="0" xfId="0"/>
    <xf numFmtId="0" fontId="2" fillId="2" borderId="1" xfId="0" applyFont="1" applyFill="1" applyBorder="1"/>
    <xf numFmtId="0" fontId="2" fillId="2" borderId="2" xfId="0" applyFont="1" applyFill="1" applyBorder="1"/>
    <xf numFmtId="0" fontId="5" fillId="2" borderId="2" xfId="0" applyFont="1" applyFill="1" applyBorder="1"/>
    <xf numFmtId="0" fontId="5" fillId="2" borderId="0" xfId="0" applyFont="1" applyFill="1"/>
    <xf numFmtId="0" fontId="2" fillId="2" borderId="3" xfId="0" applyFont="1" applyFill="1" applyBorder="1"/>
    <xf numFmtId="0" fontId="2" fillId="2" borderId="0" xfId="0" applyFont="1" applyFill="1"/>
    <xf numFmtId="0" fontId="1" fillId="2" borderId="3" xfId="0" applyFont="1" applyFill="1" applyBorder="1"/>
    <xf numFmtId="0" fontId="1" fillId="2" borderId="0" xfId="0" applyFont="1" applyFill="1"/>
    <xf numFmtId="0" fontId="6" fillId="2" borderId="0" xfId="0" applyFont="1" applyFill="1"/>
    <xf numFmtId="0" fontId="7" fillId="2" borderId="3" xfId="0" applyFont="1" applyFill="1" applyBorder="1"/>
    <xf numFmtId="0" fontId="0" fillId="2" borderId="2" xfId="0" applyFill="1" applyBorder="1"/>
    <xf numFmtId="0" fontId="0" fillId="2" borderId="3" xfId="0" applyFill="1" applyBorder="1"/>
    <xf numFmtId="0" fontId="0" fillId="2" borderId="0" xfId="0" applyFill="1"/>
    <xf numFmtId="0" fontId="0" fillId="2" borderId="0" xfId="0" applyFill="1" applyAlignment="1">
      <alignment wrapText="1"/>
    </xf>
    <xf numFmtId="0" fontId="8" fillId="2" borderId="0" xfId="0" applyFont="1" applyFill="1" applyAlignment="1">
      <alignment horizontal="left" vertical="center"/>
    </xf>
    <xf numFmtId="0" fontId="2" fillId="0" borderId="0" xfId="0" applyFont="1"/>
    <xf numFmtId="0" fontId="1" fillId="0" borderId="0" xfId="0" applyFont="1"/>
    <xf numFmtId="0" fontId="9" fillId="2" borderId="1" xfId="0" applyFont="1" applyFill="1" applyBorder="1"/>
    <xf numFmtId="0" fontId="9" fillId="2" borderId="2" xfId="0" applyFont="1" applyFill="1" applyBorder="1"/>
    <xf numFmtId="0" fontId="9" fillId="2" borderId="3" xfId="0" applyFont="1" applyFill="1" applyBorder="1"/>
    <xf numFmtId="0" fontId="9" fillId="2" borderId="0" xfId="0" applyFont="1" applyFill="1"/>
    <xf numFmtId="0" fontId="6" fillId="0" borderId="0" xfId="0" applyFont="1"/>
    <xf numFmtId="0" fontId="6" fillId="3" borderId="0" xfId="0" applyFont="1" applyFill="1"/>
    <xf numFmtId="0" fontId="11" fillId="0" borderId="0" xfId="0" applyFont="1"/>
    <xf numFmtId="0" fontId="6" fillId="4" borderId="0" xfId="0" applyFont="1" applyFill="1"/>
    <xf numFmtId="0" fontId="6" fillId="5" borderId="0" xfId="0" applyFont="1" applyFill="1"/>
    <xf numFmtId="0" fontId="11" fillId="6" borderId="2" xfId="0" applyFont="1" applyFill="1" applyBorder="1"/>
    <xf numFmtId="0" fontId="12" fillId="0" borderId="2" xfId="0" applyFont="1" applyBorder="1"/>
    <xf numFmtId="0" fontId="6" fillId="0" borderId="2" xfId="0" applyFont="1" applyBorder="1"/>
    <xf numFmtId="0" fontId="6" fillId="0" borderId="0" xfId="0" applyFont="1" applyAlignment="1">
      <alignment vertical="center"/>
    </xf>
    <xf numFmtId="0" fontId="6" fillId="0" borderId="0" xfId="0" applyFont="1" applyAlignment="1">
      <alignment horizontal="right" vertical="center"/>
    </xf>
    <xf numFmtId="0" fontId="6" fillId="0" borderId="0" xfId="0" applyFont="1" applyAlignment="1">
      <alignment horizontal="left" vertical="center"/>
    </xf>
    <xf numFmtId="0" fontId="6" fillId="0" borderId="0" xfId="0" quotePrefix="1" applyFont="1"/>
    <xf numFmtId="0" fontId="6" fillId="5" borderId="0" xfId="0" applyFont="1" applyFill="1" applyAlignment="1">
      <alignment horizontal="left" vertical="center"/>
    </xf>
    <xf numFmtId="0" fontId="6" fillId="5" borderId="0" xfId="0" applyFont="1" applyFill="1" applyAlignment="1">
      <alignment vertical="center"/>
    </xf>
    <xf numFmtId="0" fontId="6" fillId="4" borderId="1" xfId="0" applyFont="1" applyFill="1" applyBorder="1" applyAlignment="1">
      <alignment horizontal="left" vertical="center"/>
    </xf>
    <xf numFmtId="0" fontId="6" fillId="4" borderId="2" xfId="0" applyFont="1" applyFill="1" applyBorder="1" applyAlignment="1">
      <alignment vertical="center"/>
    </xf>
    <xf numFmtId="0" fontId="6" fillId="4" borderId="2" xfId="0" applyFont="1" applyFill="1" applyBorder="1"/>
    <xf numFmtId="0" fontId="6" fillId="0" borderId="4" xfId="0" applyFont="1" applyBorder="1"/>
    <xf numFmtId="0" fontId="6" fillId="4" borderId="3" xfId="0" applyFont="1" applyFill="1" applyBorder="1" applyAlignment="1">
      <alignment horizontal="left" vertical="center"/>
    </xf>
    <xf numFmtId="0" fontId="6" fillId="4" borderId="0" xfId="0" applyFont="1" applyFill="1" applyAlignment="1">
      <alignment vertical="center"/>
    </xf>
    <xf numFmtId="0" fontId="6" fillId="4" borderId="0" xfId="0" applyFont="1" applyFill="1" applyAlignment="1">
      <alignment horizontal="right"/>
    </xf>
    <xf numFmtId="0" fontId="6" fillId="0" borderId="5" xfId="0" applyFont="1" applyBorder="1"/>
    <xf numFmtId="0" fontId="6" fillId="4" borderId="6" xfId="0" applyFont="1" applyFill="1" applyBorder="1" applyAlignment="1">
      <alignment horizontal="left" vertical="center"/>
    </xf>
    <xf numFmtId="0" fontId="6" fillId="4" borderId="7" xfId="0" applyFont="1" applyFill="1" applyBorder="1" applyAlignment="1">
      <alignment vertical="center"/>
    </xf>
    <xf numFmtId="0" fontId="6" fillId="4" borderId="7" xfId="0" applyFont="1" applyFill="1" applyBorder="1"/>
    <xf numFmtId="0" fontId="6" fillId="0" borderId="8" xfId="0" applyFont="1" applyBorder="1"/>
    <xf numFmtId="0" fontId="13" fillId="0" borderId="0" xfId="0" applyFont="1" applyAlignment="1">
      <alignment horizontal="left" vertical="center"/>
    </xf>
    <xf numFmtId="0" fontId="6" fillId="4" borderId="0" xfId="0" applyFont="1" applyFill="1" applyAlignment="1">
      <alignment horizontal="left" vertical="center"/>
    </xf>
    <xf numFmtId="0" fontId="6" fillId="0" borderId="0" xfId="0" applyFont="1" applyAlignment="1">
      <alignment horizontal="right"/>
    </xf>
    <xf numFmtId="0" fontId="6" fillId="7" borderId="9" xfId="0" applyFont="1" applyFill="1" applyBorder="1"/>
    <xf numFmtId="0" fontId="6" fillId="4" borderId="10" xfId="0" applyFont="1" applyFill="1" applyBorder="1" applyAlignment="1">
      <alignment horizontal="right" vertical="center"/>
    </xf>
    <xf numFmtId="0" fontId="6" fillId="4" borderId="10" xfId="0" applyFont="1" applyFill="1" applyBorder="1"/>
    <xf numFmtId="0" fontId="6" fillId="0" borderId="11" xfId="0" applyFont="1" applyBorder="1"/>
    <xf numFmtId="0" fontId="6" fillId="4" borderId="7" xfId="0" applyFont="1" applyFill="1" applyBorder="1" applyAlignment="1">
      <alignment horizontal="right" vertical="center"/>
    </xf>
    <xf numFmtId="0" fontId="6" fillId="4" borderId="2" xfId="0" applyFont="1" applyFill="1" applyBorder="1" applyAlignment="1">
      <alignment horizontal="right" vertical="center"/>
    </xf>
    <xf numFmtId="0" fontId="6" fillId="4" borderId="0" xfId="0" applyFont="1" applyFill="1" applyAlignment="1">
      <alignment horizontal="right" vertical="center"/>
    </xf>
    <xf numFmtId="0" fontId="6" fillId="5" borderId="0" xfId="0" applyFont="1" applyFill="1" applyAlignment="1">
      <alignment horizontal="right"/>
    </xf>
    <xf numFmtId="0" fontId="6" fillId="4" borderId="10" xfId="0" applyFont="1" applyFill="1" applyBorder="1" applyAlignment="1">
      <alignment horizontal="right"/>
    </xf>
    <xf numFmtId="0" fontId="6" fillId="4" borderId="2" xfId="0" applyFont="1" applyFill="1" applyBorder="1" applyAlignment="1">
      <alignment horizontal="right"/>
    </xf>
    <xf numFmtId="0" fontId="6" fillId="4" borderId="7" xfId="0" applyFont="1" applyFill="1" applyBorder="1" applyAlignment="1">
      <alignment horizontal="right"/>
    </xf>
    <xf numFmtId="0" fontId="6" fillId="8" borderId="0" xfId="0" applyFont="1" applyFill="1" applyAlignment="1">
      <alignment horizontal="left" vertical="center"/>
    </xf>
    <xf numFmtId="49" fontId="0" fillId="0" borderId="0" xfId="0" applyNumberFormat="1"/>
    <xf numFmtId="49" fontId="6" fillId="0" borderId="0" xfId="0" applyNumberFormat="1" applyFont="1"/>
    <xf numFmtId="0" fontId="9" fillId="6" borderId="2" xfId="0" applyFont="1" applyFill="1" applyBorder="1"/>
    <xf numFmtId="0" fontId="5" fillId="0" borderId="2" xfId="0" applyFont="1" applyBorder="1"/>
    <xf numFmtId="0" fontId="0" fillId="0" borderId="2" xfId="0" applyBorder="1"/>
    <xf numFmtId="0" fontId="9" fillId="0" borderId="0" xfId="0" applyFont="1"/>
    <xf numFmtId="0" fontId="14" fillId="0" borderId="0" xfId="0" applyFont="1"/>
    <xf numFmtId="0" fontId="0" fillId="5" borderId="0" xfId="0" applyFill="1"/>
    <xf numFmtId="0" fontId="0" fillId="0" borderId="7" xfId="0" applyBorder="1" applyAlignment="1">
      <alignment horizontal="left" vertical="center"/>
    </xf>
    <xf numFmtId="0" fontId="0" fillId="0" borderId="7" xfId="0" applyBorder="1"/>
    <xf numFmtId="0" fontId="15" fillId="0" borderId="7" xfId="0" applyFont="1" applyBorder="1" applyAlignment="1">
      <alignment horizontal="left" vertical="center"/>
    </xf>
    <xf numFmtId="0" fontId="0" fillId="5" borderId="7" xfId="0" applyFill="1" applyBorder="1"/>
    <xf numFmtId="0" fontId="6" fillId="0" borderId="7" xfId="0" applyFont="1" applyBorder="1"/>
    <xf numFmtId="49" fontId="14" fillId="0" borderId="0" xfId="0" applyNumberFormat="1" applyFont="1"/>
    <xf numFmtId="49" fontId="0" fillId="0" borderId="0" xfId="0" applyNumberFormat="1" applyAlignment="1">
      <alignment horizontal="right" vertical="center"/>
    </xf>
    <xf numFmtId="49" fontId="10" fillId="0" borderId="0" xfId="0" applyNumberFormat="1" applyFont="1" applyAlignment="1">
      <alignment vertical="center"/>
    </xf>
    <xf numFmtId="49" fontId="0" fillId="0" borderId="0" xfId="0" applyNumberFormat="1" applyAlignment="1">
      <alignment horizontal="left" vertical="center"/>
    </xf>
    <xf numFmtId="49" fontId="6" fillId="0" borderId="0" xfId="0" applyNumberFormat="1" applyFont="1" applyAlignment="1">
      <alignment horizontal="left" vertical="center"/>
    </xf>
    <xf numFmtId="0" fontId="0" fillId="0" borderId="0" xfId="0" applyAlignment="1">
      <alignment vertical="center"/>
    </xf>
    <xf numFmtId="0" fontId="5" fillId="0" borderId="0" xfId="0" applyFont="1" applyAlignment="1">
      <alignment vertical="center"/>
    </xf>
    <xf numFmtId="0" fontId="0" fillId="9" borderId="0" xfId="0" applyFill="1" applyAlignment="1">
      <alignment vertical="center"/>
    </xf>
    <xf numFmtId="0" fontId="2" fillId="0" borderId="0" xfId="0" applyFont="1" applyAlignment="1">
      <alignment vertical="center"/>
    </xf>
    <xf numFmtId="0" fontId="8" fillId="0" borderId="0" xfId="0" applyFont="1" applyAlignment="1">
      <alignment vertical="center"/>
    </xf>
    <xf numFmtId="0" fontId="8" fillId="9" borderId="0" xfId="0" applyFont="1" applyFill="1" applyAlignment="1">
      <alignment vertical="center"/>
    </xf>
    <xf numFmtId="0" fontId="2" fillId="0" borderId="2" xfId="0" applyFont="1" applyBorder="1" applyAlignment="1">
      <alignment vertical="center"/>
    </xf>
    <xf numFmtId="0" fontId="5" fillId="0" borderId="2" xfId="0" applyFont="1" applyBorder="1" applyAlignment="1">
      <alignment vertical="center"/>
    </xf>
    <xf numFmtId="0" fontId="0" fillId="9" borderId="2" xfId="0" applyFill="1" applyBorder="1" applyAlignment="1">
      <alignment vertical="center"/>
    </xf>
    <xf numFmtId="0" fontId="0" fillId="0" borderId="2" xfId="0" applyBorder="1" applyAlignment="1">
      <alignment vertical="center"/>
    </xf>
    <xf numFmtId="0" fontId="16" fillId="0" borderId="3" xfId="0" applyFont="1" applyBorder="1" applyAlignment="1">
      <alignment horizontal="center" vertical="center"/>
    </xf>
    <xf numFmtId="0" fontId="16" fillId="0" borderId="0" xfId="0" applyFont="1" applyAlignment="1">
      <alignment horizontal="center" vertical="center"/>
    </xf>
    <xf numFmtId="0" fontId="16" fillId="0" borderId="5" xfId="0" applyFont="1" applyBorder="1" applyAlignment="1">
      <alignment horizontal="center" vertical="center"/>
    </xf>
    <xf numFmtId="0" fontId="8" fillId="0" borderId="0" xfId="0" applyFont="1" applyAlignment="1">
      <alignment vertical="center" wrapText="1"/>
    </xf>
    <xf numFmtId="0" fontId="8" fillId="0" borderId="3" xfId="0" applyFont="1" applyBorder="1" applyAlignment="1">
      <alignment horizontal="left" vertical="center"/>
    </xf>
    <xf numFmtId="0" fontId="8" fillId="0" borderId="0" xfId="0" applyFont="1" applyAlignment="1">
      <alignment horizontal="center" vertical="center"/>
    </xf>
    <xf numFmtId="0" fontId="8" fillId="0" borderId="5" xfId="0" applyFont="1" applyBorder="1" applyAlignment="1">
      <alignment horizontal="center" vertical="center"/>
    </xf>
    <xf numFmtId="0" fontId="8" fillId="0" borderId="0" xfId="0" applyFont="1" applyAlignment="1">
      <alignment horizontal="left" vertical="center"/>
    </xf>
    <xf numFmtId="0" fontId="8" fillId="0" borderId="6" xfId="0" applyFont="1" applyBorder="1" applyAlignment="1">
      <alignment horizontal="left" vertical="center"/>
    </xf>
    <xf numFmtId="0" fontId="8" fillId="0" borderId="7" xfId="0" applyFont="1" applyBorder="1" applyAlignment="1">
      <alignment horizontal="center" vertical="center"/>
    </xf>
    <xf numFmtId="0" fontId="8" fillId="0" borderId="8" xfId="0" applyFont="1" applyBorder="1" applyAlignment="1">
      <alignment horizontal="center" vertical="center"/>
    </xf>
    <xf numFmtId="0" fontId="2" fillId="9" borderId="0" xfId="0" applyFont="1" applyFill="1" applyAlignment="1">
      <alignment vertical="center"/>
    </xf>
    <xf numFmtId="2" fontId="8" fillId="0" borderId="0" xfId="0" applyNumberFormat="1" applyFont="1" applyAlignment="1">
      <alignment vertical="center"/>
    </xf>
    <xf numFmtId="0" fontId="8" fillId="9" borderId="0" xfId="0" applyFont="1" applyFill="1" applyAlignment="1">
      <alignment horizontal="left" vertical="center"/>
    </xf>
    <xf numFmtId="1" fontId="8" fillId="0" borderId="0" xfId="0" applyNumberFormat="1" applyFont="1" applyAlignment="1">
      <alignment vertical="center"/>
    </xf>
    <xf numFmtId="0" fontId="8" fillId="0" borderId="5" xfId="0" applyFont="1" applyBorder="1" applyAlignment="1">
      <alignment vertical="center"/>
    </xf>
    <xf numFmtId="0" fontId="8" fillId="0" borderId="8" xfId="0" applyFont="1" applyBorder="1" applyAlignment="1">
      <alignment vertical="center"/>
    </xf>
    <xf numFmtId="0" fontId="8" fillId="0" borderId="6" xfId="0" applyFont="1" applyBorder="1" applyAlignment="1">
      <alignment vertical="center"/>
    </xf>
    <xf numFmtId="0" fontId="8" fillId="3" borderId="0" xfId="0" applyFont="1" applyFill="1" applyAlignment="1">
      <alignment vertical="center"/>
    </xf>
    <xf numFmtId="0" fontId="8" fillId="3" borderId="0" xfId="0" applyFont="1" applyFill="1" applyAlignment="1">
      <alignment horizontal="left" vertical="center"/>
    </xf>
    <xf numFmtId="0" fontId="16" fillId="0" borderId="12" xfId="0" applyFont="1" applyBorder="1" applyAlignment="1">
      <alignment horizontal="center" vertical="center"/>
    </xf>
    <xf numFmtId="0" fontId="8" fillId="0" borderId="13" xfId="0" applyFont="1" applyBorder="1" applyAlignment="1">
      <alignment horizontal="center" vertical="center"/>
    </xf>
    <xf numFmtId="2" fontId="0" fillId="0" borderId="0" xfId="0" applyNumberFormat="1"/>
    <xf numFmtId="0" fontId="5" fillId="0" borderId="0" xfId="0" applyFont="1"/>
    <xf numFmtId="0" fontId="9" fillId="10" borderId="14" xfId="0" applyFont="1" applyFill="1" applyBorder="1"/>
    <xf numFmtId="0" fontId="9" fillId="10" borderId="15" xfId="0" applyFont="1" applyFill="1" applyBorder="1"/>
    <xf numFmtId="0" fontId="0" fillId="10" borderId="15" xfId="0" applyFill="1" applyBorder="1"/>
    <xf numFmtId="0" fontId="0" fillId="10" borderId="16" xfId="0" applyFill="1" applyBorder="1"/>
    <xf numFmtId="0" fontId="0" fillId="0" borderId="17" xfId="0" applyBorder="1"/>
    <xf numFmtId="0" fontId="0" fillId="0" borderId="18" xfId="0" applyBorder="1"/>
    <xf numFmtId="0" fontId="9" fillId="0" borderId="17" xfId="0" applyFont="1" applyBorder="1"/>
    <xf numFmtId="0" fontId="9" fillId="0" borderId="18" xfId="0" applyFont="1" applyBorder="1"/>
    <xf numFmtId="0" fontId="17" fillId="0" borderId="0" xfId="0" applyFont="1" applyAlignment="1">
      <alignment vertical="center"/>
    </xf>
    <xf numFmtId="0" fontId="18" fillId="0" borderId="2" xfId="0" applyFont="1" applyBorder="1"/>
    <xf numFmtId="0" fontId="14" fillId="0" borderId="2" xfId="0" applyFont="1" applyBorder="1"/>
    <xf numFmtId="0" fontId="14" fillId="11" borderId="0" xfId="0" applyFont="1" applyFill="1"/>
    <xf numFmtId="0" fontId="19" fillId="0" borderId="0" xfId="0" applyFont="1"/>
    <xf numFmtId="0" fontId="18" fillId="0" borderId="0" xfId="0" applyFont="1"/>
    <xf numFmtId="0" fontId="15" fillId="0" borderId="0" xfId="0" applyFont="1" applyAlignment="1">
      <alignment horizontal="left" vertical="center"/>
    </xf>
    <xf numFmtId="0" fontId="8" fillId="0" borderId="0" xfId="0" applyFont="1"/>
    <xf numFmtId="0" fontId="18" fillId="3" borderId="2" xfId="0" applyFont="1" applyFill="1" applyBorder="1"/>
    <xf numFmtId="0" fontId="5" fillId="3" borderId="2" xfId="0" applyFont="1" applyFill="1" applyBorder="1"/>
    <xf numFmtId="0" fontId="14" fillId="3" borderId="2" xfId="0" applyFont="1" applyFill="1" applyBorder="1"/>
    <xf numFmtId="0" fontId="0" fillId="3" borderId="2" xfId="0" applyFill="1" applyBorder="1"/>
    <xf numFmtId="0" fontId="16" fillId="0" borderId="1" xfId="0" applyFont="1" applyBorder="1" applyAlignment="1">
      <alignment horizontal="center" vertical="center"/>
    </xf>
    <xf numFmtId="0" fontId="16" fillId="0" borderId="2" xfId="0" applyFont="1" applyBorder="1" applyAlignment="1">
      <alignment horizontal="center" vertical="center"/>
    </xf>
    <xf numFmtId="0" fontId="16" fillId="0" borderId="4" xfId="0" applyFont="1" applyBorder="1" applyAlignment="1">
      <alignment horizontal="center" vertical="center"/>
    </xf>
  </cellXfs>
  <cellStyles count="29">
    <cellStyle name="Followed Hyperlink" xfId="24" builtinId="9" hidden="1"/>
    <cellStyle name="Followed Hyperlink" xfId="26" builtinId="9" hidden="1"/>
    <cellStyle name="Followed Hyperlink" xfId="28" builtinId="9" hidden="1"/>
    <cellStyle name="Followed Hyperlink" xfId="22" builtinId="9" hidden="1"/>
    <cellStyle name="Followed Hyperlink" xfId="10" builtinId="9" hidden="1"/>
    <cellStyle name="Followed Hyperlink" xfId="12" builtinId="9" hidden="1"/>
    <cellStyle name="Followed Hyperlink" xfId="20" builtinId="9" hidden="1"/>
    <cellStyle name="Followed Hyperlink" xfId="14" builtinId="9" hidden="1"/>
    <cellStyle name="Followed Hyperlink" xfId="16" builtinId="9" hidden="1"/>
    <cellStyle name="Followed Hyperlink" xfId="18" builtinId="9" hidden="1"/>
    <cellStyle name="Followed Hyperlink" xfId="6" builtinId="9" hidden="1"/>
    <cellStyle name="Followed Hyperlink" xfId="8" builtinId="9" hidden="1"/>
    <cellStyle name="Followed Hyperlink" xfId="4" builtinId="9" hidden="1"/>
    <cellStyle name="Followed Hyperlink" xfId="2" builtinId="9" hidden="1"/>
    <cellStyle name="Hyperlink" xfId="25" builtinId="8" hidden="1"/>
    <cellStyle name="Hyperlink" xfId="27" builtinId="8" hidden="1"/>
    <cellStyle name="Hyperlink" xfId="23" builtinId="8" hidden="1"/>
    <cellStyle name="Hyperlink" xfId="19" builtinId="8" hidden="1"/>
    <cellStyle name="Hyperlink" xfId="15" builtinId="8" hidden="1"/>
    <cellStyle name="Hyperlink" xfId="17" builtinId="8" hidden="1"/>
    <cellStyle name="Hyperlink" xfId="21" builtinId="8" hidden="1"/>
    <cellStyle name="Hyperlink" xfId="5" builtinId="8" hidden="1"/>
    <cellStyle name="Hyperlink" xfId="1" builtinId="8" hidden="1"/>
    <cellStyle name="Hyperlink" xfId="3" builtinId="8" hidden="1"/>
    <cellStyle name="Hyperlink" xfId="13" builtinId="8" hidden="1"/>
    <cellStyle name="Hyperlink" xfId="11" builtinId="8" hidden="1"/>
    <cellStyle name="Hyperlink" xfId="7" builtinId="8" hidden="1"/>
    <cellStyle name="Hyperlink" xfId="9" builtinId="8" hidden="1"/>
    <cellStyle name="Normal" xfId="0" builtinId="0"/>
  </cellStyles>
  <dxfs count="0"/>
  <tableStyles count="1" defaultTableStyle="TableStyleMedium9" defaultPivotStyle="PivotStyleLight16">
    <tableStyle name="Invisible" pivot="0" table="0" count="0" xr9:uid="{1A5DB53E-684E-411D-808D-6F3AEAD03F2C}"/>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https://dtudk.sharepoint.com/sites/GENESIS/Delte%20dokumenter/General/3_Collaboration/3_Data%20collection/7_Power%20plant_UNINA/1_Short-term/GENESIS_LCI_powerplant_short-term_conventional_v01_DTU.xlsx" TargetMode="External"/><Relationship Id="rId1" Type="http://schemas.openxmlformats.org/officeDocument/2006/relationships/externalLinkPath" Target="/sites/GENESIS/Delte%20dokumenter/General/3_Collaboration/3_Data%20collection/7_Power%20plant_UNINA/1_Short-term/GENESIS_LCI_powerplant_short-term_conventional_v01_DTU.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driveId="b!MMGKPnrPgUSp9QQ1CsNLWBJ6lj6JYspCuC1v37Ngg7G0fuPZu8YpRr4YlZAfppVR" itemId="01DVNOQD7QEWFRJ5N7ENGZ7BUG4YZN2G4Q">
      <xxl21:absoluteUrl r:id="rId2"/>
    </xxl21:alternateUrls>
    <sheetNames>
      <sheetName val="Read Me"/>
      <sheetName val="Contact details"/>
      <sheetName val="Use (kerosene)"/>
      <sheetName val="Use (HEFA)"/>
      <sheetName val="Manufacturing"/>
      <sheetName val="Economic information"/>
      <sheetName val="EOL"/>
      <sheetName val="References"/>
      <sheetName val="Feedback"/>
      <sheetName val="Energy consumption (Y2021)"/>
      <sheetName val="D1.2"/>
      <sheetName val="Sheet1"/>
      <sheetName val="DD lists"/>
      <sheetName val="H2 _prod original"/>
      <sheetName val="Airplane_original"/>
    </sheetNames>
    <sheetDataSet>
      <sheetData sheetId="0"/>
      <sheetData sheetId="1"/>
      <sheetData sheetId="2">
        <row r="171">
          <cell r="H171">
            <v>0.16287645026135461</v>
          </cell>
          <cell r="I171">
            <v>3.3829996741874702E-2</v>
          </cell>
          <cell r="J171">
            <v>0.96099421972724242</v>
          </cell>
          <cell r="K171">
            <v>4.9165176854084951</v>
          </cell>
          <cell r="L171">
            <v>0.17891118550740129</v>
          </cell>
          <cell r="Q171">
            <v>4.1735220864546799E-2</v>
          </cell>
        </row>
        <row r="172">
          <cell r="H172">
            <v>1.5654185200041384</v>
          </cell>
          <cell r="I172">
            <v>1.3187318137309167E-3</v>
          </cell>
          <cell r="J172">
            <v>4.3855597993857097E-2</v>
          </cell>
          <cell r="K172">
            <v>0.33193570009880768</v>
          </cell>
          <cell r="L172">
            <v>0.14726529728395163</v>
          </cell>
          <cell r="Q172">
            <v>5.1366586367820634E-2</v>
          </cell>
        </row>
        <row r="173">
          <cell r="H173">
            <v>0.14445522004839376</v>
          </cell>
          <cell r="I173">
            <v>1.3513709060443459E-4</v>
          </cell>
          <cell r="J173">
            <v>5.0951348870046506E-3</v>
          </cell>
          <cell r="K173">
            <v>4.0342999024500732E-2</v>
          </cell>
          <cell r="L173">
            <v>5.9277309293345633E-3</v>
          </cell>
          <cell r="Q173">
            <v>5.2663525071424237E-3</v>
          </cell>
        </row>
        <row r="174">
          <cell r="H174">
            <v>145.3751595</v>
          </cell>
          <cell r="I174">
            <v>7.6380210608470005</v>
          </cell>
          <cell r="J174">
            <v>215.41054154990002</v>
          </cell>
          <cell r="K174">
            <v>1252.93925267695</v>
          </cell>
          <cell r="L174">
            <v>87.172364671574996</v>
          </cell>
          <cell r="Q174">
            <v>19.236800139999996</v>
          </cell>
        </row>
        <row r="175">
          <cell r="H175">
            <v>56.783565000000003</v>
          </cell>
          <cell r="I175">
            <v>2.9834124816900003</v>
          </cell>
          <cell r="J175">
            <v>84.139398573000022</v>
          </cell>
          <cell r="K175">
            <v>489.39831082649999</v>
          </cell>
          <cell r="L175">
            <v>34.049542250249999</v>
          </cell>
          <cell r="Q175">
            <v>7.5138977999999996</v>
          </cell>
        </row>
        <row r="176">
          <cell r="H176">
            <v>3.8779020000000004E-2</v>
          </cell>
          <cell r="I176">
            <v>2.0374524265200002E-3</v>
          </cell>
          <cell r="J176">
            <v>5.7461052684000001E-2</v>
          </cell>
          <cell r="K176">
            <v>0.33422323666199999</v>
          </cell>
          <cell r="L176">
            <v>2.3253345926999999E-2</v>
          </cell>
          <cell r="Q176">
            <v>5.1314423999999992E-3</v>
          </cell>
        </row>
        <row r="357">
          <cell r="H357">
            <v>0.16287645026135461</v>
          </cell>
          <cell r="I357">
            <v>3.2666592865452919E-2</v>
          </cell>
          <cell r="J357">
            <v>0.90891529163462903</v>
          </cell>
          <cell r="K357">
            <v>1.1244972733725143</v>
          </cell>
          <cell r="L357">
            <v>0.17890270165116118</v>
          </cell>
          <cell r="Q357">
            <v>4.17437138304542E-2</v>
          </cell>
        </row>
        <row r="358">
          <cell r="H358">
            <v>1.5654185200041384</v>
          </cell>
          <cell r="I358">
            <v>1.2733797559853761E-3</v>
          </cell>
          <cell r="J358">
            <v>4.1456362692182849E-2</v>
          </cell>
          <cell r="K358">
            <v>7.4713019281325593E-2</v>
          </cell>
          <cell r="L358">
            <v>0.1472582506425123</v>
          </cell>
          <cell r="Q358">
            <v>5.1397912070783598E-2</v>
          </cell>
        </row>
        <row r="359">
          <cell r="H359">
            <v>0.14445522004839376</v>
          </cell>
          <cell r="I359">
            <v>1.3048917466080569E-4</v>
          </cell>
          <cell r="J359">
            <v>4.8151993222352871E-3</v>
          </cell>
          <cell r="K359">
            <v>9.0853922805397749E-3</v>
          </cell>
          <cell r="L359">
            <v>5.9273987728188449E-3</v>
          </cell>
          <cell r="Q359">
            <v>5.2700460006801066E-3</v>
          </cell>
        </row>
        <row r="360">
          <cell r="H360">
            <v>145.3751595</v>
          </cell>
          <cell r="I360">
            <v>7.3753392116420002</v>
          </cell>
          <cell r="J360">
            <v>203.75678092129999</v>
          </cell>
          <cell r="K360">
            <v>281.98720606655002</v>
          </cell>
          <cell r="L360">
            <v>87.168140776169992</v>
          </cell>
          <cell r="Q360">
            <v>19.241933010000004</v>
          </cell>
        </row>
        <row r="361">
          <cell r="H361">
            <v>56.783565000000003</v>
          </cell>
          <cell r="I361">
            <v>2.88080890134</v>
          </cell>
          <cell r="J361">
            <v>79.587437450999985</v>
          </cell>
          <cell r="K361">
            <v>110.14425641850001</v>
          </cell>
          <cell r="L361">
            <v>34.047892395899993</v>
          </cell>
          <cell r="Q361">
            <v>7.5159027000000007</v>
          </cell>
        </row>
        <row r="362">
          <cell r="H362">
            <v>3.8779020000000004E-2</v>
          </cell>
          <cell r="I362">
            <v>1.9673816887200001E-3</v>
          </cell>
          <cell r="J362">
            <v>5.4352396307999998E-2</v>
          </cell>
          <cell r="K362">
            <v>7.5220467797999999E-2</v>
          </cell>
          <cell r="L362">
            <v>2.32522191972E-2</v>
          </cell>
          <cell r="Q362">
            <v>5.1328116000000012E-3</v>
          </cell>
        </row>
      </sheetData>
      <sheetData sheetId="3">
        <row r="171">
          <cell r="H171">
            <v>0.15999928559968876</v>
          </cell>
          <cell r="I171">
            <v>3.3231171039417327E-2</v>
          </cell>
          <cell r="J171">
            <v>0.94398363468040802</v>
          </cell>
          <cell r="K171">
            <v>4.8294902704679199</v>
          </cell>
          <cell r="L171">
            <v>0.17574427370283974</v>
          </cell>
          <cell r="Q171">
            <v>4.0996485831226614E-2</v>
          </cell>
        </row>
        <row r="172">
          <cell r="H172">
            <v>1.2012494201818278</v>
          </cell>
          <cell r="I172">
            <v>1.0106924569588183E-3</v>
          </cell>
          <cell r="J172">
            <v>3.3603828489607052E-2</v>
          </cell>
          <cell r="K172">
            <v>0.25429187249064211</v>
          </cell>
          <cell r="L172">
            <v>0.11285864042112159</v>
          </cell>
          <cell r="Q172">
            <v>3.9429014078301239E-2</v>
          </cell>
        </row>
        <row r="173">
          <cell r="H173">
            <v>0.14098639694801818</v>
          </cell>
          <cell r="I173">
            <v>1.3259409942074842E-4</v>
          </cell>
          <cell r="J173">
            <v>4.9990364268370025E-3</v>
          </cell>
          <cell r="K173">
            <v>3.9594022216100186E-2</v>
          </cell>
          <cell r="L173">
            <v>5.8066703708598358E-3</v>
          </cell>
          <cell r="Q173">
            <v>5.1315091890664164E-3</v>
          </cell>
        </row>
        <row r="174">
          <cell r="H174">
            <v>140.58507074600001</v>
          </cell>
          <cell r="I174">
            <v>7.3860763571123611</v>
          </cell>
          <cell r="J174">
            <v>208.30509570944702</v>
          </cell>
          <cell r="K174">
            <v>1211.6103002282637</v>
          </cell>
          <cell r="L174">
            <v>84.296931966870218</v>
          </cell>
          <cell r="Q174">
            <v>18.602272361138798</v>
          </cell>
        </row>
        <row r="175">
          <cell r="H175">
            <v>61.358550000000001</v>
          </cell>
          <cell r="I175">
            <v>3.2236633168575</v>
          </cell>
          <cell r="J175">
            <v>90.915049247550002</v>
          </cell>
          <cell r="K175">
            <v>528.80900363445005</v>
          </cell>
          <cell r="L175">
            <v>36.791513405294999</v>
          </cell>
          <cell r="Q175">
            <v>8.1189876899999991</v>
          </cell>
        </row>
        <row r="176">
          <cell r="H176">
            <v>9.9044400000000022E-3</v>
          </cell>
          <cell r="I176">
            <v>5.2036073052600003E-4</v>
          </cell>
          <cell r="J176">
            <v>1.4675422583640003E-2</v>
          </cell>
          <cell r="K176">
            <v>8.5359856905960013E-2</v>
          </cell>
          <cell r="L176">
            <v>5.9388518312760014E-3</v>
          </cell>
          <cell r="Q176">
            <v>1.3105594320000004E-3</v>
          </cell>
        </row>
        <row r="357">
          <cell r="H357">
            <v>0.15999928559968876</v>
          </cell>
          <cell r="I357">
            <v>3.2088360610380597E-2</v>
          </cell>
          <cell r="J357">
            <v>0.89282655735944316</v>
          </cell>
          <cell r="K357">
            <v>1.104592515899762</v>
          </cell>
          <cell r="L357">
            <v>0.17573593999898943</v>
          </cell>
          <cell r="Q357">
            <v>4.1004820486313015E-2</v>
          </cell>
        </row>
        <row r="358">
          <cell r="H358">
            <v>1.2012494201818278</v>
          </cell>
          <cell r="I358">
            <v>9.7593405999759925E-4</v>
          </cell>
          <cell r="J358">
            <v>3.1765463596270554E-2</v>
          </cell>
          <cell r="K358">
            <v>5.7236668380729508E-2</v>
          </cell>
          <cell r="L358">
            <v>0.1128532391772613</v>
          </cell>
          <cell r="Q358">
            <v>3.9453065241995468E-2</v>
          </cell>
        </row>
        <row r="359">
          <cell r="H359">
            <v>0.14098639694801818</v>
          </cell>
          <cell r="I359">
            <v>1.2803365358704866E-4</v>
          </cell>
          <cell r="J359">
            <v>4.7243801859113413E-3</v>
          </cell>
          <cell r="K359">
            <v>8.916622474479689E-3</v>
          </cell>
          <cell r="L359">
            <v>5.8063456047052859E-3</v>
          </cell>
          <cell r="Q359">
            <v>5.1351062928751568E-3</v>
          </cell>
        </row>
        <row r="360">
          <cell r="H360">
            <v>140.58507074600001</v>
          </cell>
          <cell r="I360">
            <v>7.1320592269344498</v>
          </cell>
          <cell r="J360">
            <v>197.03574141341997</v>
          </cell>
          <cell r="K360">
            <v>272.68568894240667</v>
          </cell>
          <cell r="L360">
            <v>84.292847389314758</v>
          </cell>
          <cell r="Q360">
            <v>18.607232363634797</v>
          </cell>
        </row>
        <row r="361">
          <cell r="H361">
            <v>61.358550000000001</v>
          </cell>
          <cell r="I361">
            <v>3.1127971864769997</v>
          </cell>
          <cell r="J361">
            <v>85.996523863800007</v>
          </cell>
          <cell r="K361">
            <v>119.01404886360001</v>
          </cell>
          <cell r="L361">
            <v>36.789730685729999</v>
          </cell>
          <cell r="Q361">
            <v>8.1211524900000001</v>
          </cell>
        </row>
        <row r="362">
          <cell r="H362">
            <v>9.9044400000000022E-3</v>
          </cell>
          <cell r="I362">
            <v>5.0246482300560008E-4</v>
          </cell>
          <cell r="J362">
            <v>1.3881478796640001E-2</v>
          </cell>
          <cell r="K362">
            <v>1.9211136934080005E-2</v>
          </cell>
          <cell r="L362">
            <v>5.9385640663440009E-3</v>
          </cell>
          <cell r="Q362">
            <v>1.3109088720000002E-3</v>
          </cell>
        </row>
      </sheetData>
      <sheetData sheetId="4"/>
      <sheetData sheetId="5"/>
      <sheetData sheetId="6"/>
      <sheetData sheetId="7"/>
      <sheetData sheetId="8"/>
      <sheetData sheetId="9"/>
      <sheetData sheetId="10"/>
      <sheetData sheetId="11"/>
      <sheetData sheetId="12"/>
      <sheetData sheetId="13"/>
      <sheetData sheetId="1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5FDA06-A134-4AEE-A32D-C0622A4B0A6B}">
  <dimension ref="A1:N83"/>
  <sheetViews>
    <sheetView workbookViewId="0">
      <selection activeCell="D15" sqref="D15"/>
    </sheetView>
  </sheetViews>
  <sheetFormatPr defaultRowHeight="15"/>
  <cols>
    <col min="1" max="1" width="40.5703125" bestFit="1" customWidth="1"/>
    <col min="2" max="2" width="44.7109375" bestFit="1" customWidth="1"/>
    <col min="3" max="3" width="8.7109375" bestFit="1" customWidth="1"/>
    <col min="4" max="4" width="32.7109375" bestFit="1" customWidth="1"/>
    <col min="5" max="5" width="11" bestFit="1" customWidth="1"/>
    <col min="6" max="6" width="26.140625" bestFit="1" customWidth="1"/>
    <col min="7" max="7" width="13.42578125" bestFit="1" customWidth="1"/>
    <col min="8" max="8" width="17.7109375" bestFit="1" customWidth="1"/>
    <col min="9" max="9" width="12" bestFit="1" customWidth="1"/>
    <col min="10" max="13" width="10.85546875" bestFit="1" customWidth="1"/>
  </cols>
  <sheetData>
    <row r="1" spans="1:14">
      <c r="A1" t="s">
        <v>0</v>
      </c>
      <c r="B1">
        <v>13</v>
      </c>
    </row>
    <row r="2" spans="1:14" ht="15.75">
      <c r="A2" s="16" t="s">
        <v>1</v>
      </c>
      <c r="B2" s="16" t="s">
        <v>2</v>
      </c>
      <c r="N2" s="17" t="str">
        <f ca="1">UPPER(CONCATENATE(DEC2HEX(RANDBETWEEN(0,POWER(16,8)),8),DEC2HEX(RANDBETWEEN(0,POWER(16,4)),4),"4",DEC2HEX(RANDBETWEEN(0,POWER(16,3)),3),DEC2HEX(RANDBETWEEN(8,11)),DEC2HEX(RANDBETWEEN(0,POWER(16,3)),3),DEC2HEX(RANDBETWEEN(0,POWER(16,8)),8),DEC2HEX(RANDBETWEEN(0,POWER(16,4)),4)))</f>
        <v>0D32913430D448E8B3A84817ABAEC54C</v>
      </c>
    </row>
    <row r="3" spans="1:14">
      <c r="A3" t="s">
        <v>3</v>
      </c>
      <c r="B3" t="s">
        <v>4</v>
      </c>
    </row>
    <row r="4" spans="1:14" ht="15.75">
      <c r="A4" s="1" t="s">
        <v>5</v>
      </c>
      <c r="B4" s="2" t="s">
        <v>6</v>
      </c>
      <c r="C4" s="3"/>
      <c r="D4" s="11"/>
      <c r="E4" s="11"/>
      <c r="F4" s="11"/>
      <c r="G4" s="11"/>
      <c r="H4" s="11"/>
      <c r="I4" s="11"/>
      <c r="J4" s="11"/>
      <c r="K4" s="11"/>
      <c r="L4" s="11"/>
      <c r="M4" s="11"/>
    </row>
    <row r="5" spans="1:14">
      <c r="A5" s="12" t="s">
        <v>7</v>
      </c>
      <c r="B5" s="13" t="s">
        <v>8</v>
      </c>
      <c r="C5" s="4"/>
      <c r="D5" s="13"/>
      <c r="E5" s="13"/>
      <c r="F5" s="13"/>
      <c r="G5" s="13"/>
      <c r="H5" s="13"/>
      <c r="I5" s="13"/>
      <c r="J5" s="13"/>
      <c r="K5" s="13"/>
      <c r="L5" s="13"/>
      <c r="M5" s="13"/>
    </row>
    <row r="6" spans="1:14">
      <c r="A6" s="12" t="s">
        <v>9</v>
      </c>
      <c r="B6" s="13" t="s">
        <v>10</v>
      </c>
      <c r="C6" s="4"/>
      <c r="D6" s="13"/>
      <c r="E6" s="13"/>
      <c r="F6" s="13"/>
      <c r="G6" s="13"/>
      <c r="H6" s="13"/>
      <c r="I6" s="13"/>
      <c r="J6" s="13"/>
      <c r="K6" s="13"/>
      <c r="L6" s="13"/>
      <c r="M6" s="13"/>
    </row>
    <row r="7" spans="1:14" ht="60">
      <c r="A7" s="12" t="s">
        <v>11</v>
      </c>
      <c r="B7" s="14" t="s">
        <v>12</v>
      </c>
      <c r="C7" s="13"/>
      <c r="D7" s="13"/>
      <c r="E7" s="13"/>
      <c r="F7" s="13"/>
      <c r="G7" s="13"/>
      <c r="H7" s="13"/>
      <c r="I7" s="13"/>
      <c r="J7" s="13"/>
      <c r="K7" s="13"/>
      <c r="L7" s="13"/>
      <c r="M7" s="13"/>
    </row>
    <row r="8" spans="1:14">
      <c r="A8" s="12" t="s">
        <v>13</v>
      </c>
      <c r="B8" s="13" t="s">
        <v>14</v>
      </c>
      <c r="C8" s="13"/>
      <c r="D8" s="13"/>
      <c r="E8" s="13"/>
      <c r="F8" s="13"/>
      <c r="G8" s="13"/>
      <c r="H8" s="13"/>
      <c r="I8" s="13"/>
      <c r="J8" s="13"/>
      <c r="K8" s="13"/>
      <c r="L8" s="13"/>
      <c r="M8" s="13"/>
    </row>
    <row r="9" spans="1:14">
      <c r="A9" s="12" t="s">
        <v>15</v>
      </c>
      <c r="B9" s="13">
        <v>1</v>
      </c>
      <c r="C9" s="13"/>
      <c r="D9" s="13"/>
      <c r="E9" s="13"/>
      <c r="F9" s="13"/>
      <c r="G9" s="13"/>
      <c r="H9" s="13"/>
      <c r="I9" s="13"/>
      <c r="J9" s="13"/>
      <c r="K9" s="13"/>
      <c r="L9" s="13"/>
      <c r="M9" s="13"/>
    </row>
    <row r="10" spans="1:14">
      <c r="A10" s="12" t="s">
        <v>16</v>
      </c>
      <c r="B10" s="13" t="s">
        <v>17</v>
      </c>
      <c r="C10" s="13"/>
      <c r="D10" s="13"/>
      <c r="E10" s="13"/>
      <c r="F10" s="13"/>
      <c r="G10" s="13"/>
      <c r="H10" s="13"/>
      <c r="I10" s="13"/>
      <c r="J10" s="13"/>
      <c r="K10" s="13"/>
      <c r="L10" s="13"/>
      <c r="M10" s="13"/>
    </row>
    <row r="11" spans="1:14">
      <c r="A11" s="12" t="s">
        <v>18</v>
      </c>
      <c r="B11" s="13" t="s">
        <v>18</v>
      </c>
      <c r="C11" s="13"/>
      <c r="D11" s="13"/>
      <c r="E11" s="13"/>
      <c r="F11" s="13"/>
      <c r="G11" s="13"/>
      <c r="H11" s="13"/>
      <c r="I11" s="13"/>
      <c r="J11" s="13"/>
      <c r="K11" s="13"/>
      <c r="L11" s="13"/>
      <c r="M11" s="13"/>
    </row>
    <row r="12" spans="1:14" ht="15.75">
      <c r="A12" s="5" t="s">
        <v>19</v>
      </c>
      <c r="B12" s="13"/>
      <c r="C12" s="13"/>
      <c r="D12" s="13"/>
      <c r="E12" s="13"/>
      <c r="F12" s="13"/>
      <c r="G12" s="13"/>
      <c r="H12" s="13"/>
      <c r="I12" s="13"/>
      <c r="J12" s="13"/>
      <c r="K12" s="13"/>
      <c r="L12" s="13"/>
      <c r="M12" s="13"/>
    </row>
    <row r="13" spans="1:14" ht="15.75">
      <c r="A13" s="5" t="s">
        <v>20</v>
      </c>
      <c r="B13" s="6" t="s">
        <v>21</v>
      </c>
      <c r="C13" s="6" t="s">
        <v>18</v>
      </c>
      <c r="D13" s="6" t="s">
        <v>22</v>
      </c>
      <c r="E13" s="6" t="s">
        <v>7</v>
      </c>
      <c r="F13" s="6" t="s">
        <v>13</v>
      </c>
      <c r="G13" s="6" t="s">
        <v>16</v>
      </c>
      <c r="H13" s="6" t="s">
        <v>23</v>
      </c>
      <c r="I13" s="6" t="s">
        <v>24</v>
      </c>
      <c r="J13" s="6" t="s">
        <v>25</v>
      </c>
      <c r="K13" s="6" t="s">
        <v>26</v>
      </c>
      <c r="L13" s="6" t="s">
        <v>27</v>
      </c>
      <c r="M13" s="6" t="s">
        <v>28</v>
      </c>
      <c r="N13" s="6" t="s">
        <v>11</v>
      </c>
    </row>
    <row r="14" spans="1:14">
      <c r="A14" t="s">
        <v>6</v>
      </c>
      <c r="B14">
        <v>1</v>
      </c>
      <c r="C14" t="s">
        <v>18</v>
      </c>
      <c r="D14" t="s">
        <v>2</v>
      </c>
      <c r="E14" t="s">
        <v>29</v>
      </c>
      <c r="F14" t="s">
        <v>14</v>
      </c>
      <c r="G14" t="s">
        <v>30</v>
      </c>
      <c r="H14">
        <v>1</v>
      </c>
      <c r="I14">
        <v>1</v>
      </c>
      <c r="J14" t="s">
        <v>31</v>
      </c>
      <c r="K14" t="s">
        <v>31</v>
      </c>
      <c r="L14" t="s">
        <v>31</v>
      </c>
      <c r="M14" t="s">
        <v>31</v>
      </c>
    </row>
    <row r="15" spans="1:14">
      <c r="A15" t="s">
        <v>32</v>
      </c>
      <c r="B15">
        <f>1/(20*365*4)</f>
        <v>3.4246575342465751E-5</v>
      </c>
      <c r="C15" t="s">
        <v>18</v>
      </c>
      <c r="D15" t="s">
        <v>2</v>
      </c>
      <c r="E15" t="s">
        <v>29</v>
      </c>
      <c r="F15" t="s">
        <v>14</v>
      </c>
      <c r="G15" t="s">
        <v>33</v>
      </c>
      <c r="H15">
        <v>1</v>
      </c>
      <c r="I15">
        <v>1</v>
      </c>
      <c r="J15" t="s">
        <v>31</v>
      </c>
      <c r="K15" t="s">
        <v>31</v>
      </c>
      <c r="L15" t="s">
        <v>31</v>
      </c>
      <c r="M15" t="s">
        <v>31</v>
      </c>
      <c r="N15" t="s">
        <v>34</v>
      </c>
    </row>
    <row r="16" spans="1:14">
      <c r="A16" t="s">
        <v>35</v>
      </c>
      <c r="B16">
        <f>1/(18835+18859)</f>
        <v>2.6529421128030986E-5</v>
      </c>
      <c r="C16" t="s">
        <v>18</v>
      </c>
      <c r="D16" t="s">
        <v>2</v>
      </c>
      <c r="E16" t="s">
        <v>29</v>
      </c>
      <c r="F16" t="s">
        <v>36</v>
      </c>
      <c r="G16" t="s">
        <v>33</v>
      </c>
      <c r="H16">
        <v>1</v>
      </c>
      <c r="I16">
        <v>1</v>
      </c>
      <c r="J16" t="s">
        <v>31</v>
      </c>
      <c r="K16" t="s">
        <v>31</v>
      </c>
      <c r="L16" t="s">
        <v>31</v>
      </c>
      <c r="M16" t="s">
        <v>31</v>
      </c>
      <c r="N16" t="s">
        <v>37</v>
      </c>
    </row>
    <row r="17" spans="1:14">
      <c r="A17" t="s">
        <v>38</v>
      </c>
      <c r="B17">
        <v>1097.3499999999999</v>
      </c>
      <c r="C17" t="s">
        <v>39</v>
      </c>
      <c r="D17" t="s">
        <v>40</v>
      </c>
      <c r="E17" t="s">
        <v>29</v>
      </c>
      <c r="F17" t="s">
        <v>41</v>
      </c>
      <c r="G17" t="s">
        <v>33</v>
      </c>
      <c r="H17">
        <v>2</v>
      </c>
      <c r="I17">
        <f>LN(B17)</f>
        <v>7.0006534613488673</v>
      </c>
      <c r="J17">
        <v>5.0990195135927806E-2</v>
      </c>
      <c r="K17" t="s">
        <v>31</v>
      </c>
      <c r="L17" t="s">
        <v>31</v>
      </c>
      <c r="M17" t="s">
        <v>31</v>
      </c>
    </row>
    <row r="18" spans="1:14">
      <c r="A18" t="s">
        <v>42</v>
      </c>
      <c r="B18">
        <f>N18*2</f>
        <v>12.589729517021832</v>
      </c>
      <c r="C18" t="s">
        <v>39</v>
      </c>
      <c r="D18" t="s">
        <v>43</v>
      </c>
      <c r="E18" t="s">
        <v>44</v>
      </c>
      <c r="F18" t="s">
        <v>29</v>
      </c>
      <c r="G18" t="s">
        <v>45</v>
      </c>
      <c r="H18">
        <v>2</v>
      </c>
      <c r="I18">
        <f>LN(B18)</f>
        <v>2.5328813638716863</v>
      </c>
      <c r="J18">
        <v>5.0990195135927806E-2</v>
      </c>
      <c r="K18" t="s">
        <v>31</v>
      </c>
      <c r="L18" t="s">
        <v>31</v>
      </c>
      <c r="M18" t="s">
        <v>31</v>
      </c>
      <c r="N18">
        <f>SUM('[1]Use (kerosene)'!H171:L171,'[1]Use (kerosene)'!Q171)</f>
        <v>6.2948647585109159</v>
      </c>
    </row>
    <row r="19" spans="1:14">
      <c r="A19" t="s">
        <v>46</v>
      </c>
      <c r="B19">
        <f t="shared" ref="B19:B23" si="0">N19*2</f>
        <v>4.2823208671246125</v>
      </c>
      <c r="C19" t="s">
        <v>39</v>
      </c>
      <c r="D19" t="s">
        <v>43</v>
      </c>
      <c r="E19" t="s">
        <v>44</v>
      </c>
      <c r="F19" t="s">
        <v>29</v>
      </c>
      <c r="G19" t="s">
        <v>45</v>
      </c>
      <c r="H19">
        <v>2</v>
      </c>
      <c r="I19">
        <f t="shared" ref="I19:I23" si="1">LN(B19)</f>
        <v>1.4544951212985733</v>
      </c>
      <c r="J19">
        <v>5.0990195135927806E-2</v>
      </c>
      <c r="K19" t="s">
        <v>31</v>
      </c>
      <c r="L19" t="s">
        <v>31</v>
      </c>
      <c r="M19" t="s">
        <v>31</v>
      </c>
      <c r="N19">
        <f>SUM('[1]Use (kerosene)'!H172:L172,'[1]Use (kerosene)'!Q172)</f>
        <v>2.1411604335623062</v>
      </c>
    </row>
    <row r="20" spans="1:14">
      <c r="A20" t="s">
        <v>47</v>
      </c>
      <c r="B20">
        <f t="shared" si="0"/>
        <v>0.40244514897396111</v>
      </c>
      <c r="C20" t="s">
        <v>39</v>
      </c>
      <c r="D20" t="s">
        <v>43</v>
      </c>
      <c r="E20" t="s">
        <v>44</v>
      </c>
      <c r="F20" t="s">
        <v>29</v>
      </c>
      <c r="G20" t="s">
        <v>45</v>
      </c>
      <c r="H20">
        <v>2</v>
      </c>
      <c r="I20">
        <f t="shared" si="1"/>
        <v>-0.91019646725100556</v>
      </c>
      <c r="J20">
        <v>5.0990195135927806E-2</v>
      </c>
      <c r="K20" t="s">
        <v>31</v>
      </c>
      <c r="L20" t="s">
        <v>31</v>
      </c>
      <c r="M20" t="s">
        <v>31</v>
      </c>
      <c r="N20">
        <f>SUM('[1]Use (kerosene)'!H173:L173,'[1]Use (kerosene)'!Q173)</f>
        <v>0.20122257448698055</v>
      </c>
    </row>
    <row r="21" spans="1:14">
      <c r="A21" t="s">
        <v>48</v>
      </c>
      <c r="B21">
        <f t="shared" si="0"/>
        <v>3455.5442791985442</v>
      </c>
      <c r="C21" t="s">
        <v>39</v>
      </c>
      <c r="D21" t="s">
        <v>43</v>
      </c>
      <c r="E21" t="s">
        <v>44</v>
      </c>
      <c r="F21" t="s">
        <v>29</v>
      </c>
      <c r="G21" t="s">
        <v>45</v>
      </c>
      <c r="H21">
        <v>2</v>
      </c>
      <c r="I21">
        <f t="shared" si="1"/>
        <v>8.1477352575713411</v>
      </c>
      <c r="J21">
        <v>5.0990195135927806E-2</v>
      </c>
      <c r="K21" t="s">
        <v>31</v>
      </c>
      <c r="L21" t="s">
        <v>31</v>
      </c>
      <c r="M21" t="s">
        <v>31</v>
      </c>
      <c r="N21">
        <f>SUM('[1]Use (kerosene)'!H174:L174,'[1]Use (kerosene)'!Q174)</f>
        <v>1727.7721395992721</v>
      </c>
    </row>
    <row r="22" spans="1:14">
      <c r="A22" t="s">
        <v>49</v>
      </c>
      <c r="B22">
        <f t="shared" si="0"/>
        <v>1349.7362538628799</v>
      </c>
      <c r="C22" t="s">
        <v>50</v>
      </c>
      <c r="D22" t="s">
        <v>43</v>
      </c>
      <c r="E22" t="s">
        <v>44</v>
      </c>
      <c r="F22" t="s">
        <v>29</v>
      </c>
      <c r="G22" t="s">
        <v>45</v>
      </c>
      <c r="H22">
        <v>2</v>
      </c>
      <c r="I22">
        <f t="shared" si="1"/>
        <v>7.2076644848367799</v>
      </c>
      <c r="J22">
        <v>5.0990195135927806E-2</v>
      </c>
      <c r="K22" t="s">
        <v>31</v>
      </c>
      <c r="L22" t="s">
        <v>31</v>
      </c>
      <c r="M22" t="s">
        <v>31</v>
      </c>
      <c r="N22">
        <f>SUM('[1]Use (kerosene)'!H175:L175,'[1]Use (kerosene)'!Q175)</f>
        <v>674.86812693143997</v>
      </c>
    </row>
    <row r="23" spans="1:14">
      <c r="A23" t="s">
        <v>51</v>
      </c>
      <c r="B23">
        <f t="shared" si="0"/>
        <v>0.92177110019904007</v>
      </c>
      <c r="C23" t="s">
        <v>39</v>
      </c>
      <c r="D23" t="s">
        <v>43</v>
      </c>
      <c r="E23" t="s">
        <v>44</v>
      </c>
      <c r="F23" t="s">
        <v>29</v>
      </c>
      <c r="G23" t="s">
        <v>45</v>
      </c>
      <c r="H23">
        <v>2</v>
      </c>
      <c r="I23">
        <f t="shared" si="1"/>
        <v>-8.1458350674461277E-2</v>
      </c>
      <c r="J23">
        <v>5.0990195135927806E-2</v>
      </c>
      <c r="K23" t="s">
        <v>31</v>
      </c>
      <c r="L23" t="s">
        <v>31</v>
      </c>
      <c r="M23" t="s">
        <v>31</v>
      </c>
      <c r="N23">
        <f>SUM('[1]Use (kerosene)'!H176:L176,'[1]Use (kerosene)'!Q176)</f>
        <v>0.46088555009952004</v>
      </c>
    </row>
    <row r="24" spans="1:14" ht="15.75">
      <c r="A24" s="1" t="s">
        <v>5</v>
      </c>
      <c r="B24" s="2" t="s">
        <v>52</v>
      </c>
      <c r="C24" s="3"/>
      <c r="D24" s="11"/>
      <c r="E24" s="11"/>
      <c r="F24" s="11"/>
      <c r="G24" s="11"/>
      <c r="H24" s="11"/>
      <c r="I24" s="11"/>
      <c r="J24" s="11"/>
      <c r="K24" s="11"/>
      <c r="L24" s="11"/>
      <c r="M24" s="11"/>
    </row>
    <row r="25" spans="1:14">
      <c r="A25" s="12" t="s">
        <v>7</v>
      </c>
      <c r="B25" s="13" t="s">
        <v>8</v>
      </c>
      <c r="C25" s="4"/>
      <c r="D25" s="13"/>
      <c r="E25" s="13"/>
      <c r="F25" s="13"/>
      <c r="G25" s="13"/>
      <c r="H25" s="13"/>
      <c r="I25" s="13"/>
      <c r="J25" s="13"/>
      <c r="K25" s="13"/>
      <c r="L25" s="13"/>
      <c r="M25" s="13"/>
    </row>
    <row r="26" spans="1:14">
      <c r="A26" s="12" t="s">
        <v>9</v>
      </c>
      <c r="B26" s="13" t="s">
        <v>53</v>
      </c>
      <c r="C26" s="4"/>
      <c r="D26" s="13"/>
      <c r="E26" s="13"/>
      <c r="F26" s="13"/>
      <c r="G26" s="13"/>
      <c r="H26" s="13"/>
      <c r="I26" s="13"/>
      <c r="J26" s="13"/>
      <c r="K26" s="13"/>
      <c r="L26" s="13"/>
      <c r="M26" s="13"/>
    </row>
    <row r="27" spans="1:14" ht="60">
      <c r="A27" s="12" t="s">
        <v>11</v>
      </c>
      <c r="B27" s="14" t="s">
        <v>54</v>
      </c>
      <c r="C27" s="13"/>
      <c r="D27" s="13"/>
      <c r="E27" s="13"/>
      <c r="F27" s="13"/>
      <c r="G27" s="13"/>
      <c r="H27" s="13"/>
      <c r="I27" s="13"/>
      <c r="J27" s="13"/>
      <c r="K27" s="13"/>
      <c r="L27" s="13"/>
      <c r="M27" s="13"/>
    </row>
    <row r="28" spans="1:14">
      <c r="A28" s="12" t="s">
        <v>13</v>
      </c>
      <c r="B28" s="13" t="s">
        <v>14</v>
      </c>
      <c r="C28" s="13"/>
      <c r="D28" s="13"/>
      <c r="E28" s="13"/>
      <c r="F28" s="13"/>
      <c r="G28" s="13"/>
      <c r="H28" s="13"/>
      <c r="I28" s="13"/>
      <c r="J28" s="13"/>
      <c r="K28" s="13"/>
      <c r="L28" s="13"/>
      <c r="M28" s="13"/>
    </row>
    <row r="29" spans="1:14">
      <c r="A29" s="12" t="s">
        <v>15</v>
      </c>
      <c r="B29" s="13">
        <v>1</v>
      </c>
      <c r="C29" s="13"/>
      <c r="D29" s="13"/>
      <c r="E29" s="13"/>
      <c r="F29" s="13"/>
      <c r="G29" s="13"/>
      <c r="H29" s="13"/>
      <c r="I29" s="13"/>
      <c r="J29" s="13"/>
      <c r="K29" s="13"/>
      <c r="L29" s="13"/>
      <c r="M29" s="13"/>
    </row>
    <row r="30" spans="1:14">
      <c r="A30" s="12" t="s">
        <v>16</v>
      </c>
      <c r="B30" s="13" t="s">
        <v>17</v>
      </c>
      <c r="C30" s="13"/>
      <c r="D30" s="13"/>
      <c r="E30" s="13"/>
      <c r="F30" s="13"/>
      <c r="G30" s="13"/>
      <c r="H30" s="13"/>
      <c r="I30" s="13"/>
      <c r="J30" s="13"/>
      <c r="K30" s="13"/>
      <c r="L30" s="13"/>
      <c r="M30" s="13"/>
    </row>
    <row r="31" spans="1:14">
      <c r="A31" s="12" t="s">
        <v>18</v>
      </c>
      <c r="B31" s="13" t="s">
        <v>18</v>
      </c>
      <c r="C31" s="13"/>
      <c r="D31" s="13"/>
      <c r="E31" s="13"/>
      <c r="F31" s="13"/>
      <c r="G31" s="13"/>
      <c r="H31" s="13"/>
      <c r="I31" s="13"/>
      <c r="J31" s="13"/>
      <c r="K31" s="13"/>
      <c r="L31" s="13"/>
      <c r="M31" s="13"/>
    </row>
    <row r="32" spans="1:14" ht="15.75">
      <c r="A32" s="5" t="s">
        <v>19</v>
      </c>
      <c r="B32" s="13"/>
      <c r="C32" s="13"/>
      <c r="D32" s="13"/>
      <c r="E32" s="13"/>
      <c r="F32" s="13"/>
      <c r="G32" s="13"/>
      <c r="H32" s="13"/>
      <c r="I32" s="13"/>
      <c r="J32" s="13"/>
      <c r="K32" s="13"/>
      <c r="L32" s="13"/>
      <c r="M32" s="13"/>
    </row>
    <row r="33" spans="1:14" ht="15.75">
      <c r="A33" s="5" t="s">
        <v>20</v>
      </c>
      <c r="B33" s="6" t="s">
        <v>21</v>
      </c>
      <c r="C33" s="6" t="s">
        <v>18</v>
      </c>
      <c r="D33" s="6" t="s">
        <v>22</v>
      </c>
      <c r="E33" s="6" t="s">
        <v>7</v>
      </c>
      <c r="F33" s="6" t="s">
        <v>13</v>
      </c>
      <c r="G33" s="6" t="s">
        <v>16</v>
      </c>
      <c r="H33" s="6" t="s">
        <v>23</v>
      </c>
      <c r="I33" s="6" t="s">
        <v>24</v>
      </c>
      <c r="J33" s="6" t="s">
        <v>25</v>
      </c>
      <c r="K33" s="6" t="s">
        <v>26</v>
      </c>
      <c r="L33" s="6" t="s">
        <v>27</v>
      </c>
      <c r="M33" s="6" t="s">
        <v>28</v>
      </c>
      <c r="N33" s="6" t="s">
        <v>11</v>
      </c>
    </row>
    <row r="34" spans="1:14">
      <c r="A34" t="s">
        <v>52</v>
      </c>
      <c r="B34">
        <v>1</v>
      </c>
      <c r="C34" t="s">
        <v>18</v>
      </c>
      <c r="D34" t="s">
        <v>2</v>
      </c>
      <c r="E34" t="s">
        <v>29</v>
      </c>
      <c r="F34" t="s">
        <v>14</v>
      </c>
      <c r="G34" t="s">
        <v>30</v>
      </c>
      <c r="H34">
        <v>1</v>
      </c>
      <c r="I34">
        <v>1</v>
      </c>
      <c r="J34" t="s">
        <v>31</v>
      </c>
      <c r="K34" t="s">
        <v>31</v>
      </c>
      <c r="L34" t="s">
        <v>31</v>
      </c>
      <c r="M34" t="s">
        <v>31</v>
      </c>
    </row>
    <row r="35" spans="1:14">
      <c r="A35" t="s">
        <v>32</v>
      </c>
      <c r="B35">
        <f>1/(20*365*6)</f>
        <v>2.2831050228310503E-5</v>
      </c>
      <c r="C35" t="s">
        <v>18</v>
      </c>
      <c r="D35" t="s">
        <v>2</v>
      </c>
      <c r="E35" t="s">
        <v>29</v>
      </c>
      <c r="F35" t="s">
        <v>14</v>
      </c>
      <c r="G35" t="s">
        <v>33</v>
      </c>
      <c r="H35">
        <v>1</v>
      </c>
      <c r="I35">
        <v>1</v>
      </c>
      <c r="J35" t="s">
        <v>31</v>
      </c>
      <c r="K35" t="s">
        <v>31</v>
      </c>
      <c r="L35" t="s">
        <v>31</v>
      </c>
      <c r="M35" t="s">
        <v>31</v>
      </c>
      <c r="N35" t="s">
        <v>55</v>
      </c>
    </row>
    <row r="36" spans="1:14">
      <c r="A36" t="s">
        <v>35</v>
      </c>
      <c r="B36">
        <f>1/(18835+18859)</f>
        <v>2.6529421128030986E-5</v>
      </c>
      <c r="C36" t="s">
        <v>18</v>
      </c>
      <c r="D36" t="s">
        <v>2</v>
      </c>
      <c r="E36" t="s">
        <v>29</v>
      </c>
      <c r="F36" t="s">
        <v>36</v>
      </c>
      <c r="G36" t="s">
        <v>33</v>
      </c>
      <c r="H36">
        <v>1</v>
      </c>
      <c r="I36">
        <v>1</v>
      </c>
      <c r="J36" t="s">
        <v>31</v>
      </c>
      <c r="K36" t="s">
        <v>31</v>
      </c>
      <c r="L36" t="s">
        <v>31</v>
      </c>
      <c r="M36" t="s">
        <v>31</v>
      </c>
      <c r="N36" t="s">
        <v>37</v>
      </c>
    </row>
    <row r="37" spans="1:14">
      <c r="A37" t="s">
        <v>38</v>
      </c>
      <c r="B37">
        <v>473.11</v>
      </c>
      <c r="C37" t="s">
        <v>39</v>
      </c>
      <c r="D37" t="s">
        <v>40</v>
      </c>
      <c r="E37" t="s">
        <v>29</v>
      </c>
      <c r="F37" t="s">
        <v>41</v>
      </c>
      <c r="G37" t="s">
        <v>33</v>
      </c>
      <c r="H37">
        <v>2</v>
      </c>
      <c r="I37">
        <f>LN(B37)</f>
        <v>6.1593279195940154</v>
      </c>
      <c r="J37">
        <v>5.0990195135927806E-2</v>
      </c>
      <c r="K37" t="s">
        <v>31</v>
      </c>
      <c r="L37" t="s">
        <v>31</v>
      </c>
      <c r="M37" t="s">
        <v>31</v>
      </c>
    </row>
    <row r="38" spans="1:14">
      <c r="A38" t="s">
        <v>42</v>
      </c>
      <c r="B38">
        <f>N38*2</f>
        <v>4.899204047231132</v>
      </c>
      <c r="C38" t="s">
        <v>39</v>
      </c>
      <c r="D38" t="s">
        <v>43</v>
      </c>
      <c r="E38" t="s">
        <v>44</v>
      </c>
      <c r="F38" t="s">
        <v>29</v>
      </c>
      <c r="G38" t="s">
        <v>45</v>
      </c>
      <c r="H38">
        <v>2</v>
      </c>
      <c r="I38">
        <f>LN(B38)</f>
        <v>1.5890727525812971</v>
      </c>
      <c r="J38">
        <v>5.0990195135927806E-2</v>
      </c>
      <c r="K38" t="s">
        <v>31</v>
      </c>
      <c r="L38" t="s">
        <v>31</v>
      </c>
      <c r="M38" t="s">
        <v>31</v>
      </c>
      <c r="N38">
        <f>SUM('[1]Use (kerosene)'!H357:L357,'[1]Use (kerosene)'!Q357)</f>
        <v>2.449602023615566</v>
      </c>
    </row>
    <row r="39" spans="1:14">
      <c r="A39" t="s">
        <v>46</v>
      </c>
      <c r="B39">
        <f t="shared" ref="B39:B43" si="2">N39*2</f>
        <v>3.763034888893857</v>
      </c>
      <c r="C39" t="s">
        <v>39</v>
      </c>
      <c r="D39" t="s">
        <v>43</v>
      </c>
      <c r="E39" t="s">
        <v>44</v>
      </c>
      <c r="F39" t="s">
        <v>29</v>
      </c>
      <c r="G39" t="s">
        <v>45</v>
      </c>
      <c r="H39">
        <v>2</v>
      </c>
      <c r="I39">
        <f t="shared" ref="I39:I43" si="3">LN(B39)</f>
        <v>1.3252257831319276</v>
      </c>
      <c r="J39">
        <v>5.0990195135927806E-2</v>
      </c>
      <c r="K39" t="s">
        <v>31</v>
      </c>
      <c r="L39" t="s">
        <v>31</v>
      </c>
      <c r="M39" t="s">
        <v>31</v>
      </c>
      <c r="N39">
        <f>SUM('[1]Use (kerosene)'!H358:L358,'[1]Use (kerosene)'!Q358)</f>
        <v>1.8815174444469285</v>
      </c>
    </row>
    <row r="40" spans="1:14">
      <c r="A40" t="s">
        <v>47</v>
      </c>
      <c r="B40">
        <f t="shared" si="2"/>
        <v>0.33936749119865711</v>
      </c>
      <c r="C40" t="s">
        <v>39</v>
      </c>
      <c r="D40" t="s">
        <v>43</v>
      </c>
      <c r="E40" t="s">
        <v>44</v>
      </c>
      <c r="F40" t="s">
        <v>29</v>
      </c>
      <c r="G40" t="s">
        <v>45</v>
      </c>
      <c r="H40">
        <v>2</v>
      </c>
      <c r="I40">
        <f t="shared" si="3"/>
        <v>-1.0806717139201962</v>
      </c>
      <c r="J40">
        <v>5.0990195135927806E-2</v>
      </c>
      <c r="K40" t="s">
        <v>31</v>
      </c>
      <c r="L40" t="s">
        <v>31</v>
      </c>
      <c r="M40" t="s">
        <v>31</v>
      </c>
      <c r="N40">
        <f>SUM('[1]Use (kerosene)'!H359:L359,'[1]Use (kerosene)'!Q359)</f>
        <v>0.16968374559932856</v>
      </c>
    </row>
    <row r="41" spans="1:14">
      <c r="A41" t="s">
        <v>48</v>
      </c>
      <c r="B41">
        <f t="shared" si="2"/>
        <v>1489.8091189713239</v>
      </c>
      <c r="C41" t="s">
        <v>39</v>
      </c>
      <c r="D41" t="s">
        <v>43</v>
      </c>
      <c r="E41" t="s">
        <v>44</v>
      </c>
      <c r="F41" t="s">
        <v>29</v>
      </c>
      <c r="G41" t="s">
        <v>45</v>
      </c>
      <c r="H41">
        <v>2</v>
      </c>
      <c r="I41">
        <f t="shared" si="3"/>
        <v>7.3064032826600274</v>
      </c>
      <c r="J41">
        <v>5.0990195135927806E-2</v>
      </c>
      <c r="K41" t="s">
        <v>31</v>
      </c>
      <c r="L41" t="s">
        <v>31</v>
      </c>
      <c r="M41" t="s">
        <v>31</v>
      </c>
      <c r="N41">
        <f>SUM('[1]Use (kerosene)'!H360:L360,'[1]Use (kerosene)'!Q360)</f>
        <v>744.90455948566193</v>
      </c>
    </row>
    <row r="42" spans="1:14">
      <c r="A42" t="s">
        <v>49</v>
      </c>
      <c r="B42">
        <f t="shared" si="2"/>
        <v>581.91972573348005</v>
      </c>
      <c r="C42" t="s">
        <v>50</v>
      </c>
      <c r="D42" t="s">
        <v>43</v>
      </c>
      <c r="E42" t="s">
        <v>44</v>
      </c>
      <c r="F42" t="s">
        <v>29</v>
      </c>
      <c r="G42" t="s">
        <v>45</v>
      </c>
      <c r="H42">
        <v>2</v>
      </c>
      <c r="I42">
        <f t="shared" si="3"/>
        <v>6.3663325099254662</v>
      </c>
      <c r="J42">
        <v>5.0990195135927806E-2</v>
      </c>
      <c r="K42" t="s">
        <v>31</v>
      </c>
      <c r="L42" t="s">
        <v>31</v>
      </c>
      <c r="M42" t="s">
        <v>31</v>
      </c>
      <c r="N42">
        <f>SUM('[1]Use (kerosene)'!H361:L361,'[1]Use (kerosene)'!Q361)</f>
        <v>290.95986286674002</v>
      </c>
    </row>
    <row r="43" spans="1:14">
      <c r="A43" t="s">
        <v>51</v>
      </c>
      <c r="B43">
        <f t="shared" si="2"/>
        <v>0.39740859318384003</v>
      </c>
      <c r="C43" t="s">
        <v>39</v>
      </c>
      <c r="D43" t="s">
        <v>43</v>
      </c>
      <c r="E43" t="s">
        <v>44</v>
      </c>
      <c r="F43" t="s">
        <v>29</v>
      </c>
      <c r="G43" t="s">
        <v>45</v>
      </c>
      <c r="H43">
        <v>2</v>
      </c>
      <c r="I43">
        <f t="shared" si="3"/>
        <v>-0.92279032558577445</v>
      </c>
      <c r="J43">
        <v>5.0990195135927806E-2</v>
      </c>
      <c r="K43" t="s">
        <v>31</v>
      </c>
      <c r="L43" t="s">
        <v>31</v>
      </c>
      <c r="M43" t="s">
        <v>31</v>
      </c>
      <c r="N43">
        <f>SUM('[1]Use (kerosene)'!H362:L362,'[1]Use (kerosene)'!Q362)</f>
        <v>0.19870429659192002</v>
      </c>
    </row>
    <row r="44" spans="1:14" ht="15.75">
      <c r="A44" s="1" t="s">
        <v>5</v>
      </c>
      <c r="B44" s="2" t="s">
        <v>56</v>
      </c>
      <c r="C44" s="3"/>
      <c r="D44" s="11"/>
      <c r="E44" s="11"/>
      <c r="F44" s="11"/>
      <c r="G44" s="11"/>
      <c r="H44" s="11"/>
      <c r="I44" s="11"/>
      <c r="J44" s="11"/>
      <c r="K44" s="11"/>
      <c r="L44" s="11"/>
      <c r="M44" s="11"/>
    </row>
    <row r="45" spans="1:14">
      <c r="A45" s="12" t="s">
        <v>7</v>
      </c>
      <c r="B45" s="13" t="s">
        <v>8</v>
      </c>
      <c r="C45" s="4"/>
      <c r="D45" s="13"/>
      <c r="E45" s="13"/>
      <c r="F45" s="13"/>
      <c r="G45" s="13"/>
      <c r="H45" s="13"/>
      <c r="I45" s="13"/>
      <c r="J45" s="13"/>
      <c r="K45" s="13"/>
      <c r="L45" s="13"/>
      <c r="M45" s="13"/>
    </row>
    <row r="46" spans="1:14">
      <c r="A46" s="12" t="s">
        <v>9</v>
      </c>
      <c r="B46" s="13" t="s">
        <v>57</v>
      </c>
      <c r="C46" s="4"/>
      <c r="D46" s="13"/>
      <c r="E46" s="13"/>
      <c r="F46" s="13"/>
      <c r="G46" s="13"/>
      <c r="H46" s="13"/>
      <c r="I46" s="13"/>
      <c r="J46" s="13"/>
      <c r="K46" s="13"/>
      <c r="L46" s="13"/>
      <c r="M46" s="13"/>
    </row>
    <row r="47" spans="1:14" ht="60">
      <c r="A47" s="12" t="s">
        <v>11</v>
      </c>
      <c r="B47" s="14" t="s">
        <v>58</v>
      </c>
      <c r="C47" s="13"/>
      <c r="D47" s="13"/>
      <c r="E47" s="13"/>
      <c r="F47" s="13"/>
      <c r="G47" s="13"/>
      <c r="H47" s="13"/>
      <c r="I47" s="13"/>
      <c r="J47" s="13"/>
      <c r="K47" s="13"/>
      <c r="L47" s="13"/>
      <c r="M47" s="13"/>
    </row>
    <row r="48" spans="1:14">
      <c r="A48" s="12" t="s">
        <v>13</v>
      </c>
      <c r="B48" s="13" t="s">
        <v>14</v>
      </c>
      <c r="C48" s="13"/>
      <c r="D48" s="13"/>
      <c r="E48" s="13"/>
      <c r="F48" s="13"/>
      <c r="G48" s="13"/>
      <c r="H48" s="13"/>
      <c r="I48" s="13"/>
      <c r="J48" s="13"/>
      <c r="K48" s="13"/>
      <c r="L48" s="13"/>
      <c r="M48" s="13"/>
    </row>
    <row r="49" spans="1:14">
      <c r="A49" s="12" t="s">
        <v>15</v>
      </c>
      <c r="B49" s="13">
        <v>1</v>
      </c>
      <c r="C49" s="13"/>
      <c r="D49" s="13"/>
      <c r="E49" s="13"/>
      <c r="F49" s="13"/>
      <c r="G49" s="13"/>
      <c r="H49" s="13"/>
      <c r="I49" s="13"/>
      <c r="J49" s="13"/>
      <c r="K49" s="13"/>
      <c r="L49" s="13"/>
      <c r="M49" s="13"/>
    </row>
    <row r="50" spans="1:14">
      <c r="A50" s="12" t="s">
        <v>16</v>
      </c>
      <c r="B50" s="13" t="s">
        <v>17</v>
      </c>
      <c r="C50" s="13"/>
      <c r="D50" s="13"/>
      <c r="E50" s="13"/>
      <c r="F50" s="13"/>
      <c r="G50" s="13"/>
      <c r="H50" s="13"/>
      <c r="I50" s="13"/>
      <c r="J50" s="13"/>
      <c r="K50" s="13"/>
      <c r="L50" s="13"/>
      <c r="M50" s="13"/>
    </row>
    <row r="51" spans="1:14">
      <c r="A51" s="12" t="s">
        <v>18</v>
      </c>
      <c r="B51" s="13" t="s">
        <v>18</v>
      </c>
      <c r="C51" s="13"/>
      <c r="D51" s="13"/>
      <c r="E51" s="13"/>
      <c r="F51" s="13"/>
      <c r="G51" s="13"/>
      <c r="H51" s="13"/>
      <c r="I51" s="13"/>
      <c r="J51" s="13"/>
      <c r="K51" s="13"/>
      <c r="L51" s="13"/>
      <c r="M51" s="13"/>
    </row>
    <row r="52" spans="1:14" ht="15.75">
      <c r="A52" s="5" t="s">
        <v>19</v>
      </c>
      <c r="B52" s="13"/>
      <c r="C52" s="13"/>
      <c r="D52" s="13"/>
      <c r="E52" s="13"/>
      <c r="F52" s="13"/>
      <c r="G52" s="13"/>
      <c r="H52" s="13"/>
      <c r="I52" s="13"/>
      <c r="J52" s="13"/>
      <c r="K52" s="13"/>
      <c r="L52" s="13"/>
      <c r="M52" s="13"/>
    </row>
    <row r="53" spans="1:14" ht="15.75">
      <c r="A53" s="5" t="s">
        <v>20</v>
      </c>
      <c r="B53" s="6" t="s">
        <v>21</v>
      </c>
      <c r="C53" s="6" t="s">
        <v>18</v>
      </c>
      <c r="D53" s="6" t="s">
        <v>22</v>
      </c>
      <c r="E53" s="6" t="s">
        <v>7</v>
      </c>
      <c r="F53" s="6" t="s">
        <v>13</v>
      </c>
      <c r="G53" s="6" t="s">
        <v>16</v>
      </c>
      <c r="H53" s="6" t="s">
        <v>23</v>
      </c>
      <c r="I53" s="6" t="s">
        <v>24</v>
      </c>
      <c r="J53" s="6" t="s">
        <v>25</v>
      </c>
      <c r="K53" s="6" t="s">
        <v>26</v>
      </c>
      <c r="L53" s="6" t="s">
        <v>27</v>
      </c>
      <c r="M53" s="6" t="s">
        <v>28</v>
      </c>
      <c r="N53" s="6" t="s">
        <v>11</v>
      </c>
    </row>
    <row r="54" spans="1:14">
      <c r="A54" t="s">
        <v>56</v>
      </c>
      <c r="B54">
        <v>1</v>
      </c>
      <c r="C54" t="s">
        <v>18</v>
      </c>
      <c r="D54" t="s">
        <v>2</v>
      </c>
      <c r="E54" t="s">
        <v>29</v>
      </c>
      <c r="F54" t="s">
        <v>14</v>
      </c>
      <c r="G54" t="s">
        <v>30</v>
      </c>
      <c r="H54">
        <v>1</v>
      </c>
      <c r="I54">
        <v>1</v>
      </c>
      <c r="J54" t="s">
        <v>31</v>
      </c>
      <c r="K54" t="s">
        <v>31</v>
      </c>
      <c r="L54" t="s">
        <v>31</v>
      </c>
      <c r="M54" t="s">
        <v>31</v>
      </c>
    </row>
    <row r="55" spans="1:14">
      <c r="A55" t="s">
        <v>32</v>
      </c>
      <c r="B55">
        <f>1/(20*365*4)</f>
        <v>3.4246575342465751E-5</v>
      </c>
      <c r="C55" t="s">
        <v>18</v>
      </c>
      <c r="D55" t="s">
        <v>2</v>
      </c>
      <c r="E55" t="s">
        <v>29</v>
      </c>
      <c r="F55" t="s">
        <v>14</v>
      </c>
      <c r="G55" t="s">
        <v>33</v>
      </c>
      <c r="H55">
        <v>1</v>
      </c>
      <c r="I55">
        <v>1</v>
      </c>
      <c r="J55" t="s">
        <v>31</v>
      </c>
      <c r="K55" t="s">
        <v>31</v>
      </c>
      <c r="L55" t="s">
        <v>31</v>
      </c>
      <c r="M55" t="s">
        <v>31</v>
      </c>
      <c r="N55" t="s">
        <v>34</v>
      </c>
    </row>
    <row r="56" spans="1:14">
      <c r="A56" t="s">
        <v>35</v>
      </c>
      <c r="B56">
        <f>1/(18835+18859)</f>
        <v>2.6529421128030986E-5</v>
      </c>
      <c r="C56" t="s">
        <v>18</v>
      </c>
      <c r="D56" t="s">
        <v>2</v>
      </c>
      <c r="E56" t="s">
        <v>29</v>
      </c>
      <c r="F56" t="s">
        <v>36</v>
      </c>
      <c r="G56" t="s">
        <v>33</v>
      </c>
      <c r="H56">
        <v>1</v>
      </c>
      <c r="I56">
        <v>1</v>
      </c>
      <c r="J56" t="s">
        <v>31</v>
      </c>
      <c r="K56" t="s">
        <v>31</v>
      </c>
      <c r="L56" t="s">
        <v>31</v>
      </c>
      <c r="M56" t="s">
        <v>31</v>
      </c>
      <c r="N56" t="s">
        <v>37</v>
      </c>
    </row>
    <row r="57" spans="1:14">
      <c r="A57" t="s">
        <v>59</v>
      </c>
      <c r="B57">
        <v>1077.93</v>
      </c>
      <c r="C57" t="s">
        <v>39</v>
      </c>
      <c r="D57" t="s">
        <v>2</v>
      </c>
      <c r="E57" t="s">
        <v>29</v>
      </c>
      <c r="F57" t="s">
        <v>60</v>
      </c>
      <c r="G57" t="s">
        <v>33</v>
      </c>
      <c r="H57">
        <v>2</v>
      </c>
      <c r="I57">
        <f>LN(B57)</f>
        <v>6.9827978142956351</v>
      </c>
      <c r="J57">
        <v>5.0990195135927806E-2</v>
      </c>
      <c r="K57" t="s">
        <v>31</v>
      </c>
      <c r="L57" t="s">
        <v>31</v>
      </c>
      <c r="M57" t="s">
        <v>31</v>
      </c>
    </row>
    <row r="58" spans="1:14">
      <c r="A58" t="s">
        <v>42</v>
      </c>
      <c r="B58">
        <f>N58*2</f>
        <v>12.366890242643001</v>
      </c>
      <c r="C58" t="s">
        <v>39</v>
      </c>
      <c r="D58" t="s">
        <v>43</v>
      </c>
      <c r="E58" t="s">
        <v>44</v>
      </c>
      <c r="F58" t="s">
        <v>29</v>
      </c>
      <c r="G58" t="s">
        <v>45</v>
      </c>
      <c r="H58">
        <v>2</v>
      </c>
      <c r="I58">
        <f>LN(B58)</f>
        <v>2.5150227597017771</v>
      </c>
      <c r="J58">
        <v>5.0990195135927806E-2</v>
      </c>
      <c r="K58" t="s">
        <v>31</v>
      </c>
      <c r="L58" t="s">
        <v>31</v>
      </c>
      <c r="M58" t="s">
        <v>31</v>
      </c>
      <c r="N58">
        <f>SUM('[1]Use (HEFA)'!H171:L171,'[1]Use (HEFA)'!Q171)</f>
        <v>6.1834451213215003</v>
      </c>
    </row>
    <row r="59" spans="1:14">
      <c r="A59" t="s">
        <v>46</v>
      </c>
      <c r="B59">
        <f t="shared" ref="B59:B63" si="4">N59*2</f>
        <v>3.2848869362369175</v>
      </c>
      <c r="C59" t="s">
        <v>39</v>
      </c>
      <c r="D59" t="s">
        <v>43</v>
      </c>
      <c r="E59" t="s">
        <v>44</v>
      </c>
      <c r="F59" t="s">
        <v>29</v>
      </c>
      <c r="G59" t="s">
        <v>45</v>
      </c>
      <c r="H59">
        <v>2</v>
      </c>
      <c r="I59">
        <f t="shared" ref="I59:I63" si="5">LN(B59)</f>
        <v>1.189332233151535</v>
      </c>
      <c r="J59">
        <v>5.0990195135927806E-2</v>
      </c>
      <c r="K59" t="s">
        <v>31</v>
      </c>
      <c r="L59" t="s">
        <v>31</v>
      </c>
      <c r="M59" t="s">
        <v>31</v>
      </c>
      <c r="N59">
        <f>SUM('[1]Use (HEFA)'!H172:L172,'[1]Use (HEFA)'!Q172)</f>
        <v>1.6424434681184588</v>
      </c>
    </row>
    <row r="60" spans="1:14">
      <c r="A60" t="s">
        <v>47</v>
      </c>
      <c r="B60">
        <f t="shared" si="4"/>
        <v>0.39330045850060463</v>
      </c>
      <c r="C60" t="s">
        <v>39</v>
      </c>
      <c r="D60" t="s">
        <v>43</v>
      </c>
      <c r="E60" t="s">
        <v>44</v>
      </c>
      <c r="F60" t="s">
        <v>29</v>
      </c>
      <c r="G60" t="s">
        <v>45</v>
      </c>
      <c r="H60">
        <v>2</v>
      </c>
      <c r="I60">
        <f t="shared" si="5"/>
        <v>-0.93318143376675466</v>
      </c>
      <c r="J60">
        <v>5.0990195135927806E-2</v>
      </c>
      <c r="K60" t="s">
        <v>31</v>
      </c>
      <c r="L60" t="s">
        <v>31</v>
      </c>
      <c r="M60" t="s">
        <v>31</v>
      </c>
      <c r="N60">
        <f>SUM('[1]Use (HEFA)'!H173:L173,'[1]Use (HEFA)'!Q173)</f>
        <v>0.19665022925030232</v>
      </c>
    </row>
    <row r="61" spans="1:14">
      <c r="A61" t="s">
        <v>48</v>
      </c>
      <c r="B61">
        <f t="shared" si="4"/>
        <v>3341.5714947376646</v>
      </c>
      <c r="C61" t="s">
        <v>39</v>
      </c>
      <c r="D61" t="s">
        <v>43</v>
      </c>
      <c r="E61" t="s">
        <v>44</v>
      </c>
      <c r="F61" t="s">
        <v>29</v>
      </c>
      <c r="G61" t="s">
        <v>45</v>
      </c>
      <c r="H61">
        <v>2</v>
      </c>
      <c r="I61">
        <f t="shared" si="5"/>
        <v>8.1141964827233295</v>
      </c>
      <c r="J61">
        <v>5.0990195135927806E-2</v>
      </c>
      <c r="K61" t="s">
        <v>31</v>
      </c>
      <c r="L61" t="s">
        <v>31</v>
      </c>
      <c r="M61" t="s">
        <v>31</v>
      </c>
      <c r="N61">
        <f>SUM('[1]Use (HEFA)'!H174:L174,'[1]Use (HEFA)'!Q174)</f>
        <v>1670.7857473688323</v>
      </c>
    </row>
    <row r="62" spans="1:14">
      <c r="A62" t="s">
        <v>49</v>
      </c>
      <c r="B62">
        <f t="shared" si="4"/>
        <v>1458.4335345883051</v>
      </c>
      <c r="C62" t="s">
        <v>50</v>
      </c>
      <c r="D62" t="s">
        <v>43</v>
      </c>
      <c r="E62" t="s">
        <v>44</v>
      </c>
      <c r="F62" t="s">
        <v>29</v>
      </c>
      <c r="G62" t="s">
        <v>45</v>
      </c>
      <c r="H62">
        <v>2</v>
      </c>
      <c r="I62">
        <f t="shared" si="5"/>
        <v>7.2851182171952011</v>
      </c>
      <c r="J62">
        <v>5.0990195135927806E-2</v>
      </c>
      <c r="K62" t="s">
        <v>31</v>
      </c>
      <c r="L62" t="s">
        <v>31</v>
      </c>
      <c r="M62" t="s">
        <v>31</v>
      </c>
      <c r="N62">
        <f>SUM('[1]Use (HEFA)'!H175:L175,'[1]Use (HEFA)'!Q175)</f>
        <v>729.21676729415253</v>
      </c>
    </row>
    <row r="63" spans="1:14">
      <c r="A63" t="s">
        <v>51</v>
      </c>
      <c r="B63">
        <f t="shared" si="4"/>
        <v>0.23541898296680402</v>
      </c>
      <c r="C63" t="s">
        <v>39</v>
      </c>
      <c r="D63" t="s">
        <v>43</v>
      </c>
      <c r="E63" t="s">
        <v>44</v>
      </c>
      <c r="F63" t="s">
        <v>29</v>
      </c>
      <c r="G63" t="s">
        <v>45</v>
      </c>
      <c r="H63">
        <v>2</v>
      </c>
      <c r="I63">
        <f t="shared" si="5"/>
        <v>-1.4463884460869743</v>
      </c>
      <c r="J63">
        <v>5.0990195135927806E-2</v>
      </c>
      <c r="K63" t="s">
        <v>31</v>
      </c>
      <c r="L63" t="s">
        <v>31</v>
      </c>
      <c r="M63" t="s">
        <v>31</v>
      </c>
      <c r="N63">
        <f>SUM('[1]Use (HEFA)'!H176:L176,'[1]Use (HEFA)'!Q176)</f>
        <v>0.11770949148340201</v>
      </c>
    </row>
    <row r="64" spans="1:14" ht="15.75">
      <c r="A64" s="1" t="s">
        <v>5</v>
      </c>
      <c r="B64" s="2" t="s">
        <v>61</v>
      </c>
      <c r="C64" s="3"/>
      <c r="D64" s="11"/>
      <c r="E64" s="11"/>
      <c r="F64" s="11"/>
      <c r="G64" s="11"/>
      <c r="H64" s="11"/>
      <c r="I64" s="11"/>
      <c r="J64" s="11"/>
      <c r="K64" s="11"/>
      <c r="L64" s="11"/>
      <c r="M64" s="11"/>
    </row>
    <row r="65" spans="1:14">
      <c r="A65" s="12" t="s">
        <v>7</v>
      </c>
      <c r="B65" s="13" t="s">
        <v>8</v>
      </c>
      <c r="C65" s="4"/>
      <c r="D65" s="13"/>
      <c r="E65" s="13"/>
      <c r="F65" s="13"/>
      <c r="G65" s="13"/>
      <c r="H65" s="13"/>
      <c r="I65" s="13"/>
      <c r="J65" s="13"/>
      <c r="K65" s="13"/>
      <c r="L65" s="13"/>
      <c r="M65" s="13"/>
    </row>
    <row r="66" spans="1:14">
      <c r="A66" s="12" t="s">
        <v>9</v>
      </c>
      <c r="B66" s="13" t="s">
        <v>62</v>
      </c>
      <c r="C66" s="4"/>
      <c r="D66" s="13"/>
      <c r="E66" s="13"/>
      <c r="F66" s="13"/>
      <c r="G66" s="13"/>
      <c r="H66" s="13"/>
      <c r="I66" s="13"/>
      <c r="J66" s="13"/>
      <c r="K66" s="13"/>
      <c r="L66" s="13"/>
      <c r="M66" s="13"/>
    </row>
    <row r="67" spans="1:14" ht="60">
      <c r="A67" s="12" t="s">
        <v>11</v>
      </c>
      <c r="B67" s="14" t="s">
        <v>63</v>
      </c>
      <c r="C67" s="13"/>
      <c r="D67" s="13"/>
      <c r="E67" s="13"/>
      <c r="F67" s="13"/>
      <c r="G67" s="13"/>
      <c r="H67" s="13"/>
      <c r="I67" s="13"/>
      <c r="J67" s="13"/>
      <c r="K67" s="13"/>
      <c r="L67" s="13"/>
      <c r="M67" s="13"/>
    </row>
    <row r="68" spans="1:14">
      <c r="A68" s="12" t="s">
        <v>13</v>
      </c>
      <c r="B68" s="13" t="s">
        <v>14</v>
      </c>
      <c r="C68" s="13"/>
      <c r="D68" s="13"/>
      <c r="E68" s="13"/>
      <c r="F68" s="13"/>
      <c r="G68" s="13"/>
      <c r="H68" s="13"/>
      <c r="I68" s="13"/>
      <c r="J68" s="13"/>
      <c r="K68" s="13"/>
      <c r="L68" s="13"/>
      <c r="M68" s="13"/>
    </row>
    <row r="69" spans="1:14">
      <c r="A69" s="12" t="s">
        <v>15</v>
      </c>
      <c r="B69" s="13">
        <v>1</v>
      </c>
      <c r="C69" s="13"/>
      <c r="D69" s="13"/>
      <c r="E69" s="13"/>
      <c r="F69" s="13"/>
      <c r="G69" s="13"/>
      <c r="H69" s="13"/>
      <c r="I69" s="13"/>
      <c r="J69" s="13"/>
      <c r="K69" s="13"/>
      <c r="L69" s="13"/>
      <c r="M69" s="13"/>
    </row>
    <row r="70" spans="1:14">
      <c r="A70" s="12" t="s">
        <v>16</v>
      </c>
      <c r="B70" s="13" t="s">
        <v>17</v>
      </c>
      <c r="C70" s="13"/>
      <c r="D70" s="13"/>
      <c r="E70" s="13"/>
      <c r="F70" s="13"/>
      <c r="G70" s="13"/>
      <c r="H70" s="13"/>
      <c r="I70" s="13"/>
      <c r="J70" s="13"/>
      <c r="K70" s="13"/>
      <c r="L70" s="13"/>
      <c r="M70" s="13"/>
    </row>
    <row r="71" spans="1:14">
      <c r="A71" s="12" t="s">
        <v>18</v>
      </c>
      <c r="B71" s="13" t="s">
        <v>18</v>
      </c>
      <c r="C71" s="13"/>
      <c r="D71" s="13"/>
      <c r="E71" s="13"/>
      <c r="F71" s="13"/>
      <c r="G71" s="13"/>
      <c r="H71" s="13"/>
      <c r="I71" s="13"/>
      <c r="J71" s="13"/>
      <c r="K71" s="13"/>
      <c r="L71" s="13"/>
      <c r="M71" s="13"/>
    </row>
    <row r="72" spans="1:14" ht="15.75">
      <c r="A72" s="5" t="s">
        <v>19</v>
      </c>
      <c r="B72" s="13"/>
      <c r="C72" s="13"/>
      <c r="D72" s="13"/>
      <c r="E72" s="13"/>
      <c r="F72" s="13"/>
      <c r="G72" s="13"/>
      <c r="H72" s="13"/>
      <c r="I72" s="13"/>
      <c r="J72" s="13"/>
      <c r="K72" s="13"/>
      <c r="L72" s="13"/>
      <c r="M72" s="13"/>
    </row>
    <row r="73" spans="1:14" ht="15.75">
      <c r="A73" s="5" t="s">
        <v>20</v>
      </c>
      <c r="B73" s="6" t="s">
        <v>21</v>
      </c>
      <c r="C73" s="6" t="s">
        <v>18</v>
      </c>
      <c r="D73" s="6" t="s">
        <v>22</v>
      </c>
      <c r="E73" s="6" t="s">
        <v>7</v>
      </c>
      <c r="F73" s="6" t="s">
        <v>13</v>
      </c>
      <c r="G73" s="6" t="s">
        <v>16</v>
      </c>
      <c r="H73" s="6" t="s">
        <v>23</v>
      </c>
      <c r="I73" s="6" t="s">
        <v>24</v>
      </c>
      <c r="J73" s="6" t="s">
        <v>25</v>
      </c>
      <c r="K73" s="6" t="s">
        <v>26</v>
      </c>
      <c r="L73" s="6" t="s">
        <v>27</v>
      </c>
      <c r="M73" s="6" t="s">
        <v>28</v>
      </c>
      <c r="N73" s="6" t="s">
        <v>11</v>
      </c>
    </row>
    <row r="74" spans="1:14">
      <c r="A74" t="s">
        <v>61</v>
      </c>
      <c r="B74">
        <v>1</v>
      </c>
      <c r="C74" t="s">
        <v>18</v>
      </c>
      <c r="D74" t="s">
        <v>2</v>
      </c>
      <c r="E74" t="s">
        <v>29</v>
      </c>
      <c r="F74" t="s">
        <v>14</v>
      </c>
      <c r="G74" t="s">
        <v>30</v>
      </c>
      <c r="H74">
        <v>1</v>
      </c>
      <c r="I74">
        <v>1</v>
      </c>
      <c r="J74" t="s">
        <v>31</v>
      </c>
      <c r="K74" t="s">
        <v>31</v>
      </c>
      <c r="L74" t="s">
        <v>31</v>
      </c>
      <c r="M74" t="s">
        <v>31</v>
      </c>
    </row>
    <row r="75" spans="1:14">
      <c r="A75" t="s">
        <v>32</v>
      </c>
      <c r="B75">
        <f>1/(20*365*6)</f>
        <v>2.2831050228310503E-5</v>
      </c>
      <c r="C75" t="s">
        <v>18</v>
      </c>
      <c r="D75" t="s">
        <v>2</v>
      </c>
      <c r="E75" t="s">
        <v>29</v>
      </c>
      <c r="F75" t="s">
        <v>14</v>
      </c>
      <c r="G75" t="s">
        <v>33</v>
      </c>
      <c r="H75">
        <v>1</v>
      </c>
      <c r="I75">
        <v>1</v>
      </c>
      <c r="J75" t="s">
        <v>31</v>
      </c>
      <c r="K75" t="s">
        <v>31</v>
      </c>
      <c r="L75" t="s">
        <v>31</v>
      </c>
      <c r="M75" t="s">
        <v>31</v>
      </c>
      <c r="N75" t="s">
        <v>55</v>
      </c>
    </row>
    <row r="76" spans="1:14">
      <c r="A76" t="s">
        <v>35</v>
      </c>
      <c r="B76">
        <f>1/(18835+18859)</f>
        <v>2.6529421128030986E-5</v>
      </c>
      <c r="C76" t="s">
        <v>18</v>
      </c>
      <c r="D76" t="s">
        <v>2</v>
      </c>
      <c r="E76" t="s">
        <v>29</v>
      </c>
      <c r="F76" t="s">
        <v>36</v>
      </c>
      <c r="G76" t="s">
        <v>33</v>
      </c>
      <c r="H76">
        <v>1</v>
      </c>
      <c r="I76">
        <v>1</v>
      </c>
      <c r="J76" t="s">
        <v>31</v>
      </c>
      <c r="K76" t="s">
        <v>31</v>
      </c>
      <c r="L76" t="s">
        <v>31</v>
      </c>
      <c r="M76" t="s">
        <v>31</v>
      </c>
      <c r="N76" t="s">
        <v>37</v>
      </c>
    </row>
    <row r="77" spans="1:14">
      <c r="A77" t="s">
        <v>59</v>
      </c>
      <c r="B77">
        <v>464.73</v>
      </c>
      <c r="C77" t="s">
        <v>39</v>
      </c>
      <c r="D77" t="s">
        <v>2</v>
      </c>
      <c r="E77" t="s">
        <v>29</v>
      </c>
      <c r="F77" t="s">
        <v>60</v>
      </c>
      <c r="G77" t="s">
        <v>33</v>
      </c>
      <c r="H77">
        <v>2</v>
      </c>
      <c r="I77">
        <f>LN(B77)</f>
        <v>6.1414565917863815</v>
      </c>
      <c r="J77">
        <v>5.0990195135927806E-2</v>
      </c>
      <c r="K77" t="s">
        <v>31</v>
      </c>
      <c r="L77" t="s">
        <v>31</v>
      </c>
      <c r="M77" t="s">
        <v>31</v>
      </c>
    </row>
    <row r="78" spans="1:14">
      <c r="A78" t="s">
        <v>42</v>
      </c>
      <c r="B78">
        <f>N78*2</f>
        <v>4.812494959909154</v>
      </c>
      <c r="C78" t="s">
        <v>39</v>
      </c>
      <c r="D78" t="s">
        <v>43</v>
      </c>
      <c r="E78" t="s">
        <v>44</v>
      </c>
      <c r="F78" t="s">
        <v>29</v>
      </c>
      <c r="G78" t="s">
        <v>45</v>
      </c>
      <c r="H78">
        <v>2</v>
      </c>
      <c r="I78">
        <f>LN(B78)</f>
        <v>1.5712156523217498</v>
      </c>
      <c r="J78">
        <v>5.0990195135927806E-2</v>
      </c>
      <c r="K78" t="s">
        <v>31</v>
      </c>
      <c r="L78" t="s">
        <v>31</v>
      </c>
      <c r="M78" t="s">
        <v>31</v>
      </c>
      <c r="N78">
        <f>SUM('[1]Use (HEFA)'!H357:L357,'[1]Use (HEFA)'!Q357)</f>
        <v>2.406247479954577</v>
      </c>
    </row>
    <row r="79" spans="1:14">
      <c r="A79" t="s">
        <v>46</v>
      </c>
      <c r="B79">
        <f t="shared" ref="B79:B83" si="6">N79*2</f>
        <v>2.8870675812761641</v>
      </c>
      <c r="C79" t="s">
        <v>39</v>
      </c>
      <c r="D79" t="s">
        <v>43</v>
      </c>
      <c r="E79" t="s">
        <v>44</v>
      </c>
      <c r="F79" t="s">
        <v>29</v>
      </c>
      <c r="G79" t="s">
        <v>45</v>
      </c>
      <c r="H79">
        <v>2</v>
      </c>
      <c r="I79">
        <f t="shared" ref="I79:I83" si="7">LN(B79)</f>
        <v>1.0602413092312579</v>
      </c>
      <c r="J79">
        <v>5.0990195135927806E-2</v>
      </c>
      <c r="K79" t="s">
        <v>31</v>
      </c>
      <c r="L79" t="s">
        <v>31</v>
      </c>
      <c r="M79" t="s">
        <v>31</v>
      </c>
      <c r="N79">
        <f>SUM('[1]Use (HEFA)'!H358:L358,'[1]Use (HEFA)'!Q358)</f>
        <v>1.4435337906380821</v>
      </c>
    </row>
    <row r="80" spans="1:14">
      <c r="A80" t="s">
        <v>47</v>
      </c>
      <c r="B80">
        <f t="shared" si="6"/>
        <v>0.3313937703191534</v>
      </c>
      <c r="C80" t="s">
        <v>39</v>
      </c>
      <c r="D80" t="s">
        <v>43</v>
      </c>
      <c r="E80" t="s">
        <v>44</v>
      </c>
      <c r="F80" t="s">
        <v>29</v>
      </c>
      <c r="G80" t="s">
        <v>45</v>
      </c>
      <c r="H80">
        <v>2</v>
      </c>
      <c r="I80">
        <f t="shared" si="7"/>
        <v>-1.1044479722377141</v>
      </c>
      <c r="J80">
        <v>5.0990195135927806E-2</v>
      </c>
      <c r="K80" t="s">
        <v>31</v>
      </c>
      <c r="L80" t="s">
        <v>31</v>
      </c>
      <c r="M80" t="s">
        <v>31</v>
      </c>
      <c r="N80">
        <f>SUM('[1]Use (HEFA)'!H359:L359,'[1]Use (HEFA)'!Q359)</f>
        <v>0.1656968851595767</v>
      </c>
    </row>
    <row r="81" spans="1:14">
      <c r="A81" t="s">
        <v>48</v>
      </c>
      <c r="B81">
        <f t="shared" si="6"/>
        <v>1440.6772801634211</v>
      </c>
      <c r="C81" t="s">
        <v>39</v>
      </c>
      <c r="D81" t="s">
        <v>43</v>
      </c>
      <c r="E81" t="s">
        <v>44</v>
      </c>
      <c r="F81" t="s">
        <v>29</v>
      </c>
      <c r="G81" t="s">
        <v>45</v>
      </c>
      <c r="H81">
        <v>2</v>
      </c>
      <c r="I81">
        <f t="shared" si="7"/>
        <v>7.2728686154447599</v>
      </c>
      <c r="J81">
        <v>5.0990195135927806E-2</v>
      </c>
      <c r="K81" t="s">
        <v>31</v>
      </c>
      <c r="L81" t="s">
        <v>31</v>
      </c>
      <c r="M81" t="s">
        <v>31</v>
      </c>
      <c r="N81">
        <f>SUM('[1]Use (HEFA)'!H360:L360,'[1]Use (HEFA)'!Q360)</f>
        <v>720.33864008171054</v>
      </c>
    </row>
    <row r="82" spans="1:14">
      <c r="A82" t="s">
        <v>49</v>
      </c>
      <c r="B82">
        <f t="shared" si="6"/>
        <v>628.78560617921403</v>
      </c>
      <c r="C82" t="s">
        <v>50</v>
      </c>
      <c r="D82" t="s">
        <v>43</v>
      </c>
      <c r="E82" t="s">
        <v>44</v>
      </c>
      <c r="F82" t="s">
        <v>29</v>
      </c>
      <c r="G82" t="s">
        <v>45</v>
      </c>
      <c r="H82">
        <v>2</v>
      </c>
      <c r="I82">
        <f t="shared" si="7"/>
        <v>6.4437903499166307</v>
      </c>
      <c r="J82">
        <v>5.0990195135927806E-2</v>
      </c>
      <c r="K82" t="s">
        <v>31</v>
      </c>
      <c r="L82" t="s">
        <v>31</v>
      </c>
      <c r="M82" t="s">
        <v>31</v>
      </c>
      <c r="N82">
        <f>SUM('[1]Use (HEFA)'!H361:L361,'[1]Use (HEFA)'!Q361)</f>
        <v>314.39280308960701</v>
      </c>
    </row>
    <row r="83" spans="1:14">
      <c r="A83" t="s">
        <v>51</v>
      </c>
      <c r="B83">
        <f t="shared" si="6"/>
        <v>0.10149798698413921</v>
      </c>
      <c r="C83" t="s">
        <v>39</v>
      </c>
      <c r="D83" t="s">
        <v>43</v>
      </c>
      <c r="E83" t="s">
        <v>44</v>
      </c>
      <c r="F83" t="s">
        <v>29</v>
      </c>
      <c r="G83" t="s">
        <v>45</v>
      </c>
      <c r="H83">
        <v>2</v>
      </c>
      <c r="I83">
        <f t="shared" si="7"/>
        <v>-2.2877163133655443</v>
      </c>
      <c r="J83">
        <v>5.0990195135927806E-2</v>
      </c>
      <c r="K83" t="s">
        <v>31</v>
      </c>
      <c r="L83" t="s">
        <v>31</v>
      </c>
      <c r="M83" t="s">
        <v>31</v>
      </c>
      <c r="N83">
        <f>SUM('[1]Use (HEFA)'!H362:L362,'[1]Use (HEFA)'!Q362)</f>
        <v>5.0748993492069606E-2</v>
      </c>
    </row>
  </sheetData>
  <pageMargins left="0.7" right="0.7" top="0.75" bottom="0.75" header="0.3" footer="0.3"/>
  <pageSetup paperSize="9" orientation="portrait"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0668F7-92A2-4372-8635-68C4400F0820}">
  <dimension ref="A1:N93"/>
  <sheetViews>
    <sheetView zoomScale="70" zoomScaleNormal="70" workbookViewId="0">
      <selection activeCell="B84" sqref="B84"/>
    </sheetView>
  </sheetViews>
  <sheetFormatPr defaultRowHeight="15"/>
  <cols>
    <col min="1" max="1" width="52.85546875" bestFit="1" customWidth="1"/>
    <col min="2" max="2" width="51.5703125" bestFit="1" customWidth="1"/>
    <col min="3" max="3" width="9.140625" bestFit="1" customWidth="1"/>
    <col min="4" max="4" width="32.7109375" bestFit="1" customWidth="1"/>
    <col min="5" max="5" width="10.140625" bestFit="1" customWidth="1"/>
    <col min="6" max="6" width="8.140625" bestFit="1" customWidth="1"/>
    <col min="7" max="7" width="13.42578125" bestFit="1" customWidth="1"/>
    <col min="8" max="8" width="15.7109375" bestFit="1" customWidth="1"/>
    <col min="9" max="10" width="12" bestFit="1" customWidth="1"/>
    <col min="11" max="13" width="10.85546875" bestFit="1" customWidth="1"/>
  </cols>
  <sheetData>
    <row r="1" spans="1:13">
      <c r="A1" t="s">
        <v>0</v>
      </c>
      <c r="B1">
        <v>13</v>
      </c>
    </row>
    <row r="2" spans="1:13">
      <c r="A2" s="18" t="s">
        <v>5</v>
      </c>
      <c r="B2" s="19" t="s">
        <v>84</v>
      </c>
      <c r="C2" s="3"/>
      <c r="D2" s="11"/>
      <c r="E2" s="11"/>
      <c r="F2" s="11"/>
      <c r="G2" s="11"/>
      <c r="H2" s="11"/>
      <c r="I2" s="11"/>
      <c r="J2" s="11"/>
      <c r="K2" s="11"/>
      <c r="L2" s="11"/>
      <c r="M2" s="11"/>
    </row>
    <row r="3" spans="1:13">
      <c r="A3" s="12" t="s">
        <v>7</v>
      </c>
      <c r="B3" s="13" t="s">
        <v>232</v>
      </c>
      <c r="C3" s="4"/>
      <c r="D3" s="13"/>
      <c r="E3" s="13"/>
      <c r="F3" s="13"/>
      <c r="G3" s="13"/>
      <c r="H3" s="13"/>
      <c r="I3" s="13"/>
      <c r="J3" s="13"/>
      <c r="K3" s="13"/>
      <c r="L3" s="13"/>
      <c r="M3" s="13"/>
    </row>
    <row r="4" spans="1:13">
      <c r="A4" s="12" t="s">
        <v>9</v>
      </c>
      <c r="B4" s="13" t="s">
        <v>307</v>
      </c>
      <c r="C4" s="4"/>
      <c r="D4" s="13"/>
      <c r="E4" s="13"/>
      <c r="F4" s="13"/>
      <c r="G4" s="13"/>
      <c r="H4" s="13"/>
      <c r="I4" s="13"/>
      <c r="J4" s="13"/>
      <c r="K4" s="13"/>
      <c r="L4" s="13"/>
      <c r="M4" s="13"/>
    </row>
    <row r="5" spans="1:13" ht="45">
      <c r="A5" s="12" t="s">
        <v>11</v>
      </c>
      <c r="B5" s="14" t="s">
        <v>308</v>
      </c>
      <c r="C5" s="13"/>
      <c r="D5" s="13"/>
      <c r="E5" s="13"/>
      <c r="F5" s="13"/>
      <c r="G5" s="13"/>
      <c r="H5" s="13"/>
      <c r="I5" s="13"/>
      <c r="J5" s="13"/>
      <c r="K5" s="13"/>
      <c r="L5" s="13"/>
      <c r="M5" s="13"/>
    </row>
    <row r="6" spans="1:13">
      <c r="A6" s="12" t="s">
        <v>13</v>
      </c>
      <c r="B6" s="13" t="s">
        <v>14</v>
      </c>
      <c r="C6" s="13"/>
      <c r="D6" s="13"/>
      <c r="E6" s="13"/>
      <c r="F6" s="13"/>
      <c r="G6" s="13"/>
      <c r="H6" s="13"/>
      <c r="I6" s="13"/>
      <c r="J6" s="13"/>
      <c r="K6" s="13"/>
      <c r="L6" s="13"/>
      <c r="M6" s="13"/>
    </row>
    <row r="7" spans="1:13">
      <c r="A7" s="12" t="s">
        <v>15</v>
      </c>
      <c r="B7" s="13">
        <v>1</v>
      </c>
      <c r="C7" s="13"/>
      <c r="D7" s="13"/>
      <c r="E7" s="13"/>
      <c r="F7" s="13"/>
      <c r="G7" s="13"/>
      <c r="H7" s="13"/>
      <c r="I7" s="13"/>
      <c r="J7" s="13"/>
      <c r="K7" s="13"/>
      <c r="L7" s="13"/>
      <c r="M7" s="13"/>
    </row>
    <row r="8" spans="1:13">
      <c r="A8" s="12" t="s">
        <v>16</v>
      </c>
      <c r="B8" s="13" t="s">
        <v>17</v>
      </c>
      <c r="C8" s="13"/>
      <c r="D8" s="13"/>
      <c r="E8" s="13"/>
      <c r="F8" s="13"/>
      <c r="G8" s="13"/>
      <c r="H8" s="13"/>
      <c r="I8" s="13"/>
      <c r="J8" s="13"/>
      <c r="K8" s="13"/>
      <c r="L8" s="13"/>
      <c r="M8" s="13"/>
    </row>
    <row r="9" spans="1:13">
      <c r="A9" s="12" t="s">
        <v>18</v>
      </c>
      <c r="B9" s="13" t="s">
        <v>18</v>
      </c>
      <c r="C9" s="13"/>
      <c r="D9" s="13"/>
      <c r="E9" s="13"/>
      <c r="F9" s="13"/>
      <c r="G9" s="13"/>
      <c r="H9" s="13"/>
      <c r="I9" s="13"/>
      <c r="J9" s="13"/>
      <c r="K9" s="13"/>
      <c r="L9" s="13"/>
      <c r="M9" s="13"/>
    </row>
    <row r="10" spans="1:13">
      <c r="A10" s="20" t="s">
        <v>19</v>
      </c>
      <c r="B10" s="13"/>
      <c r="C10" s="13"/>
      <c r="D10" s="13"/>
      <c r="E10" s="13"/>
      <c r="F10" s="13"/>
      <c r="G10" s="13"/>
      <c r="H10" s="13"/>
      <c r="I10" s="13"/>
      <c r="J10" s="13"/>
      <c r="K10" s="13"/>
      <c r="L10" s="13"/>
      <c r="M10" s="13"/>
    </row>
    <row r="11" spans="1:13">
      <c r="A11" s="20" t="s">
        <v>20</v>
      </c>
      <c r="B11" s="21" t="s">
        <v>21</v>
      </c>
      <c r="C11" s="21" t="s">
        <v>18</v>
      </c>
      <c r="D11" s="21" t="s">
        <v>22</v>
      </c>
      <c r="E11" s="21" t="s">
        <v>7</v>
      </c>
      <c r="F11" s="21" t="s">
        <v>13</v>
      </c>
      <c r="G11" s="21" t="s">
        <v>16</v>
      </c>
      <c r="H11" s="21" t="s">
        <v>23</v>
      </c>
      <c r="I11" s="21" t="s">
        <v>24</v>
      </c>
      <c r="J11" s="21" t="s">
        <v>25</v>
      </c>
      <c r="K11" s="21" t="s">
        <v>26</v>
      </c>
      <c r="L11" s="21" t="s">
        <v>27</v>
      </c>
      <c r="M11" s="21" t="s">
        <v>28</v>
      </c>
    </row>
    <row r="12" spans="1:13">
      <c r="A12" s="12" t="s">
        <v>84</v>
      </c>
      <c r="B12" s="13">
        <v>1</v>
      </c>
      <c r="C12" s="13" t="s">
        <v>18</v>
      </c>
      <c r="D12" s="13" t="s">
        <v>2</v>
      </c>
      <c r="E12" s="13" t="s">
        <v>29</v>
      </c>
      <c r="F12" s="13" t="s">
        <v>14</v>
      </c>
      <c r="G12" s="13" t="s">
        <v>30</v>
      </c>
      <c r="H12" s="13">
        <v>1</v>
      </c>
      <c r="I12" s="13">
        <v>1</v>
      </c>
      <c r="J12" s="13" t="s">
        <v>31</v>
      </c>
      <c r="K12" s="13" t="s">
        <v>31</v>
      </c>
      <c r="L12" s="13" t="s">
        <v>31</v>
      </c>
      <c r="M12" s="13" t="s">
        <v>31</v>
      </c>
    </row>
    <row r="13" spans="1:13">
      <c r="A13" s="12" t="s">
        <v>309</v>
      </c>
      <c r="B13" s="13">
        <v>1</v>
      </c>
      <c r="C13" s="13" t="s">
        <v>18</v>
      </c>
      <c r="D13" s="13" t="s">
        <v>2</v>
      </c>
      <c r="E13" s="13" t="s">
        <v>29</v>
      </c>
      <c r="F13" s="13" t="s">
        <v>14</v>
      </c>
      <c r="G13" s="13" t="s">
        <v>33</v>
      </c>
      <c r="H13" s="13">
        <v>1</v>
      </c>
      <c r="I13" s="13">
        <v>1</v>
      </c>
      <c r="J13" s="13" t="s">
        <v>31</v>
      </c>
      <c r="K13" s="13" t="s">
        <v>31</v>
      </c>
      <c r="L13" s="13" t="s">
        <v>31</v>
      </c>
      <c r="M13" s="13" t="s">
        <v>31</v>
      </c>
    </row>
    <row r="14" spans="1:13">
      <c r="A14" s="12" t="s">
        <v>310</v>
      </c>
      <c r="B14" s="13">
        <v>1</v>
      </c>
      <c r="C14" s="13" t="s">
        <v>18</v>
      </c>
      <c r="D14" s="13" t="s">
        <v>2</v>
      </c>
      <c r="E14" s="13" t="s">
        <v>29</v>
      </c>
      <c r="F14" s="13" t="s">
        <v>14</v>
      </c>
      <c r="G14" s="13" t="s">
        <v>33</v>
      </c>
      <c r="H14" s="13">
        <v>1</v>
      </c>
      <c r="I14" s="13">
        <v>1</v>
      </c>
      <c r="J14" s="13" t="s">
        <v>31</v>
      </c>
      <c r="K14" s="13" t="s">
        <v>31</v>
      </c>
      <c r="L14" s="13" t="s">
        <v>31</v>
      </c>
      <c r="M14" s="13" t="s">
        <v>31</v>
      </c>
    </row>
    <row r="15" spans="1:13">
      <c r="A15" s="12" t="s">
        <v>311</v>
      </c>
      <c r="B15" s="13">
        <v>1</v>
      </c>
      <c r="C15" s="13" t="s">
        <v>18</v>
      </c>
      <c r="D15" s="13" t="s">
        <v>2</v>
      </c>
      <c r="E15" s="13" t="s">
        <v>29</v>
      </c>
      <c r="F15" s="13" t="s">
        <v>14</v>
      </c>
      <c r="G15" s="13" t="s">
        <v>33</v>
      </c>
      <c r="H15" s="13">
        <v>1</v>
      </c>
      <c r="I15" s="13">
        <v>1</v>
      </c>
      <c r="J15" s="13" t="s">
        <v>31</v>
      </c>
      <c r="K15" s="13" t="s">
        <v>31</v>
      </c>
      <c r="L15" s="13" t="s">
        <v>31</v>
      </c>
      <c r="M15" s="13" t="s">
        <v>31</v>
      </c>
    </row>
    <row r="16" spans="1:13">
      <c r="A16" s="12" t="s">
        <v>312</v>
      </c>
      <c r="B16" s="13">
        <v>1</v>
      </c>
      <c r="C16" s="13" t="s">
        <v>18</v>
      </c>
      <c r="D16" s="13" t="s">
        <v>2</v>
      </c>
      <c r="E16" s="13" t="s">
        <v>29</v>
      </c>
      <c r="F16" s="13" t="s">
        <v>14</v>
      </c>
      <c r="G16" s="13" t="s">
        <v>33</v>
      </c>
      <c r="H16" s="13">
        <v>1</v>
      </c>
      <c r="I16" s="13">
        <v>1</v>
      </c>
      <c r="J16" s="13" t="s">
        <v>31</v>
      </c>
      <c r="K16" s="13" t="s">
        <v>31</v>
      </c>
      <c r="L16" s="13" t="s">
        <v>31</v>
      </c>
      <c r="M16" s="13" t="s">
        <v>31</v>
      </c>
    </row>
    <row r="17" spans="1:13">
      <c r="A17" s="12" t="s">
        <v>313</v>
      </c>
      <c r="B17" s="13">
        <v>1</v>
      </c>
      <c r="C17" s="13" t="s">
        <v>18</v>
      </c>
      <c r="D17" s="13" t="s">
        <v>2</v>
      </c>
      <c r="E17" s="13" t="s">
        <v>29</v>
      </c>
      <c r="F17" s="13" t="s">
        <v>14</v>
      </c>
      <c r="G17" s="13" t="s">
        <v>33</v>
      </c>
      <c r="H17" s="13">
        <v>1</v>
      </c>
      <c r="I17" s="13">
        <v>1</v>
      </c>
      <c r="J17" s="13" t="s">
        <v>31</v>
      </c>
      <c r="K17" s="13" t="s">
        <v>31</v>
      </c>
      <c r="L17" s="13" t="s">
        <v>31</v>
      </c>
      <c r="M17" s="13" t="s">
        <v>31</v>
      </c>
    </row>
    <row r="18" spans="1:13">
      <c r="A18" s="13" t="s">
        <v>314</v>
      </c>
      <c r="B18" s="13">
        <v>1</v>
      </c>
      <c r="C18" s="13" t="s">
        <v>18</v>
      </c>
      <c r="D18" s="13" t="s">
        <v>2</v>
      </c>
      <c r="E18" s="13" t="s">
        <v>29</v>
      </c>
      <c r="F18" s="13" t="s">
        <v>14</v>
      </c>
      <c r="G18" s="13" t="s">
        <v>33</v>
      </c>
      <c r="H18" s="13">
        <v>1</v>
      </c>
      <c r="I18" s="13">
        <v>1</v>
      </c>
      <c r="J18" s="13" t="s">
        <v>31</v>
      </c>
      <c r="K18" s="13" t="s">
        <v>31</v>
      </c>
      <c r="L18" s="13" t="s">
        <v>31</v>
      </c>
      <c r="M18" s="13" t="s">
        <v>31</v>
      </c>
    </row>
    <row r="19" spans="1:13">
      <c r="A19" s="18" t="s">
        <v>5</v>
      </c>
      <c r="B19" s="19" t="s">
        <v>309</v>
      </c>
      <c r="C19" s="3"/>
      <c r="D19" s="11"/>
      <c r="E19" s="11"/>
      <c r="F19" s="11"/>
      <c r="G19" s="11"/>
      <c r="H19" s="11"/>
      <c r="I19" s="11"/>
      <c r="J19" s="11"/>
      <c r="K19" s="11"/>
      <c r="L19" s="11"/>
      <c r="M19" s="11"/>
    </row>
    <row r="20" spans="1:13">
      <c r="A20" s="12" t="s">
        <v>7</v>
      </c>
      <c r="B20" s="13" t="s">
        <v>315</v>
      </c>
      <c r="C20" s="4"/>
      <c r="D20" s="13"/>
      <c r="E20" s="13"/>
      <c r="F20" s="13"/>
      <c r="G20" s="13"/>
      <c r="H20" s="13"/>
      <c r="I20" s="13"/>
      <c r="J20" s="13"/>
      <c r="K20" s="13"/>
      <c r="L20" s="13"/>
      <c r="M20" s="13"/>
    </row>
    <row r="21" spans="1:13">
      <c r="A21" s="12" t="s">
        <v>9</v>
      </c>
      <c r="B21" s="13" t="s">
        <v>316</v>
      </c>
      <c r="C21" s="4"/>
      <c r="D21" s="13"/>
      <c r="E21" s="13"/>
      <c r="F21" s="13"/>
      <c r="G21" s="13"/>
      <c r="H21" s="13"/>
      <c r="I21" s="13"/>
      <c r="J21" s="13"/>
      <c r="K21" s="13"/>
      <c r="L21" s="13"/>
      <c r="M21" s="13"/>
    </row>
    <row r="22" spans="1:13" ht="45">
      <c r="A22" s="12" t="s">
        <v>11</v>
      </c>
      <c r="B22" s="14" t="s">
        <v>317</v>
      </c>
      <c r="C22" s="13"/>
      <c r="D22" s="13"/>
      <c r="E22" s="13"/>
      <c r="F22" s="13"/>
      <c r="G22" s="13"/>
      <c r="H22" s="13"/>
      <c r="I22" s="13"/>
      <c r="J22" s="13"/>
      <c r="K22" s="13"/>
      <c r="L22" s="13"/>
      <c r="M22" s="13"/>
    </row>
    <row r="23" spans="1:13">
      <c r="A23" s="12" t="s">
        <v>13</v>
      </c>
      <c r="B23" s="13" t="s">
        <v>14</v>
      </c>
      <c r="C23" s="13"/>
      <c r="D23" s="13"/>
      <c r="E23" s="13"/>
      <c r="F23" s="13"/>
      <c r="G23" s="13"/>
      <c r="H23" s="13"/>
      <c r="I23" s="13"/>
      <c r="J23" s="13"/>
      <c r="K23" s="13"/>
      <c r="L23" s="13"/>
      <c r="M23" s="13"/>
    </row>
    <row r="24" spans="1:13">
      <c r="A24" s="12" t="s">
        <v>15</v>
      </c>
      <c r="B24" s="13">
        <v>1</v>
      </c>
      <c r="C24" s="13"/>
      <c r="D24" s="13"/>
      <c r="E24" s="13"/>
      <c r="F24" s="13"/>
      <c r="G24" s="13"/>
      <c r="H24" s="13"/>
      <c r="I24" s="13"/>
      <c r="J24" s="13"/>
      <c r="K24" s="13"/>
      <c r="L24" s="13"/>
      <c r="M24" s="13"/>
    </row>
    <row r="25" spans="1:13">
      <c r="A25" s="12" t="s">
        <v>16</v>
      </c>
      <c r="B25" s="13" t="s">
        <v>17</v>
      </c>
      <c r="C25" s="13"/>
      <c r="D25" s="13"/>
      <c r="E25" s="13"/>
      <c r="F25" s="13"/>
      <c r="G25" s="13"/>
      <c r="H25" s="13"/>
      <c r="I25" s="13"/>
      <c r="J25" s="13"/>
      <c r="K25" s="13"/>
      <c r="L25" s="13"/>
      <c r="M25" s="13"/>
    </row>
    <row r="26" spans="1:13">
      <c r="A26" s="12" t="s">
        <v>18</v>
      </c>
      <c r="B26" s="13" t="s">
        <v>18</v>
      </c>
      <c r="C26" s="13"/>
      <c r="D26" s="13"/>
      <c r="E26" s="13"/>
      <c r="F26" s="13"/>
      <c r="G26" s="13"/>
      <c r="H26" s="13"/>
      <c r="I26" s="13"/>
      <c r="J26" s="13"/>
      <c r="K26" s="13"/>
      <c r="L26" s="13"/>
      <c r="M26" s="13"/>
    </row>
    <row r="27" spans="1:13">
      <c r="A27" s="20" t="s">
        <v>19</v>
      </c>
      <c r="B27" s="13"/>
      <c r="C27" s="13"/>
      <c r="D27" s="13"/>
      <c r="E27" s="13"/>
      <c r="F27" s="13"/>
      <c r="G27" s="13"/>
      <c r="H27" s="13"/>
      <c r="I27" s="13"/>
      <c r="J27" s="13"/>
      <c r="K27" s="13"/>
      <c r="L27" s="13"/>
      <c r="M27" s="13"/>
    </row>
    <row r="28" spans="1:13">
      <c r="A28" s="20" t="s">
        <v>20</v>
      </c>
      <c r="B28" s="21" t="s">
        <v>21</v>
      </c>
      <c r="C28" s="21" t="s">
        <v>18</v>
      </c>
      <c r="D28" s="21" t="s">
        <v>22</v>
      </c>
      <c r="E28" s="21" t="s">
        <v>7</v>
      </c>
      <c r="F28" s="21" t="s">
        <v>13</v>
      </c>
      <c r="G28" s="21" t="s">
        <v>16</v>
      </c>
      <c r="H28" s="21" t="s">
        <v>23</v>
      </c>
      <c r="I28" s="21" t="s">
        <v>24</v>
      </c>
      <c r="J28" s="21" t="s">
        <v>25</v>
      </c>
      <c r="K28" s="21" t="s">
        <v>26</v>
      </c>
      <c r="L28" s="21" t="s">
        <v>27</v>
      </c>
      <c r="M28" s="21" t="s">
        <v>28</v>
      </c>
    </row>
    <row r="29" spans="1:13">
      <c r="A29" s="12" t="s">
        <v>309</v>
      </c>
      <c r="B29" s="13">
        <v>1</v>
      </c>
      <c r="C29" s="13" t="s">
        <v>18</v>
      </c>
      <c r="D29" s="13" t="s">
        <v>2</v>
      </c>
      <c r="E29" s="13" t="s">
        <v>29</v>
      </c>
      <c r="F29" s="13" t="s">
        <v>14</v>
      </c>
      <c r="G29" s="13" t="s">
        <v>30</v>
      </c>
      <c r="H29" s="13">
        <v>1</v>
      </c>
      <c r="I29" s="13">
        <v>1</v>
      </c>
      <c r="J29" s="13" t="s">
        <v>31</v>
      </c>
      <c r="K29" s="13" t="s">
        <v>31</v>
      </c>
      <c r="L29" s="13" t="s">
        <v>31</v>
      </c>
      <c r="M29" s="13" t="s">
        <v>31</v>
      </c>
    </row>
    <row r="30" spans="1:13">
      <c r="A30" s="12" t="s">
        <v>304</v>
      </c>
      <c r="B30" s="13">
        <v>0.95000000000000007</v>
      </c>
      <c r="C30" s="13" t="s">
        <v>39</v>
      </c>
      <c r="D30" s="13" t="s">
        <v>40</v>
      </c>
      <c r="E30" s="13" t="s">
        <v>29</v>
      </c>
      <c r="F30" s="13" t="s">
        <v>117</v>
      </c>
      <c r="G30" s="13" t="s">
        <v>33</v>
      </c>
      <c r="H30" s="13">
        <v>2</v>
      </c>
      <c r="I30" s="13">
        <f>LN(B30)</f>
        <v>-5.129329438755046E-2</v>
      </c>
      <c r="J30" s="13">
        <v>0.29325756597230351</v>
      </c>
      <c r="K30" s="13" t="s">
        <v>31</v>
      </c>
      <c r="L30" s="13" t="s">
        <v>31</v>
      </c>
      <c r="M30" s="13" t="s">
        <v>31</v>
      </c>
    </row>
    <row r="31" spans="1:13">
      <c r="A31" s="12" t="s">
        <v>248</v>
      </c>
      <c r="B31" s="13">
        <v>18.05</v>
      </c>
      <c r="C31" s="13" t="s">
        <v>39</v>
      </c>
      <c r="D31" s="13" t="s">
        <v>40</v>
      </c>
      <c r="E31" s="13" t="s">
        <v>29</v>
      </c>
      <c r="F31" s="13" t="s">
        <v>86</v>
      </c>
      <c r="G31" s="13" t="s">
        <v>33</v>
      </c>
      <c r="H31" s="13">
        <v>2</v>
      </c>
      <c r="I31" s="13">
        <f>LN(B31)</f>
        <v>2.8931456847788901</v>
      </c>
      <c r="J31" s="13">
        <v>0.29325756597230351</v>
      </c>
      <c r="K31" s="13" t="s">
        <v>31</v>
      </c>
      <c r="L31" s="13" t="s">
        <v>31</v>
      </c>
      <c r="M31" s="13" t="s">
        <v>31</v>
      </c>
    </row>
    <row r="32" spans="1:13">
      <c r="A32" s="18" t="s">
        <v>5</v>
      </c>
      <c r="B32" s="19" t="s">
        <v>310</v>
      </c>
      <c r="C32" s="3"/>
      <c r="D32" s="11"/>
      <c r="E32" s="11"/>
      <c r="F32" s="11"/>
      <c r="G32" s="11"/>
      <c r="H32" s="11"/>
      <c r="I32" s="11"/>
      <c r="J32" s="11"/>
      <c r="K32" s="11"/>
      <c r="L32" s="11"/>
      <c r="M32" s="11"/>
    </row>
    <row r="33" spans="1:13">
      <c r="A33" s="12" t="s">
        <v>7</v>
      </c>
      <c r="B33" s="13" t="s">
        <v>315</v>
      </c>
      <c r="C33" s="4"/>
      <c r="D33" s="13"/>
      <c r="E33" s="13"/>
      <c r="F33" s="13"/>
      <c r="G33" s="13"/>
      <c r="H33" s="13"/>
      <c r="I33" s="13"/>
      <c r="J33" s="13"/>
      <c r="K33" s="13"/>
      <c r="L33" s="13"/>
      <c r="M33" s="13"/>
    </row>
    <row r="34" spans="1:13">
      <c r="A34" s="12" t="s">
        <v>9</v>
      </c>
      <c r="B34" s="13" t="s">
        <v>318</v>
      </c>
      <c r="C34" s="4"/>
      <c r="D34" s="13"/>
      <c r="E34" s="13"/>
      <c r="F34" s="13"/>
      <c r="G34" s="13"/>
      <c r="H34" s="13"/>
      <c r="I34" s="13"/>
      <c r="J34" s="13"/>
      <c r="K34" s="13"/>
      <c r="L34" s="13"/>
      <c r="M34" s="13"/>
    </row>
    <row r="35" spans="1:13" ht="45">
      <c r="A35" s="12" t="s">
        <v>11</v>
      </c>
      <c r="B35" s="14" t="s">
        <v>319</v>
      </c>
      <c r="C35" s="13"/>
      <c r="D35" s="13"/>
      <c r="E35" s="13"/>
      <c r="F35" s="13"/>
      <c r="G35" s="13"/>
      <c r="H35" s="13"/>
      <c r="I35" s="13"/>
      <c r="J35" s="13"/>
      <c r="K35" s="13"/>
      <c r="L35" s="13"/>
      <c r="M35" s="13"/>
    </row>
    <row r="36" spans="1:13">
      <c r="A36" s="12" t="s">
        <v>13</v>
      </c>
      <c r="B36" s="13" t="s">
        <v>14</v>
      </c>
      <c r="C36" s="13"/>
      <c r="D36" s="13"/>
      <c r="E36" s="13"/>
      <c r="F36" s="13"/>
      <c r="G36" s="13"/>
      <c r="H36" s="13"/>
      <c r="I36" s="13"/>
      <c r="J36" s="13"/>
      <c r="K36" s="13"/>
      <c r="L36" s="13"/>
      <c r="M36" s="13"/>
    </row>
    <row r="37" spans="1:13">
      <c r="A37" s="12" t="s">
        <v>15</v>
      </c>
      <c r="B37" s="13">
        <v>1</v>
      </c>
      <c r="C37" s="13"/>
      <c r="D37" s="13"/>
      <c r="E37" s="13"/>
      <c r="F37" s="13"/>
      <c r="G37" s="13"/>
      <c r="H37" s="13"/>
      <c r="I37" s="13"/>
      <c r="J37" s="13"/>
      <c r="K37" s="13"/>
      <c r="L37" s="13"/>
      <c r="M37" s="13"/>
    </row>
    <row r="38" spans="1:13">
      <c r="A38" s="12" t="s">
        <v>16</v>
      </c>
      <c r="B38" s="13" t="s">
        <v>17</v>
      </c>
      <c r="C38" s="13"/>
      <c r="D38" s="13"/>
      <c r="E38" s="13"/>
      <c r="F38" s="13"/>
      <c r="G38" s="13"/>
      <c r="H38" s="13"/>
      <c r="I38" s="13"/>
      <c r="J38" s="13"/>
      <c r="K38" s="13"/>
      <c r="L38" s="13"/>
      <c r="M38" s="13"/>
    </row>
    <row r="39" spans="1:13">
      <c r="A39" s="12" t="s">
        <v>18</v>
      </c>
      <c r="B39" s="13" t="s">
        <v>18</v>
      </c>
      <c r="C39" s="13"/>
      <c r="D39" s="13"/>
      <c r="E39" s="13"/>
      <c r="F39" s="13"/>
      <c r="G39" s="13"/>
      <c r="H39" s="13"/>
      <c r="I39" s="13"/>
      <c r="J39" s="13"/>
      <c r="K39" s="13"/>
      <c r="L39" s="13"/>
      <c r="M39" s="13"/>
    </row>
    <row r="40" spans="1:13">
      <c r="A40" s="20" t="s">
        <v>19</v>
      </c>
      <c r="B40" s="13"/>
      <c r="C40" s="13"/>
      <c r="D40" s="13"/>
      <c r="E40" s="13"/>
      <c r="F40" s="13"/>
      <c r="G40" s="13"/>
      <c r="H40" s="13"/>
      <c r="I40" s="13"/>
      <c r="J40" s="13"/>
      <c r="K40" s="13"/>
      <c r="L40" s="13"/>
      <c r="M40" s="13"/>
    </row>
    <row r="41" spans="1:13">
      <c r="A41" s="20" t="s">
        <v>20</v>
      </c>
      <c r="B41" s="21" t="s">
        <v>21</v>
      </c>
      <c r="C41" s="21" t="s">
        <v>18</v>
      </c>
      <c r="D41" s="21" t="s">
        <v>22</v>
      </c>
      <c r="E41" s="21" t="s">
        <v>7</v>
      </c>
      <c r="F41" s="21" t="s">
        <v>13</v>
      </c>
      <c r="G41" s="21" t="s">
        <v>16</v>
      </c>
      <c r="H41" s="21" t="s">
        <v>23</v>
      </c>
      <c r="I41" s="21" t="s">
        <v>24</v>
      </c>
      <c r="J41" s="21" t="s">
        <v>25</v>
      </c>
      <c r="K41" s="21" t="s">
        <v>26</v>
      </c>
      <c r="L41" s="21" t="s">
        <v>27</v>
      </c>
      <c r="M41" s="21" t="s">
        <v>28</v>
      </c>
    </row>
    <row r="42" spans="1:13">
      <c r="A42" s="12" t="s">
        <v>310</v>
      </c>
      <c r="B42" s="13">
        <v>1</v>
      </c>
      <c r="C42" s="13" t="s">
        <v>18</v>
      </c>
      <c r="D42" s="13" t="s">
        <v>2</v>
      </c>
      <c r="E42" s="13" t="s">
        <v>29</v>
      </c>
      <c r="F42" s="13" t="s">
        <v>14</v>
      </c>
      <c r="G42" s="13" t="s">
        <v>30</v>
      </c>
      <c r="H42" s="13">
        <v>1</v>
      </c>
      <c r="I42" s="13">
        <v>1</v>
      </c>
      <c r="J42" s="13" t="s">
        <v>31</v>
      </c>
      <c r="K42" s="13" t="s">
        <v>31</v>
      </c>
      <c r="L42" s="13" t="s">
        <v>31</v>
      </c>
      <c r="M42" s="13" t="s">
        <v>31</v>
      </c>
    </row>
    <row r="43" spans="1:13">
      <c r="A43" s="12" t="s">
        <v>248</v>
      </c>
      <c r="B43" s="13">
        <v>301.19</v>
      </c>
      <c r="C43" s="13" t="s">
        <v>39</v>
      </c>
      <c r="D43" s="13" t="s">
        <v>40</v>
      </c>
      <c r="E43" s="13" t="s">
        <v>29</v>
      </c>
      <c r="F43" s="13" t="s">
        <v>86</v>
      </c>
      <c r="G43" s="13" t="s">
        <v>33</v>
      </c>
      <c r="H43" s="13">
        <v>2</v>
      </c>
      <c r="I43" s="13">
        <f>LN(B43)</f>
        <v>5.7077412948433803</v>
      </c>
      <c r="J43" s="13">
        <v>0.29325756597230351</v>
      </c>
      <c r="K43" s="13" t="s">
        <v>31</v>
      </c>
      <c r="L43" s="13" t="s">
        <v>31</v>
      </c>
      <c r="M43" s="13" t="s">
        <v>31</v>
      </c>
    </row>
    <row r="44" spans="1:13">
      <c r="A44" s="18" t="s">
        <v>5</v>
      </c>
      <c r="B44" s="19" t="s">
        <v>311</v>
      </c>
      <c r="C44" s="3"/>
      <c r="D44" s="11"/>
      <c r="E44" s="11"/>
      <c r="F44" s="11"/>
      <c r="G44" s="11"/>
      <c r="H44" s="11"/>
      <c r="I44" s="11"/>
      <c r="J44" s="11"/>
      <c r="K44" s="11"/>
      <c r="L44" s="11"/>
      <c r="M44" s="11"/>
    </row>
    <row r="45" spans="1:13">
      <c r="A45" s="12" t="s">
        <v>7</v>
      </c>
      <c r="B45" s="13" t="s">
        <v>315</v>
      </c>
      <c r="C45" s="4"/>
      <c r="D45" s="13"/>
      <c r="E45" s="13"/>
      <c r="F45" s="13"/>
      <c r="G45" s="13"/>
      <c r="H45" s="13"/>
      <c r="I45" s="13"/>
      <c r="J45" s="13"/>
      <c r="K45" s="13"/>
      <c r="L45" s="13"/>
      <c r="M45" s="13"/>
    </row>
    <row r="46" spans="1:13">
      <c r="A46" s="12" t="s">
        <v>9</v>
      </c>
      <c r="B46" s="13" t="s">
        <v>320</v>
      </c>
      <c r="C46" s="4"/>
      <c r="D46" s="13"/>
      <c r="E46" s="13"/>
      <c r="F46" s="13"/>
      <c r="G46" s="13"/>
      <c r="H46" s="13"/>
      <c r="I46" s="13"/>
      <c r="J46" s="13"/>
      <c r="K46" s="13"/>
      <c r="L46" s="13"/>
      <c r="M46" s="13"/>
    </row>
    <row r="47" spans="1:13" ht="45">
      <c r="A47" s="12" t="s">
        <v>11</v>
      </c>
      <c r="B47" s="14" t="s">
        <v>321</v>
      </c>
      <c r="C47" s="13"/>
      <c r="D47" s="13"/>
      <c r="E47" s="13"/>
      <c r="F47" s="13"/>
      <c r="G47" s="13"/>
      <c r="H47" s="13"/>
      <c r="I47" s="13"/>
      <c r="J47" s="13"/>
      <c r="K47" s="13"/>
      <c r="L47" s="13"/>
      <c r="M47" s="13"/>
    </row>
    <row r="48" spans="1:13">
      <c r="A48" s="12" t="s">
        <v>13</v>
      </c>
      <c r="B48" s="13" t="s">
        <v>14</v>
      </c>
      <c r="C48" s="13"/>
      <c r="D48" s="13"/>
      <c r="E48" s="13"/>
      <c r="F48" s="13"/>
      <c r="G48" s="13"/>
      <c r="H48" s="13"/>
      <c r="I48" s="13"/>
      <c r="J48" s="13"/>
      <c r="K48" s="13"/>
      <c r="L48" s="13"/>
      <c r="M48" s="13"/>
    </row>
    <row r="49" spans="1:13">
      <c r="A49" s="12" t="s">
        <v>15</v>
      </c>
      <c r="B49" s="13">
        <v>1</v>
      </c>
      <c r="C49" s="13"/>
      <c r="D49" s="13"/>
      <c r="E49" s="13"/>
      <c r="F49" s="13"/>
      <c r="G49" s="13"/>
      <c r="H49" s="13"/>
      <c r="I49" s="13"/>
      <c r="J49" s="13"/>
      <c r="K49" s="13"/>
      <c r="L49" s="13"/>
      <c r="M49" s="13"/>
    </row>
    <row r="50" spans="1:13">
      <c r="A50" s="12" t="s">
        <v>16</v>
      </c>
      <c r="B50" s="13" t="s">
        <v>17</v>
      </c>
      <c r="C50" s="13"/>
      <c r="D50" s="13"/>
      <c r="E50" s="13"/>
      <c r="F50" s="13"/>
      <c r="G50" s="13"/>
      <c r="H50" s="13"/>
      <c r="I50" s="13"/>
      <c r="J50" s="13"/>
      <c r="K50" s="13"/>
      <c r="L50" s="13"/>
      <c r="M50" s="13"/>
    </row>
    <row r="51" spans="1:13">
      <c r="A51" s="12" t="s">
        <v>18</v>
      </c>
      <c r="B51" s="13" t="s">
        <v>18</v>
      </c>
      <c r="C51" s="13"/>
      <c r="D51" s="13"/>
      <c r="E51" s="13"/>
      <c r="F51" s="13"/>
      <c r="G51" s="13"/>
      <c r="H51" s="13"/>
      <c r="I51" s="13"/>
      <c r="J51" s="13"/>
      <c r="K51" s="13"/>
      <c r="L51" s="13"/>
      <c r="M51" s="13"/>
    </row>
    <row r="52" spans="1:13">
      <c r="A52" s="20" t="s">
        <v>19</v>
      </c>
      <c r="B52" s="13"/>
      <c r="C52" s="13"/>
      <c r="D52" s="13"/>
      <c r="E52" s="13"/>
      <c r="F52" s="13"/>
      <c r="G52" s="13"/>
      <c r="H52" s="13"/>
      <c r="I52" s="13"/>
      <c r="J52" s="13"/>
      <c r="K52" s="13"/>
      <c r="L52" s="13"/>
      <c r="M52" s="13"/>
    </row>
    <row r="53" spans="1:13">
      <c r="A53" s="20" t="s">
        <v>20</v>
      </c>
      <c r="B53" s="21" t="s">
        <v>21</v>
      </c>
      <c r="C53" s="21" t="s">
        <v>18</v>
      </c>
      <c r="D53" s="21" t="s">
        <v>22</v>
      </c>
      <c r="E53" s="21" t="s">
        <v>7</v>
      </c>
      <c r="F53" s="21" t="s">
        <v>13</v>
      </c>
      <c r="G53" s="21" t="s">
        <v>16</v>
      </c>
      <c r="H53" s="21" t="s">
        <v>23</v>
      </c>
      <c r="I53" s="21" t="s">
        <v>24</v>
      </c>
      <c r="J53" s="21" t="s">
        <v>25</v>
      </c>
      <c r="K53" s="21" t="s">
        <v>26</v>
      </c>
      <c r="L53" s="21" t="s">
        <v>27</v>
      </c>
      <c r="M53" s="21" t="s">
        <v>28</v>
      </c>
    </row>
    <row r="54" spans="1:13">
      <c r="A54" s="12" t="s">
        <v>311</v>
      </c>
      <c r="B54" s="13">
        <v>1</v>
      </c>
      <c r="C54" s="13" t="s">
        <v>18</v>
      </c>
      <c r="D54" s="13" t="s">
        <v>2</v>
      </c>
      <c r="E54" s="13" t="s">
        <v>29</v>
      </c>
      <c r="F54" s="13" t="s">
        <v>14</v>
      </c>
      <c r="G54" s="13" t="s">
        <v>30</v>
      </c>
      <c r="H54" s="13">
        <v>1</v>
      </c>
      <c r="I54" s="13">
        <v>1</v>
      </c>
      <c r="J54" s="13" t="s">
        <v>31</v>
      </c>
      <c r="K54" s="13" t="s">
        <v>31</v>
      </c>
      <c r="L54" s="13" t="s">
        <v>31</v>
      </c>
      <c r="M54" s="13" t="s">
        <v>31</v>
      </c>
    </row>
    <row r="55" spans="1:13">
      <c r="A55" s="12" t="s">
        <v>322</v>
      </c>
      <c r="B55" s="13">
        <v>10</v>
      </c>
      <c r="C55" s="13" t="s">
        <v>39</v>
      </c>
      <c r="D55" s="13" t="s">
        <v>40</v>
      </c>
      <c r="E55" s="13" t="s">
        <v>29</v>
      </c>
      <c r="F55" s="13" t="s">
        <v>86</v>
      </c>
      <c r="G55" s="13" t="s">
        <v>33</v>
      </c>
      <c r="H55" s="13">
        <v>2</v>
      </c>
      <c r="I55" s="13">
        <f>LN(B55)</f>
        <v>2.3025850929940459</v>
      </c>
      <c r="J55" s="13">
        <v>0.29325756597230351</v>
      </c>
      <c r="K55" s="13" t="s">
        <v>31</v>
      </c>
      <c r="L55" s="13" t="s">
        <v>31</v>
      </c>
      <c r="M55" s="13" t="s">
        <v>31</v>
      </c>
    </row>
    <row r="56" spans="1:13">
      <c r="A56" s="18" t="s">
        <v>5</v>
      </c>
      <c r="B56" s="19" t="s">
        <v>312</v>
      </c>
      <c r="C56" s="3"/>
      <c r="D56" s="11"/>
      <c r="E56" s="11"/>
      <c r="F56" s="11"/>
      <c r="G56" s="11"/>
      <c r="H56" s="11"/>
      <c r="I56" s="11"/>
      <c r="J56" s="11"/>
      <c r="K56" s="11"/>
      <c r="L56" s="11"/>
      <c r="M56" s="11"/>
    </row>
    <row r="57" spans="1:13">
      <c r="A57" s="12" t="s">
        <v>7</v>
      </c>
      <c r="B57" s="13" t="s">
        <v>315</v>
      </c>
      <c r="C57" s="4"/>
      <c r="D57" s="13"/>
      <c r="E57" s="13"/>
      <c r="F57" s="13"/>
      <c r="G57" s="13"/>
      <c r="H57" s="13"/>
      <c r="I57" s="13"/>
      <c r="J57" s="13"/>
      <c r="K57" s="13"/>
      <c r="L57" s="13"/>
      <c r="M57" s="13"/>
    </row>
    <row r="58" spans="1:13">
      <c r="A58" s="12" t="s">
        <v>9</v>
      </c>
      <c r="B58" s="13" t="s">
        <v>323</v>
      </c>
      <c r="C58" s="4"/>
      <c r="D58" s="13"/>
      <c r="E58" s="13"/>
      <c r="F58" s="13"/>
      <c r="G58" s="13"/>
      <c r="H58" s="13"/>
      <c r="I58" s="13"/>
      <c r="J58" s="13"/>
      <c r="K58" s="13"/>
      <c r="L58" s="13"/>
      <c r="M58" s="13"/>
    </row>
    <row r="59" spans="1:13" ht="45">
      <c r="A59" s="12" t="s">
        <v>11</v>
      </c>
      <c r="B59" s="14" t="s">
        <v>324</v>
      </c>
      <c r="C59" s="13"/>
      <c r="D59" s="13"/>
      <c r="E59" s="13"/>
      <c r="F59" s="13"/>
      <c r="G59" s="13"/>
      <c r="H59" s="13"/>
      <c r="I59" s="13"/>
      <c r="J59" s="13"/>
      <c r="K59" s="13"/>
      <c r="L59" s="13"/>
      <c r="M59" s="13"/>
    </row>
    <row r="60" spans="1:13">
      <c r="A60" s="12" t="s">
        <v>13</v>
      </c>
      <c r="B60" s="13" t="s">
        <v>14</v>
      </c>
      <c r="C60" s="13"/>
      <c r="D60" s="13"/>
      <c r="E60" s="13"/>
      <c r="F60" s="13"/>
      <c r="G60" s="13"/>
      <c r="H60" s="13"/>
      <c r="I60" s="13"/>
      <c r="J60" s="13"/>
      <c r="K60" s="13"/>
      <c r="L60" s="13"/>
      <c r="M60" s="13"/>
    </row>
    <row r="61" spans="1:13">
      <c r="A61" s="12" t="s">
        <v>15</v>
      </c>
      <c r="B61" s="13">
        <v>1</v>
      </c>
      <c r="C61" s="13"/>
      <c r="D61" s="13"/>
      <c r="E61" s="13"/>
      <c r="F61" s="13"/>
      <c r="G61" s="13"/>
      <c r="H61" s="13"/>
      <c r="I61" s="13"/>
      <c r="J61" s="13"/>
      <c r="K61" s="13"/>
      <c r="L61" s="13"/>
      <c r="M61" s="13"/>
    </row>
    <row r="62" spans="1:13">
      <c r="A62" s="12" t="s">
        <v>16</v>
      </c>
      <c r="B62" s="13" t="s">
        <v>17</v>
      </c>
      <c r="C62" s="13"/>
      <c r="D62" s="13"/>
      <c r="E62" s="13"/>
      <c r="F62" s="13"/>
      <c r="G62" s="13"/>
      <c r="H62" s="13"/>
      <c r="I62" s="13"/>
      <c r="J62" s="13"/>
      <c r="K62" s="13"/>
      <c r="L62" s="13"/>
      <c r="M62" s="13"/>
    </row>
    <row r="63" spans="1:13">
      <c r="A63" s="12" t="s">
        <v>18</v>
      </c>
      <c r="B63" s="13" t="s">
        <v>18</v>
      </c>
      <c r="C63" s="13"/>
      <c r="D63" s="13"/>
      <c r="E63" s="13"/>
      <c r="F63" s="13"/>
      <c r="G63" s="13"/>
      <c r="H63" s="13"/>
      <c r="I63" s="13"/>
      <c r="J63" s="13"/>
      <c r="K63" s="13"/>
      <c r="L63" s="13"/>
      <c r="M63" s="13"/>
    </row>
    <row r="64" spans="1:13">
      <c r="A64" s="20" t="s">
        <v>19</v>
      </c>
      <c r="B64" s="13"/>
      <c r="C64" s="13"/>
      <c r="D64" s="13"/>
      <c r="E64" s="13"/>
      <c r="F64" s="13"/>
      <c r="G64" s="13"/>
      <c r="H64" s="13"/>
      <c r="I64" s="13"/>
      <c r="J64" s="13"/>
      <c r="K64" s="13"/>
      <c r="L64" s="13"/>
      <c r="M64" s="13"/>
    </row>
    <row r="65" spans="1:14">
      <c r="A65" s="20" t="s">
        <v>20</v>
      </c>
      <c r="B65" s="21" t="s">
        <v>21</v>
      </c>
      <c r="C65" s="21" t="s">
        <v>18</v>
      </c>
      <c r="D65" s="21" t="s">
        <v>22</v>
      </c>
      <c r="E65" s="21" t="s">
        <v>7</v>
      </c>
      <c r="F65" s="21" t="s">
        <v>13</v>
      </c>
      <c r="G65" s="21" t="s">
        <v>16</v>
      </c>
      <c r="H65" s="21" t="s">
        <v>23</v>
      </c>
      <c r="I65" s="21" t="s">
        <v>24</v>
      </c>
      <c r="J65" s="21" t="s">
        <v>25</v>
      </c>
      <c r="K65" s="21" t="s">
        <v>26</v>
      </c>
      <c r="L65" s="21" t="s">
        <v>27</v>
      </c>
      <c r="M65" s="21" t="s">
        <v>28</v>
      </c>
    </row>
    <row r="66" spans="1:14">
      <c r="A66" s="12" t="s">
        <v>312</v>
      </c>
      <c r="B66" s="13">
        <v>1</v>
      </c>
      <c r="C66" s="13" t="s">
        <v>18</v>
      </c>
      <c r="D66" s="13" t="s">
        <v>2</v>
      </c>
      <c r="E66" s="13" t="s">
        <v>29</v>
      </c>
      <c r="F66" s="13" t="s">
        <v>14</v>
      </c>
      <c r="G66" s="13" t="s">
        <v>30</v>
      </c>
      <c r="H66" s="13">
        <v>1</v>
      </c>
      <c r="I66" s="13">
        <v>1</v>
      </c>
      <c r="J66" s="13" t="s">
        <v>31</v>
      </c>
      <c r="K66" s="13" t="s">
        <v>31</v>
      </c>
      <c r="L66" s="13" t="s">
        <v>31</v>
      </c>
      <c r="M66" s="13" t="s">
        <v>31</v>
      </c>
    </row>
    <row r="67" spans="1:14">
      <c r="A67" s="12" t="s">
        <v>325</v>
      </c>
      <c r="B67" s="13">
        <v>11.8</v>
      </c>
      <c r="C67" s="13" t="s">
        <v>39</v>
      </c>
      <c r="D67" s="13" t="s">
        <v>40</v>
      </c>
      <c r="E67" s="13" t="s">
        <v>29</v>
      </c>
      <c r="F67" s="13" t="s">
        <v>86</v>
      </c>
      <c r="G67" s="13" t="s">
        <v>33</v>
      </c>
      <c r="H67" s="13">
        <v>2</v>
      </c>
      <c r="I67" s="13">
        <f>LN(B67)</f>
        <v>2.4680995314716192</v>
      </c>
      <c r="J67" s="13">
        <v>0.29325756597230351</v>
      </c>
      <c r="K67" s="13" t="s">
        <v>31</v>
      </c>
      <c r="L67" s="13" t="s">
        <v>31</v>
      </c>
      <c r="M67" s="13" t="s">
        <v>31</v>
      </c>
      <c r="N67" t="s">
        <v>326</v>
      </c>
    </row>
    <row r="68" spans="1:14">
      <c r="A68" s="12" t="s">
        <v>286</v>
      </c>
      <c r="B68" s="13">
        <v>6.26</v>
      </c>
      <c r="C68" s="13" t="s">
        <v>39</v>
      </c>
      <c r="D68" s="13" t="s">
        <v>40</v>
      </c>
      <c r="E68" s="13" t="s">
        <v>29</v>
      </c>
      <c r="F68" s="13" t="s">
        <v>86</v>
      </c>
      <c r="G68" s="13" t="s">
        <v>33</v>
      </c>
      <c r="H68" s="13">
        <v>2</v>
      </c>
      <c r="I68" s="13">
        <f>LN(B68)</f>
        <v>1.8341801851120072</v>
      </c>
      <c r="J68" s="13">
        <v>0.29325756597230351</v>
      </c>
      <c r="K68" s="13" t="s">
        <v>31</v>
      </c>
      <c r="L68" s="13" t="s">
        <v>31</v>
      </c>
      <c r="M68" s="13" t="s">
        <v>31</v>
      </c>
    </row>
    <row r="69" spans="1:14">
      <c r="A69" s="18" t="s">
        <v>5</v>
      </c>
      <c r="B69" s="19" t="s">
        <v>313</v>
      </c>
      <c r="C69" s="3"/>
      <c r="D69" s="11"/>
      <c r="E69" s="11"/>
      <c r="F69" s="11"/>
      <c r="G69" s="11"/>
      <c r="H69" s="11"/>
      <c r="I69" s="11"/>
      <c r="J69" s="11"/>
      <c r="K69" s="11"/>
      <c r="L69" s="11"/>
      <c r="M69" s="11"/>
    </row>
    <row r="70" spans="1:14">
      <c r="A70" s="12" t="s">
        <v>7</v>
      </c>
      <c r="B70" s="13" t="s">
        <v>315</v>
      </c>
      <c r="C70" s="4"/>
      <c r="D70" s="13"/>
      <c r="E70" s="13"/>
      <c r="F70" s="13"/>
      <c r="G70" s="13"/>
      <c r="H70" s="13"/>
      <c r="I70" s="13"/>
      <c r="J70" s="13"/>
      <c r="K70" s="13"/>
      <c r="L70" s="13"/>
      <c r="M70" s="13"/>
    </row>
    <row r="71" spans="1:14">
      <c r="A71" s="12" t="s">
        <v>9</v>
      </c>
      <c r="B71" s="13" t="s">
        <v>327</v>
      </c>
      <c r="C71" s="4"/>
      <c r="D71" s="13"/>
      <c r="E71" s="13"/>
      <c r="F71" s="13"/>
      <c r="G71" s="13"/>
      <c r="H71" s="13"/>
      <c r="I71" s="13"/>
      <c r="J71" s="13"/>
      <c r="K71" s="13"/>
      <c r="L71" s="13"/>
      <c r="M71" s="13"/>
    </row>
    <row r="72" spans="1:14" ht="45">
      <c r="A72" s="12" t="s">
        <v>11</v>
      </c>
      <c r="B72" s="14" t="s">
        <v>328</v>
      </c>
      <c r="C72" s="13"/>
      <c r="D72" s="13"/>
      <c r="E72" s="13"/>
      <c r="F72" s="13"/>
      <c r="G72" s="13"/>
      <c r="H72" s="13"/>
      <c r="I72" s="13"/>
      <c r="J72" s="13"/>
      <c r="K72" s="13"/>
      <c r="L72" s="13"/>
      <c r="M72" s="13"/>
    </row>
    <row r="73" spans="1:14">
      <c r="A73" s="12" t="s">
        <v>13</v>
      </c>
      <c r="B73" s="13" t="s">
        <v>14</v>
      </c>
      <c r="C73" s="13"/>
      <c r="D73" s="13"/>
      <c r="E73" s="13"/>
      <c r="F73" s="13"/>
      <c r="G73" s="13"/>
      <c r="H73" s="13"/>
      <c r="I73" s="13"/>
      <c r="J73" s="13"/>
      <c r="K73" s="13"/>
      <c r="L73" s="13"/>
      <c r="M73" s="13"/>
    </row>
    <row r="74" spans="1:14">
      <c r="A74" s="12" t="s">
        <v>15</v>
      </c>
      <c r="B74" s="13">
        <v>1</v>
      </c>
      <c r="C74" s="13"/>
      <c r="D74" s="13"/>
      <c r="E74" s="13"/>
      <c r="F74" s="13"/>
      <c r="G74" s="13"/>
      <c r="H74" s="13"/>
      <c r="I74" s="13"/>
      <c r="J74" s="13"/>
      <c r="K74" s="13"/>
      <c r="L74" s="13"/>
      <c r="M74" s="13"/>
    </row>
    <row r="75" spans="1:14">
      <c r="A75" s="12" t="s">
        <v>16</v>
      </c>
      <c r="B75" s="13" t="s">
        <v>17</v>
      </c>
      <c r="C75" s="13"/>
      <c r="D75" s="13"/>
      <c r="E75" s="13"/>
      <c r="F75" s="13"/>
      <c r="G75" s="13"/>
      <c r="H75" s="13"/>
      <c r="I75" s="13"/>
      <c r="J75" s="13"/>
      <c r="K75" s="13"/>
      <c r="L75" s="13"/>
      <c r="M75" s="13"/>
    </row>
    <row r="76" spans="1:14">
      <c r="A76" s="12" t="s">
        <v>18</v>
      </c>
      <c r="B76" s="13" t="s">
        <v>18</v>
      </c>
      <c r="C76" s="13"/>
      <c r="D76" s="13"/>
      <c r="E76" s="13"/>
      <c r="F76" s="13"/>
      <c r="G76" s="13"/>
      <c r="H76" s="13"/>
      <c r="I76" s="13"/>
      <c r="J76" s="13"/>
      <c r="K76" s="13"/>
      <c r="L76" s="13"/>
      <c r="M76" s="13"/>
    </row>
    <row r="77" spans="1:14">
      <c r="A77" s="20" t="s">
        <v>19</v>
      </c>
      <c r="B77" s="13"/>
      <c r="C77" s="13"/>
      <c r="D77" s="13"/>
      <c r="E77" s="13"/>
      <c r="F77" s="13"/>
      <c r="G77" s="13"/>
      <c r="H77" s="13"/>
      <c r="I77" s="13"/>
      <c r="J77" s="13"/>
      <c r="K77" s="13"/>
      <c r="L77" s="13"/>
      <c r="M77" s="13"/>
    </row>
    <row r="78" spans="1:14">
      <c r="A78" s="20" t="s">
        <v>20</v>
      </c>
      <c r="B78" s="21" t="s">
        <v>21</v>
      </c>
      <c r="C78" s="21" t="s">
        <v>18</v>
      </c>
      <c r="D78" s="21" t="s">
        <v>22</v>
      </c>
      <c r="E78" s="21" t="s">
        <v>7</v>
      </c>
      <c r="F78" s="21" t="s">
        <v>13</v>
      </c>
      <c r="G78" s="21" t="s">
        <v>16</v>
      </c>
      <c r="H78" s="21" t="s">
        <v>23</v>
      </c>
      <c r="I78" s="21" t="s">
        <v>24</v>
      </c>
      <c r="J78" s="21" t="s">
        <v>25</v>
      </c>
      <c r="K78" s="21" t="s">
        <v>26</v>
      </c>
      <c r="L78" s="21" t="s">
        <v>27</v>
      </c>
      <c r="M78" s="21" t="s">
        <v>28</v>
      </c>
    </row>
    <row r="79" spans="1:14">
      <c r="A79" s="12" t="s">
        <v>313</v>
      </c>
      <c r="B79" s="13">
        <v>1</v>
      </c>
      <c r="C79" s="13" t="s">
        <v>18</v>
      </c>
      <c r="D79" s="13" t="s">
        <v>2</v>
      </c>
      <c r="E79" s="13" t="s">
        <v>29</v>
      </c>
      <c r="F79" s="13" t="s">
        <v>14</v>
      </c>
      <c r="G79" s="13" t="s">
        <v>30</v>
      </c>
      <c r="H79" s="13">
        <v>1</v>
      </c>
      <c r="I79" s="13">
        <v>1</v>
      </c>
      <c r="J79" s="13" t="s">
        <v>31</v>
      </c>
      <c r="K79" s="13" t="s">
        <v>31</v>
      </c>
      <c r="L79" s="13" t="s">
        <v>31</v>
      </c>
      <c r="M79" s="13" t="s">
        <v>31</v>
      </c>
    </row>
    <row r="80" spans="1:14">
      <c r="A80" s="12" t="s">
        <v>329</v>
      </c>
      <c r="B80" s="13">
        <v>10.5</v>
      </c>
      <c r="C80" s="13" t="s">
        <v>39</v>
      </c>
      <c r="D80" s="13" t="s">
        <v>40</v>
      </c>
      <c r="E80" s="13" t="s">
        <v>29</v>
      </c>
      <c r="F80" s="13" t="s">
        <v>36</v>
      </c>
      <c r="G80" s="13" t="s">
        <v>33</v>
      </c>
      <c r="H80" s="13">
        <v>2</v>
      </c>
      <c r="I80" s="13">
        <f>LN(B80)</f>
        <v>2.3513752571634776</v>
      </c>
      <c r="J80" s="13">
        <v>0.29325756597230351</v>
      </c>
      <c r="K80" s="13" t="s">
        <v>31</v>
      </c>
      <c r="L80" s="13" t="s">
        <v>31</v>
      </c>
      <c r="M80" s="13" t="s">
        <v>31</v>
      </c>
    </row>
    <row r="81" spans="1:13">
      <c r="A81" s="12" t="s">
        <v>330</v>
      </c>
      <c r="B81" s="13">
        <v>10.5</v>
      </c>
      <c r="C81" s="13" t="s">
        <v>39</v>
      </c>
      <c r="D81" s="13" t="s">
        <v>40</v>
      </c>
      <c r="E81" s="13" t="s">
        <v>29</v>
      </c>
      <c r="F81" s="13" t="s">
        <v>86</v>
      </c>
      <c r="G81" s="13" t="s">
        <v>33</v>
      </c>
      <c r="H81" s="13">
        <v>2</v>
      </c>
      <c r="I81" s="13">
        <f>LN(B81)</f>
        <v>2.3513752571634776</v>
      </c>
      <c r="J81" s="13">
        <v>0.29325756597230351</v>
      </c>
      <c r="K81" s="13" t="s">
        <v>31</v>
      </c>
      <c r="L81" s="13" t="s">
        <v>31</v>
      </c>
      <c r="M81" s="13" t="s">
        <v>31</v>
      </c>
    </row>
    <row r="82" spans="1:13">
      <c r="A82" s="18" t="s">
        <v>5</v>
      </c>
      <c r="B82" s="19" t="s">
        <v>314</v>
      </c>
      <c r="C82" s="3"/>
      <c r="D82" s="11"/>
      <c r="E82" s="11"/>
      <c r="F82" s="11"/>
      <c r="G82" s="11"/>
      <c r="H82" s="11"/>
      <c r="I82" s="11"/>
      <c r="J82" s="11"/>
      <c r="K82" s="11"/>
      <c r="L82" s="11"/>
      <c r="M82" s="11"/>
    </row>
    <row r="83" spans="1:13">
      <c r="A83" s="12" t="s">
        <v>7</v>
      </c>
      <c r="B83" s="13" t="s">
        <v>315</v>
      </c>
      <c r="C83" s="4"/>
      <c r="D83" s="13"/>
      <c r="E83" s="13"/>
      <c r="F83" s="13"/>
      <c r="G83" s="13"/>
      <c r="H83" s="13"/>
      <c r="I83" s="13"/>
      <c r="J83" s="13"/>
      <c r="K83" s="13"/>
      <c r="L83" s="13"/>
      <c r="M83" s="13"/>
    </row>
    <row r="84" spans="1:13">
      <c r="A84" s="12" t="s">
        <v>9</v>
      </c>
      <c r="B84" s="13" t="s">
        <v>331</v>
      </c>
      <c r="C84" s="4"/>
      <c r="D84" s="13"/>
      <c r="E84" s="13"/>
      <c r="F84" s="13"/>
      <c r="G84" s="13"/>
      <c r="H84" s="13"/>
      <c r="I84" s="13"/>
      <c r="J84" s="13"/>
      <c r="K84" s="13"/>
      <c r="L84" s="13"/>
      <c r="M84" s="13"/>
    </row>
    <row r="85" spans="1:13" ht="45">
      <c r="A85" s="12" t="s">
        <v>11</v>
      </c>
      <c r="B85" s="14" t="s">
        <v>332</v>
      </c>
      <c r="C85" s="13"/>
      <c r="D85" s="13"/>
      <c r="E85" s="13"/>
      <c r="F85" s="13"/>
      <c r="G85" s="13"/>
      <c r="H85" s="13"/>
      <c r="I85" s="13"/>
      <c r="J85" s="13"/>
      <c r="K85" s="13"/>
      <c r="L85" s="13"/>
      <c r="M85" s="13"/>
    </row>
    <row r="86" spans="1:13">
      <c r="A86" s="12" t="s">
        <v>13</v>
      </c>
      <c r="B86" s="13" t="s">
        <v>14</v>
      </c>
      <c r="C86" s="13"/>
      <c r="D86" s="13"/>
      <c r="E86" s="13"/>
      <c r="F86" s="13"/>
      <c r="G86" s="13"/>
      <c r="H86" s="13"/>
      <c r="I86" s="13"/>
      <c r="J86" s="13"/>
      <c r="K86" s="13"/>
      <c r="L86" s="13"/>
      <c r="M86" s="13"/>
    </row>
    <row r="87" spans="1:13">
      <c r="A87" s="12" t="s">
        <v>15</v>
      </c>
      <c r="B87" s="13">
        <v>1</v>
      </c>
      <c r="C87" s="13"/>
      <c r="D87" s="13"/>
      <c r="E87" s="13"/>
      <c r="F87" s="13"/>
      <c r="G87" s="13"/>
      <c r="H87" s="13"/>
      <c r="I87" s="13"/>
      <c r="J87" s="13"/>
      <c r="K87" s="13"/>
      <c r="L87" s="13"/>
      <c r="M87" s="13"/>
    </row>
    <row r="88" spans="1:13">
      <c r="A88" s="12" t="s">
        <v>16</v>
      </c>
      <c r="B88" s="13" t="s">
        <v>17</v>
      </c>
      <c r="C88" s="13"/>
      <c r="D88" s="13"/>
      <c r="E88" s="13"/>
      <c r="F88" s="13"/>
      <c r="G88" s="13"/>
      <c r="H88" s="13"/>
      <c r="I88" s="13"/>
      <c r="J88" s="13"/>
      <c r="K88" s="13"/>
      <c r="L88" s="13"/>
      <c r="M88" s="13"/>
    </row>
    <row r="89" spans="1:13">
      <c r="A89" s="12" t="s">
        <v>18</v>
      </c>
      <c r="B89" s="13" t="s">
        <v>18</v>
      </c>
      <c r="C89" s="13"/>
      <c r="D89" s="13"/>
      <c r="E89" s="13"/>
      <c r="F89" s="13"/>
      <c r="G89" s="13"/>
      <c r="H89" s="13"/>
      <c r="I89" s="13"/>
      <c r="J89" s="13"/>
      <c r="K89" s="13"/>
      <c r="L89" s="13"/>
      <c r="M89" s="13"/>
    </row>
    <row r="90" spans="1:13">
      <c r="A90" s="20" t="s">
        <v>19</v>
      </c>
      <c r="B90" s="13"/>
      <c r="C90" s="13"/>
      <c r="D90" s="13"/>
      <c r="E90" s="13"/>
      <c r="F90" s="13"/>
      <c r="G90" s="13"/>
      <c r="H90" s="13"/>
      <c r="I90" s="13"/>
      <c r="J90" s="13"/>
      <c r="K90" s="13"/>
      <c r="L90" s="13"/>
      <c r="M90" s="13"/>
    </row>
    <row r="91" spans="1:13">
      <c r="A91" s="20" t="s">
        <v>20</v>
      </c>
      <c r="B91" s="21" t="s">
        <v>21</v>
      </c>
      <c r="C91" s="21" t="s">
        <v>18</v>
      </c>
      <c r="D91" s="21" t="s">
        <v>22</v>
      </c>
      <c r="E91" s="21" t="s">
        <v>7</v>
      </c>
      <c r="F91" s="21" t="s">
        <v>13</v>
      </c>
      <c r="G91" s="21" t="s">
        <v>16</v>
      </c>
      <c r="H91" s="21" t="s">
        <v>23</v>
      </c>
      <c r="I91" s="21" t="s">
        <v>24</v>
      </c>
      <c r="J91" s="21" t="s">
        <v>25</v>
      </c>
      <c r="K91" s="21" t="s">
        <v>26</v>
      </c>
      <c r="L91" s="21" t="s">
        <v>27</v>
      </c>
      <c r="M91" s="21" t="s">
        <v>28</v>
      </c>
    </row>
    <row r="92" spans="1:13">
      <c r="A92" s="12" t="s">
        <v>314</v>
      </c>
      <c r="B92" s="13">
        <v>1</v>
      </c>
      <c r="C92" s="13" t="s">
        <v>18</v>
      </c>
      <c r="D92" s="13" t="s">
        <v>2</v>
      </c>
      <c r="E92" s="13" t="s">
        <v>29</v>
      </c>
      <c r="F92" s="13" t="s">
        <v>14</v>
      </c>
      <c r="G92" s="13" t="s">
        <v>30</v>
      </c>
      <c r="H92" s="13">
        <v>1</v>
      </c>
      <c r="I92" s="13">
        <v>1</v>
      </c>
      <c r="J92" s="13" t="s">
        <v>31</v>
      </c>
      <c r="K92" s="13" t="s">
        <v>31</v>
      </c>
      <c r="L92" s="13" t="s">
        <v>31</v>
      </c>
      <c r="M92" s="13" t="s">
        <v>31</v>
      </c>
    </row>
    <row r="93" spans="1:13">
      <c r="A93" s="12" t="s">
        <v>304</v>
      </c>
      <c r="B93" s="13">
        <v>61.6</v>
      </c>
      <c r="C93" s="13" t="s">
        <v>39</v>
      </c>
      <c r="D93" s="13" t="s">
        <v>40</v>
      </c>
      <c r="E93" s="13" t="s">
        <v>29</v>
      </c>
      <c r="F93" s="13" t="s">
        <v>117</v>
      </c>
      <c r="G93" s="13" t="s">
        <v>33</v>
      </c>
      <c r="H93" s="13">
        <v>2</v>
      </c>
      <c r="I93" s="13">
        <f>LN(B93)</f>
        <v>4.1206618705394744</v>
      </c>
      <c r="J93" s="13">
        <v>0.29325756597230351</v>
      </c>
      <c r="K93" s="13" t="s">
        <v>31</v>
      </c>
      <c r="L93" s="13" t="s">
        <v>31</v>
      </c>
      <c r="M93" s="13" t="s">
        <v>31</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925C9B-8674-42BC-8089-1AB1CD9773AB}">
  <dimension ref="A1:X396"/>
  <sheetViews>
    <sheetView zoomScale="85" zoomScaleNormal="85" workbookViewId="0">
      <selection activeCell="E31" sqref="E31"/>
    </sheetView>
  </sheetViews>
  <sheetFormatPr defaultColWidth="8.7109375" defaultRowHeight="15"/>
  <cols>
    <col min="1" max="1" width="77.85546875" style="22" customWidth="1"/>
    <col min="2" max="2" width="39.140625" style="22" customWidth="1"/>
    <col min="3" max="3" width="16.5703125" style="22" customWidth="1"/>
    <col min="4" max="4" width="14.5703125" style="22" customWidth="1"/>
    <col min="5" max="5" width="37" style="22" customWidth="1"/>
    <col min="6" max="6" width="8.7109375" style="22"/>
    <col min="7" max="7" width="10.42578125" style="22" bestFit="1" customWidth="1"/>
    <col min="8" max="8" width="13.140625" style="22" bestFit="1" customWidth="1"/>
    <col min="9" max="9" width="15.85546875" style="22" bestFit="1" customWidth="1"/>
    <col min="10" max="11" width="8.85546875" style="22" bestFit="1" customWidth="1"/>
    <col min="12" max="13" width="8.7109375" style="22"/>
    <col min="14" max="14" width="10.85546875" style="22" bestFit="1" customWidth="1"/>
    <col min="15" max="15" width="23.85546875" style="22" customWidth="1"/>
    <col min="16" max="16" width="27" style="22" customWidth="1"/>
    <col min="17" max="17" width="15.85546875" style="22" customWidth="1"/>
    <col min="18" max="18" width="14.42578125" style="22" customWidth="1"/>
    <col min="19" max="19" width="8.85546875" style="22" bestFit="1" customWidth="1"/>
    <col min="20" max="20" width="8.7109375" style="22"/>
    <col min="21" max="21" width="9.7109375" style="22" bestFit="1" customWidth="1"/>
    <col min="22" max="22" width="8.7109375" style="22"/>
    <col min="23" max="23" width="8.85546875" style="22" bestFit="1" customWidth="1"/>
    <col min="24" max="16384" width="8.7109375" style="22"/>
  </cols>
  <sheetData>
    <row r="1" spans="1:19">
      <c r="A1" s="22" t="s">
        <v>0</v>
      </c>
      <c r="B1" s="22">
        <v>14</v>
      </c>
      <c r="P1" s="22" t="s">
        <v>333</v>
      </c>
      <c r="Q1" s="23"/>
    </row>
    <row r="2" spans="1:19" s="29" customFormat="1">
      <c r="A2" s="27" t="s">
        <v>5</v>
      </c>
      <c r="B2" s="27" t="s">
        <v>80</v>
      </c>
      <c r="C2" s="27"/>
      <c r="D2" s="28"/>
      <c r="Q2" s="29" t="s">
        <v>101</v>
      </c>
    </row>
    <row r="3" spans="1:19">
      <c r="A3" s="22" t="s">
        <v>7</v>
      </c>
      <c r="B3" s="22" t="s">
        <v>334</v>
      </c>
      <c r="Q3" s="22" t="s">
        <v>101</v>
      </c>
    </row>
    <row r="4" spans="1:19">
      <c r="A4" s="22" t="s">
        <v>9</v>
      </c>
      <c r="B4" s="22" t="s">
        <v>335</v>
      </c>
      <c r="Q4" s="22" t="s">
        <v>101</v>
      </c>
    </row>
    <row r="5" spans="1:19">
      <c r="A5" s="22" t="s">
        <v>11</v>
      </c>
      <c r="B5" s="22" t="s">
        <v>336</v>
      </c>
      <c r="Q5" s="22" t="s">
        <v>101</v>
      </c>
    </row>
    <row r="6" spans="1:19">
      <c r="A6" s="22" t="s">
        <v>13</v>
      </c>
      <c r="B6" s="22" t="s">
        <v>14</v>
      </c>
      <c r="Q6" s="22" t="s">
        <v>101</v>
      </c>
    </row>
    <row r="7" spans="1:19">
      <c r="A7" s="22" t="s">
        <v>15</v>
      </c>
      <c r="B7" s="22">
        <v>1</v>
      </c>
      <c r="Q7" s="22" t="s">
        <v>101</v>
      </c>
    </row>
    <row r="8" spans="1:19">
      <c r="A8" s="22" t="s">
        <v>16</v>
      </c>
      <c r="B8" s="22" t="s">
        <v>17</v>
      </c>
      <c r="Q8" s="22" t="s">
        <v>101</v>
      </c>
    </row>
    <row r="9" spans="1:19">
      <c r="A9" s="22" t="s">
        <v>18</v>
      </c>
      <c r="B9" s="22" t="s">
        <v>18</v>
      </c>
      <c r="E9" s="22" t="s">
        <v>90</v>
      </c>
      <c r="Q9" s="22" t="s">
        <v>101</v>
      </c>
    </row>
    <row r="10" spans="1:19">
      <c r="A10" s="24" t="s">
        <v>19</v>
      </c>
      <c r="Q10" s="22" t="s">
        <v>101</v>
      </c>
    </row>
    <row r="11" spans="1:19">
      <c r="A11" s="24" t="s">
        <v>20</v>
      </c>
      <c r="B11" s="24" t="s">
        <v>21</v>
      </c>
      <c r="C11" s="24" t="s">
        <v>73</v>
      </c>
      <c r="D11" s="24" t="s">
        <v>18</v>
      </c>
      <c r="E11" s="24" t="s">
        <v>22</v>
      </c>
      <c r="F11" s="24" t="s">
        <v>7</v>
      </c>
      <c r="G11" s="24" t="s">
        <v>13</v>
      </c>
      <c r="H11" s="24" t="s">
        <v>16</v>
      </c>
      <c r="I11" s="24" t="s">
        <v>23</v>
      </c>
      <c r="J11" s="24" t="s">
        <v>24</v>
      </c>
      <c r="K11" s="24" t="s">
        <v>25</v>
      </c>
      <c r="L11" s="24" t="s">
        <v>26</v>
      </c>
      <c r="M11" s="24" t="s">
        <v>27</v>
      </c>
      <c r="N11" s="24" t="s">
        <v>28</v>
      </c>
      <c r="O11" s="24" t="s">
        <v>11</v>
      </c>
      <c r="P11" s="24" t="s">
        <v>337</v>
      </c>
      <c r="Q11" s="22" t="s">
        <v>101</v>
      </c>
    </row>
    <row r="12" spans="1:19">
      <c r="A12" s="22" t="s">
        <v>80</v>
      </c>
      <c r="B12" s="22">
        <v>1</v>
      </c>
      <c r="D12" s="22" t="s">
        <v>18</v>
      </c>
      <c r="E12" s="22" t="s">
        <v>2</v>
      </c>
      <c r="F12" s="22" t="s">
        <v>29</v>
      </c>
      <c r="G12" s="22" t="s">
        <v>14</v>
      </c>
      <c r="H12" s="22" t="s">
        <v>30</v>
      </c>
      <c r="I12" s="22">
        <v>1</v>
      </c>
      <c r="J12" s="22">
        <v>1</v>
      </c>
      <c r="K12" s="22" t="s">
        <v>31</v>
      </c>
      <c r="L12" s="22" t="s">
        <v>31</v>
      </c>
      <c r="M12" s="22" t="s">
        <v>31</v>
      </c>
      <c r="N12" s="22" t="s">
        <v>31</v>
      </c>
      <c r="Q12" s="22" t="s">
        <v>101</v>
      </c>
    </row>
    <row r="13" spans="1:19">
      <c r="A13" s="30" t="s">
        <v>338</v>
      </c>
      <c r="B13" s="31">
        <v>2</v>
      </c>
      <c r="C13" s="31"/>
      <c r="D13" s="22" t="s">
        <v>18</v>
      </c>
      <c r="E13" s="22" t="s">
        <v>2</v>
      </c>
      <c r="F13" s="22" t="s">
        <v>29</v>
      </c>
      <c r="G13" s="22" t="s">
        <v>86</v>
      </c>
      <c r="H13" s="22" t="s">
        <v>33</v>
      </c>
      <c r="I13" s="22">
        <v>2</v>
      </c>
      <c r="J13" s="22">
        <f t="shared" ref="J13:J29" si="0">LN(ABS(B13))</f>
        <v>0.69314718055994529</v>
      </c>
      <c r="K13" s="22">
        <v>0.4147288270665544</v>
      </c>
      <c r="L13" s="22" t="s">
        <v>31</v>
      </c>
      <c r="M13" s="22" t="s">
        <v>31</v>
      </c>
      <c r="N13" s="22" t="s">
        <v>31</v>
      </c>
      <c r="Q13" s="22" t="s">
        <v>101</v>
      </c>
    </row>
    <row r="14" spans="1:19">
      <c r="A14" s="32" t="s">
        <v>339</v>
      </c>
      <c r="B14" s="31">
        <v>2</v>
      </c>
      <c r="C14" s="31"/>
      <c r="D14" s="22" t="s">
        <v>18</v>
      </c>
      <c r="E14" s="22" t="s">
        <v>2</v>
      </c>
      <c r="F14" s="22" t="s">
        <v>29</v>
      </c>
      <c r="G14" s="22" t="s">
        <v>86</v>
      </c>
      <c r="H14" s="22" t="s">
        <v>33</v>
      </c>
      <c r="I14" s="22">
        <v>2</v>
      </c>
      <c r="J14" s="22">
        <f t="shared" si="0"/>
        <v>0.69314718055994529</v>
      </c>
      <c r="K14" s="22">
        <v>0.4147288270665544</v>
      </c>
      <c r="L14" s="22" t="s">
        <v>31</v>
      </c>
      <c r="M14" s="22" t="s">
        <v>31</v>
      </c>
      <c r="N14" s="22" t="s">
        <v>31</v>
      </c>
      <c r="Q14" s="22" t="s">
        <v>101</v>
      </c>
    </row>
    <row r="15" spans="1:19">
      <c r="A15" s="30" t="s">
        <v>340</v>
      </c>
      <c r="B15" s="31">
        <v>2</v>
      </c>
      <c r="C15" s="31"/>
      <c r="D15" s="22" t="s">
        <v>18</v>
      </c>
      <c r="E15" s="22" t="s">
        <v>2</v>
      </c>
      <c r="F15" s="22" t="s">
        <v>29</v>
      </c>
      <c r="G15" s="22" t="s">
        <v>86</v>
      </c>
      <c r="H15" s="22" t="s">
        <v>33</v>
      </c>
      <c r="I15" s="22">
        <v>2</v>
      </c>
      <c r="J15" s="22">
        <f t="shared" si="0"/>
        <v>0.69314718055994529</v>
      </c>
      <c r="K15" s="22">
        <v>0.4147288270665544</v>
      </c>
      <c r="L15" s="22" t="s">
        <v>31</v>
      </c>
      <c r="M15" s="22" t="s">
        <v>31</v>
      </c>
      <c r="N15" s="22" t="s">
        <v>31</v>
      </c>
      <c r="Q15" s="22" t="s">
        <v>101</v>
      </c>
    </row>
    <row r="16" spans="1:19">
      <c r="A16" s="30" t="s">
        <v>341</v>
      </c>
      <c r="B16" s="31">
        <v>1</v>
      </c>
      <c r="C16" s="31"/>
      <c r="D16" s="22" t="s">
        <v>18</v>
      </c>
      <c r="E16" s="22" t="s">
        <v>2</v>
      </c>
      <c r="F16" s="22" t="s">
        <v>29</v>
      </c>
      <c r="G16" s="22" t="s">
        <v>86</v>
      </c>
      <c r="H16" s="22" t="s">
        <v>33</v>
      </c>
      <c r="I16" s="22">
        <v>2</v>
      </c>
      <c r="J16" s="22">
        <f t="shared" si="0"/>
        <v>0</v>
      </c>
      <c r="K16" s="22">
        <v>0.4147288270665544</v>
      </c>
      <c r="L16" s="22" t="s">
        <v>31</v>
      </c>
      <c r="M16" s="22" t="s">
        <v>31</v>
      </c>
      <c r="N16" s="22" t="s">
        <v>31</v>
      </c>
      <c r="Q16" s="22" t="s">
        <v>101</v>
      </c>
      <c r="S16" s="24" t="s">
        <v>342</v>
      </c>
    </row>
    <row r="17" spans="1:24">
      <c r="A17" s="22" t="s">
        <v>343</v>
      </c>
      <c r="B17" s="31">
        <v>74718</v>
      </c>
      <c r="C17" s="31"/>
      <c r="D17" s="22" t="s">
        <v>98</v>
      </c>
      <c r="E17" s="22" t="s">
        <v>40</v>
      </c>
      <c r="F17" s="22" t="s">
        <v>29</v>
      </c>
      <c r="G17" s="22" t="s">
        <v>86</v>
      </c>
      <c r="H17" s="22" t="s">
        <v>33</v>
      </c>
      <c r="I17" s="22">
        <v>2</v>
      </c>
      <c r="J17" s="22">
        <f t="shared" si="0"/>
        <v>11.221476305949203</v>
      </c>
      <c r="K17" s="22">
        <v>0.28635642126552707</v>
      </c>
      <c r="L17" s="22" t="s">
        <v>31</v>
      </c>
      <c r="M17" s="22" t="s">
        <v>31</v>
      </c>
      <c r="N17" s="22" t="s">
        <v>31</v>
      </c>
      <c r="Q17" s="22" t="s">
        <v>101</v>
      </c>
    </row>
    <row r="18" spans="1:24">
      <c r="A18" s="22" t="s">
        <v>105</v>
      </c>
      <c r="B18" s="31">
        <v>7062.1109081605682</v>
      </c>
      <c r="C18" s="31"/>
      <c r="D18" s="22" t="s">
        <v>50</v>
      </c>
      <c r="E18" s="22" t="s">
        <v>40</v>
      </c>
      <c r="F18" s="22" t="s">
        <v>29</v>
      </c>
      <c r="G18" s="22" t="s">
        <v>106</v>
      </c>
      <c r="H18" s="22" t="s">
        <v>33</v>
      </c>
      <c r="I18" s="22">
        <v>2</v>
      </c>
      <c r="J18" s="22">
        <f t="shared" si="0"/>
        <v>8.8624992812872101</v>
      </c>
      <c r="K18" s="22">
        <v>0.28635642126552707</v>
      </c>
      <c r="L18" s="22" t="s">
        <v>31</v>
      </c>
      <c r="M18" s="22" t="s">
        <v>31</v>
      </c>
      <c r="N18" s="22" t="s">
        <v>31</v>
      </c>
      <c r="Q18" s="22" t="s">
        <v>101</v>
      </c>
      <c r="S18" s="31">
        <v>75133.073379341105</v>
      </c>
      <c r="T18" s="22" t="s">
        <v>104</v>
      </c>
      <c r="U18" s="22">
        <f>S18/0.277778</f>
        <v>270478.84778254974</v>
      </c>
      <c r="V18" s="22" t="s">
        <v>103</v>
      </c>
      <c r="W18" s="22">
        <f>U18/38.3</f>
        <v>7062.1109081605682</v>
      </c>
      <c r="X18" s="22" t="s">
        <v>108</v>
      </c>
    </row>
    <row r="19" spans="1:24">
      <c r="A19" s="22" t="s">
        <v>123</v>
      </c>
      <c r="B19" s="31">
        <v>33756.443878074948</v>
      </c>
      <c r="C19" s="31"/>
      <c r="D19" s="22" t="s">
        <v>124</v>
      </c>
      <c r="E19" s="22" t="s">
        <v>40</v>
      </c>
      <c r="F19" s="22" t="s">
        <v>29</v>
      </c>
      <c r="G19" s="22" t="s">
        <v>86</v>
      </c>
      <c r="H19" s="22" t="s">
        <v>33</v>
      </c>
      <c r="I19" s="22">
        <v>2</v>
      </c>
      <c r="J19" s="22">
        <f t="shared" si="0"/>
        <v>10.426926607796656</v>
      </c>
      <c r="K19" s="22">
        <v>0.28635642126552707</v>
      </c>
      <c r="L19" s="22" t="s">
        <v>31</v>
      </c>
      <c r="M19" s="22" t="s">
        <v>31</v>
      </c>
      <c r="N19" s="22" t="s">
        <v>31</v>
      </c>
      <c r="Q19" s="22" t="s">
        <v>101</v>
      </c>
      <c r="S19" s="31">
        <v>9376.7974675639034</v>
      </c>
      <c r="T19" s="22" t="s">
        <v>104</v>
      </c>
      <c r="U19" s="22">
        <f>S19/0.277778</f>
        <v>33756.443878074948</v>
      </c>
      <c r="V19" s="22" t="s">
        <v>103</v>
      </c>
    </row>
    <row r="20" spans="1:24">
      <c r="A20" s="22" t="s">
        <v>344</v>
      </c>
      <c r="B20" s="31">
        <v>1597.5939052829899</v>
      </c>
      <c r="C20" s="31"/>
      <c r="D20" s="22" t="s">
        <v>39</v>
      </c>
      <c r="E20" s="22" t="s">
        <v>40</v>
      </c>
      <c r="F20" s="22" t="s">
        <v>29</v>
      </c>
      <c r="G20" s="22" t="s">
        <v>86</v>
      </c>
      <c r="H20" s="22" t="s">
        <v>33</v>
      </c>
      <c r="I20" s="22">
        <v>2</v>
      </c>
      <c r="J20" s="22">
        <f t="shared" si="0"/>
        <v>7.3762539671738168</v>
      </c>
      <c r="K20" s="22">
        <v>0.28635642126552707</v>
      </c>
      <c r="L20" s="22" t="s">
        <v>31</v>
      </c>
      <c r="M20" s="22" t="s">
        <v>31</v>
      </c>
      <c r="N20" s="22" t="s">
        <v>31</v>
      </c>
      <c r="Q20" s="22" t="s">
        <v>101</v>
      </c>
      <c r="S20" s="31">
        <v>19881.184504012075</v>
      </c>
      <c r="T20" s="22" t="s">
        <v>104</v>
      </c>
      <c r="U20" s="22">
        <f>S20/0.277778</f>
        <v>71572.206956677896</v>
      </c>
      <c r="V20" s="22" t="s">
        <v>103</v>
      </c>
      <c r="W20" s="22">
        <f>U20/44.8</f>
        <v>1597.5939052829888</v>
      </c>
      <c r="X20" s="22" t="s">
        <v>111</v>
      </c>
    </row>
    <row r="21" spans="1:24">
      <c r="A21" s="22" t="s">
        <v>38</v>
      </c>
      <c r="B21" s="31">
        <v>3153.8570229666157</v>
      </c>
      <c r="C21" s="31"/>
      <c r="D21" s="22" t="s">
        <v>39</v>
      </c>
      <c r="E21" s="22" t="s">
        <v>40</v>
      </c>
      <c r="F21" s="22" t="s">
        <v>29</v>
      </c>
      <c r="G21" s="22" t="s">
        <v>117</v>
      </c>
      <c r="H21" s="22" t="s">
        <v>33</v>
      </c>
      <c r="I21" s="22">
        <v>2</v>
      </c>
      <c r="J21" s="22">
        <f t="shared" si="0"/>
        <v>8.0563814345254574</v>
      </c>
      <c r="K21" s="22">
        <v>0.28635642126552707</v>
      </c>
      <c r="L21" s="22" t="s">
        <v>31</v>
      </c>
      <c r="M21" s="22" t="s">
        <v>31</v>
      </c>
      <c r="N21" s="22" t="s">
        <v>31</v>
      </c>
      <c r="Q21" s="22" t="s">
        <v>101</v>
      </c>
      <c r="S21" s="31">
        <v>40474.530841003681</v>
      </c>
      <c r="T21" s="22" t="s">
        <v>104</v>
      </c>
      <c r="U21" s="22">
        <f>S21/0.277778</f>
        <v>145708.19446105766</v>
      </c>
      <c r="V21" s="22" t="s">
        <v>103</v>
      </c>
      <c r="W21" s="22">
        <f>U21/46.2</f>
        <v>3153.8570229666157</v>
      </c>
      <c r="X21" s="22" t="s">
        <v>111</v>
      </c>
    </row>
    <row r="22" spans="1:24">
      <c r="A22" s="22" t="s">
        <v>59</v>
      </c>
      <c r="B22" s="31">
        <f>W22</f>
        <v>19.422579906832539</v>
      </c>
      <c r="C22" s="31"/>
      <c r="D22" s="22" t="s">
        <v>39</v>
      </c>
      <c r="E22" s="22" t="s">
        <v>2</v>
      </c>
      <c r="F22" s="22" t="s">
        <v>29</v>
      </c>
      <c r="G22" s="22" t="s">
        <v>60</v>
      </c>
      <c r="H22" s="22" t="s">
        <v>33</v>
      </c>
      <c r="I22" s="22">
        <v>2</v>
      </c>
      <c r="J22" s="22">
        <f t="shared" si="0"/>
        <v>2.9664363019713185</v>
      </c>
      <c r="K22" s="22">
        <v>0.28635642126552707</v>
      </c>
      <c r="L22" s="22" t="s">
        <v>31</v>
      </c>
      <c r="M22" s="22" t="s">
        <v>31</v>
      </c>
      <c r="N22" s="22" t="s">
        <v>31</v>
      </c>
      <c r="O22" s="30"/>
      <c r="Q22" s="22" t="s">
        <v>101</v>
      </c>
      <c r="R22" s="30"/>
      <c r="S22" s="31">
        <v>237.38727765984569</v>
      </c>
      <c r="T22" s="22" t="s">
        <v>104</v>
      </c>
      <c r="U22" s="22">
        <f>S22/0.277778</f>
        <v>854.5935159006317</v>
      </c>
      <c r="V22" s="22" t="s">
        <v>103</v>
      </c>
      <c r="W22" s="22">
        <f>U22/44</f>
        <v>19.422579906832539</v>
      </c>
      <c r="X22" s="22" t="s">
        <v>111</v>
      </c>
    </row>
    <row r="23" spans="1:24">
      <c r="A23" s="22" t="s">
        <v>242</v>
      </c>
      <c r="B23" s="30">
        <v>182297.09369244063</v>
      </c>
      <c r="C23" s="30"/>
      <c r="D23" s="22" t="s">
        <v>39</v>
      </c>
      <c r="E23" s="22" t="s">
        <v>40</v>
      </c>
      <c r="F23" s="22" t="s">
        <v>29</v>
      </c>
      <c r="G23" s="22" t="s">
        <v>86</v>
      </c>
      <c r="H23" s="22" t="s">
        <v>33</v>
      </c>
      <c r="I23" s="22">
        <v>2</v>
      </c>
      <c r="J23" s="22">
        <f t="shared" si="0"/>
        <v>12.113393018095573</v>
      </c>
      <c r="K23" s="22">
        <v>0.28635642126552707</v>
      </c>
      <c r="L23" s="22" t="s">
        <v>31</v>
      </c>
      <c r="M23" s="22" t="s">
        <v>31</v>
      </c>
      <c r="N23" s="22" t="s">
        <v>31</v>
      </c>
      <c r="Q23" s="22" t="s">
        <v>101</v>
      </c>
    </row>
    <row r="24" spans="1:24">
      <c r="A24" s="32" t="s">
        <v>243</v>
      </c>
      <c r="B24" s="31">
        <v>170</v>
      </c>
      <c r="C24" s="31"/>
      <c r="D24" s="22" t="s">
        <v>50</v>
      </c>
      <c r="E24" s="22" t="s">
        <v>40</v>
      </c>
      <c r="F24" s="22" t="s">
        <v>29</v>
      </c>
      <c r="G24" s="32" t="s">
        <v>117</v>
      </c>
      <c r="H24" s="22" t="s">
        <v>33</v>
      </c>
      <c r="I24" s="22">
        <v>2</v>
      </c>
      <c r="J24" s="22">
        <f t="shared" si="0"/>
        <v>5.1357984370502621</v>
      </c>
      <c r="K24" s="22">
        <v>0.28635642126552707</v>
      </c>
      <c r="L24" s="22" t="s">
        <v>31</v>
      </c>
      <c r="M24" s="22" t="s">
        <v>31</v>
      </c>
      <c r="N24" s="22" t="s">
        <v>31</v>
      </c>
      <c r="Q24" s="22" t="s">
        <v>101</v>
      </c>
    </row>
    <row r="25" spans="1:24">
      <c r="A25" s="22" t="s">
        <v>245</v>
      </c>
      <c r="B25" s="31">
        <v>4134</v>
      </c>
      <c r="C25" s="31"/>
      <c r="D25" s="22" t="s">
        <v>39</v>
      </c>
      <c r="E25" s="22" t="s">
        <v>40</v>
      </c>
      <c r="F25" s="22" t="s">
        <v>29</v>
      </c>
      <c r="G25" s="22" t="s">
        <v>117</v>
      </c>
      <c r="H25" s="22" t="s">
        <v>33</v>
      </c>
      <c r="I25" s="22">
        <v>2</v>
      </c>
      <c r="J25" s="22">
        <f t="shared" si="0"/>
        <v>8.3270007402417132</v>
      </c>
      <c r="K25" s="22">
        <v>0.28635642126552707</v>
      </c>
      <c r="L25" s="22" t="s">
        <v>31</v>
      </c>
      <c r="M25" s="22" t="s">
        <v>31</v>
      </c>
      <c r="N25" s="22" t="s">
        <v>31</v>
      </c>
      <c r="O25" s="33" t="s">
        <v>345</v>
      </c>
      <c r="Q25" s="22" t="s">
        <v>101</v>
      </c>
    </row>
    <row r="26" spans="1:24" ht="15.75" customHeight="1">
      <c r="A26" s="22" t="s">
        <v>48</v>
      </c>
      <c r="B26" s="31">
        <v>77668.90362612305</v>
      </c>
      <c r="C26" s="31"/>
      <c r="D26" s="22" t="s">
        <v>39</v>
      </c>
      <c r="E26" s="22" t="s">
        <v>43</v>
      </c>
      <c r="F26" s="22" t="s">
        <v>44</v>
      </c>
      <c r="G26" s="22" t="s">
        <v>29</v>
      </c>
      <c r="H26" s="22" t="s">
        <v>45</v>
      </c>
      <c r="I26" s="22">
        <v>2</v>
      </c>
      <c r="J26" s="22">
        <f t="shared" si="0"/>
        <v>11.260210245518044</v>
      </c>
      <c r="K26" s="22">
        <v>0.28635642126552707</v>
      </c>
      <c r="L26" s="22" t="s">
        <v>31</v>
      </c>
      <c r="M26" s="22" t="s">
        <v>31</v>
      </c>
      <c r="N26" s="22" t="s">
        <v>31</v>
      </c>
      <c r="Q26" s="22" t="s">
        <v>101</v>
      </c>
    </row>
    <row r="27" spans="1:24">
      <c r="A27" s="22" t="s">
        <v>51</v>
      </c>
      <c r="B27" s="31">
        <v>0.83085547180945996</v>
      </c>
      <c r="C27" s="31"/>
      <c r="D27" s="22" t="s">
        <v>39</v>
      </c>
      <c r="E27" s="22" t="s">
        <v>43</v>
      </c>
      <c r="F27" s="22" t="s">
        <v>44</v>
      </c>
      <c r="G27" s="22" t="s">
        <v>29</v>
      </c>
      <c r="H27" s="22" t="s">
        <v>45</v>
      </c>
      <c r="I27" s="22">
        <v>2</v>
      </c>
      <c r="J27" s="22">
        <f t="shared" si="0"/>
        <v>-0.18529942005957364</v>
      </c>
      <c r="K27" s="22">
        <v>0.28635642126552707</v>
      </c>
      <c r="L27" s="22" t="s">
        <v>31</v>
      </c>
      <c r="M27" s="22" t="s">
        <v>31</v>
      </c>
      <c r="N27" s="22" t="s">
        <v>31</v>
      </c>
      <c r="Q27" s="22" t="s">
        <v>101</v>
      </c>
    </row>
    <row r="28" spans="1:24">
      <c r="A28" s="22" t="s">
        <v>42</v>
      </c>
      <c r="B28" s="22">
        <v>13.174993910121435</v>
      </c>
      <c r="D28" s="22" t="s">
        <v>39</v>
      </c>
      <c r="E28" s="22" t="s">
        <v>43</v>
      </c>
      <c r="F28" s="22" t="s">
        <v>44</v>
      </c>
      <c r="G28" s="22" t="s">
        <v>29</v>
      </c>
      <c r="H28" s="22" t="s">
        <v>45</v>
      </c>
      <c r="I28" s="22">
        <v>2</v>
      </c>
      <c r="J28" s="22">
        <f t="shared" si="0"/>
        <v>2.578320632197447</v>
      </c>
      <c r="K28" s="22">
        <v>0.28635642126552707</v>
      </c>
      <c r="L28" s="22" t="s">
        <v>31</v>
      </c>
      <c r="M28" s="22" t="s">
        <v>31</v>
      </c>
      <c r="N28" s="22" t="s">
        <v>31</v>
      </c>
      <c r="Q28" s="22" t="s">
        <v>101</v>
      </c>
    </row>
    <row r="29" spans="1:24">
      <c r="A29" s="22" t="s">
        <v>244</v>
      </c>
      <c r="B29" s="22">
        <v>62.373507205124447</v>
      </c>
      <c r="D29" s="22" t="s">
        <v>39</v>
      </c>
      <c r="E29" s="22" t="s">
        <v>43</v>
      </c>
      <c r="F29" s="22" t="s">
        <v>44</v>
      </c>
      <c r="G29" s="22" t="s">
        <v>29</v>
      </c>
      <c r="H29" s="22" t="s">
        <v>45</v>
      </c>
      <c r="I29" s="22">
        <v>2</v>
      </c>
      <c r="J29" s="22">
        <f t="shared" si="0"/>
        <v>4.1331406212021191</v>
      </c>
      <c r="K29" s="22">
        <v>0.28635642126552707</v>
      </c>
      <c r="L29" s="22" t="s">
        <v>31</v>
      </c>
      <c r="M29" s="22" t="s">
        <v>31</v>
      </c>
      <c r="N29" s="22" t="s">
        <v>31</v>
      </c>
      <c r="Q29" s="22" t="s">
        <v>101</v>
      </c>
    </row>
    <row r="30" spans="1:24" s="29" customFormat="1">
      <c r="A30" s="27" t="s">
        <v>5</v>
      </c>
      <c r="B30" s="27" t="s">
        <v>338</v>
      </c>
      <c r="C30" s="27"/>
      <c r="D30" s="28"/>
      <c r="Q30" s="29" t="s">
        <v>101</v>
      </c>
    </row>
    <row r="31" spans="1:24">
      <c r="A31" s="22" t="s">
        <v>7</v>
      </c>
      <c r="B31" s="22" t="s">
        <v>95</v>
      </c>
      <c r="Q31" s="22" t="s">
        <v>101</v>
      </c>
    </row>
    <row r="32" spans="1:24">
      <c r="A32" s="22" t="s">
        <v>9</v>
      </c>
      <c r="B32" s="22" t="s">
        <v>346</v>
      </c>
      <c r="Q32" s="22" t="s">
        <v>101</v>
      </c>
    </row>
    <row r="33" spans="1:24">
      <c r="A33" s="22" t="s">
        <v>11</v>
      </c>
      <c r="B33" s="22" t="s">
        <v>347</v>
      </c>
      <c r="Q33" s="22" t="s">
        <v>101</v>
      </c>
    </row>
    <row r="34" spans="1:24">
      <c r="A34" s="22" t="s">
        <v>13</v>
      </c>
      <c r="B34" s="22" t="s">
        <v>86</v>
      </c>
      <c r="Q34" s="22" t="s">
        <v>101</v>
      </c>
    </row>
    <row r="35" spans="1:24">
      <c r="A35" s="22" t="s">
        <v>15</v>
      </c>
      <c r="B35" s="22">
        <v>1</v>
      </c>
      <c r="Q35" s="22" t="s">
        <v>101</v>
      </c>
    </row>
    <row r="36" spans="1:24">
      <c r="A36" s="22" t="s">
        <v>16</v>
      </c>
      <c r="B36" s="22" t="s">
        <v>17</v>
      </c>
      <c r="Q36" s="22" t="s">
        <v>101</v>
      </c>
    </row>
    <row r="37" spans="1:24">
      <c r="A37" s="22" t="s">
        <v>18</v>
      </c>
      <c r="B37" s="22" t="s">
        <v>18</v>
      </c>
      <c r="E37" s="22" t="s">
        <v>90</v>
      </c>
      <c r="Q37" s="22" t="s">
        <v>101</v>
      </c>
    </row>
    <row r="38" spans="1:24">
      <c r="A38" s="24" t="s">
        <v>19</v>
      </c>
      <c r="Q38" s="22" t="s">
        <v>101</v>
      </c>
    </row>
    <row r="39" spans="1:24">
      <c r="A39" s="24" t="s">
        <v>20</v>
      </c>
      <c r="B39" s="24" t="s">
        <v>21</v>
      </c>
      <c r="C39" s="24" t="s">
        <v>73</v>
      </c>
      <c r="D39" s="24" t="s">
        <v>18</v>
      </c>
      <c r="E39" s="24" t="s">
        <v>22</v>
      </c>
      <c r="F39" s="24" t="s">
        <v>7</v>
      </c>
      <c r="G39" s="24" t="s">
        <v>13</v>
      </c>
      <c r="H39" s="24" t="s">
        <v>16</v>
      </c>
      <c r="I39" s="24" t="s">
        <v>23</v>
      </c>
      <c r="J39" s="24" t="s">
        <v>24</v>
      </c>
      <c r="K39" s="24" t="s">
        <v>25</v>
      </c>
      <c r="L39" s="24" t="s">
        <v>26</v>
      </c>
      <c r="M39" s="24" t="s">
        <v>27</v>
      </c>
      <c r="N39" s="24" t="s">
        <v>28</v>
      </c>
      <c r="O39" s="24" t="s">
        <v>11</v>
      </c>
      <c r="P39" s="24" t="s">
        <v>337</v>
      </c>
      <c r="Q39" s="22" t="s">
        <v>101</v>
      </c>
    </row>
    <row r="40" spans="1:24">
      <c r="A40" s="22" t="s">
        <v>338</v>
      </c>
      <c r="B40" s="22">
        <v>1</v>
      </c>
      <c r="D40" s="22" t="s">
        <v>18</v>
      </c>
      <c r="E40" s="22" t="s">
        <v>2</v>
      </c>
      <c r="F40" s="22" t="s">
        <v>29</v>
      </c>
      <c r="G40" s="22" t="s">
        <v>86</v>
      </c>
      <c r="H40" s="22" t="s">
        <v>30</v>
      </c>
      <c r="I40" s="22">
        <v>1</v>
      </c>
      <c r="J40" s="22">
        <v>1</v>
      </c>
      <c r="K40" s="22" t="s">
        <v>31</v>
      </c>
      <c r="L40" s="22" t="s">
        <v>31</v>
      </c>
      <c r="M40" s="22" t="s">
        <v>31</v>
      </c>
      <c r="N40" s="22" t="s">
        <v>31</v>
      </c>
      <c r="Q40" s="22" t="s">
        <v>101</v>
      </c>
    </row>
    <row r="41" spans="1:24">
      <c r="A41" s="22" t="s">
        <v>348</v>
      </c>
      <c r="B41" s="22">
        <v>1</v>
      </c>
      <c r="D41" s="22" t="s">
        <v>18</v>
      </c>
      <c r="E41" s="22" t="s">
        <v>2</v>
      </c>
      <c r="F41" s="22" t="s">
        <v>29</v>
      </c>
      <c r="G41" s="22" t="s">
        <v>86</v>
      </c>
      <c r="H41" s="22" t="s">
        <v>33</v>
      </c>
      <c r="I41" s="22">
        <v>2</v>
      </c>
      <c r="J41" s="22">
        <f t="shared" ref="J41:J55" si="1">LN(B41)</f>
        <v>0</v>
      </c>
      <c r="K41" s="22">
        <v>0.22934689882359424</v>
      </c>
      <c r="L41" s="22" t="s">
        <v>31</v>
      </c>
      <c r="M41" s="22" t="s">
        <v>31</v>
      </c>
      <c r="N41" s="22" t="s">
        <v>31</v>
      </c>
      <c r="Q41" s="22" t="s">
        <v>101</v>
      </c>
    </row>
    <row r="42" spans="1:24">
      <c r="A42" s="22" t="s">
        <v>349</v>
      </c>
      <c r="B42" s="22">
        <v>1</v>
      </c>
      <c r="D42" s="22" t="s">
        <v>18</v>
      </c>
      <c r="E42" s="22" t="s">
        <v>2</v>
      </c>
      <c r="F42" s="22" t="s">
        <v>29</v>
      </c>
      <c r="G42" s="22" t="s">
        <v>86</v>
      </c>
      <c r="H42" s="22" t="s">
        <v>33</v>
      </c>
      <c r="I42" s="22">
        <v>2</v>
      </c>
      <c r="J42" s="22">
        <f t="shared" si="1"/>
        <v>0</v>
      </c>
      <c r="K42" s="22">
        <v>0.22934689882359424</v>
      </c>
      <c r="L42" s="22" t="s">
        <v>31</v>
      </c>
      <c r="M42" s="22" t="s">
        <v>31</v>
      </c>
      <c r="N42" s="22" t="s">
        <v>31</v>
      </c>
      <c r="Q42" s="22" t="s">
        <v>101</v>
      </c>
      <c r="S42" s="24" t="s">
        <v>342</v>
      </c>
    </row>
    <row r="43" spans="1:24">
      <c r="A43" s="22" t="s">
        <v>97</v>
      </c>
      <c r="B43" s="31">
        <v>17185.914966192962</v>
      </c>
      <c r="C43" s="31"/>
      <c r="D43" s="22" t="s">
        <v>98</v>
      </c>
      <c r="E43" s="22" t="s">
        <v>40</v>
      </c>
      <c r="F43" s="22" t="s">
        <v>29</v>
      </c>
      <c r="G43" s="22" t="s">
        <v>86</v>
      </c>
      <c r="H43" s="22" t="s">
        <v>33</v>
      </c>
      <c r="I43" s="22">
        <v>2</v>
      </c>
      <c r="J43" s="22">
        <f t="shared" si="1"/>
        <v>9.7518454300076147</v>
      </c>
      <c r="K43" s="22">
        <v>0.28635642126552707</v>
      </c>
      <c r="L43" s="22" t="s">
        <v>31</v>
      </c>
      <c r="M43" s="22" t="s">
        <v>31</v>
      </c>
      <c r="N43" s="22" t="s">
        <v>31</v>
      </c>
      <c r="Q43" s="22" t="s">
        <v>101</v>
      </c>
    </row>
    <row r="44" spans="1:24">
      <c r="A44" s="22" t="s">
        <v>105</v>
      </c>
      <c r="B44" s="31">
        <v>1624.3664599479121</v>
      </c>
      <c r="C44" s="31"/>
      <c r="D44" s="22" t="s">
        <v>50</v>
      </c>
      <c r="E44" s="22" t="s">
        <v>40</v>
      </c>
      <c r="F44" s="22" t="s">
        <v>29</v>
      </c>
      <c r="G44" s="22" t="s">
        <v>106</v>
      </c>
      <c r="H44" s="22" t="s">
        <v>33</v>
      </c>
      <c r="I44" s="22">
        <v>2</v>
      </c>
      <c r="J44" s="22">
        <f t="shared" si="1"/>
        <v>7.3928731479431731</v>
      </c>
      <c r="K44" s="22">
        <v>0.28635642126552707</v>
      </c>
      <c r="L44" s="22" t="s">
        <v>31</v>
      </c>
      <c r="M44" s="22" t="s">
        <v>31</v>
      </c>
      <c r="N44" s="22" t="s">
        <v>31</v>
      </c>
      <c r="Q44" s="22" t="s">
        <v>101</v>
      </c>
      <c r="S44" s="31">
        <v>17281.468107387045</v>
      </c>
      <c r="T44" s="22" t="s">
        <v>104</v>
      </c>
      <c r="U44" s="22">
        <f>S44/0.277778</f>
        <v>62213.235416005024</v>
      </c>
      <c r="V44" s="22" t="s">
        <v>103</v>
      </c>
      <c r="W44" s="22">
        <f>U44/38.3</f>
        <v>1624.3664599479121</v>
      </c>
      <c r="X44" s="22" t="s">
        <v>108</v>
      </c>
    </row>
    <row r="45" spans="1:24">
      <c r="A45" s="22" t="s">
        <v>123</v>
      </c>
      <c r="B45" s="31">
        <v>7764.3690329611327</v>
      </c>
      <c r="C45" s="31"/>
      <c r="D45" s="22" t="s">
        <v>124</v>
      </c>
      <c r="E45" s="22" t="s">
        <v>40</v>
      </c>
      <c r="F45" s="22" t="s">
        <v>29</v>
      </c>
      <c r="G45" s="22" t="s">
        <v>86</v>
      </c>
      <c r="H45" s="22" t="s">
        <v>33</v>
      </c>
      <c r="I45" s="22">
        <v>2</v>
      </c>
      <c r="J45" s="22">
        <f t="shared" si="1"/>
        <v>8.9573004744526177</v>
      </c>
      <c r="K45" s="22">
        <v>0.28635642126552707</v>
      </c>
      <c r="L45" s="22" t="s">
        <v>31</v>
      </c>
      <c r="M45" s="22" t="s">
        <v>31</v>
      </c>
      <c r="N45" s="22" t="s">
        <v>31</v>
      </c>
      <c r="Q45" s="22" t="s">
        <v>101</v>
      </c>
      <c r="S45" s="31">
        <v>2156.7709012378778</v>
      </c>
      <c r="T45" s="22" t="s">
        <v>104</v>
      </c>
      <c r="U45" s="22">
        <f>S45/0.277778</f>
        <v>7764.3690329611327</v>
      </c>
      <c r="V45" s="22" t="s">
        <v>103</v>
      </c>
    </row>
    <row r="46" spans="1:24">
      <c r="A46" s="22" t="s">
        <v>344</v>
      </c>
      <c r="B46" s="31">
        <v>367.46491100276609</v>
      </c>
      <c r="C46" s="31"/>
      <c r="D46" s="22" t="s">
        <v>39</v>
      </c>
      <c r="E46" s="22" t="s">
        <v>40</v>
      </c>
      <c r="F46" s="22" t="s">
        <v>29</v>
      </c>
      <c r="G46" s="22" t="s">
        <v>86</v>
      </c>
      <c r="H46" s="22" t="s">
        <v>33</v>
      </c>
      <c r="I46" s="22">
        <v>2</v>
      </c>
      <c r="J46" s="22">
        <f t="shared" si="1"/>
        <v>5.9066278338297789</v>
      </c>
      <c r="K46" s="22">
        <v>0.28635642126552707</v>
      </c>
      <c r="L46" s="22" t="s">
        <v>31</v>
      </c>
      <c r="M46" s="22" t="s">
        <v>31</v>
      </c>
      <c r="N46" s="22" t="s">
        <v>31</v>
      </c>
      <c r="Q46" s="22" t="s">
        <v>101</v>
      </c>
      <c r="S46" s="31">
        <v>4572.9003285739809</v>
      </c>
      <c r="T46" s="22" t="s">
        <v>104</v>
      </c>
      <c r="U46" s="22">
        <f>S46/0.277778</f>
        <v>16462.42801292392</v>
      </c>
      <c r="V46" s="22" t="s">
        <v>103</v>
      </c>
      <c r="W46" s="22">
        <f>U46/44.8</f>
        <v>367.46491100276609</v>
      </c>
      <c r="X46" s="22" t="s">
        <v>111</v>
      </c>
    </row>
    <row r="47" spans="1:24">
      <c r="A47" s="22" t="s">
        <v>38</v>
      </c>
      <c r="B47" s="31">
        <v>725.42326709401766</v>
      </c>
      <c r="C47" s="31"/>
      <c r="D47" s="22" t="s">
        <v>39</v>
      </c>
      <c r="E47" s="22" t="s">
        <v>40</v>
      </c>
      <c r="F47" s="22" t="s">
        <v>29</v>
      </c>
      <c r="G47" s="22" t="s">
        <v>117</v>
      </c>
      <c r="H47" s="22" t="s">
        <v>33</v>
      </c>
      <c r="I47" s="22">
        <v>2</v>
      </c>
      <c r="J47" s="22">
        <f t="shared" si="1"/>
        <v>6.5867553011814204</v>
      </c>
      <c r="K47" s="22">
        <v>0.28635642126552707</v>
      </c>
      <c r="L47" s="22" t="s">
        <v>31</v>
      </c>
      <c r="M47" s="22" t="s">
        <v>31</v>
      </c>
      <c r="N47" s="22" t="s">
        <v>31</v>
      </c>
      <c r="Q47" s="22" t="s">
        <v>101</v>
      </c>
      <c r="S47" s="31">
        <v>9309.6060420521044</v>
      </c>
      <c r="T47" s="22" t="s">
        <v>104</v>
      </c>
      <c r="U47" s="22">
        <f>S47/0.277778</f>
        <v>33514.554939743619</v>
      </c>
      <c r="V47" s="22" t="s">
        <v>103</v>
      </c>
      <c r="W47" s="22">
        <f>U47/46.2</f>
        <v>725.42326709401766</v>
      </c>
      <c r="X47" s="22" t="s">
        <v>111</v>
      </c>
    </row>
    <row r="48" spans="1:24">
      <c r="A48" s="22" t="s">
        <v>59</v>
      </c>
      <c r="B48" s="31">
        <f>W48</f>
        <v>4.4674160143619872</v>
      </c>
      <c r="C48" s="31"/>
      <c r="D48" s="22" t="s">
        <v>39</v>
      </c>
      <c r="E48" s="22" t="s">
        <v>2</v>
      </c>
      <c r="F48" s="22" t="s">
        <v>29</v>
      </c>
      <c r="G48" s="22" t="s">
        <v>60</v>
      </c>
      <c r="H48" s="22" t="s">
        <v>33</v>
      </c>
      <c r="I48" s="22">
        <v>2</v>
      </c>
      <c r="J48" s="22">
        <f t="shared" si="1"/>
        <v>1.4968101686272812</v>
      </c>
      <c r="K48" s="22">
        <v>0.28635642126552707</v>
      </c>
      <c r="L48" s="22" t="s">
        <v>31</v>
      </c>
      <c r="M48" s="22" t="s">
        <v>31</v>
      </c>
      <c r="N48" s="22" t="s">
        <v>31</v>
      </c>
      <c r="O48" s="30"/>
      <c r="Q48" s="22" t="s">
        <v>101</v>
      </c>
      <c r="R48" s="30"/>
      <c r="S48" s="31">
        <v>54.601794968047543</v>
      </c>
      <c r="T48" s="22" t="s">
        <v>104</v>
      </c>
      <c r="U48" s="22">
        <f>S48/0.277778</f>
        <v>196.56630463192744</v>
      </c>
      <c r="V48" s="22" t="s">
        <v>103</v>
      </c>
      <c r="W48" s="22">
        <f>U48/44</f>
        <v>4.4674160143619872</v>
      </c>
      <c r="X48" s="22" t="s">
        <v>111</v>
      </c>
    </row>
    <row r="49" spans="1:17">
      <c r="A49" s="22" t="s">
        <v>242</v>
      </c>
      <c r="B49" s="31">
        <v>41930.421171636706</v>
      </c>
      <c r="C49" s="31"/>
      <c r="D49" s="22" t="s">
        <v>39</v>
      </c>
      <c r="E49" s="22" t="s">
        <v>40</v>
      </c>
      <c r="F49" s="22" t="s">
        <v>29</v>
      </c>
      <c r="G49" s="22" t="s">
        <v>86</v>
      </c>
      <c r="H49" s="22" t="s">
        <v>33</v>
      </c>
      <c r="I49" s="22">
        <v>2</v>
      </c>
      <c r="J49" s="22">
        <f t="shared" si="1"/>
        <v>10.643766884751535</v>
      </c>
      <c r="K49" s="22">
        <v>0.28635642126552707</v>
      </c>
      <c r="L49" s="22" t="s">
        <v>31</v>
      </c>
      <c r="M49" s="22" t="s">
        <v>31</v>
      </c>
      <c r="N49" s="22" t="s">
        <v>31</v>
      </c>
      <c r="Q49" s="22" t="s">
        <v>101</v>
      </c>
    </row>
    <row r="50" spans="1:17">
      <c r="A50" s="32" t="s">
        <v>243</v>
      </c>
      <c r="B50" s="31">
        <v>39.186998425233135</v>
      </c>
      <c r="C50" s="31"/>
      <c r="D50" s="22" t="s">
        <v>50</v>
      </c>
      <c r="E50" s="22" t="s">
        <v>40</v>
      </c>
      <c r="F50" s="22" t="s">
        <v>29</v>
      </c>
      <c r="G50" s="32" t="s">
        <v>117</v>
      </c>
      <c r="H50" s="22" t="s">
        <v>33</v>
      </c>
      <c r="I50" s="22">
        <v>2</v>
      </c>
      <c r="J50" s="22">
        <f t="shared" si="1"/>
        <v>3.6683450189551348</v>
      </c>
      <c r="K50" s="22">
        <v>0.28635642126552707</v>
      </c>
      <c r="L50" s="22" t="s">
        <v>31</v>
      </c>
      <c r="M50" s="22" t="s">
        <v>31</v>
      </c>
      <c r="N50" s="22" t="s">
        <v>31</v>
      </c>
      <c r="Q50" s="22" t="s">
        <v>101</v>
      </c>
    </row>
    <row r="51" spans="1:17">
      <c r="A51" s="22" t="s">
        <v>245</v>
      </c>
      <c r="B51" s="31">
        <v>950.89025936854796</v>
      </c>
      <c r="C51" s="31"/>
      <c r="D51" s="22" t="s">
        <v>39</v>
      </c>
      <c r="E51" s="22" t="s">
        <v>40</v>
      </c>
      <c r="F51" s="22" t="s">
        <v>29</v>
      </c>
      <c r="G51" s="22" t="s">
        <v>117</v>
      </c>
      <c r="H51" s="22" t="s">
        <v>33</v>
      </c>
      <c r="I51" s="22">
        <v>2</v>
      </c>
      <c r="J51" s="22">
        <f t="shared" si="1"/>
        <v>6.857398660901123</v>
      </c>
      <c r="K51" s="22">
        <v>0.28635642126552707</v>
      </c>
      <c r="L51" s="22" t="s">
        <v>31</v>
      </c>
      <c r="M51" s="22" t="s">
        <v>31</v>
      </c>
      <c r="N51" s="22" t="s">
        <v>31</v>
      </c>
      <c r="Q51" s="22" t="s">
        <v>101</v>
      </c>
    </row>
    <row r="52" spans="1:17">
      <c r="A52" s="22" t="s">
        <v>48</v>
      </c>
      <c r="B52" s="31">
        <v>17864.738131684473</v>
      </c>
      <c r="C52" s="31"/>
      <c r="D52" s="22" t="s">
        <v>39</v>
      </c>
      <c r="E52" s="22" t="s">
        <v>43</v>
      </c>
      <c r="F52" s="22" t="s">
        <v>44</v>
      </c>
      <c r="G52" s="22" t="s">
        <v>29</v>
      </c>
      <c r="H52" s="22" t="s">
        <v>45</v>
      </c>
      <c r="I52" s="22">
        <v>2</v>
      </c>
      <c r="J52" s="22">
        <f t="shared" si="1"/>
        <v>9.790584112174006</v>
      </c>
      <c r="K52" s="22">
        <v>0.28635642126552707</v>
      </c>
      <c r="L52" s="22" t="s">
        <v>31</v>
      </c>
      <c r="M52" s="22" t="s">
        <v>31</v>
      </c>
      <c r="N52" s="22" t="s">
        <v>31</v>
      </c>
      <c r="Q52" s="22" t="s">
        <v>101</v>
      </c>
    </row>
    <row r="53" spans="1:17">
      <c r="A53" s="22" t="s">
        <v>51</v>
      </c>
      <c r="B53" s="31">
        <v>0.1911062823881664</v>
      </c>
      <c r="C53" s="31"/>
      <c r="D53" s="22" t="s">
        <v>39</v>
      </c>
      <c r="E53" s="22" t="s">
        <v>43</v>
      </c>
      <c r="F53" s="22" t="s">
        <v>44</v>
      </c>
      <c r="G53" s="22" t="s">
        <v>29</v>
      </c>
      <c r="H53" s="22" t="s">
        <v>45</v>
      </c>
      <c r="I53" s="22">
        <v>2</v>
      </c>
      <c r="J53" s="22">
        <f t="shared" si="1"/>
        <v>-1.6549255534036109</v>
      </c>
      <c r="K53" s="22">
        <v>0.28635642126552707</v>
      </c>
      <c r="L53" s="22" t="s">
        <v>31</v>
      </c>
      <c r="M53" s="22" t="s">
        <v>31</v>
      </c>
      <c r="N53" s="22" t="s">
        <v>31</v>
      </c>
      <c r="Q53" s="22" t="s">
        <v>101</v>
      </c>
    </row>
    <row r="54" spans="1:17">
      <c r="A54" s="22" t="s">
        <v>42</v>
      </c>
      <c r="B54" s="22">
        <v>3.0303996207266382</v>
      </c>
      <c r="D54" s="22" t="s">
        <v>39</v>
      </c>
      <c r="E54" s="22" t="s">
        <v>43</v>
      </c>
      <c r="F54" s="22" t="s">
        <v>44</v>
      </c>
      <c r="G54" s="22" t="s">
        <v>29</v>
      </c>
      <c r="H54" s="22" t="s">
        <v>45</v>
      </c>
      <c r="I54" s="22">
        <v>2</v>
      </c>
      <c r="J54" s="22">
        <f t="shared" si="1"/>
        <v>1.1086944988534098</v>
      </c>
      <c r="K54" s="22">
        <v>0.28635642126552707</v>
      </c>
      <c r="L54" s="22" t="s">
        <v>31</v>
      </c>
      <c r="M54" s="22" t="s">
        <v>31</v>
      </c>
      <c r="N54" s="22" t="s">
        <v>31</v>
      </c>
      <c r="Q54" s="22" t="s">
        <v>101</v>
      </c>
    </row>
    <row r="55" spans="1:17">
      <c r="A55" s="22" t="s">
        <v>244</v>
      </c>
      <c r="B55" s="22">
        <v>14.346621627854491</v>
      </c>
      <c r="D55" s="22" t="s">
        <v>39</v>
      </c>
      <c r="E55" s="22" t="s">
        <v>43</v>
      </c>
      <c r="F55" s="22" t="s">
        <v>44</v>
      </c>
      <c r="G55" s="22" t="s">
        <v>29</v>
      </c>
      <c r="H55" s="22" t="s">
        <v>45</v>
      </c>
      <c r="I55" s="22">
        <v>2</v>
      </c>
      <c r="J55" s="22">
        <f t="shared" si="1"/>
        <v>2.6635144878580816</v>
      </c>
      <c r="K55" s="22">
        <v>0.28635642126552707</v>
      </c>
      <c r="L55" s="22" t="s">
        <v>31</v>
      </c>
      <c r="M55" s="22" t="s">
        <v>31</v>
      </c>
      <c r="N55" s="22" t="s">
        <v>31</v>
      </c>
      <c r="Q55" s="22" t="s">
        <v>101</v>
      </c>
    </row>
    <row r="56" spans="1:17" s="29" customFormat="1">
      <c r="A56" s="27" t="s">
        <v>5</v>
      </c>
      <c r="B56" s="27" t="s">
        <v>348</v>
      </c>
      <c r="C56" s="27"/>
      <c r="D56" s="28"/>
      <c r="Q56" s="29" t="s">
        <v>101</v>
      </c>
    </row>
    <row r="57" spans="1:17">
      <c r="A57" s="22" t="s">
        <v>7</v>
      </c>
      <c r="B57" s="22" t="s">
        <v>95</v>
      </c>
      <c r="Q57" s="22" t="s">
        <v>101</v>
      </c>
    </row>
    <row r="58" spans="1:17">
      <c r="A58" s="22" t="s">
        <v>9</v>
      </c>
      <c r="B58" s="22" t="s">
        <v>350</v>
      </c>
      <c r="Q58" s="22" t="s">
        <v>101</v>
      </c>
    </row>
    <row r="59" spans="1:17">
      <c r="A59" s="22" t="s">
        <v>11</v>
      </c>
      <c r="B59" s="22" t="s">
        <v>351</v>
      </c>
      <c r="Q59" s="22" t="s">
        <v>101</v>
      </c>
    </row>
    <row r="60" spans="1:17">
      <c r="A60" s="22" t="s">
        <v>13</v>
      </c>
      <c r="B60" s="22" t="s">
        <v>86</v>
      </c>
      <c r="Q60" s="22" t="s">
        <v>101</v>
      </c>
    </row>
    <row r="61" spans="1:17">
      <c r="A61" s="22" t="s">
        <v>15</v>
      </c>
      <c r="B61" s="22">
        <v>1</v>
      </c>
      <c r="Q61" s="22" t="s">
        <v>101</v>
      </c>
    </row>
    <row r="62" spans="1:17">
      <c r="A62" s="22" t="s">
        <v>16</v>
      </c>
      <c r="B62" s="22" t="s">
        <v>17</v>
      </c>
      <c r="Q62" s="22" t="s">
        <v>101</v>
      </c>
    </row>
    <row r="63" spans="1:17">
      <c r="A63" s="22" t="s">
        <v>18</v>
      </c>
      <c r="B63" s="22" t="s">
        <v>18</v>
      </c>
      <c r="E63" s="22" t="s">
        <v>90</v>
      </c>
      <c r="Q63" s="22" t="s">
        <v>101</v>
      </c>
    </row>
    <row r="64" spans="1:17">
      <c r="A64" s="24" t="s">
        <v>19</v>
      </c>
      <c r="Q64" s="22" t="s">
        <v>101</v>
      </c>
    </row>
    <row r="65" spans="1:22">
      <c r="A65" s="24" t="s">
        <v>20</v>
      </c>
      <c r="B65" s="24" t="s">
        <v>21</v>
      </c>
      <c r="C65" s="24" t="s">
        <v>73</v>
      </c>
      <c r="D65" s="24" t="s">
        <v>18</v>
      </c>
      <c r="E65" s="24" t="s">
        <v>22</v>
      </c>
      <c r="F65" s="24" t="s">
        <v>7</v>
      </c>
      <c r="G65" s="24" t="s">
        <v>13</v>
      </c>
      <c r="H65" s="24" t="s">
        <v>16</v>
      </c>
      <c r="I65" s="24" t="s">
        <v>23</v>
      </c>
      <c r="J65" s="24" t="s">
        <v>24</v>
      </c>
      <c r="K65" s="24" t="s">
        <v>25</v>
      </c>
      <c r="L65" s="24" t="s">
        <v>26</v>
      </c>
      <c r="M65" s="24" t="s">
        <v>27</v>
      </c>
      <c r="N65" s="24" t="s">
        <v>28</v>
      </c>
      <c r="O65" s="24" t="s">
        <v>11</v>
      </c>
      <c r="P65" s="24" t="s">
        <v>337</v>
      </c>
      <c r="Q65" s="22" t="s">
        <v>101</v>
      </c>
    </row>
    <row r="66" spans="1:22">
      <c r="A66" s="22" t="s">
        <v>348</v>
      </c>
      <c r="B66" s="22">
        <v>1</v>
      </c>
      <c r="D66" s="22" t="s">
        <v>18</v>
      </c>
      <c r="E66" s="22" t="s">
        <v>2</v>
      </c>
      <c r="F66" s="22" t="s">
        <v>29</v>
      </c>
      <c r="G66" s="22" t="s">
        <v>86</v>
      </c>
      <c r="H66" s="22" t="s">
        <v>30</v>
      </c>
      <c r="I66" s="22">
        <v>1</v>
      </c>
      <c r="J66" s="22">
        <v>1</v>
      </c>
      <c r="K66" s="22" t="s">
        <v>31</v>
      </c>
      <c r="L66" s="22" t="s">
        <v>31</v>
      </c>
      <c r="M66" s="22" t="s">
        <v>31</v>
      </c>
      <c r="N66" s="22" t="s">
        <v>31</v>
      </c>
      <c r="Q66" s="22" t="s">
        <v>101</v>
      </c>
    </row>
    <row r="67" spans="1:22">
      <c r="A67" s="34" t="s">
        <v>248</v>
      </c>
      <c r="B67" s="35">
        <v>300.95571000000001</v>
      </c>
      <c r="C67" s="35"/>
      <c r="D67" s="26" t="s">
        <v>39</v>
      </c>
      <c r="E67" s="26" t="s">
        <v>40</v>
      </c>
      <c r="F67" s="26" t="s">
        <v>29</v>
      </c>
      <c r="G67" s="26" t="s">
        <v>86</v>
      </c>
      <c r="H67" s="26" t="s">
        <v>33</v>
      </c>
      <c r="I67" s="26">
        <v>2</v>
      </c>
      <c r="J67" s="26">
        <f t="shared" ref="J67:J102" si="2">LN(B67)</f>
        <v>5.7069631110651606</v>
      </c>
      <c r="K67" s="26">
        <v>0.30331501776206199</v>
      </c>
      <c r="L67" s="26" t="s">
        <v>31</v>
      </c>
      <c r="M67" s="26" t="s">
        <v>31</v>
      </c>
      <c r="N67" s="26" t="s">
        <v>31</v>
      </c>
      <c r="O67" s="26" t="s">
        <v>352</v>
      </c>
      <c r="P67" s="22" t="s">
        <v>353</v>
      </c>
      <c r="Q67" s="22" t="s">
        <v>101</v>
      </c>
    </row>
    <row r="68" spans="1:22">
      <c r="A68" s="34" t="s">
        <v>109</v>
      </c>
      <c r="B68" s="35">
        <v>44.574621300000011</v>
      </c>
      <c r="C68" s="35"/>
      <c r="D68" s="26" t="s">
        <v>39</v>
      </c>
      <c r="E68" s="26" t="s">
        <v>40</v>
      </c>
      <c r="F68" s="26" t="s">
        <v>29</v>
      </c>
      <c r="G68" s="26" t="s">
        <v>86</v>
      </c>
      <c r="H68" s="26" t="s">
        <v>33</v>
      </c>
      <c r="I68" s="26">
        <v>2</v>
      </c>
      <c r="J68" s="26">
        <f t="shared" si="2"/>
        <v>3.7971646679195086</v>
      </c>
      <c r="K68" s="26">
        <v>0.30331501776206199</v>
      </c>
      <c r="L68" s="26" t="s">
        <v>31</v>
      </c>
      <c r="M68" s="26" t="s">
        <v>31</v>
      </c>
      <c r="N68" s="26" t="s">
        <v>31</v>
      </c>
      <c r="O68" s="26" t="s">
        <v>352</v>
      </c>
      <c r="P68" s="22" t="s">
        <v>354</v>
      </c>
      <c r="Q68" s="22" t="s">
        <v>101</v>
      </c>
    </row>
    <row r="69" spans="1:22">
      <c r="A69" s="34" t="s">
        <v>301</v>
      </c>
      <c r="B69" s="35">
        <v>11.488451039999999</v>
      </c>
      <c r="C69" s="35"/>
      <c r="D69" s="26" t="s">
        <v>39</v>
      </c>
      <c r="E69" s="26" t="s">
        <v>40</v>
      </c>
      <c r="F69" s="26" t="s">
        <v>29</v>
      </c>
      <c r="G69" s="26" t="s">
        <v>86</v>
      </c>
      <c r="H69" s="26" t="s">
        <v>33</v>
      </c>
      <c r="I69" s="26">
        <v>2</v>
      </c>
      <c r="J69" s="26">
        <f t="shared" si="2"/>
        <v>2.4413422733735826</v>
      </c>
      <c r="K69" s="26">
        <v>0.30331501776206199</v>
      </c>
      <c r="L69" s="26" t="s">
        <v>31</v>
      </c>
      <c r="M69" s="26" t="s">
        <v>31</v>
      </c>
      <c r="N69" s="26" t="s">
        <v>31</v>
      </c>
      <c r="O69" s="26" t="s">
        <v>352</v>
      </c>
      <c r="P69" s="22" t="s">
        <v>101</v>
      </c>
      <c r="Q69" s="22" t="s">
        <v>101</v>
      </c>
    </row>
    <row r="70" spans="1:22">
      <c r="A70" s="34" t="s">
        <v>141</v>
      </c>
      <c r="B70" s="35">
        <v>137.27940679200003</v>
      </c>
      <c r="C70" s="35"/>
      <c r="D70" s="26" t="s">
        <v>39</v>
      </c>
      <c r="E70" s="26" t="s">
        <v>40</v>
      </c>
      <c r="F70" s="26" t="s">
        <v>29</v>
      </c>
      <c r="G70" s="26" t="s">
        <v>86</v>
      </c>
      <c r="H70" s="26" t="s">
        <v>33</v>
      </c>
      <c r="I70" s="26">
        <v>2</v>
      </c>
      <c r="J70" s="26">
        <f t="shared" si="2"/>
        <v>4.9220183145764702</v>
      </c>
      <c r="K70" s="26">
        <v>0.30331501776206199</v>
      </c>
      <c r="L70" s="26" t="s">
        <v>31</v>
      </c>
      <c r="M70" s="26" t="s">
        <v>31</v>
      </c>
      <c r="N70" s="26" t="s">
        <v>31</v>
      </c>
      <c r="O70" s="26" t="s">
        <v>352</v>
      </c>
      <c r="P70" s="22" t="s">
        <v>355</v>
      </c>
      <c r="Q70" s="22" t="s">
        <v>101</v>
      </c>
    </row>
    <row r="71" spans="1:22">
      <c r="A71" s="34" t="s">
        <v>356</v>
      </c>
      <c r="B71" s="35">
        <v>33.199917299999996</v>
      </c>
      <c r="C71" s="35"/>
      <c r="D71" s="26" t="s">
        <v>39</v>
      </c>
      <c r="E71" s="26" t="s">
        <v>40</v>
      </c>
      <c r="F71" s="26" t="s">
        <v>29</v>
      </c>
      <c r="G71" s="26" t="s">
        <v>86</v>
      </c>
      <c r="H71" s="26" t="s">
        <v>33</v>
      </c>
      <c r="I71" s="26">
        <v>2</v>
      </c>
      <c r="J71" s="26">
        <f t="shared" si="2"/>
        <v>3.5025473849554847</v>
      </c>
      <c r="K71" s="26">
        <v>0.30331501776206199</v>
      </c>
      <c r="L71" s="26" t="s">
        <v>31</v>
      </c>
      <c r="M71" s="26" t="s">
        <v>31</v>
      </c>
      <c r="N71" s="26" t="s">
        <v>31</v>
      </c>
      <c r="O71" s="26" t="s">
        <v>352</v>
      </c>
      <c r="P71" s="22" t="s">
        <v>357</v>
      </c>
      <c r="Q71" s="22" t="s">
        <v>101</v>
      </c>
    </row>
    <row r="72" spans="1:22">
      <c r="A72" s="34" t="s">
        <v>356</v>
      </c>
      <c r="B72" s="35">
        <v>138.75930317699999</v>
      </c>
      <c r="C72" s="35"/>
      <c r="D72" s="26" t="s">
        <v>39</v>
      </c>
      <c r="E72" s="26" t="s">
        <v>40</v>
      </c>
      <c r="F72" s="26" t="s">
        <v>29</v>
      </c>
      <c r="G72" s="26" t="s">
        <v>86</v>
      </c>
      <c r="H72" s="26" t="s">
        <v>33</v>
      </c>
      <c r="I72" s="26">
        <v>2</v>
      </c>
      <c r="J72" s="26">
        <f t="shared" si="2"/>
        <v>4.9327408003031223</v>
      </c>
      <c r="K72" s="26">
        <v>0.30331501776206199</v>
      </c>
      <c r="L72" s="26" t="s">
        <v>31</v>
      </c>
      <c r="M72" s="26" t="s">
        <v>31</v>
      </c>
      <c r="N72" s="26" t="s">
        <v>31</v>
      </c>
      <c r="O72" s="26" t="s">
        <v>352</v>
      </c>
      <c r="P72" s="22" t="s">
        <v>358</v>
      </c>
      <c r="Q72" s="22" t="s">
        <v>101</v>
      </c>
    </row>
    <row r="73" spans="1:22">
      <c r="A73" s="36" t="s">
        <v>131</v>
      </c>
      <c r="B73" s="37">
        <v>270.860139</v>
      </c>
      <c r="C73" s="37"/>
      <c r="D73" s="38" t="s">
        <v>39</v>
      </c>
      <c r="E73" s="38" t="s">
        <v>40</v>
      </c>
      <c r="F73" s="38" t="s">
        <v>29</v>
      </c>
      <c r="G73" s="38" t="s">
        <v>117</v>
      </c>
      <c r="H73" s="38" t="s">
        <v>33</v>
      </c>
      <c r="I73" s="38">
        <v>2</v>
      </c>
      <c r="J73" s="38">
        <f t="shared" si="2"/>
        <v>5.6016025954073347</v>
      </c>
      <c r="K73" s="38">
        <v>0.30331501776206199</v>
      </c>
      <c r="L73" s="38" t="s">
        <v>31</v>
      </c>
      <c r="M73" s="38" t="s">
        <v>31</v>
      </c>
      <c r="N73" s="38" t="s">
        <v>31</v>
      </c>
      <c r="O73" s="38" t="s">
        <v>99</v>
      </c>
      <c r="P73" s="39" t="s">
        <v>359</v>
      </c>
      <c r="Q73" s="22" t="s">
        <v>101</v>
      </c>
    </row>
    <row r="74" spans="1:22">
      <c r="A74" s="40" t="s">
        <v>133</v>
      </c>
      <c r="B74" s="41">
        <v>270.860139</v>
      </c>
      <c r="C74" s="22" t="s">
        <v>134</v>
      </c>
      <c r="D74" s="25" t="s">
        <v>39</v>
      </c>
      <c r="E74" s="25" t="s">
        <v>40</v>
      </c>
      <c r="F74" s="25" t="s">
        <v>29</v>
      </c>
      <c r="G74" s="25" t="s">
        <v>117</v>
      </c>
      <c r="H74" s="25" t="s">
        <v>33</v>
      </c>
      <c r="I74" s="42">
        <v>2</v>
      </c>
      <c r="J74" s="25">
        <f t="shared" si="2"/>
        <v>5.6016025954073347</v>
      </c>
      <c r="K74" s="25">
        <v>0.30331501776205999</v>
      </c>
      <c r="L74" s="25" t="s">
        <v>31</v>
      </c>
      <c r="M74" s="25" t="s">
        <v>31</v>
      </c>
      <c r="N74" s="25" t="s">
        <v>31</v>
      </c>
      <c r="O74" s="25" t="s">
        <v>99</v>
      </c>
      <c r="P74" s="43" t="s">
        <v>101</v>
      </c>
    </row>
    <row r="75" spans="1:22">
      <c r="A75" s="44" t="s">
        <v>248</v>
      </c>
      <c r="B75" s="45">
        <v>270.860139</v>
      </c>
      <c r="C75" s="45"/>
      <c r="D75" s="46" t="s">
        <v>39</v>
      </c>
      <c r="E75" s="46" t="s">
        <v>40</v>
      </c>
      <c r="F75" s="46" t="s">
        <v>29</v>
      </c>
      <c r="G75" s="46" t="s">
        <v>86</v>
      </c>
      <c r="H75" s="46" t="s">
        <v>110</v>
      </c>
      <c r="I75" s="46">
        <v>2</v>
      </c>
      <c r="J75" s="25">
        <f t="shared" si="2"/>
        <v>5.6016025954073347</v>
      </c>
      <c r="K75" s="25">
        <v>0.30331501776206199</v>
      </c>
      <c r="L75" s="46" t="s">
        <v>31</v>
      </c>
      <c r="M75" s="46" t="s">
        <v>31</v>
      </c>
      <c r="N75" s="46" t="s">
        <v>31</v>
      </c>
      <c r="O75" s="46" t="s">
        <v>99</v>
      </c>
      <c r="P75" s="47" t="s">
        <v>360</v>
      </c>
      <c r="Q75" s="22" t="s">
        <v>101</v>
      </c>
    </row>
    <row r="76" spans="1:22">
      <c r="A76" s="36" t="s">
        <v>97</v>
      </c>
      <c r="B76" s="37">
        <f>U76</f>
        <v>461.95553576413312</v>
      </c>
      <c r="C76" s="37"/>
      <c r="D76" s="38" t="s">
        <v>98</v>
      </c>
      <c r="E76" s="38" t="s">
        <v>40</v>
      </c>
      <c r="F76" s="38" t="s">
        <v>29</v>
      </c>
      <c r="G76" s="38" t="s">
        <v>86</v>
      </c>
      <c r="H76" s="38" t="s">
        <v>33</v>
      </c>
      <c r="I76" s="38">
        <v>2</v>
      </c>
      <c r="J76" s="38">
        <f>LN(B76)</f>
        <v>6.1354686435153134</v>
      </c>
      <c r="K76" s="38">
        <v>0.30331501776206199</v>
      </c>
      <c r="L76" s="38" t="s">
        <v>31</v>
      </c>
      <c r="M76" s="38" t="s">
        <v>31</v>
      </c>
      <c r="N76" s="38" t="s">
        <v>31</v>
      </c>
      <c r="O76" s="38" t="s">
        <v>99</v>
      </c>
      <c r="P76" s="39" t="s">
        <v>361</v>
      </c>
      <c r="Q76" s="22" t="s">
        <v>101</v>
      </c>
      <c r="R76" s="22" t="s">
        <v>102</v>
      </c>
      <c r="S76" s="22">
        <f>114*0.6*B78</f>
        <v>1663.0385983200003</v>
      </c>
      <c r="T76" s="22" t="s">
        <v>103</v>
      </c>
      <c r="U76" s="22">
        <f>S76*0.277778</f>
        <v>461.95553576413312</v>
      </c>
      <c r="V76" s="22" t="s">
        <v>104</v>
      </c>
    </row>
    <row r="77" spans="1:22" ht="15.75" customHeight="1">
      <c r="A77" s="40" t="s">
        <v>105</v>
      </c>
      <c r="B77" s="41">
        <f>U77</f>
        <v>28.947582216188003</v>
      </c>
      <c r="C77" s="41"/>
      <c r="D77" s="25" t="s">
        <v>50</v>
      </c>
      <c r="E77" s="25" t="s">
        <v>40</v>
      </c>
      <c r="F77" s="25" t="s">
        <v>29</v>
      </c>
      <c r="G77" s="25" t="s">
        <v>106</v>
      </c>
      <c r="H77" s="25" t="s">
        <v>33</v>
      </c>
      <c r="I77" s="25">
        <v>2</v>
      </c>
      <c r="J77" s="25">
        <f t="shared" si="2"/>
        <v>3.3654866846829332</v>
      </c>
      <c r="K77" s="25">
        <v>0.30331501776206199</v>
      </c>
      <c r="L77" s="25" t="s">
        <v>31</v>
      </c>
      <c r="M77" s="25" t="s">
        <v>31</v>
      </c>
      <c r="N77" s="25" t="s">
        <v>31</v>
      </c>
      <c r="O77" s="25" t="s">
        <v>99</v>
      </c>
      <c r="P77" s="43" t="s">
        <v>362</v>
      </c>
      <c r="Q77" s="22" t="s">
        <v>101</v>
      </c>
      <c r="R77" s="22" t="s">
        <v>107</v>
      </c>
      <c r="S77" s="22">
        <f>114*0.4*B78</f>
        <v>1108.6923988800004</v>
      </c>
      <c r="T77" s="22" t="s">
        <v>103</v>
      </c>
      <c r="U77" s="22">
        <f>S77/38.3</f>
        <v>28.947582216188003</v>
      </c>
      <c r="V77" s="22" t="s">
        <v>108</v>
      </c>
    </row>
    <row r="78" spans="1:22">
      <c r="A78" s="44" t="s">
        <v>109</v>
      </c>
      <c r="B78" s="45">
        <v>24.313429800000009</v>
      </c>
      <c r="C78" s="45"/>
      <c r="D78" s="46" t="s">
        <v>39</v>
      </c>
      <c r="E78" s="46" t="s">
        <v>40</v>
      </c>
      <c r="F78" s="46" t="s">
        <v>29</v>
      </c>
      <c r="G78" s="46" t="s">
        <v>86</v>
      </c>
      <c r="H78" s="46" t="s">
        <v>110</v>
      </c>
      <c r="I78" s="46">
        <v>2</v>
      </c>
      <c r="J78" s="46">
        <f t="shared" si="2"/>
        <v>3.1910288643491933</v>
      </c>
      <c r="K78" s="46">
        <v>0.30331501776206199</v>
      </c>
      <c r="L78" s="46" t="s">
        <v>31</v>
      </c>
      <c r="M78" s="46" t="s">
        <v>31</v>
      </c>
      <c r="N78" s="46" t="s">
        <v>31</v>
      </c>
      <c r="O78" s="46" t="s">
        <v>99</v>
      </c>
      <c r="P78" s="47" t="s">
        <v>363</v>
      </c>
      <c r="Q78" s="22" t="s">
        <v>101</v>
      </c>
      <c r="S78" s="22">
        <f>B78</f>
        <v>24.313429800000009</v>
      </c>
      <c r="T78" s="22" t="s">
        <v>111</v>
      </c>
    </row>
    <row r="79" spans="1:22">
      <c r="A79" s="36" t="s">
        <v>131</v>
      </c>
      <c r="B79" s="37">
        <v>1.9147418399999996</v>
      </c>
      <c r="C79" s="37"/>
      <c r="D79" s="38" t="s">
        <v>39</v>
      </c>
      <c r="E79" s="38" t="s">
        <v>40</v>
      </c>
      <c r="F79" s="38" t="s">
        <v>29</v>
      </c>
      <c r="G79" s="38" t="s">
        <v>117</v>
      </c>
      <c r="H79" s="38" t="s">
        <v>33</v>
      </c>
      <c r="I79" s="38">
        <v>2</v>
      </c>
      <c r="J79" s="38">
        <f t="shared" si="2"/>
        <v>0.64958280414552749</v>
      </c>
      <c r="K79" s="38">
        <v>0.30331501776206199</v>
      </c>
      <c r="L79" s="38" t="s">
        <v>31</v>
      </c>
      <c r="M79" s="38" t="s">
        <v>31</v>
      </c>
      <c r="N79" s="38" t="s">
        <v>31</v>
      </c>
      <c r="O79" s="38" t="s">
        <v>99</v>
      </c>
      <c r="P79" s="43" t="s">
        <v>364</v>
      </c>
    </row>
    <row r="80" spans="1:22">
      <c r="A80" s="40" t="s">
        <v>133</v>
      </c>
      <c r="B80" s="41">
        <v>1.9147418399999996</v>
      </c>
      <c r="C80" s="22" t="s">
        <v>134</v>
      </c>
      <c r="D80" s="25" t="s">
        <v>39</v>
      </c>
      <c r="E80" s="25" t="s">
        <v>40</v>
      </c>
      <c r="F80" s="25" t="s">
        <v>29</v>
      </c>
      <c r="G80" s="25" t="s">
        <v>117</v>
      </c>
      <c r="H80" s="25" t="s">
        <v>33</v>
      </c>
      <c r="I80" s="25">
        <v>2</v>
      </c>
      <c r="J80" s="25">
        <f t="shared" si="2"/>
        <v>0.64958280414552749</v>
      </c>
      <c r="K80" s="25">
        <v>0.30331501776206199</v>
      </c>
      <c r="L80" s="25" t="s">
        <v>31</v>
      </c>
      <c r="M80" s="25" t="s">
        <v>31</v>
      </c>
      <c r="N80" s="25" t="s">
        <v>31</v>
      </c>
      <c r="O80" s="25" t="s">
        <v>99</v>
      </c>
      <c r="P80" s="43" t="s">
        <v>364</v>
      </c>
      <c r="Q80" s="22" t="s">
        <v>101</v>
      </c>
    </row>
    <row r="81" spans="1:24">
      <c r="A81" s="44" t="s">
        <v>301</v>
      </c>
      <c r="B81" s="45">
        <v>1.9147418399999996</v>
      </c>
      <c r="C81" s="45"/>
      <c r="D81" s="46" t="s">
        <v>39</v>
      </c>
      <c r="E81" s="46" t="s">
        <v>40</v>
      </c>
      <c r="F81" s="46" t="s">
        <v>29</v>
      </c>
      <c r="G81" s="46" t="s">
        <v>86</v>
      </c>
      <c r="H81" s="46" t="s">
        <v>110</v>
      </c>
      <c r="I81" s="46">
        <v>2</v>
      </c>
      <c r="J81" s="46">
        <f t="shared" si="2"/>
        <v>0.64958280414552749</v>
      </c>
      <c r="K81" s="46">
        <v>0.30331501776206199</v>
      </c>
      <c r="L81" s="46" t="s">
        <v>31</v>
      </c>
      <c r="M81" s="46" t="s">
        <v>31</v>
      </c>
      <c r="N81" s="46" t="s">
        <v>31</v>
      </c>
      <c r="O81" s="46" t="s">
        <v>99</v>
      </c>
      <c r="P81" s="47" t="s">
        <v>365</v>
      </c>
      <c r="Q81" s="22" t="s">
        <v>101</v>
      </c>
    </row>
    <row r="82" spans="1:24">
      <c r="A82" s="36" t="s">
        <v>139</v>
      </c>
      <c r="B82" s="37">
        <v>74.879676432000025</v>
      </c>
      <c r="C82" s="48" t="s">
        <v>140</v>
      </c>
      <c r="D82" s="38" t="s">
        <v>39</v>
      </c>
      <c r="E82" s="38" t="s">
        <v>40</v>
      </c>
      <c r="F82" s="38" t="s">
        <v>29</v>
      </c>
      <c r="G82" s="38" t="s">
        <v>117</v>
      </c>
      <c r="H82" s="38" t="s">
        <v>33</v>
      </c>
      <c r="I82" s="38">
        <v>2</v>
      </c>
      <c r="J82" s="38">
        <f t="shared" si="2"/>
        <v>4.3158825110061549</v>
      </c>
      <c r="K82" s="38">
        <v>0.30331501776206199</v>
      </c>
      <c r="L82" s="38" t="s">
        <v>31</v>
      </c>
      <c r="M82" s="38" t="s">
        <v>31</v>
      </c>
      <c r="N82" s="38" t="s">
        <v>31</v>
      </c>
      <c r="O82" s="38" t="s">
        <v>99</v>
      </c>
      <c r="P82" s="43" t="s">
        <v>366</v>
      </c>
      <c r="Q82" s="22" t="s">
        <v>101</v>
      </c>
    </row>
    <row r="83" spans="1:24">
      <c r="A83" s="40" t="s">
        <v>141</v>
      </c>
      <c r="B83" s="41">
        <v>74.879676432000025</v>
      </c>
      <c r="C83" s="41"/>
      <c r="D83" s="25" t="s">
        <v>39</v>
      </c>
      <c r="E83" s="25" t="s">
        <v>40</v>
      </c>
      <c r="F83" s="25" t="s">
        <v>29</v>
      </c>
      <c r="G83" s="25" t="s">
        <v>86</v>
      </c>
      <c r="H83" s="25" t="s">
        <v>110</v>
      </c>
      <c r="I83" s="25">
        <v>2</v>
      </c>
      <c r="J83" s="25">
        <f t="shared" si="2"/>
        <v>4.3158825110061549</v>
      </c>
      <c r="K83" s="25">
        <v>0.30331501776206199</v>
      </c>
      <c r="L83" s="25" t="s">
        <v>31</v>
      </c>
      <c r="M83" s="25" t="s">
        <v>31</v>
      </c>
      <c r="N83" s="25" t="s">
        <v>31</v>
      </c>
      <c r="O83" s="25" t="s">
        <v>99</v>
      </c>
      <c r="P83" s="43" t="s">
        <v>367</v>
      </c>
      <c r="Q83" s="22" t="s">
        <v>101</v>
      </c>
    </row>
    <row r="84" spans="1:24">
      <c r="A84" s="36" t="s">
        <v>131</v>
      </c>
      <c r="B84" s="37">
        <v>11.066639099999996</v>
      </c>
      <c r="C84" s="37"/>
      <c r="D84" s="38" t="s">
        <v>39</v>
      </c>
      <c r="E84" s="38" t="s">
        <v>40</v>
      </c>
      <c r="F84" s="38" t="s">
        <v>29</v>
      </c>
      <c r="G84" s="38" t="s">
        <v>117</v>
      </c>
      <c r="H84" s="38" t="s">
        <v>33</v>
      </c>
      <c r="I84" s="38">
        <v>2</v>
      </c>
      <c r="J84" s="38">
        <f t="shared" si="2"/>
        <v>2.4039350962873751</v>
      </c>
      <c r="K84" s="38">
        <v>0.30331501776206199</v>
      </c>
      <c r="L84" s="38" t="s">
        <v>31</v>
      </c>
      <c r="M84" s="38" t="s">
        <v>31</v>
      </c>
      <c r="N84" s="38" t="s">
        <v>31</v>
      </c>
      <c r="O84" s="38" t="s">
        <v>99</v>
      </c>
      <c r="P84" s="43" t="s">
        <v>368</v>
      </c>
    </row>
    <row r="85" spans="1:24">
      <c r="A85" s="40" t="s">
        <v>133</v>
      </c>
      <c r="B85" s="41">
        <v>11.066639099999996</v>
      </c>
      <c r="C85" s="22" t="s">
        <v>134</v>
      </c>
      <c r="D85" s="25" t="s">
        <v>39</v>
      </c>
      <c r="E85" s="25" t="s">
        <v>40</v>
      </c>
      <c r="F85" s="25" t="s">
        <v>29</v>
      </c>
      <c r="G85" s="25" t="s">
        <v>117</v>
      </c>
      <c r="H85" s="25" t="s">
        <v>33</v>
      </c>
      <c r="I85" s="42">
        <v>2</v>
      </c>
      <c r="J85" s="25">
        <f t="shared" si="2"/>
        <v>2.4039350962873751</v>
      </c>
      <c r="K85" s="25">
        <v>0.30331501776205999</v>
      </c>
      <c r="L85" s="25" t="s">
        <v>31</v>
      </c>
      <c r="M85" s="25" t="s">
        <v>31</v>
      </c>
      <c r="N85" s="25" t="s">
        <v>31</v>
      </c>
      <c r="O85" s="25" t="s">
        <v>99</v>
      </c>
      <c r="P85" s="43" t="s">
        <v>368</v>
      </c>
      <c r="Q85" s="22" t="s">
        <v>101</v>
      </c>
    </row>
    <row r="86" spans="1:24">
      <c r="A86" s="44" t="s">
        <v>356</v>
      </c>
      <c r="B86" s="45">
        <v>11.066639099999996</v>
      </c>
      <c r="C86" s="45"/>
      <c r="D86" s="46" t="s">
        <v>39</v>
      </c>
      <c r="E86" s="46" t="s">
        <v>40</v>
      </c>
      <c r="F86" s="46" t="s">
        <v>29</v>
      </c>
      <c r="G86" s="46" t="s">
        <v>86</v>
      </c>
      <c r="H86" s="46" t="s">
        <v>110</v>
      </c>
      <c r="I86" s="46">
        <v>2</v>
      </c>
      <c r="J86" s="46">
        <f t="shared" si="2"/>
        <v>2.4039350962873751</v>
      </c>
      <c r="K86" s="46">
        <v>0.30331501776206199</v>
      </c>
      <c r="L86" s="46" t="s">
        <v>31</v>
      </c>
      <c r="M86" s="46" t="s">
        <v>31</v>
      </c>
      <c r="N86" s="46" t="s">
        <v>31</v>
      </c>
      <c r="O86" s="46" t="s">
        <v>99</v>
      </c>
      <c r="P86" s="47" t="s">
        <v>369</v>
      </c>
      <c r="Q86" s="22" t="s">
        <v>101</v>
      </c>
    </row>
    <row r="87" spans="1:24">
      <c r="A87" s="36" t="s">
        <v>131</v>
      </c>
      <c r="B87" s="41">
        <v>46.253101058999988</v>
      </c>
      <c r="C87" s="41"/>
      <c r="D87" s="38" t="s">
        <v>39</v>
      </c>
      <c r="E87" s="38" t="s">
        <v>40</v>
      </c>
      <c r="F87" s="38" t="s">
        <v>29</v>
      </c>
      <c r="G87" s="38" t="s">
        <v>117</v>
      </c>
      <c r="H87" s="38" t="s">
        <v>33</v>
      </c>
      <c r="I87" s="38">
        <v>2</v>
      </c>
      <c r="J87" s="38">
        <f t="shared" si="2"/>
        <v>3.8341285116350128</v>
      </c>
      <c r="K87" s="38">
        <v>0.30331501776206199</v>
      </c>
      <c r="L87" s="38" t="s">
        <v>31</v>
      </c>
      <c r="M87" s="38" t="s">
        <v>31</v>
      </c>
      <c r="N87" s="38" t="s">
        <v>31</v>
      </c>
      <c r="O87" s="38" t="s">
        <v>99</v>
      </c>
      <c r="P87" s="22" t="s">
        <v>370</v>
      </c>
    </row>
    <row r="88" spans="1:24">
      <c r="A88" s="40" t="s">
        <v>133</v>
      </c>
      <c r="B88" s="41">
        <v>46.253101058999988</v>
      </c>
      <c r="C88" s="22" t="s">
        <v>134</v>
      </c>
      <c r="D88" s="25" t="s">
        <v>39</v>
      </c>
      <c r="E88" s="25" t="s">
        <v>40</v>
      </c>
      <c r="F88" s="25" t="s">
        <v>29</v>
      </c>
      <c r="G88" s="25" t="s">
        <v>117</v>
      </c>
      <c r="H88" s="25" t="s">
        <v>33</v>
      </c>
      <c r="I88" s="42">
        <v>2</v>
      </c>
      <c r="J88" s="25">
        <f t="shared" si="2"/>
        <v>3.8341285116350128</v>
      </c>
      <c r="K88" s="25">
        <v>0.30331501776205999</v>
      </c>
      <c r="L88" s="25" t="s">
        <v>31</v>
      </c>
      <c r="M88" s="25" t="s">
        <v>31</v>
      </c>
      <c r="N88" s="25" t="s">
        <v>31</v>
      </c>
      <c r="O88" s="25" t="s">
        <v>99</v>
      </c>
      <c r="P88" s="22" t="s">
        <v>370</v>
      </c>
      <c r="Q88" s="22" t="s">
        <v>101</v>
      </c>
    </row>
    <row r="89" spans="1:24">
      <c r="A89" s="49" t="s">
        <v>356</v>
      </c>
      <c r="B89" s="41">
        <v>46.253101058999988</v>
      </c>
      <c r="C89" s="41"/>
      <c r="D89" s="25" t="s">
        <v>39</v>
      </c>
      <c r="E89" s="25" t="s">
        <v>40</v>
      </c>
      <c r="F89" s="25" t="s">
        <v>29</v>
      </c>
      <c r="G89" s="25" t="s">
        <v>86</v>
      </c>
      <c r="H89" s="25" t="s">
        <v>110</v>
      </c>
      <c r="I89" s="25">
        <v>2</v>
      </c>
      <c r="J89" s="25">
        <f t="shared" si="2"/>
        <v>3.8341285116350128</v>
      </c>
      <c r="K89" s="25">
        <v>0.30331501776206199</v>
      </c>
      <c r="L89" s="25" t="s">
        <v>31</v>
      </c>
      <c r="M89" s="25" t="s">
        <v>31</v>
      </c>
      <c r="N89" s="25" t="s">
        <v>31</v>
      </c>
      <c r="O89" s="25" t="s">
        <v>99</v>
      </c>
      <c r="P89" s="22" t="s">
        <v>371</v>
      </c>
      <c r="Q89" s="22" t="s">
        <v>101</v>
      </c>
      <c r="S89" s="24" t="s">
        <v>342</v>
      </c>
    </row>
    <row r="90" spans="1:24">
      <c r="A90" s="22" t="s">
        <v>97</v>
      </c>
      <c r="B90" s="31">
        <v>9484.1046435101998</v>
      </c>
      <c r="C90" s="31"/>
      <c r="D90" s="22" t="s">
        <v>98</v>
      </c>
      <c r="E90" s="22" t="s">
        <v>40</v>
      </c>
      <c r="F90" s="22" t="s">
        <v>29</v>
      </c>
      <c r="G90" s="22" t="s">
        <v>86</v>
      </c>
      <c r="H90" s="22" t="s">
        <v>33</v>
      </c>
      <c r="I90" s="22">
        <v>2</v>
      </c>
      <c r="J90" s="22">
        <f t="shared" si="2"/>
        <v>9.1573724808138177</v>
      </c>
      <c r="K90" s="22">
        <v>0.28635642126552707</v>
      </c>
      <c r="L90" s="22" t="s">
        <v>31</v>
      </c>
      <c r="M90" s="22" t="s">
        <v>31</v>
      </c>
      <c r="N90" s="22" t="s">
        <v>31</v>
      </c>
      <c r="Q90" s="22" t="s">
        <v>101</v>
      </c>
    </row>
    <row r="91" spans="1:24">
      <c r="A91" s="22" t="s">
        <v>105</v>
      </c>
      <c r="B91" s="31">
        <v>896.41206277694573</v>
      </c>
      <c r="C91" s="31"/>
      <c r="D91" s="22" t="s">
        <v>50</v>
      </c>
      <c r="E91" s="22" t="s">
        <v>40</v>
      </c>
      <c r="F91" s="22" t="s">
        <v>29</v>
      </c>
      <c r="G91" s="22" t="s">
        <v>106</v>
      </c>
      <c r="H91" s="22" t="s">
        <v>33</v>
      </c>
      <c r="I91" s="22">
        <v>2</v>
      </c>
      <c r="J91" s="22">
        <f t="shared" si="2"/>
        <v>6.7984001987493761</v>
      </c>
      <c r="K91" s="22">
        <v>0.28635642126552707</v>
      </c>
      <c r="L91" s="22" t="s">
        <v>31</v>
      </c>
      <c r="M91" s="22" t="s">
        <v>31</v>
      </c>
      <c r="N91" s="22" t="s">
        <v>31</v>
      </c>
      <c r="Q91" s="22" t="s">
        <v>101</v>
      </c>
      <c r="S91" s="31">
        <v>9536.8359640062845</v>
      </c>
      <c r="T91" s="22" t="s">
        <v>104</v>
      </c>
      <c r="U91" s="22">
        <f>S91/0.277778</f>
        <v>34332.58200435702</v>
      </c>
      <c r="V91" s="22" t="s">
        <v>103</v>
      </c>
      <c r="W91" s="22">
        <f>U91/38.3</f>
        <v>896.41206277694573</v>
      </c>
      <c r="X91" s="22" t="s">
        <v>108</v>
      </c>
    </row>
    <row r="92" spans="1:24">
      <c r="A92" s="22" t="s">
        <v>123</v>
      </c>
      <c r="B92" s="31">
        <v>4284.7930147617762</v>
      </c>
      <c r="C92" s="31"/>
      <c r="D92" s="22" t="s">
        <v>124</v>
      </c>
      <c r="E92" s="22" t="s">
        <v>40</v>
      </c>
      <c r="F92" s="22" t="s">
        <v>29</v>
      </c>
      <c r="G92" s="22" t="s">
        <v>86</v>
      </c>
      <c r="H92" s="22" t="s">
        <v>33</v>
      </c>
      <c r="I92" s="22">
        <v>2</v>
      </c>
      <c r="J92" s="22">
        <f t="shared" si="2"/>
        <v>8.3628275252588224</v>
      </c>
      <c r="K92" s="22">
        <v>0.28635642126552707</v>
      </c>
      <c r="L92" s="22" t="s">
        <v>31</v>
      </c>
      <c r="M92" s="22" t="s">
        <v>31</v>
      </c>
      <c r="N92" s="22" t="s">
        <v>31</v>
      </c>
      <c r="Q92" s="22" t="s">
        <v>101</v>
      </c>
      <c r="S92" s="31">
        <v>1190.2212340544968</v>
      </c>
      <c r="T92" s="22" t="s">
        <v>104</v>
      </c>
      <c r="U92" s="22">
        <f>S92/0.277778</f>
        <v>4284.7930147617762</v>
      </c>
      <c r="V92" s="22" t="s">
        <v>103</v>
      </c>
    </row>
    <row r="93" spans="1:24">
      <c r="A93" s="22" t="s">
        <v>344</v>
      </c>
      <c r="B93" s="31">
        <v>202.78673993348707</v>
      </c>
      <c r="C93" s="31"/>
      <c r="D93" s="22" t="s">
        <v>39</v>
      </c>
      <c r="E93" s="22" t="s">
        <v>40</v>
      </c>
      <c r="F93" s="22" t="s">
        <v>29</v>
      </c>
      <c r="G93" s="22" t="s">
        <v>86</v>
      </c>
      <c r="H93" s="22" t="s">
        <v>33</v>
      </c>
      <c r="I93" s="22">
        <v>2</v>
      </c>
      <c r="J93" s="22">
        <f t="shared" si="2"/>
        <v>5.3121548846359818</v>
      </c>
      <c r="K93" s="22">
        <v>0.28635642126552707</v>
      </c>
      <c r="L93" s="22" t="s">
        <v>31</v>
      </c>
      <c r="M93" s="22" t="s">
        <v>31</v>
      </c>
      <c r="N93" s="22" t="s">
        <v>31</v>
      </c>
      <c r="Q93" s="22" t="s">
        <v>101</v>
      </c>
      <c r="S93" s="31">
        <v>2523.5703380269392</v>
      </c>
      <c r="T93" s="22" t="s">
        <v>104</v>
      </c>
      <c r="U93" s="22">
        <f>S93/0.277778</f>
        <v>9084.8459490202204</v>
      </c>
      <c r="V93" s="22" t="s">
        <v>103</v>
      </c>
      <c r="W93" s="22">
        <f>U93/44.8</f>
        <v>202.78673993348707</v>
      </c>
      <c r="X93" s="22" t="s">
        <v>111</v>
      </c>
    </row>
    <row r="94" spans="1:24">
      <c r="A94" s="22" t="s">
        <v>38</v>
      </c>
      <c r="B94" s="31">
        <v>400.32725574929185</v>
      </c>
      <c r="C94" s="31"/>
      <c r="D94" s="22" t="s">
        <v>39</v>
      </c>
      <c r="E94" s="22" t="s">
        <v>40</v>
      </c>
      <c r="F94" s="22" t="s">
        <v>29</v>
      </c>
      <c r="G94" s="22" t="s">
        <v>117</v>
      </c>
      <c r="H94" s="22" t="s">
        <v>33</v>
      </c>
      <c r="I94" s="22">
        <v>2</v>
      </c>
      <c r="J94" s="22">
        <f t="shared" si="2"/>
        <v>5.9922823519876234</v>
      </c>
      <c r="K94" s="22">
        <v>0.28635642126552707</v>
      </c>
      <c r="L94" s="22" t="s">
        <v>31</v>
      </c>
      <c r="M94" s="22" t="s">
        <v>31</v>
      </c>
      <c r="N94" s="22" t="s">
        <v>31</v>
      </c>
      <c r="Q94" s="22" t="s">
        <v>101</v>
      </c>
      <c r="S94" s="31">
        <v>5137.5372254757385</v>
      </c>
      <c r="T94" s="22" t="s">
        <v>104</v>
      </c>
      <c r="U94" s="22">
        <f>S94/0.277778</f>
        <v>18495.119215617284</v>
      </c>
      <c r="V94" s="22" t="s">
        <v>103</v>
      </c>
      <c r="W94" s="22">
        <f>U94/46.2</f>
        <v>400.32725574929185</v>
      </c>
      <c r="X94" s="22" t="s">
        <v>111</v>
      </c>
    </row>
    <row r="95" spans="1:24">
      <c r="A95" s="22" t="s">
        <v>59</v>
      </c>
      <c r="B95" s="31">
        <f>W95</f>
        <v>2.4653584664912409</v>
      </c>
      <c r="C95" s="31"/>
      <c r="D95" s="22" t="s">
        <v>39</v>
      </c>
      <c r="E95" s="22" t="s">
        <v>2</v>
      </c>
      <c r="F95" s="22" t="s">
        <v>29</v>
      </c>
      <c r="G95" s="22" t="s">
        <v>60</v>
      </c>
      <c r="H95" s="22" t="s">
        <v>33</v>
      </c>
      <c r="I95" s="22">
        <v>2</v>
      </c>
      <c r="J95" s="22">
        <f t="shared" si="2"/>
        <v>0.90233721943348455</v>
      </c>
      <c r="K95" s="22">
        <v>0.28635642126552707</v>
      </c>
      <c r="L95" s="22" t="s">
        <v>31</v>
      </c>
      <c r="M95" s="22" t="s">
        <v>31</v>
      </c>
      <c r="N95" s="22" t="s">
        <v>31</v>
      </c>
      <c r="Q95" s="22" t="s">
        <v>101</v>
      </c>
      <c r="R95" s="30"/>
      <c r="S95" s="31">
        <v>30.132183140620175</v>
      </c>
      <c r="T95" s="22" t="s">
        <v>104</v>
      </c>
      <c r="U95" s="22">
        <f>S95/0.277778</f>
        <v>108.4757725256146</v>
      </c>
      <c r="V95" s="22" t="s">
        <v>103</v>
      </c>
      <c r="W95" s="22">
        <f>U95/44</f>
        <v>2.4653584664912409</v>
      </c>
      <c r="X95" s="22" t="s">
        <v>111</v>
      </c>
    </row>
    <row r="96" spans="1:24">
      <c r="A96" s="22" t="s">
        <v>242</v>
      </c>
      <c r="B96" s="31">
        <v>23139.443138205563</v>
      </c>
      <c r="C96" s="31"/>
      <c r="D96" s="22" t="s">
        <v>39</v>
      </c>
      <c r="E96" s="22" t="s">
        <v>40</v>
      </c>
      <c r="F96" s="22" t="s">
        <v>29</v>
      </c>
      <c r="G96" s="22" t="s">
        <v>86</v>
      </c>
      <c r="H96" s="22" t="s">
        <v>33</v>
      </c>
      <c r="I96" s="22">
        <v>2</v>
      </c>
      <c r="J96" s="22">
        <f t="shared" si="2"/>
        <v>10.049293935557738</v>
      </c>
      <c r="K96" s="22">
        <v>0.28635642126552707</v>
      </c>
      <c r="L96" s="22" t="s">
        <v>31</v>
      </c>
      <c r="M96" s="22" t="s">
        <v>31</v>
      </c>
      <c r="N96" s="22" t="s">
        <v>31</v>
      </c>
      <c r="Q96" s="22" t="s">
        <v>101</v>
      </c>
    </row>
    <row r="97" spans="1:17">
      <c r="A97" s="32" t="s">
        <v>243</v>
      </c>
      <c r="B97" s="31">
        <v>21.625476121642269</v>
      </c>
      <c r="C97" s="31"/>
      <c r="D97" s="22" t="s">
        <v>50</v>
      </c>
      <c r="E97" s="22" t="s">
        <v>40</v>
      </c>
      <c r="F97" s="22" t="s">
        <v>29</v>
      </c>
      <c r="G97" s="32" t="s">
        <v>117</v>
      </c>
      <c r="H97" s="22" t="s">
        <v>33</v>
      </c>
      <c r="I97" s="22">
        <v>2</v>
      </c>
      <c r="J97" s="22">
        <f t="shared" si="2"/>
        <v>3.0738720697613382</v>
      </c>
      <c r="K97" s="22">
        <v>0.28635642126552707</v>
      </c>
      <c r="L97" s="22" t="s">
        <v>31</v>
      </c>
      <c r="M97" s="22" t="s">
        <v>31</v>
      </c>
      <c r="N97" s="22" t="s">
        <v>31</v>
      </c>
      <c r="Q97" s="22" t="s">
        <v>101</v>
      </c>
    </row>
    <row r="98" spans="1:17">
      <c r="A98" s="22" t="s">
        <v>245</v>
      </c>
      <c r="B98" s="31">
        <v>524.75196939390037</v>
      </c>
      <c r="C98" s="31"/>
      <c r="D98" s="22" t="s">
        <v>39</v>
      </c>
      <c r="E98" s="22" t="s">
        <v>40</v>
      </c>
      <c r="F98" s="22" t="s">
        <v>29</v>
      </c>
      <c r="G98" s="22" t="s">
        <v>117</v>
      </c>
      <c r="H98" s="22" t="s">
        <v>33</v>
      </c>
      <c r="I98" s="22">
        <v>2</v>
      </c>
      <c r="J98" s="22">
        <f t="shared" si="2"/>
        <v>6.262925711707326</v>
      </c>
      <c r="K98" s="22">
        <v>0.28635642126552707</v>
      </c>
      <c r="L98" s="22" t="s">
        <v>31</v>
      </c>
      <c r="M98" s="22" t="s">
        <v>31</v>
      </c>
      <c r="N98" s="22" t="s">
        <v>31</v>
      </c>
      <c r="Q98" s="22" t="s">
        <v>101</v>
      </c>
    </row>
    <row r="99" spans="1:17">
      <c r="A99" s="22" t="s">
        <v>48</v>
      </c>
      <c r="B99" s="31">
        <v>9858.7154773601742</v>
      </c>
      <c r="C99" s="31"/>
      <c r="D99" s="22" t="s">
        <v>39</v>
      </c>
      <c r="E99" s="22" t="s">
        <v>43</v>
      </c>
      <c r="F99" s="22" t="s">
        <v>44</v>
      </c>
      <c r="G99" s="22" t="s">
        <v>29</v>
      </c>
      <c r="H99" s="22" t="s">
        <v>45</v>
      </c>
      <c r="I99" s="22">
        <v>2</v>
      </c>
      <c r="J99" s="22">
        <f t="shared" si="2"/>
        <v>9.196111162980209</v>
      </c>
      <c r="K99" s="22">
        <v>0.28635642126552707</v>
      </c>
      <c r="L99" s="22" t="s">
        <v>31</v>
      </c>
      <c r="M99" s="22" t="s">
        <v>31</v>
      </c>
      <c r="N99" s="22" t="s">
        <v>31</v>
      </c>
      <c r="Q99" s="22" t="s">
        <v>101</v>
      </c>
    </row>
    <row r="100" spans="1:17">
      <c r="A100" s="22" t="s">
        <v>51</v>
      </c>
      <c r="B100" s="31">
        <v>0.10546264099217061</v>
      </c>
      <c r="C100" s="31"/>
      <c r="D100" s="22" t="s">
        <v>39</v>
      </c>
      <c r="E100" s="22" t="s">
        <v>43</v>
      </c>
      <c r="F100" s="22" t="s">
        <v>44</v>
      </c>
      <c r="G100" s="22" t="s">
        <v>29</v>
      </c>
      <c r="H100" s="22" t="s">
        <v>45</v>
      </c>
      <c r="I100" s="22">
        <v>2</v>
      </c>
      <c r="J100" s="22">
        <f t="shared" si="2"/>
        <v>-2.2493985025974075</v>
      </c>
      <c r="K100" s="22">
        <v>0.28635642126552707</v>
      </c>
      <c r="L100" s="22" t="s">
        <v>31</v>
      </c>
      <c r="M100" s="22" t="s">
        <v>31</v>
      </c>
      <c r="N100" s="22" t="s">
        <v>31</v>
      </c>
      <c r="Q100" s="22" t="s">
        <v>101</v>
      </c>
    </row>
    <row r="101" spans="1:17">
      <c r="A101" s="22" t="s">
        <v>42</v>
      </c>
      <c r="B101" s="22">
        <v>1.6723361643044194</v>
      </c>
      <c r="D101" s="22" t="s">
        <v>39</v>
      </c>
      <c r="E101" s="22" t="s">
        <v>43</v>
      </c>
      <c r="F101" s="22" t="s">
        <v>44</v>
      </c>
      <c r="G101" s="22" t="s">
        <v>29</v>
      </c>
      <c r="H101" s="22" t="s">
        <v>45</v>
      </c>
      <c r="I101" s="22">
        <v>2</v>
      </c>
      <c r="J101" s="22">
        <f t="shared" si="2"/>
        <v>0.51422154965961309</v>
      </c>
      <c r="K101" s="22">
        <v>0.28635642126552707</v>
      </c>
      <c r="L101" s="22" t="s">
        <v>31</v>
      </c>
      <c r="M101" s="22" t="s">
        <v>31</v>
      </c>
      <c r="N101" s="22" t="s">
        <v>31</v>
      </c>
      <c r="Q101" s="22" t="s">
        <v>101</v>
      </c>
    </row>
    <row r="102" spans="1:17">
      <c r="A102" s="22" t="s">
        <v>244</v>
      </c>
      <c r="B102" s="22">
        <v>7.9172311201979504</v>
      </c>
      <c r="D102" s="22" t="s">
        <v>39</v>
      </c>
      <c r="E102" s="22" t="s">
        <v>43</v>
      </c>
      <c r="F102" s="22" t="s">
        <v>44</v>
      </c>
      <c r="G102" s="22" t="s">
        <v>29</v>
      </c>
      <c r="H102" s="22" t="s">
        <v>45</v>
      </c>
      <c r="I102" s="22">
        <v>2</v>
      </c>
      <c r="J102" s="22">
        <f t="shared" si="2"/>
        <v>2.0690415386642851</v>
      </c>
      <c r="K102" s="22">
        <v>0.28635642126552707</v>
      </c>
      <c r="L102" s="22" t="s">
        <v>31</v>
      </c>
      <c r="M102" s="22" t="s">
        <v>31</v>
      </c>
      <c r="N102" s="22" t="s">
        <v>31</v>
      </c>
      <c r="Q102" s="22" t="s">
        <v>101</v>
      </c>
    </row>
    <row r="103" spans="1:17" s="29" customFormat="1">
      <c r="A103" s="27" t="s">
        <v>5</v>
      </c>
      <c r="B103" s="27" t="s">
        <v>349</v>
      </c>
      <c r="C103" s="27"/>
      <c r="D103" s="28"/>
      <c r="Q103" s="29" t="s">
        <v>101</v>
      </c>
    </row>
    <row r="104" spans="1:17">
      <c r="A104" s="22" t="s">
        <v>7</v>
      </c>
      <c r="B104" s="22" t="s">
        <v>95</v>
      </c>
      <c r="Q104" s="22" t="s">
        <v>101</v>
      </c>
    </row>
    <row r="105" spans="1:17">
      <c r="A105" s="22" t="s">
        <v>9</v>
      </c>
      <c r="B105" s="22" t="s">
        <v>372</v>
      </c>
      <c r="Q105" s="22" t="s">
        <v>101</v>
      </c>
    </row>
    <row r="106" spans="1:17">
      <c r="A106" s="22" t="s">
        <v>11</v>
      </c>
      <c r="B106" s="22" t="s">
        <v>373</v>
      </c>
      <c r="Q106" s="22" t="s">
        <v>101</v>
      </c>
    </row>
    <row r="107" spans="1:17">
      <c r="A107" s="22" t="s">
        <v>13</v>
      </c>
      <c r="B107" s="22" t="s">
        <v>86</v>
      </c>
      <c r="Q107" s="22" t="s">
        <v>101</v>
      </c>
    </row>
    <row r="108" spans="1:17">
      <c r="A108" s="22" t="s">
        <v>15</v>
      </c>
      <c r="B108" s="22">
        <v>1</v>
      </c>
      <c r="Q108" s="22" t="s">
        <v>101</v>
      </c>
    </row>
    <row r="109" spans="1:17">
      <c r="A109" s="22" t="s">
        <v>16</v>
      </c>
      <c r="B109" s="22" t="s">
        <v>17</v>
      </c>
      <c r="Q109" s="22" t="s">
        <v>101</v>
      </c>
    </row>
    <row r="110" spans="1:17">
      <c r="A110" s="22" t="s">
        <v>18</v>
      </c>
      <c r="B110" s="22" t="s">
        <v>18</v>
      </c>
      <c r="E110" s="22" t="s">
        <v>90</v>
      </c>
      <c r="Q110" s="22" t="s">
        <v>101</v>
      </c>
    </row>
    <row r="111" spans="1:17">
      <c r="A111" s="24" t="s">
        <v>19</v>
      </c>
      <c r="Q111" s="22" t="s">
        <v>101</v>
      </c>
    </row>
    <row r="112" spans="1:17">
      <c r="A112" s="24" t="s">
        <v>20</v>
      </c>
      <c r="B112" s="24" t="s">
        <v>21</v>
      </c>
      <c r="C112" s="24" t="s">
        <v>73</v>
      </c>
      <c r="D112" s="24" t="s">
        <v>18</v>
      </c>
      <c r="E112" s="24" t="s">
        <v>22</v>
      </c>
      <c r="F112" s="24" t="s">
        <v>7</v>
      </c>
      <c r="G112" s="24" t="s">
        <v>13</v>
      </c>
      <c r="H112" s="24" t="s">
        <v>16</v>
      </c>
      <c r="I112" s="24" t="s">
        <v>23</v>
      </c>
      <c r="J112" s="24" t="s">
        <v>24</v>
      </c>
      <c r="K112" s="24" t="s">
        <v>25</v>
      </c>
      <c r="L112" s="24" t="s">
        <v>26</v>
      </c>
      <c r="M112" s="24" t="s">
        <v>27</v>
      </c>
      <c r="N112" s="24" t="s">
        <v>28</v>
      </c>
      <c r="O112" s="24" t="s">
        <v>11</v>
      </c>
      <c r="P112" s="24" t="s">
        <v>337</v>
      </c>
      <c r="Q112" s="22" t="s">
        <v>101</v>
      </c>
    </row>
    <row r="113" spans="1:24">
      <c r="A113" s="22" t="s">
        <v>349</v>
      </c>
      <c r="B113" s="50">
        <v>1</v>
      </c>
      <c r="C113" s="50"/>
      <c r="D113" s="22" t="s">
        <v>18</v>
      </c>
      <c r="E113" s="22" t="s">
        <v>2</v>
      </c>
      <c r="F113" s="22" t="s">
        <v>29</v>
      </c>
      <c r="G113" s="22" t="s">
        <v>86</v>
      </c>
      <c r="H113" s="22" t="s">
        <v>30</v>
      </c>
      <c r="I113" s="22">
        <v>1</v>
      </c>
      <c r="J113" s="22">
        <v>1</v>
      </c>
      <c r="K113" s="22" t="s">
        <v>31</v>
      </c>
      <c r="L113" s="22" t="s">
        <v>31</v>
      </c>
      <c r="M113" s="22" t="s">
        <v>31</v>
      </c>
      <c r="N113" s="22" t="s">
        <v>31</v>
      </c>
      <c r="Q113" s="22" t="s">
        <v>101</v>
      </c>
    </row>
    <row r="114" spans="1:24">
      <c r="A114" s="34" t="s">
        <v>250</v>
      </c>
      <c r="B114" s="26">
        <v>115.464</v>
      </c>
      <c r="C114" s="26"/>
      <c r="D114" s="26" t="s">
        <v>39</v>
      </c>
      <c r="E114" s="26" t="s">
        <v>40</v>
      </c>
      <c r="F114" s="26" t="s">
        <v>29</v>
      </c>
      <c r="G114" s="26" t="s">
        <v>86</v>
      </c>
      <c r="H114" s="26" t="s">
        <v>33</v>
      </c>
      <c r="I114" s="26">
        <v>2</v>
      </c>
      <c r="J114" s="26">
        <f t="shared" ref="J114:J136" si="3">LN(B114)</f>
        <v>4.7489587930652624</v>
      </c>
      <c r="K114" s="26">
        <v>0.30331501776206199</v>
      </c>
      <c r="L114" s="26" t="s">
        <v>31</v>
      </c>
      <c r="M114" s="26" t="s">
        <v>31</v>
      </c>
      <c r="N114" s="26" t="s">
        <v>31</v>
      </c>
      <c r="O114" s="26" t="s">
        <v>352</v>
      </c>
      <c r="P114" s="22" t="s">
        <v>101</v>
      </c>
      <c r="Q114" s="22" t="s">
        <v>101</v>
      </c>
    </row>
    <row r="115" spans="1:24">
      <c r="A115" s="34" t="s">
        <v>374</v>
      </c>
      <c r="B115" s="26">
        <v>721.62113399999998</v>
      </c>
      <c r="C115" s="26"/>
      <c r="D115" s="26" t="s">
        <v>39</v>
      </c>
      <c r="E115" s="26" t="s">
        <v>40</v>
      </c>
      <c r="F115" s="26" t="s">
        <v>29</v>
      </c>
      <c r="G115" s="26" t="s">
        <v>86</v>
      </c>
      <c r="H115" s="26" t="s">
        <v>33</v>
      </c>
      <c r="I115" s="26">
        <v>2</v>
      </c>
      <c r="J115" s="26">
        <f t="shared" si="3"/>
        <v>6.5815002560135509</v>
      </c>
      <c r="K115" s="26">
        <v>0.30331501776206199</v>
      </c>
      <c r="L115" s="26" t="s">
        <v>31</v>
      </c>
      <c r="M115" s="26" t="s">
        <v>31</v>
      </c>
      <c r="N115" s="26" t="s">
        <v>31</v>
      </c>
      <c r="O115" s="26" t="s">
        <v>352</v>
      </c>
      <c r="P115" s="22" t="s">
        <v>375</v>
      </c>
      <c r="Q115" s="22" t="s">
        <v>101</v>
      </c>
    </row>
    <row r="116" spans="1:24">
      <c r="A116" s="34" t="s">
        <v>248</v>
      </c>
      <c r="B116" s="26">
        <v>202.06200000000001</v>
      </c>
      <c r="C116" s="26"/>
      <c r="D116" s="26" t="s">
        <v>39</v>
      </c>
      <c r="E116" s="26" t="s">
        <v>40</v>
      </c>
      <c r="F116" s="26" t="s">
        <v>29</v>
      </c>
      <c r="G116" s="26" t="s">
        <v>86</v>
      </c>
      <c r="H116" s="26" t="s">
        <v>33</v>
      </c>
      <c r="I116" s="26">
        <v>2</v>
      </c>
      <c r="J116" s="26">
        <f t="shared" si="3"/>
        <v>5.308574581000685</v>
      </c>
      <c r="K116" s="26">
        <v>0.30331501776206199</v>
      </c>
      <c r="L116" s="26" t="s">
        <v>31</v>
      </c>
      <c r="M116" s="26" t="s">
        <v>31</v>
      </c>
      <c r="N116" s="26" t="s">
        <v>31</v>
      </c>
      <c r="O116" s="26" t="s">
        <v>352</v>
      </c>
      <c r="P116" s="22" t="s">
        <v>376</v>
      </c>
      <c r="Q116" s="22" t="s">
        <v>101</v>
      </c>
    </row>
    <row r="117" spans="1:24">
      <c r="A117" s="51" t="s">
        <v>377</v>
      </c>
      <c r="B117" s="52">
        <v>38.488</v>
      </c>
      <c r="C117" s="52"/>
      <c r="D117" s="53" t="s">
        <v>39</v>
      </c>
      <c r="E117" s="53" t="s">
        <v>40</v>
      </c>
      <c r="F117" s="53" t="s">
        <v>29</v>
      </c>
      <c r="G117" s="53" t="s">
        <v>117</v>
      </c>
      <c r="H117" s="53" t="s">
        <v>33</v>
      </c>
      <c r="I117" s="53">
        <v>2</v>
      </c>
      <c r="J117" s="53">
        <f t="shared" si="3"/>
        <v>3.6503465043971524</v>
      </c>
      <c r="K117" s="53">
        <v>0.30331501776206199</v>
      </c>
      <c r="L117" s="53" t="s">
        <v>31</v>
      </c>
      <c r="M117" s="53" t="s">
        <v>31</v>
      </c>
      <c r="N117" s="53" t="s">
        <v>31</v>
      </c>
      <c r="O117" s="53" t="s">
        <v>99</v>
      </c>
      <c r="P117" s="54" t="s">
        <v>378</v>
      </c>
      <c r="Q117" s="22" t="s">
        <v>101</v>
      </c>
    </row>
    <row r="118" spans="1:24">
      <c r="A118" s="36" t="s">
        <v>97</v>
      </c>
      <c r="B118" s="37">
        <f>U118</f>
        <v>12065.449198351638</v>
      </c>
      <c r="C118" s="37"/>
      <c r="D118" s="38" t="s">
        <v>98</v>
      </c>
      <c r="E118" s="38" t="s">
        <v>40</v>
      </c>
      <c r="F118" s="38" t="s">
        <v>29</v>
      </c>
      <c r="G118" s="38" t="s">
        <v>86</v>
      </c>
      <c r="H118" s="38" t="s">
        <v>33</v>
      </c>
      <c r="I118" s="38">
        <v>2</v>
      </c>
      <c r="J118" s="38">
        <f>LN(B118)</f>
        <v>9.3981012088912639</v>
      </c>
      <c r="K118" s="38">
        <v>0.30331501776206199</v>
      </c>
      <c r="L118" s="38" t="s">
        <v>31</v>
      </c>
      <c r="M118" s="38" t="s">
        <v>31</v>
      </c>
      <c r="N118" s="38" t="s">
        <v>31</v>
      </c>
      <c r="O118" s="38" t="s">
        <v>99</v>
      </c>
      <c r="P118" s="39" t="s">
        <v>361</v>
      </c>
      <c r="Q118" s="22" t="s">
        <v>101</v>
      </c>
      <c r="R118" s="22" t="s">
        <v>102</v>
      </c>
      <c r="S118" s="22">
        <f>114*0.6*B120</f>
        <v>43435.582365599999</v>
      </c>
      <c r="T118" s="22" t="s">
        <v>103</v>
      </c>
      <c r="U118" s="22">
        <f>S118*0.277778</f>
        <v>12065.449198351638</v>
      </c>
      <c r="V118" s="22" t="s">
        <v>104</v>
      </c>
    </row>
    <row r="119" spans="1:24">
      <c r="A119" s="40" t="s">
        <v>105</v>
      </c>
      <c r="B119" s="41">
        <f>U119</f>
        <v>756.0588749451698</v>
      </c>
      <c r="C119" s="41"/>
      <c r="D119" s="25" t="s">
        <v>50</v>
      </c>
      <c r="E119" s="25" t="s">
        <v>40</v>
      </c>
      <c r="F119" s="25" t="s">
        <v>29</v>
      </c>
      <c r="G119" s="25" t="s">
        <v>106</v>
      </c>
      <c r="H119" s="25" t="s">
        <v>33</v>
      </c>
      <c r="I119" s="25">
        <v>2</v>
      </c>
      <c r="J119" s="25">
        <f t="shared" ref="J119" si="4">LN(B119)</f>
        <v>6.6281192500588837</v>
      </c>
      <c r="K119" s="25">
        <v>0.30331501776206199</v>
      </c>
      <c r="L119" s="25" t="s">
        <v>31</v>
      </c>
      <c r="M119" s="25" t="s">
        <v>31</v>
      </c>
      <c r="N119" s="25" t="s">
        <v>31</v>
      </c>
      <c r="O119" s="25" t="s">
        <v>99</v>
      </c>
      <c r="P119" s="43" t="s">
        <v>362</v>
      </c>
      <c r="Q119" s="22" t="s">
        <v>101</v>
      </c>
      <c r="R119" s="22" t="s">
        <v>107</v>
      </c>
      <c r="S119" s="22">
        <f>114*0.4*B120</f>
        <v>28957.054910400002</v>
      </c>
      <c r="T119" s="22" t="s">
        <v>103</v>
      </c>
      <c r="U119" s="22">
        <f>S119/38.3</f>
        <v>756.0588749451698</v>
      </c>
      <c r="V119" s="22" t="s">
        <v>108</v>
      </c>
    </row>
    <row r="120" spans="1:24">
      <c r="A120" s="44" t="s">
        <v>374</v>
      </c>
      <c r="B120" s="55">
        <v>635.02313400000003</v>
      </c>
      <c r="C120" s="55"/>
      <c r="D120" s="46" t="s">
        <v>39</v>
      </c>
      <c r="E120" s="46" t="s">
        <v>40</v>
      </c>
      <c r="F120" s="46" t="s">
        <v>29</v>
      </c>
      <c r="G120" s="46" t="s">
        <v>86</v>
      </c>
      <c r="H120" s="46" t="s">
        <v>110</v>
      </c>
      <c r="I120" s="46">
        <v>2</v>
      </c>
      <c r="J120" s="46">
        <f t="shared" si="3"/>
        <v>6.4536614297251438</v>
      </c>
      <c r="K120" s="46">
        <v>0.30331501776206199</v>
      </c>
      <c r="L120" s="46" t="s">
        <v>31</v>
      </c>
      <c r="M120" s="46" t="s">
        <v>31</v>
      </c>
      <c r="N120" s="46" t="s">
        <v>31</v>
      </c>
      <c r="O120" s="46" t="s">
        <v>99</v>
      </c>
      <c r="P120" s="47" t="s">
        <v>379</v>
      </c>
      <c r="Q120" s="22" t="s">
        <v>101</v>
      </c>
    </row>
    <row r="121" spans="1:24">
      <c r="A121" s="36" t="s">
        <v>131</v>
      </c>
      <c r="B121" s="56">
        <v>173.196</v>
      </c>
      <c r="C121" s="56"/>
      <c r="D121" s="38" t="s">
        <v>39</v>
      </c>
      <c r="E121" s="38" t="s">
        <v>40</v>
      </c>
      <c r="F121" s="38" t="s">
        <v>29</v>
      </c>
      <c r="G121" s="38" t="s">
        <v>117</v>
      </c>
      <c r="H121" s="38" t="s">
        <v>33</v>
      </c>
      <c r="I121" s="38">
        <v>2</v>
      </c>
      <c r="J121" s="38">
        <f t="shared" si="3"/>
        <v>5.154423901173427</v>
      </c>
      <c r="K121" s="38">
        <v>0.30331501776206199</v>
      </c>
      <c r="L121" s="38" t="s">
        <v>31</v>
      </c>
      <c r="M121" s="38" t="s">
        <v>31</v>
      </c>
      <c r="N121" s="38" t="s">
        <v>31</v>
      </c>
      <c r="O121" s="38" t="s">
        <v>99</v>
      </c>
      <c r="P121" s="39" t="s">
        <v>380</v>
      </c>
      <c r="Q121" s="22" t="s">
        <v>101</v>
      </c>
    </row>
    <row r="122" spans="1:24">
      <c r="A122" s="40" t="s">
        <v>133</v>
      </c>
      <c r="B122" s="57">
        <v>173.196</v>
      </c>
      <c r="C122" s="22" t="s">
        <v>134</v>
      </c>
      <c r="D122" s="25" t="s">
        <v>39</v>
      </c>
      <c r="E122" s="25" t="s">
        <v>40</v>
      </c>
      <c r="F122" s="25" t="s">
        <v>29</v>
      </c>
      <c r="G122" s="25" t="s">
        <v>117</v>
      </c>
      <c r="H122" s="25" t="s">
        <v>33</v>
      </c>
      <c r="I122" s="25">
        <v>2</v>
      </c>
      <c r="J122" s="25">
        <f t="shared" si="3"/>
        <v>5.154423901173427</v>
      </c>
      <c r="K122" s="25">
        <v>0.30331501776206199</v>
      </c>
      <c r="L122" s="25" t="s">
        <v>31</v>
      </c>
      <c r="M122" s="25" t="s">
        <v>31</v>
      </c>
      <c r="N122" s="25" t="s">
        <v>31</v>
      </c>
      <c r="O122" s="25" t="s">
        <v>99</v>
      </c>
      <c r="P122" s="43" t="s">
        <v>380</v>
      </c>
      <c r="Q122" s="22" t="s">
        <v>101</v>
      </c>
    </row>
    <row r="123" spans="1:24">
      <c r="A123" s="44" t="s">
        <v>248</v>
      </c>
      <c r="B123" s="55">
        <v>173.196</v>
      </c>
      <c r="C123" s="55"/>
      <c r="D123" s="46" t="s">
        <v>39</v>
      </c>
      <c r="E123" s="46" t="s">
        <v>40</v>
      </c>
      <c r="F123" s="46" t="s">
        <v>29</v>
      </c>
      <c r="G123" s="46" t="s">
        <v>86</v>
      </c>
      <c r="H123" s="46" t="s">
        <v>110</v>
      </c>
      <c r="I123" s="46">
        <v>2</v>
      </c>
      <c r="J123" s="46">
        <f t="shared" si="3"/>
        <v>5.154423901173427</v>
      </c>
      <c r="K123" s="46">
        <v>0.30331501776206199</v>
      </c>
      <c r="L123" s="46" t="s">
        <v>31</v>
      </c>
      <c r="M123" s="46" t="s">
        <v>31</v>
      </c>
      <c r="N123" s="46" t="s">
        <v>31</v>
      </c>
      <c r="O123" s="46" t="s">
        <v>99</v>
      </c>
      <c r="P123" s="47" t="s">
        <v>381</v>
      </c>
      <c r="Q123" s="22" t="s">
        <v>101</v>
      </c>
      <c r="S123" s="24" t="s">
        <v>342</v>
      </c>
    </row>
    <row r="124" spans="1:24">
      <c r="A124" s="22" t="s">
        <v>97</v>
      </c>
      <c r="B124" s="31">
        <v>7701.8103226827643</v>
      </c>
      <c r="C124" s="31"/>
      <c r="D124" s="22" t="s">
        <v>98</v>
      </c>
      <c r="E124" s="22" t="s">
        <v>40</v>
      </c>
      <c r="F124" s="22" t="s">
        <v>29</v>
      </c>
      <c r="G124" s="22" t="s">
        <v>86</v>
      </c>
      <c r="H124" s="22" t="s">
        <v>33</v>
      </c>
      <c r="I124" s="22">
        <v>2</v>
      </c>
      <c r="J124" s="22">
        <f t="shared" si="3"/>
        <v>8.9492106870504102</v>
      </c>
      <c r="K124" s="22">
        <v>0.28635642126552707</v>
      </c>
      <c r="L124" s="22" t="s">
        <v>31</v>
      </c>
      <c r="M124" s="22" t="s">
        <v>31</v>
      </c>
      <c r="N124" s="22" t="s">
        <v>31</v>
      </c>
      <c r="Q124" s="22" t="s">
        <v>101</v>
      </c>
    </row>
    <row r="125" spans="1:24">
      <c r="A125" s="22" t="s">
        <v>105</v>
      </c>
      <c r="B125" s="31">
        <v>727.95439717096644</v>
      </c>
      <c r="C125" s="31"/>
      <c r="D125" s="22" t="s">
        <v>50</v>
      </c>
      <c r="E125" s="22" t="s">
        <v>40</v>
      </c>
      <c r="F125" s="22" t="s">
        <v>29</v>
      </c>
      <c r="G125" s="22" t="s">
        <v>106</v>
      </c>
      <c r="H125" s="22" t="s">
        <v>33</v>
      </c>
      <c r="I125" s="22">
        <v>2</v>
      </c>
      <c r="J125" s="22">
        <f t="shared" si="3"/>
        <v>6.5902384049859686</v>
      </c>
      <c r="K125" s="22">
        <v>0.28635642126552707</v>
      </c>
      <c r="L125" s="22" t="s">
        <v>31</v>
      </c>
      <c r="M125" s="22" t="s">
        <v>31</v>
      </c>
      <c r="N125" s="22" t="s">
        <v>31</v>
      </c>
      <c r="Q125" s="22" t="s">
        <v>101</v>
      </c>
      <c r="S125" s="31">
        <v>7744.6321433807616</v>
      </c>
      <c r="T125" s="22" t="s">
        <v>104</v>
      </c>
      <c r="U125" s="22">
        <f>S125/0.277778</f>
        <v>27880.653411648011</v>
      </c>
      <c r="V125" s="22" t="s">
        <v>103</v>
      </c>
      <c r="W125" s="22">
        <f>U125/38.3</f>
        <v>727.95439717096644</v>
      </c>
      <c r="X125" s="22" t="s">
        <v>108</v>
      </c>
    </row>
    <row r="126" spans="1:24">
      <c r="A126" s="22" t="s">
        <v>123</v>
      </c>
      <c r="B126" s="31">
        <v>3479.5760181993564</v>
      </c>
      <c r="C126" s="31"/>
      <c r="D126" s="22" t="s">
        <v>124</v>
      </c>
      <c r="E126" s="22" t="s">
        <v>40</v>
      </c>
      <c r="F126" s="22" t="s">
        <v>29</v>
      </c>
      <c r="G126" s="22" t="s">
        <v>86</v>
      </c>
      <c r="H126" s="22" t="s">
        <v>33</v>
      </c>
      <c r="I126" s="22">
        <v>2</v>
      </c>
      <c r="J126" s="22">
        <f t="shared" si="3"/>
        <v>8.1546657314954132</v>
      </c>
      <c r="K126" s="22">
        <v>0.28635642126552707</v>
      </c>
      <c r="L126" s="22" t="s">
        <v>31</v>
      </c>
      <c r="M126" s="22" t="s">
        <v>31</v>
      </c>
      <c r="N126" s="22" t="s">
        <v>31</v>
      </c>
      <c r="Q126" s="22" t="s">
        <v>101</v>
      </c>
      <c r="S126" s="31">
        <v>966.54966718338096</v>
      </c>
      <c r="T126" s="22" t="s">
        <v>104</v>
      </c>
      <c r="U126" s="22">
        <f>S126/0.277778</f>
        <v>3479.5760181993564</v>
      </c>
      <c r="V126" s="22" t="s">
        <v>103</v>
      </c>
    </row>
    <row r="127" spans="1:24">
      <c r="A127" s="22" t="s">
        <v>344</v>
      </c>
      <c r="B127" s="31">
        <v>164.67817106927899</v>
      </c>
      <c r="C127" s="31"/>
      <c r="D127" s="22" t="s">
        <v>39</v>
      </c>
      <c r="E127" s="22" t="s">
        <v>40</v>
      </c>
      <c r="F127" s="22" t="s">
        <v>29</v>
      </c>
      <c r="G127" s="22" t="s">
        <v>86</v>
      </c>
      <c r="H127" s="22" t="s">
        <v>33</v>
      </c>
      <c r="I127" s="22">
        <v>2</v>
      </c>
      <c r="J127" s="22">
        <f t="shared" si="3"/>
        <v>5.1039930908725744</v>
      </c>
      <c r="K127" s="22">
        <v>0.28635642126552702</v>
      </c>
      <c r="L127" s="22" t="s">
        <v>31</v>
      </c>
      <c r="M127" s="22" t="s">
        <v>31</v>
      </c>
      <c r="N127" s="22" t="s">
        <v>31</v>
      </c>
      <c r="Q127" s="22" t="s">
        <v>101</v>
      </c>
      <c r="S127" s="31">
        <v>2049.3299905470417</v>
      </c>
      <c r="T127" s="22" t="s">
        <v>104</v>
      </c>
      <c r="U127" s="22">
        <f>S127/0.277778</f>
        <v>7377.5820639036983</v>
      </c>
      <c r="V127" s="22" t="s">
        <v>103</v>
      </c>
      <c r="W127" s="22">
        <f>U127/44.8</f>
        <v>164.67817106927899</v>
      </c>
      <c r="X127" s="22" t="s">
        <v>111</v>
      </c>
    </row>
    <row r="128" spans="1:24">
      <c r="A128" s="22" t="s">
        <v>38</v>
      </c>
      <c r="B128" s="31">
        <v>325.09601134472587</v>
      </c>
      <c r="C128" s="31"/>
      <c r="D128" s="22" t="s">
        <v>39</v>
      </c>
      <c r="E128" s="22" t="s">
        <v>40</v>
      </c>
      <c r="F128" s="22" t="s">
        <v>29</v>
      </c>
      <c r="G128" s="22" t="s">
        <v>117</v>
      </c>
      <c r="H128" s="22" t="s">
        <v>33</v>
      </c>
      <c r="I128" s="22">
        <v>2</v>
      </c>
      <c r="J128" s="22">
        <f t="shared" si="3"/>
        <v>5.7841205582242159</v>
      </c>
      <c r="K128" s="22">
        <v>0.28635642126552707</v>
      </c>
      <c r="L128" s="22" t="s">
        <v>31</v>
      </c>
      <c r="M128" s="22" t="s">
        <v>31</v>
      </c>
      <c r="N128" s="22" t="s">
        <v>31</v>
      </c>
      <c r="Q128" s="22" t="s">
        <v>101</v>
      </c>
      <c r="S128" s="31">
        <v>4172.0688165763659</v>
      </c>
      <c r="T128" s="22" t="s">
        <v>104</v>
      </c>
      <c r="U128" s="22">
        <f>S128/0.277778</f>
        <v>15019.435724126337</v>
      </c>
      <c r="V128" s="22" t="s">
        <v>103</v>
      </c>
      <c r="W128" s="22">
        <f>U128/46.2</f>
        <v>325.09601134472587</v>
      </c>
      <c r="X128" s="22" t="s">
        <v>111</v>
      </c>
    </row>
    <row r="129" spans="1:24">
      <c r="A129" s="22" t="s">
        <v>59</v>
      </c>
      <c r="B129" s="31">
        <f>W129</f>
        <v>2.0020575478707463</v>
      </c>
      <c r="C129" s="31"/>
      <c r="D129" s="22" t="s">
        <v>39</v>
      </c>
      <c r="E129" s="22" t="s">
        <v>2</v>
      </c>
      <c r="F129" s="22" t="s">
        <v>29</v>
      </c>
      <c r="G129" s="22" t="s">
        <v>60</v>
      </c>
      <c r="H129" s="22" t="s">
        <v>33</v>
      </c>
      <c r="I129" s="22">
        <v>2</v>
      </c>
      <c r="J129" s="22">
        <f t="shared" si="3"/>
        <v>0.69417542567007673</v>
      </c>
      <c r="K129" s="22">
        <v>0.28635642126552707</v>
      </c>
      <c r="L129" s="22" t="s">
        <v>31</v>
      </c>
      <c r="M129" s="22" t="s">
        <v>31</v>
      </c>
      <c r="N129" s="22" t="s">
        <v>31</v>
      </c>
      <c r="Q129" s="22" t="s">
        <v>101</v>
      </c>
      <c r="R129" s="30"/>
      <c r="S129" s="31">
        <v>24.469611827427368</v>
      </c>
      <c r="T129" s="22" t="s">
        <v>104</v>
      </c>
      <c r="U129" s="22">
        <f>S129/0.277778</f>
        <v>88.090532106312835</v>
      </c>
      <c r="V129" s="22" t="s">
        <v>103</v>
      </c>
      <c r="W129" s="22">
        <f>U129/44</f>
        <v>2.0020575478707463</v>
      </c>
      <c r="X129" s="22" t="s">
        <v>111</v>
      </c>
    </row>
    <row r="130" spans="1:24">
      <c r="A130" s="22" t="s">
        <v>242</v>
      </c>
      <c r="B130" s="31">
        <v>18790.978033431144</v>
      </c>
      <c r="C130" s="31"/>
      <c r="D130" s="22" t="s">
        <v>39</v>
      </c>
      <c r="E130" s="22" t="s">
        <v>40</v>
      </c>
      <c r="F130" s="22" t="s">
        <v>29</v>
      </c>
      <c r="G130" s="22" t="s">
        <v>86</v>
      </c>
      <c r="H130" s="22" t="s">
        <v>33</v>
      </c>
      <c r="I130" s="22">
        <v>2</v>
      </c>
      <c r="J130" s="22">
        <f t="shared" si="3"/>
        <v>9.8411321417943309</v>
      </c>
      <c r="K130" s="22">
        <v>0.28635642126552707</v>
      </c>
      <c r="L130" s="22" t="s">
        <v>31</v>
      </c>
      <c r="M130" s="22" t="s">
        <v>31</v>
      </c>
      <c r="N130" s="22" t="s">
        <v>31</v>
      </c>
      <c r="Q130" s="22" t="s">
        <v>101</v>
      </c>
    </row>
    <row r="131" spans="1:24">
      <c r="A131" s="32" t="s">
        <v>243</v>
      </c>
      <c r="B131" s="31">
        <v>17.561522303590866</v>
      </c>
      <c r="C131" s="31"/>
      <c r="D131" s="22" t="s">
        <v>50</v>
      </c>
      <c r="E131" s="22" t="s">
        <v>40</v>
      </c>
      <c r="F131" s="22" t="s">
        <v>29</v>
      </c>
      <c r="G131" s="32" t="s">
        <v>117</v>
      </c>
      <c r="H131" s="22" t="s">
        <v>33</v>
      </c>
      <c r="I131" s="22">
        <v>2</v>
      </c>
      <c r="J131" s="22">
        <f t="shared" si="3"/>
        <v>2.8657102759979303</v>
      </c>
      <c r="K131" s="22">
        <v>0.28635642126552707</v>
      </c>
      <c r="L131" s="22" t="s">
        <v>31</v>
      </c>
      <c r="M131" s="22" t="s">
        <v>31</v>
      </c>
      <c r="N131" s="22" t="s">
        <v>31</v>
      </c>
      <c r="Q131" s="22" t="s">
        <v>101</v>
      </c>
    </row>
    <row r="132" spans="1:24">
      <c r="A132" s="22" t="s">
        <v>245</v>
      </c>
      <c r="B132" s="31">
        <v>426.13828997464759</v>
      </c>
      <c r="C132" s="31"/>
      <c r="D132" s="22" t="s">
        <v>39</v>
      </c>
      <c r="E132" s="22" t="s">
        <v>40</v>
      </c>
      <c r="F132" s="22" t="s">
        <v>29</v>
      </c>
      <c r="G132" s="22" t="s">
        <v>117</v>
      </c>
      <c r="H132" s="22" t="s">
        <v>33</v>
      </c>
      <c r="I132" s="22">
        <v>2</v>
      </c>
      <c r="J132" s="22">
        <f t="shared" si="3"/>
        <v>6.0547639179439177</v>
      </c>
      <c r="K132" s="22">
        <v>0.28635642126552707</v>
      </c>
      <c r="L132" s="22" t="s">
        <v>31</v>
      </c>
      <c r="M132" s="22" t="s">
        <v>31</v>
      </c>
      <c r="N132" s="22" t="s">
        <v>31</v>
      </c>
      <c r="Q132" s="22" t="s">
        <v>101</v>
      </c>
    </row>
    <row r="133" spans="1:24">
      <c r="A133" s="22" t="s">
        <v>48</v>
      </c>
      <c r="B133" s="31">
        <v>8006.0226543242979</v>
      </c>
      <c r="C133" s="31"/>
      <c r="D133" s="22" t="s">
        <v>39</v>
      </c>
      <c r="E133" s="22" t="s">
        <v>43</v>
      </c>
      <c r="F133" s="22" t="s">
        <v>44</v>
      </c>
      <c r="G133" s="22" t="s">
        <v>29</v>
      </c>
      <c r="H133" s="22" t="s">
        <v>45</v>
      </c>
      <c r="I133" s="22">
        <v>2</v>
      </c>
      <c r="J133" s="22">
        <f t="shared" si="3"/>
        <v>8.9879493692168015</v>
      </c>
      <c r="K133" s="22">
        <v>0.28635642126552707</v>
      </c>
      <c r="L133" s="22" t="s">
        <v>31</v>
      </c>
      <c r="M133" s="22" t="s">
        <v>31</v>
      </c>
      <c r="N133" s="22" t="s">
        <v>31</v>
      </c>
      <c r="Q133" s="22" t="s">
        <v>101</v>
      </c>
    </row>
    <row r="134" spans="1:24">
      <c r="A134" s="22" t="s">
        <v>51</v>
      </c>
      <c r="B134" s="31">
        <v>8.5643641395995784E-2</v>
      </c>
      <c r="C134" s="31"/>
      <c r="D134" s="22" t="s">
        <v>39</v>
      </c>
      <c r="E134" s="22" t="s">
        <v>43</v>
      </c>
      <c r="F134" s="22" t="s">
        <v>44</v>
      </c>
      <c r="G134" s="22" t="s">
        <v>29</v>
      </c>
      <c r="H134" s="22" t="s">
        <v>45</v>
      </c>
      <c r="I134" s="22">
        <v>2</v>
      </c>
      <c r="J134" s="22">
        <f t="shared" si="3"/>
        <v>-2.4575602963608154</v>
      </c>
      <c r="K134" s="22">
        <v>0.28635642126552707</v>
      </c>
      <c r="L134" s="22" t="s">
        <v>31</v>
      </c>
      <c r="M134" s="22" t="s">
        <v>31</v>
      </c>
      <c r="N134" s="22" t="s">
        <v>31</v>
      </c>
      <c r="Q134" s="22" t="s">
        <v>101</v>
      </c>
    </row>
    <row r="135" spans="1:24">
      <c r="A135" s="22" t="s">
        <v>42</v>
      </c>
      <c r="B135" s="22">
        <v>1.3580634564222189</v>
      </c>
      <c r="D135" s="22" t="s">
        <v>39</v>
      </c>
      <c r="E135" s="22" t="s">
        <v>43</v>
      </c>
      <c r="F135" s="22" t="s">
        <v>44</v>
      </c>
      <c r="G135" s="22" t="s">
        <v>29</v>
      </c>
      <c r="H135" s="22" t="s">
        <v>45</v>
      </c>
      <c r="I135" s="22">
        <v>2</v>
      </c>
      <c r="J135" s="22">
        <f t="shared" si="3"/>
        <v>0.30605975589620538</v>
      </c>
      <c r="K135" s="22">
        <v>0.28635642126552707</v>
      </c>
      <c r="L135" s="22" t="s">
        <v>31</v>
      </c>
      <c r="M135" s="22" t="s">
        <v>31</v>
      </c>
      <c r="N135" s="22" t="s">
        <v>31</v>
      </c>
      <c r="Q135" s="22" t="s">
        <v>101</v>
      </c>
    </row>
    <row r="136" spans="1:24">
      <c r="A136" s="22" t="s">
        <v>244</v>
      </c>
      <c r="B136" s="22">
        <v>6.4293905076565405</v>
      </c>
      <c r="D136" s="22" t="s">
        <v>39</v>
      </c>
      <c r="E136" s="22" t="s">
        <v>43</v>
      </c>
      <c r="F136" s="22" t="s">
        <v>44</v>
      </c>
      <c r="G136" s="22" t="s">
        <v>29</v>
      </c>
      <c r="H136" s="22" t="s">
        <v>45</v>
      </c>
      <c r="I136" s="22">
        <v>2</v>
      </c>
      <c r="J136" s="22">
        <f t="shared" si="3"/>
        <v>1.8608797449008769</v>
      </c>
      <c r="K136" s="22">
        <v>0.28635642126552707</v>
      </c>
      <c r="L136" s="22" t="s">
        <v>31</v>
      </c>
      <c r="M136" s="22" t="s">
        <v>31</v>
      </c>
      <c r="N136" s="22" t="s">
        <v>31</v>
      </c>
      <c r="Q136" s="22" t="s">
        <v>101</v>
      </c>
    </row>
    <row r="137" spans="1:24" s="29" customFormat="1">
      <c r="A137" s="27" t="s">
        <v>5</v>
      </c>
      <c r="B137" s="27" t="s">
        <v>339</v>
      </c>
      <c r="C137" s="27"/>
      <c r="D137" s="28"/>
      <c r="Q137" s="29" t="s">
        <v>101</v>
      </c>
    </row>
    <row r="138" spans="1:24">
      <c r="A138" s="22" t="s">
        <v>7</v>
      </c>
      <c r="B138" s="22" t="s">
        <v>95</v>
      </c>
      <c r="Q138" s="22" t="s">
        <v>101</v>
      </c>
    </row>
    <row r="139" spans="1:24">
      <c r="A139" s="22" t="s">
        <v>9</v>
      </c>
      <c r="B139" s="22" t="s">
        <v>382</v>
      </c>
      <c r="Q139" s="22" t="s">
        <v>101</v>
      </c>
    </row>
    <row r="140" spans="1:24">
      <c r="A140" s="22" t="s">
        <v>11</v>
      </c>
      <c r="B140" s="22" t="s">
        <v>383</v>
      </c>
      <c r="Q140" s="22" t="s">
        <v>101</v>
      </c>
    </row>
    <row r="141" spans="1:24">
      <c r="A141" s="22" t="s">
        <v>13</v>
      </c>
      <c r="B141" s="22" t="s">
        <v>86</v>
      </c>
      <c r="Q141" s="22" t="s">
        <v>101</v>
      </c>
    </row>
    <row r="142" spans="1:24">
      <c r="A142" s="22" t="s">
        <v>15</v>
      </c>
      <c r="B142" s="22">
        <v>1</v>
      </c>
      <c r="Q142" s="22" t="s">
        <v>101</v>
      </c>
    </row>
    <row r="143" spans="1:24">
      <c r="A143" s="22" t="s">
        <v>16</v>
      </c>
      <c r="B143" s="22" t="s">
        <v>17</v>
      </c>
      <c r="Q143" s="22" t="s">
        <v>101</v>
      </c>
    </row>
    <row r="144" spans="1:24">
      <c r="A144" s="22" t="s">
        <v>18</v>
      </c>
      <c r="B144" s="22" t="s">
        <v>18</v>
      </c>
      <c r="E144" s="22" t="s">
        <v>90</v>
      </c>
      <c r="Q144" s="22" t="s">
        <v>101</v>
      </c>
    </row>
    <row r="145" spans="1:24">
      <c r="A145" s="24" t="s">
        <v>19</v>
      </c>
      <c r="Q145" s="22" t="s">
        <v>101</v>
      </c>
    </row>
    <row r="146" spans="1:24">
      <c r="A146" s="24" t="s">
        <v>20</v>
      </c>
      <c r="B146" s="24" t="s">
        <v>21</v>
      </c>
      <c r="C146" s="24" t="s">
        <v>73</v>
      </c>
      <c r="D146" s="24" t="s">
        <v>18</v>
      </c>
      <c r="E146" s="24" t="s">
        <v>22</v>
      </c>
      <c r="F146" s="24" t="s">
        <v>7</v>
      </c>
      <c r="G146" s="24" t="s">
        <v>13</v>
      </c>
      <c r="H146" s="24" t="s">
        <v>16</v>
      </c>
      <c r="I146" s="24" t="s">
        <v>23</v>
      </c>
      <c r="J146" s="24" t="s">
        <v>24</v>
      </c>
      <c r="K146" s="24" t="s">
        <v>25</v>
      </c>
      <c r="L146" s="24" t="s">
        <v>26</v>
      </c>
      <c r="M146" s="24" t="s">
        <v>27</v>
      </c>
      <c r="N146" s="24" t="s">
        <v>28</v>
      </c>
      <c r="O146" s="24" t="s">
        <v>11</v>
      </c>
      <c r="P146" s="24" t="s">
        <v>337</v>
      </c>
      <c r="Q146" s="22" t="s">
        <v>101</v>
      </c>
    </row>
    <row r="147" spans="1:24">
      <c r="A147" s="22" t="s">
        <v>339</v>
      </c>
      <c r="B147" s="22">
        <v>1</v>
      </c>
      <c r="D147" s="22" t="s">
        <v>18</v>
      </c>
      <c r="E147" s="22" t="s">
        <v>2</v>
      </c>
      <c r="F147" s="22" t="s">
        <v>29</v>
      </c>
      <c r="G147" s="22" t="s">
        <v>86</v>
      </c>
      <c r="H147" s="22" t="s">
        <v>30</v>
      </c>
      <c r="I147" s="22">
        <v>1</v>
      </c>
      <c r="J147" s="22">
        <v>1</v>
      </c>
      <c r="K147" s="22" t="s">
        <v>31</v>
      </c>
      <c r="L147" s="22" t="s">
        <v>31</v>
      </c>
      <c r="M147" s="22" t="s">
        <v>31</v>
      </c>
      <c r="N147" s="22" t="s">
        <v>31</v>
      </c>
      <c r="Q147" s="22" t="s">
        <v>101</v>
      </c>
    </row>
    <row r="148" spans="1:24">
      <c r="A148" s="34" t="s">
        <v>286</v>
      </c>
      <c r="B148" s="26">
        <v>677.08199999999999</v>
      </c>
      <c r="C148" s="26"/>
      <c r="D148" s="26" t="s">
        <v>39</v>
      </c>
      <c r="E148" s="26" t="s">
        <v>40</v>
      </c>
      <c r="F148" s="26" t="s">
        <v>29</v>
      </c>
      <c r="G148" s="26" t="s">
        <v>86</v>
      </c>
      <c r="H148" s="26" t="s">
        <v>33</v>
      </c>
      <c r="I148" s="26">
        <v>2</v>
      </c>
      <c r="J148" s="26">
        <f t="shared" ref="J148:J167" si="5">LN(B148)</f>
        <v>6.5177923881772299</v>
      </c>
      <c r="K148" s="26">
        <v>0.30331501776206199</v>
      </c>
      <c r="L148" s="26" t="s">
        <v>31</v>
      </c>
      <c r="M148" s="26" t="s">
        <v>31</v>
      </c>
      <c r="N148" s="26" t="s">
        <v>31</v>
      </c>
      <c r="O148" s="26" t="s">
        <v>352</v>
      </c>
      <c r="P148" s="22" t="s">
        <v>384</v>
      </c>
      <c r="Q148" s="22" t="s">
        <v>101</v>
      </c>
    </row>
    <row r="149" spans="1:24">
      <c r="A149" s="34" t="s">
        <v>248</v>
      </c>
      <c r="B149" s="26">
        <v>33.854099999999995</v>
      </c>
      <c r="C149" s="26"/>
      <c r="D149" s="26" t="s">
        <v>39</v>
      </c>
      <c r="E149" s="26" t="s">
        <v>40</v>
      </c>
      <c r="F149" s="26" t="s">
        <v>29</v>
      </c>
      <c r="G149" s="26" t="s">
        <v>86</v>
      </c>
      <c r="H149" s="26" t="s">
        <v>33</v>
      </c>
      <c r="I149" s="26">
        <v>2</v>
      </c>
      <c r="J149" s="26">
        <f t="shared" si="5"/>
        <v>3.5220601146232386</v>
      </c>
      <c r="K149" s="26">
        <v>0.30331501776206199</v>
      </c>
      <c r="L149" s="26" t="s">
        <v>31</v>
      </c>
      <c r="M149" s="26" t="s">
        <v>31</v>
      </c>
      <c r="N149" s="26" t="s">
        <v>31</v>
      </c>
      <c r="O149" s="26" t="s">
        <v>352</v>
      </c>
      <c r="P149" s="22" t="s">
        <v>385</v>
      </c>
      <c r="Q149" s="22" t="s">
        <v>101</v>
      </c>
    </row>
    <row r="150" spans="1:24">
      <c r="A150" s="36" t="s">
        <v>173</v>
      </c>
      <c r="B150" s="38">
        <v>592.44674999999995</v>
      </c>
      <c r="C150" s="38"/>
      <c r="D150" s="38" t="s">
        <v>39</v>
      </c>
      <c r="E150" s="38" t="s">
        <v>40</v>
      </c>
      <c r="F150" s="38" t="s">
        <v>29</v>
      </c>
      <c r="G150" s="38" t="s">
        <v>117</v>
      </c>
      <c r="H150" s="38" t="s">
        <v>33</v>
      </c>
      <c r="I150" s="38">
        <v>2</v>
      </c>
      <c r="J150" s="38">
        <f t="shared" si="5"/>
        <v>6.3842609955527072</v>
      </c>
      <c r="K150" s="38">
        <v>0.30331501776206199</v>
      </c>
      <c r="L150" s="38" t="s">
        <v>31</v>
      </c>
      <c r="M150" s="38" t="s">
        <v>31</v>
      </c>
      <c r="N150" s="38" t="s">
        <v>31</v>
      </c>
      <c r="O150" s="38" t="s">
        <v>99</v>
      </c>
      <c r="P150" s="39" t="s">
        <v>386</v>
      </c>
      <c r="Q150" s="22" t="s">
        <v>101</v>
      </c>
    </row>
    <row r="151" spans="1:24">
      <c r="A151" s="44" t="s">
        <v>286</v>
      </c>
      <c r="B151" s="46">
        <v>592.44674999999995</v>
      </c>
      <c r="C151" s="46"/>
      <c r="D151" s="46" t="s">
        <v>39</v>
      </c>
      <c r="E151" s="46" t="s">
        <v>40</v>
      </c>
      <c r="F151" s="46" t="s">
        <v>29</v>
      </c>
      <c r="G151" s="46" t="s">
        <v>86</v>
      </c>
      <c r="H151" s="46" t="s">
        <v>110</v>
      </c>
      <c r="I151" s="46">
        <v>2</v>
      </c>
      <c r="J151" s="46">
        <f t="shared" si="5"/>
        <v>6.3842609955527072</v>
      </c>
      <c r="K151" s="46">
        <v>0.30331501776206199</v>
      </c>
      <c r="L151" s="46" t="s">
        <v>31</v>
      </c>
      <c r="M151" s="46" t="s">
        <v>31</v>
      </c>
      <c r="N151" s="46" t="s">
        <v>31</v>
      </c>
      <c r="O151" s="46" t="s">
        <v>99</v>
      </c>
      <c r="P151" s="47" t="s">
        <v>387</v>
      </c>
      <c r="Q151" s="22" t="s">
        <v>101</v>
      </c>
    </row>
    <row r="152" spans="1:24">
      <c r="A152" s="36" t="s">
        <v>131</v>
      </c>
      <c r="B152" s="38">
        <v>5.6423500000000004</v>
      </c>
      <c r="C152" s="38"/>
      <c r="D152" s="38" t="s">
        <v>39</v>
      </c>
      <c r="E152" s="38" t="s">
        <v>40</v>
      </c>
      <c r="F152" s="38" t="s">
        <v>29</v>
      </c>
      <c r="G152" s="38" t="s">
        <v>117</v>
      </c>
      <c r="H152" s="38" t="s">
        <v>33</v>
      </c>
      <c r="I152" s="38">
        <v>2</v>
      </c>
      <c r="J152" s="38">
        <f t="shared" si="5"/>
        <v>1.7303006453951839</v>
      </c>
      <c r="K152" s="38">
        <v>0.30331501776206199</v>
      </c>
      <c r="L152" s="38" t="s">
        <v>31</v>
      </c>
      <c r="M152" s="38" t="s">
        <v>31</v>
      </c>
      <c r="N152" s="38" t="s">
        <v>31</v>
      </c>
      <c r="O152" s="38" t="s">
        <v>99</v>
      </c>
      <c r="P152" s="39" t="s">
        <v>388</v>
      </c>
      <c r="Q152" s="22" t="s">
        <v>101</v>
      </c>
    </row>
    <row r="153" spans="1:24">
      <c r="A153" s="40" t="s">
        <v>133</v>
      </c>
      <c r="B153" s="25">
        <v>5.6423500000000004</v>
      </c>
      <c r="C153" s="22" t="s">
        <v>134</v>
      </c>
      <c r="D153" s="25" t="s">
        <v>39</v>
      </c>
      <c r="E153" s="25" t="s">
        <v>40</v>
      </c>
      <c r="F153" s="25" t="s">
        <v>29</v>
      </c>
      <c r="G153" s="25" t="s">
        <v>117</v>
      </c>
      <c r="H153" s="25" t="s">
        <v>33</v>
      </c>
      <c r="I153" s="25">
        <v>2</v>
      </c>
      <c r="J153" s="25">
        <f t="shared" si="5"/>
        <v>1.7303006453951839</v>
      </c>
      <c r="K153" s="25">
        <v>0.30331501776206199</v>
      </c>
      <c r="L153" s="25" t="s">
        <v>31</v>
      </c>
      <c r="M153" s="25" t="s">
        <v>31</v>
      </c>
      <c r="N153" s="25" t="s">
        <v>31</v>
      </c>
      <c r="O153" s="25" t="s">
        <v>99</v>
      </c>
      <c r="P153" s="43" t="s">
        <v>388</v>
      </c>
      <c r="Q153" s="22" t="s">
        <v>101</v>
      </c>
    </row>
    <row r="154" spans="1:24">
      <c r="A154" s="44" t="s">
        <v>248</v>
      </c>
      <c r="B154" s="46">
        <v>5.6423500000000004</v>
      </c>
      <c r="C154" s="46"/>
      <c r="D154" s="46" t="s">
        <v>39</v>
      </c>
      <c r="E154" s="46" t="s">
        <v>40</v>
      </c>
      <c r="F154" s="46" t="s">
        <v>29</v>
      </c>
      <c r="G154" s="46" t="s">
        <v>86</v>
      </c>
      <c r="H154" s="46" t="s">
        <v>110</v>
      </c>
      <c r="I154" s="46">
        <v>2</v>
      </c>
      <c r="J154" s="46">
        <f t="shared" si="5"/>
        <v>1.7303006453951839</v>
      </c>
      <c r="K154" s="46">
        <v>0.30331501776206199</v>
      </c>
      <c r="L154" s="46" t="s">
        <v>31</v>
      </c>
      <c r="M154" s="46" t="s">
        <v>31</v>
      </c>
      <c r="N154" s="46" t="s">
        <v>31</v>
      </c>
      <c r="O154" s="46" t="s">
        <v>99</v>
      </c>
      <c r="P154" s="47" t="s">
        <v>389</v>
      </c>
      <c r="Q154" s="22" t="s">
        <v>101</v>
      </c>
      <c r="S154" s="24" t="s">
        <v>342</v>
      </c>
    </row>
    <row r="155" spans="1:24">
      <c r="A155" s="22" t="s">
        <v>97</v>
      </c>
      <c r="B155" s="31">
        <v>4516.3489372468403</v>
      </c>
      <c r="C155" s="31"/>
      <c r="D155" s="22" t="s">
        <v>98</v>
      </c>
      <c r="E155" s="22" t="s">
        <v>40</v>
      </c>
      <c r="F155" s="22" t="s">
        <v>29</v>
      </c>
      <c r="G155" s="22" t="s">
        <v>86</v>
      </c>
      <c r="H155" s="22" t="s">
        <v>33</v>
      </c>
      <c r="I155" s="22">
        <v>2</v>
      </c>
      <c r="J155" s="22">
        <f t="shared" si="5"/>
        <v>8.4154591891683328</v>
      </c>
      <c r="K155" s="22">
        <v>0.28635642126552707</v>
      </c>
      <c r="L155" s="22" t="s">
        <v>31</v>
      </c>
      <c r="M155" s="22" t="s">
        <v>31</v>
      </c>
      <c r="N155" s="22" t="s">
        <v>31</v>
      </c>
      <c r="Q155" s="22" t="s">
        <v>101</v>
      </c>
    </row>
    <row r="156" spans="1:24">
      <c r="A156" s="22" t="s">
        <v>105</v>
      </c>
      <c r="B156" s="31">
        <v>426.87315452895473</v>
      </c>
      <c r="C156" s="31"/>
      <c r="D156" s="22" t="s">
        <v>50</v>
      </c>
      <c r="E156" s="22" t="s">
        <v>40</v>
      </c>
      <c r="F156" s="22" t="s">
        <v>29</v>
      </c>
      <c r="G156" s="22" t="s">
        <v>106</v>
      </c>
      <c r="H156" s="22" t="s">
        <v>33</v>
      </c>
      <c r="I156" s="22">
        <v>2</v>
      </c>
      <c r="J156" s="22">
        <f t="shared" si="5"/>
        <v>6.0564869071038903</v>
      </c>
      <c r="K156" s="22">
        <v>0.28635642126552707</v>
      </c>
      <c r="L156" s="22" t="s">
        <v>31</v>
      </c>
      <c r="M156" s="22" t="s">
        <v>31</v>
      </c>
      <c r="N156" s="22" t="s">
        <v>31</v>
      </c>
      <c r="Q156" s="22" t="s">
        <v>101</v>
      </c>
      <c r="S156" s="31">
        <v>4541.4596938478944</v>
      </c>
      <c r="T156" s="22" t="s">
        <v>104</v>
      </c>
      <c r="U156" s="22">
        <f>S156/0.277778</f>
        <v>16349.241818458964</v>
      </c>
      <c r="V156" s="22" t="s">
        <v>103</v>
      </c>
      <c r="W156" s="22">
        <f>U156/38.3</f>
        <v>426.87315452895473</v>
      </c>
      <c r="X156" s="22" t="s">
        <v>108</v>
      </c>
    </row>
    <row r="157" spans="1:24">
      <c r="A157" s="22" t="s">
        <v>123</v>
      </c>
      <c r="B157" s="22">
        <v>2040.426704041482</v>
      </c>
      <c r="D157" s="22" t="s">
        <v>124</v>
      </c>
      <c r="E157" s="22" t="s">
        <v>40</v>
      </c>
      <c r="F157" s="22" t="s">
        <v>29</v>
      </c>
      <c r="G157" s="22" t="s">
        <v>86</v>
      </c>
      <c r="H157" s="22" t="s">
        <v>33</v>
      </c>
      <c r="I157" s="22">
        <v>2</v>
      </c>
      <c r="J157" s="22">
        <f t="shared" si="5"/>
        <v>7.6209142336133358</v>
      </c>
      <c r="K157" s="22">
        <v>0.28635642126552707</v>
      </c>
      <c r="L157" s="22" t="s">
        <v>31</v>
      </c>
      <c r="M157" s="22" t="s">
        <v>31</v>
      </c>
      <c r="N157" s="22" t="s">
        <v>31</v>
      </c>
      <c r="Q157" s="22" t="s">
        <v>101</v>
      </c>
      <c r="S157" s="31">
        <v>566.78564899523485</v>
      </c>
      <c r="T157" s="22" t="s">
        <v>104</v>
      </c>
      <c r="U157" s="22">
        <f>S157/0.277778</f>
        <v>2040.426704041482</v>
      </c>
      <c r="V157" s="22" t="s">
        <v>103</v>
      </c>
    </row>
    <row r="158" spans="1:24">
      <c r="A158" s="22" t="s">
        <v>344</v>
      </c>
      <c r="B158" s="31">
        <v>96.567436970769748</v>
      </c>
      <c r="C158" s="31"/>
      <c r="D158" s="22" t="s">
        <v>39</v>
      </c>
      <c r="E158" s="22" t="s">
        <v>40</v>
      </c>
      <c r="F158" s="22" t="s">
        <v>29</v>
      </c>
      <c r="G158" s="22" t="s">
        <v>86</v>
      </c>
      <c r="H158" s="22" t="s">
        <v>33</v>
      </c>
      <c r="I158" s="22">
        <v>2</v>
      </c>
      <c r="J158" s="22">
        <f t="shared" si="5"/>
        <v>4.570241592990496</v>
      </c>
      <c r="K158" s="22">
        <v>0.28635642126552707</v>
      </c>
      <c r="L158" s="22" t="s">
        <v>31</v>
      </c>
      <c r="M158" s="22" t="s">
        <v>31</v>
      </c>
      <c r="N158" s="22" t="s">
        <v>31</v>
      </c>
      <c r="Q158" s="22" t="s">
        <v>101</v>
      </c>
      <c r="S158" s="31">
        <v>1201.7290659076182</v>
      </c>
      <c r="T158" s="22" t="s">
        <v>104</v>
      </c>
      <c r="U158" s="22">
        <f>S158/0.277778</f>
        <v>4326.2211762904844</v>
      </c>
      <c r="V158" s="22" t="s">
        <v>103</v>
      </c>
      <c r="W158" s="22">
        <f>U158/44.8</f>
        <v>96.567436970769748</v>
      </c>
      <c r="X158" s="22" t="s">
        <v>111</v>
      </c>
    </row>
    <row r="159" spans="1:24">
      <c r="A159" s="22" t="s">
        <v>38</v>
      </c>
      <c r="B159" s="31">
        <v>190.63661189055435</v>
      </c>
      <c r="C159" s="31"/>
      <c r="D159" s="22" t="s">
        <v>39</v>
      </c>
      <c r="E159" s="22" t="s">
        <v>40</v>
      </c>
      <c r="F159" s="22" t="s">
        <v>29</v>
      </c>
      <c r="G159" s="22" t="s">
        <v>117</v>
      </c>
      <c r="H159" s="22" t="s">
        <v>33</v>
      </c>
      <c r="I159" s="22">
        <v>2</v>
      </c>
      <c r="J159" s="22">
        <f t="shared" si="5"/>
        <v>5.2503690603421376</v>
      </c>
      <c r="K159" s="22">
        <v>0.28635642126552707</v>
      </c>
      <c r="L159" s="22" t="s">
        <v>31</v>
      </c>
      <c r="M159" s="22" t="s">
        <v>31</v>
      </c>
      <c r="N159" s="22" t="s">
        <v>31</v>
      </c>
      <c r="Q159" s="22" t="s">
        <v>101</v>
      </c>
      <c r="S159" s="31">
        <v>2446.50514313133</v>
      </c>
      <c r="T159" s="22" t="s">
        <v>104</v>
      </c>
      <c r="U159" s="22">
        <f>S159/0.277778</f>
        <v>8807.4114693436113</v>
      </c>
      <c r="V159" s="22" t="s">
        <v>103</v>
      </c>
      <c r="W159" s="22">
        <f>U159/46.2</f>
        <v>190.63661189055435</v>
      </c>
      <c r="X159" s="22" t="s">
        <v>111</v>
      </c>
    </row>
    <row r="160" spans="1:24">
      <c r="A160" s="22" t="s">
        <v>59</v>
      </c>
      <c r="B160" s="31">
        <f>W160</f>
        <v>1.1740084603230623</v>
      </c>
      <c r="C160" s="31"/>
      <c r="D160" s="22" t="s">
        <v>39</v>
      </c>
      <c r="E160" s="22" t="s">
        <v>2</v>
      </c>
      <c r="F160" s="22" t="s">
        <v>29</v>
      </c>
      <c r="G160" s="22" t="s">
        <v>60</v>
      </c>
      <c r="H160" s="22" t="s">
        <v>33</v>
      </c>
      <c r="I160" s="22">
        <v>2</v>
      </c>
      <c r="J160" s="22">
        <f t="shared" si="5"/>
        <v>0.16042392778799852</v>
      </c>
      <c r="K160" s="22">
        <v>0.28635642126552707</v>
      </c>
      <c r="L160" s="22" t="s">
        <v>31</v>
      </c>
      <c r="M160" s="22" t="s">
        <v>31</v>
      </c>
      <c r="N160" s="22" t="s">
        <v>31</v>
      </c>
      <c r="Q160" s="22" t="s">
        <v>101</v>
      </c>
      <c r="R160" s="30"/>
      <c r="S160" s="31">
        <v>14.349003772031262</v>
      </c>
      <c r="T160" s="22" t="s">
        <v>104</v>
      </c>
      <c r="U160" s="22">
        <f>S160/0.277778</f>
        <v>51.656372254214737</v>
      </c>
      <c r="V160" s="22" t="s">
        <v>103</v>
      </c>
      <c r="W160" s="22">
        <f>U160/44</f>
        <v>1.1740084603230623</v>
      </c>
      <c r="X160" s="22" t="s">
        <v>111</v>
      </c>
    </row>
    <row r="161" spans="1:17">
      <c r="A161" s="22" t="s">
        <v>242</v>
      </c>
      <c r="B161" s="31">
        <v>11019.047485650615</v>
      </c>
      <c r="C161" s="31"/>
      <c r="D161" s="22" t="s">
        <v>39</v>
      </c>
      <c r="E161" s="22" t="s">
        <v>40</v>
      </c>
      <c r="F161" s="22" t="s">
        <v>29</v>
      </c>
      <c r="G161" s="22" t="s">
        <v>86</v>
      </c>
      <c r="H161" s="22" t="s">
        <v>33</v>
      </c>
      <c r="I161" s="22">
        <v>2</v>
      </c>
      <c r="J161" s="22">
        <f t="shared" si="5"/>
        <v>9.3073806439122535</v>
      </c>
      <c r="K161" s="22">
        <v>0.28635642126552707</v>
      </c>
      <c r="L161" s="22" t="s">
        <v>31</v>
      </c>
      <c r="M161" s="22" t="s">
        <v>31</v>
      </c>
      <c r="N161" s="22" t="s">
        <v>31</v>
      </c>
      <c r="Q161" s="22" t="s">
        <v>101</v>
      </c>
    </row>
    <row r="162" spans="1:17">
      <c r="A162" s="32" t="s">
        <v>243</v>
      </c>
      <c r="B162" s="31">
        <v>10.2980934701378</v>
      </c>
      <c r="C162" s="31"/>
      <c r="D162" s="22" t="s">
        <v>50</v>
      </c>
      <c r="E162" s="22" t="s">
        <v>40</v>
      </c>
      <c r="F162" s="22" t="s">
        <v>29</v>
      </c>
      <c r="G162" s="32" t="s">
        <v>117</v>
      </c>
      <c r="H162" s="22" t="s">
        <v>33</v>
      </c>
      <c r="I162" s="22">
        <v>2</v>
      </c>
      <c r="J162" s="22">
        <f t="shared" si="5"/>
        <v>2.3319587781158519</v>
      </c>
      <c r="K162" s="22">
        <v>0.28635642126552707</v>
      </c>
      <c r="L162" s="22" t="s">
        <v>31</v>
      </c>
      <c r="M162" s="22" t="s">
        <v>31</v>
      </c>
      <c r="N162" s="22" t="s">
        <v>31</v>
      </c>
      <c r="Q162" s="22" t="s">
        <v>101</v>
      </c>
    </row>
    <row r="163" spans="1:17">
      <c r="A163" s="22" t="s">
        <v>245</v>
      </c>
      <c r="B163" s="31">
        <v>249.88790068992444</v>
      </c>
      <c r="C163" s="31"/>
      <c r="D163" s="22" t="s">
        <v>39</v>
      </c>
      <c r="E163" s="22" t="s">
        <v>40</v>
      </c>
      <c r="F163" s="22" t="s">
        <v>29</v>
      </c>
      <c r="G163" s="22" t="s">
        <v>117</v>
      </c>
      <c r="H163" s="22" t="s">
        <v>33</v>
      </c>
      <c r="I163" s="22">
        <v>2</v>
      </c>
      <c r="J163" s="22">
        <f t="shared" si="5"/>
        <v>5.5210124200618402</v>
      </c>
      <c r="K163" s="22">
        <v>0.28635642126552707</v>
      </c>
      <c r="L163" s="22" t="s">
        <v>31</v>
      </c>
      <c r="M163" s="22" t="s">
        <v>31</v>
      </c>
      <c r="N163" s="22" t="s">
        <v>31</v>
      </c>
      <c r="Q163" s="22" t="s">
        <v>101</v>
      </c>
    </row>
    <row r="164" spans="1:17">
      <c r="A164" s="22" t="s">
        <v>48</v>
      </c>
      <c r="B164" s="31">
        <v>4694.7393393916755</v>
      </c>
      <c r="C164" s="31"/>
      <c r="D164" s="22" t="s">
        <v>39</v>
      </c>
      <c r="E164" s="22" t="s">
        <v>43</v>
      </c>
      <c r="F164" s="22" t="s">
        <v>44</v>
      </c>
      <c r="G164" s="22" t="s">
        <v>29</v>
      </c>
      <c r="H164" s="22" t="s">
        <v>45</v>
      </c>
      <c r="I164" s="22">
        <v>2</v>
      </c>
      <c r="J164" s="22">
        <f t="shared" si="5"/>
        <v>8.4541978713347223</v>
      </c>
      <c r="K164" s="22">
        <v>0.28635642126552707</v>
      </c>
      <c r="L164" s="22" t="s">
        <v>31</v>
      </c>
      <c r="M164" s="22" t="s">
        <v>31</v>
      </c>
      <c r="N164" s="22" t="s">
        <v>31</v>
      </c>
      <c r="Q164" s="22" t="s">
        <v>101</v>
      </c>
    </row>
    <row r="165" spans="1:17">
      <c r="A165" s="22" t="s">
        <v>51</v>
      </c>
      <c r="B165" s="31">
        <v>5.0221513202109422E-2</v>
      </c>
      <c r="C165" s="31"/>
      <c r="D165" s="22" t="s">
        <v>39</v>
      </c>
      <c r="E165" s="22" t="s">
        <v>43</v>
      </c>
      <c r="F165" s="22" t="s">
        <v>44</v>
      </c>
      <c r="G165" s="22" t="s">
        <v>29</v>
      </c>
      <c r="H165" s="22" t="s">
        <v>45</v>
      </c>
      <c r="I165" s="22">
        <v>2</v>
      </c>
      <c r="J165" s="22">
        <f t="shared" si="5"/>
        <v>-2.9913117942428937</v>
      </c>
      <c r="K165" s="22">
        <v>0.28635642126552707</v>
      </c>
      <c r="L165" s="22" t="s">
        <v>31</v>
      </c>
      <c r="M165" s="22" t="s">
        <v>31</v>
      </c>
      <c r="N165" s="22" t="s">
        <v>31</v>
      </c>
      <c r="Q165" s="22" t="s">
        <v>101</v>
      </c>
    </row>
    <row r="166" spans="1:17">
      <c r="A166" s="22" t="s">
        <v>42</v>
      </c>
      <c r="B166" s="22">
        <v>0.79636970934773499</v>
      </c>
      <c r="D166" s="22" t="s">
        <v>39</v>
      </c>
      <c r="E166" s="22" t="s">
        <v>43</v>
      </c>
      <c r="F166" s="22" t="s">
        <v>44</v>
      </c>
      <c r="G166" s="22" t="s">
        <v>29</v>
      </c>
      <c r="H166" s="22" t="s">
        <v>45</v>
      </c>
      <c r="I166" s="22">
        <v>2</v>
      </c>
      <c r="J166" s="22">
        <f t="shared" si="5"/>
        <v>-0.22769174198587291</v>
      </c>
      <c r="K166" s="22">
        <v>0.28635642126552707</v>
      </c>
      <c r="L166" s="22" t="s">
        <v>31</v>
      </c>
      <c r="M166" s="22" t="s">
        <v>31</v>
      </c>
      <c r="N166" s="22" t="s">
        <v>31</v>
      </c>
      <c r="Q166" s="22" t="s">
        <v>101</v>
      </c>
    </row>
    <row r="167" spans="1:17">
      <c r="A167" s="22" t="s">
        <v>244</v>
      </c>
      <c r="B167" s="22">
        <v>3.7702007411012142</v>
      </c>
      <c r="D167" s="22" t="s">
        <v>39</v>
      </c>
      <c r="E167" s="22" t="s">
        <v>43</v>
      </c>
      <c r="F167" s="22" t="s">
        <v>44</v>
      </c>
      <c r="G167" s="22" t="s">
        <v>29</v>
      </c>
      <c r="H167" s="22" t="s">
        <v>45</v>
      </c>
      <c r="I167" s="22">
        <v>2</v>
      </c>
      <c r="J167" s="22">
        <f t="shared" si="5"/>
        <v>1.3271282470187988</v>
      </c>
      <c r="K167" s="22">
        <v>0.28635642126552702</v>
      </c>
      <c r="L167" s="22" t="s">
        <v>31</v>
      </c>
      <c r="M167" s="22" t="s">
        <v>31</v>
      </c>
      <c r="N167" s="22" t="s">
        <v>31</v>
      </c>
      <c r="Q167" s="22" t="s">
        <v>101</v>
      </c>
    </row>
    <row r="168" spans="1:17" s="29" customFormat="1">
      <c r="A168" s="27" t="s">
        <v>5</v>
      </c>
      <c r="B168" s="27" t="s">
        <v>340</v>
      </c>
      <c r="C168" s="27"/>
      <c r="D168" s="28"/>
      <c r="Q168" s="29" t="s">
        <v>101</v>
      </c>
    </row>
    <row r="169" spans="1:17">
      <c r="A169" s="22" t="s">
        <v>7</v>
      </c>
      <c r="B169" s="22" t="s">
        <v>95</v>
      </c>
      <c r="Q169" s="22" t="s">
        <v>101</v>
      </c>
    </row>
    <row r="170" spans="1:17">
      <c r="A170" s="22" t="s">
        <v>9</v>
      </c>
      <c r="B170" s="22" t="s">
        <v>390</v>
      </c>
      <c r="Q170" s="22" t="s">
        <v>101</v>
      </c>
    </row>
    <row r="171" spans="1:17">
      <c r="A171" s="22" t="s">
        <v>11</v>
      </c>
      <c r="B171" s="22" t="s">
        <v>391</v>
      </c>
      <c r="Q171" s="22" t="s">
        <v>101</v>
      </c>
    </row>
    <row r="172" spans="1:17">
      <c r="A172" s="22" t="s">
        <v>13</v>
      </c>
      <c r="B172" s="22" t="s">
        <v>86</v>
      </c>
      <c r="Q172" s="22" t="s">
        <v>101</v>
      </c>
    </row>
    <row r="173" spans="1:17">
      <c r="A173" s="22" t="s">
        <v>15</v>
      </c>
      <c r="B173" s="22">
        <v>1</v>
      </c>
      <c r="Q173" s="22" t="s">
        <v>101</v>
      </c>
    </row>
    <row r="174" spans="1:17">
      <c r="A174" s="22" t="s">
        <v>16</v>
      </c>
      <c r="B174" s="22" t="s">
        <v>17</v>
      </c>
      <c r="Q174" s="22" t="s">
        <v>101</v>
      </c>
    </row>
    <row r="175" spans="1:17">
      <c r="A175" s="22" t="s">
        <v>18</v>
      </c>
      <c r="B175" s="22" t="s">
        <v>18</v>
      </c>
      <c r="E175" s="22" t="s">
        <v>90</v>
      </c>
      <c r="Q175" s="22" t="s">
        <v>101</v>
      </c>
    </row>
    <row r="176" spans="1:17">
      <c r="A176" s="24" t="s">
        <v>19</v>
      </c>
      <c r="Q176" s="22" t="s">
        <v>101</v>
      </c>
    </row>
    <row r="177" spans="1:24">
      <c r="A177" s="24" t="s">
        <v>20</v>
      </c>
      <c r="B177" s="24" t="s">
        <v>21</v>
      </c>
      <c r="C177" s="24" t="s">
        <v>73</v>
      </c>
      <c r="D177" s="24" t="s">
        <v>18</v>
      </c>
      <c r="E177" s="24" t="s">
        <v>22</v>
      </c>
      <c r="F177" s="24" t="s">
        <v>7</v>
      </c>
      <c r="G177" s="24" t="s">
        <v>13</v>
      </c>
      <c r="H177" s="24" t="s">
        <v>16</v>
      </c>
      <c r="I177" s="24" t="s">
        <v>23</v>
      </c>
      <c r="J177" s="24" t="s">
        <v>24</v>
      </c>
      <c r="K177" s="24" t="s">
        <v>25</v>
      </c>
      <c r="L177" s="24" t="s">
        <v>26</v>
      </c>
      <c r="M177" s="24" t="s">
        <v>27</v>
      </c>
      <c r="N177" s="24" t="s">
        <v>28</v>
      </c>
      <c r="O177" s="24" t="s">
        <v>11</v>
      </c>
      <c r="P177" s="24" t="s">
        <v>337</v>
      </c>
      <c r="Q177" s="22" t="s">
        <v>101</v>
      </c>
    </row>
    <row r="178" spans="1:24">
      <c r="A178" s="30" t="s">
        <v>340</v>
      </c>
      <c r="B178" s="50">
        <v>1</v>
      </c>
      <c r="C178" s="50"/>
      <c r="D178" s="22" t="s">
        <v>18</v>
      </c>
      <c r="E178" s="22" t="s">
        <v>2</v>
      </c>
      <c r="F178" s="22" t="s">
        <v>29</v>
      </c>
      <c r="G178" s="26" t="s">
        <v>86</v>
      </c>
      <c r="H178" s="22" t="s">
        <v>30</v>
      </c>
      <c r="I178" s="22">
        <v>1</v>
      </c>
      <c r="J178" s="22">
        <v>1</v>
      </c>
      <c r="K178" s="22" t="s">
        <v>31</v>
      </c>
      <c r="L178" s="22" t="s">
        <v>31</v>
      </c>
      <c r="M178" s="22" t="s">
        <v>31</v>
      </c>
      <c r="N178" s="22" t="s">
        <v>31</v>
      </c>
      <c r="Q178" s="22" t="s">
        <v>101</v>
      </c>
    </row>
    <row r="179" spans="1:24">
      <c r="A179" s="34" t="s">
        <v>250</v>
      </c>
      <c r="B179" s="58">
        <v>50.077500000000008</v>
      </c>
      <c r="C179" s="58"/>
      <c r="D179" s="26" t="s">
        <v>39</v>
      </c>
      <c r="E179" s="26" t="s">
        <v>40</v>
      </c>
      <c r="F179" s="26" t="s">
        <v>29</v>
      </c>
      <c r="G179" s="26" t="s">
        <v>86</v>
      </c>
      <c r="H179" s="26" t="s">
        <v>33</v>
      </c>
      <c r="I179" s="26">
        <v>2</v>
      </c>
      <c r="J179" s="26">
        <f t="shared" ref="J179:J200" si="6">LN(B179)</f>
        <v>3.9135718054179969</v>
      </c>
      <c r="K179" s="26">
        <v>0.30331501776206199</v>
      </c>
      <c r="L179" s="26" t="s">
        <v>31</v>
      </c>
      <c r="M179" s="26" t="s">
        <v>31</v>
      </c>
      <c r="N179" s="26" t="s">
        <v>31</v>
      </c>
      <c r="O179" s="26" t="s">
        <v>352</v>
      </c>
      <c r="P179" s="22" t="s">
        <v>392</v>
      </c>
      <c r="Q179" s="22" t="s">
        <v>101</v>
      </c>
    </row>
    <row r="180" spans="1:24">
      <c r="A180" s="34" t="s">
        <v>286</v>
      </c>
      <c r="B180" s="58">
        <v>200.31000000000003</v>
      </c>
      <c r="C180" s="58"/>
      <c r="D180" s="26" t="s">
        <v>39</v>
      </c>
      <c r="E180" s="26" t="s">
        <v>40</v>
      </c>
      <c r="F180" s="26" t="s">
        <v>29</v>
      </c>
      <c r="G180" s="26" t="s">
        <v>86</v>
      </c>
      <c r="H180" s="26" t="s">
        <v>33</v>
      </c>
      <c r="I180" s="26">
        <v>2</v>
      </c>
      <c r="J180" s="26">
        <f t="shared" si="6"/>
        <v>5.2998661665378872</v>
      </c>
      <c r="K180" s="26">
        <v>0.30331501776206199</v>
      </c>
      <c r="L180" s="26" t="s">
        <v>31</v>
      </c>
      <c r="M180" s="26" t="s">
        <v>31</v>
      </c>
      <c r="N180" s="26" t="s">
        <v>31</v>
      </c>
      <c r="O180" s="26" t="s">
        <v>352</v>
      </c>
      <c r="P180" s="22" t="s">
        <v>393</v>
      </c>
      <c r="Q180" s="22" t="s">
        <v>101</v>
      </c>
    </row>
    <row r="181" spans="1:24">
      <c r="A181" s="34" t="s">
        <v>248</v>
      </c>
      <c r="B181" s="58">
        <v>5007.75</v>
      </c>
      <c r="C181" s="58"/>
      <c r="D181" s="26" t="s">
        <v>39</v>
      </c>
      <c r="E181" s="26" t="s">
        <v>40</v>
      </c>
      <c r="F181" s="26" t="s">
        <v>29</v>
      </c>
      <c r="G181" s="26" t="s">
        <v>86</v>
      </c>
      <c r="H181" s="26" t="s">
        <v>33</v>
      </c>
      <c r="I181" s="26">
        <v>2</v>
      </c>
      <c r="J181" s="26">
        <f t="shared" si="6"/>
        <v>8.5187419914060882</v>
      </c>
      <c r="K181" s="26">
        <v>0.30331501776206199</v>
      </c>
      <c r="L181" s="26" t="s">
        <v>31</v>
      </c>
      <c r="M181" s="26" t="s">
        <v>31</v>
      </c>
      <c r="N181" s="26" t="s">
        <v>31</v>
      </c>
      <c r="O181" s="26" t="s">
        <v>352</v>
      </c>
      <c r="P181" s="22" t="s">
        <v>394</v>
      </c>
      <c r="Q181" s="22" t="s">
        <v>101</v>
      </c>
    </row>
    <row r="182" spans="1:24">
      <c r="A182" s="51" t="s">
        <v>377</v>
      </c>
      <c r="B182" s="59">
        <v>66.77</v>
      </c>
      <c r="C182" s="59"/>
      <c r="D182" s="53" t="s">
        <v>39</v>
      </c>
      <c r="E182" s="53" t="s">
        <v>40</v>
      </c>
      <c r="F182" s="53" t="s">
        <v>29</v>
      </c>
      <c r="G182" s="53" t="s">
        <v>117</v>
      </c>
      <c r="H182" s="53" t="s">
        <v>33</v>
      </c>
      <c r="I182" s="53">
        <v>2</v>
      </c>
      <c r="J182" s="53">
        <f t="shared" si="6"/>
        <v>4.2012538778697772</v>
      </c>
      <c r="K182" s="53">
        <v>0.30331501776206199</v>
      </c>
      <c r="L182" s="53" t="s">
        <v>31</v>
      </c>
      <c r="M182" s="53" t="s">
        <v>31</v>
      </c>
      <c r="N182" s="53" t="s">
        <v>31</v>
      </c>
      <c r="O182" s="53" t="s">
        <v>99</v>
      </c>
      <c r="P182" s="54" t="s">
        <v>378</v>
      </c>
      <c r="Q182" s="22" t="s">
        <v>101</v>
      </c>
    </row>
    <row r="183" spans="1:24">
      <c r="A183" s="36" t="s">
        <v>173</v>
      </c>
      <c r="B183" s="60">
        <v>16.692499999999999</v>
      </c>
      <c r="C183" s="60"/>
      <c r="D183" s="38" t="s">
        <v>39</v>
      </c>
      <c r="E183" s="38" t="s">
        <v>40</v>
      </c>
      <c r="F183" s="38" t="s">
        <v>29</v>
      </c>
      <c r="G183" s="38" t="s">
        <v>117</v>
      </c>
      <c r="H183" s="38" t="s">
        <v>33</v>
      </c>
      <c r="I183" s="38">
        <v>2</v>
      </c>
      <c r="J183" s="38">
        <f t="shared" si="6"/>
        <v>2.8149595167498869</v>
      </c>
      <c r="K183" s="38">
        <v>0.30331501776206199</v>
      </c>
      <c r="L183" s="38" t="s">
        <v>31</v>
      </c>
      <c r="M183" s="38" t="s">
        <v>31</v>
      </c>
      <c r="N183" s="38" t="s">
        <v>31</v>
      </c>
      <c r="O183" s="38" t="s">
        <v>99</v>
      </c>
      <c r="P183" s="39" t="s">
        <v>395</v>
      </c>
      <c r="Q183" s="22" t="s">
        <v>101</v>
      </c>
    </row>
    <row r="184" spans="1:24">
      <c r="A184" s="44" t="s">
        <v>286</v>
      </c>
      <c r="B184" s="61">
        <v>16.692499999999999</v>
      </c>
      <c r="C184" s="61"/>
      <c r="D184" s="46" t="s">
        <v>39</v>
      </c>
      <c r="E184" s="46" t="s">
        <v>40</v>
      </c>
      <c r="F184" s="46" t="s">
        <v>29</v>
      </c>
      <c r="G184" s="46" t="s">
        <v>86</v>
      </c>
      <c r="H184" s="46" t="s">
        <v>110</v>
      </c>
      <c r="I184" s="46">
        <v>2</v>
      </c>
      <c r="J184" s="46">
        <f t="shared" si="6"/>
        <v>2.8149595167498869</v>
      </c>
      <c r="K184" s="46">
        <v>0.30331501776206199</v>
      </c>
      <c r="L184" s="46" t="s">
        <v>31</v>
      </c>
      <c r="M184" s="46" t="s">
        <v>31</v>
      </c>
      <c r="N184" s="46" t="s">
        <v>31</v>
      </c>
      <c r="O184" s="46" t="s">
        <v>99</v>
      </c>
      <c r="P184" s="47" t="s">
        <v>396</v>
      </c>
      <c r="Q184" s="22" t="s">
        <v>101</v>
      </c>
    </row>
    <row r="185" spans="1:24">
      <c r="A185" s="36" t="s">
        <v>131</v>
      </c>
      <c r="B185" s="60">
        <v>4840.8249999999998</v>
      </c>
      <c r="C185" s="60"/>
      <c r="D185" s="38" t="s">
        <v>39</v>
      </c>
      <c r="E185" s="38" t="s">
        <v>40</v>
      </c>
      <c r="F185" s="38" t="s">
        <v>29</v>
      </c>
      <c r="G185" s="38" t="s">
        <v>117</v>
      </c>
      <c r="H185" s="38" t="s">
        <v>33</v>
      </c>
      <c r="I185" s="38">
        <v>2</v>
      </c>
      <c r="J185" s="38">
        <f t="shared" si="6"/>
        <v>8.4848404397304069</v>
      </c>
      <c r="K185" s="38">
        <v>0.30331501776206199</v>
      </c>
      <c r="L185" s="38" t="s">
        <v>31</v>
      </c>
      <c r="M185" s="38" t="s">
        <v>31</v>
      </c>
      <c r="N185" s="38" t="s">
        <v>31</v>
      </c>
      <c r="O185" s="38" t="s">
        <v>99</v>
      </c>
      <c r="P185" s="39" t="s">
        <v>397</v>
      </c>
      <c r="Q185" s="22" t="s">
        <v>101</v>
      </c>
    </row>
    <row r="186" spans="1:24">
      <c r="A186" s="40" t="s">
        <v>133</v>
      </c>
      <c r="B186" s="42">
        <v>4840.8249999999998</v>
      </c>
      <c r="C186" s="22" t="s">
        <v>134</v>
      </c>
      <c r="D186" s="25" t="s">
        <v>39</v>
      </c>
      <c r="E186" s="25" t="s">
        <v>40</v>
      </c>
      <c r="F186" s="25" t="s">
        <v>29</v>
      </c>
      <c r="G186" s="25" t="s">
        <v>117</v>
      </c>
      <c r="H186" s="25" t="s">
        <v>33</v>
      </c>
      <c r="I186" s="25">
        <v>2</v>
      </c>
      <c r="J186" s="25">
        <f t="shared" si="6"/>
        <v>8.4848404397304069</v>
      </c>
      <c r="K186" s="25">
        <v>0.30331501776206199</v>
      </c>
      <c r="L186" s="25" t="s">
        <v>31</v>
      </c>
      <c r="M186" s="25" t="s">
        <v>31</v>
      </c>
      <c r="N186" s="25" t="s">
        <v>31</v>
      </c>
      <c r="O186" s="25" t="s">
        <v>99</v>
      </c>
      <c r="P186" s="43" t="s">
        <v>397</v>
      </c>
      <c r="Q186" s="22" t="s">
        <v>101</v>
      </c>
    </row>
    <row r="187" spans="1:24">
      <c r="A187" s="44" t="s">
        <v>248</v>
      </c>
      <c r="B187" s="61">
        <v>4840.8249999999998</v>
      </c>
      <c r="C187" s="61"/>
      <c r="D187" s="46" t="s">
        <v>39</v>
      </c>
      <c r="E187" s="46" t="s">
        <v>40</v>
      </c>
      <c r="F187" s="46" t="s">
        <v>29</v>
      </c>
      <c r="G187" s="46" t="s">
        <v>86</v>
      </c>
      <c r="H187" s="46" t="s">
        <v>110</v>
      </c>
      <c r="I187" s="46">
        <v>2</v>
      </c>
      <c r="J187" s="46">
        <f t="shared" si="6"/>
        <v>8.4848404397304069</v>
      </c>
      <c r="K187" s="46">
        <v>0.30331501776206199</v>
      </c>
      <c r="L187" s="46" t="s">
        <v>31</v>
      </c>
      <c r="M187" s="46" t="s">
        <v>31</v>
      </c>
      <c r="N187" s="46" t="s">
        <v>31</v>
      </c>
      <c r="O187" s="46" t="s">
        <v>99</v>
      </c>
      <c r="P187" s="47" t="s">
        <v>398</v>
      </c>
      <c r="Q187" s="22" t="s">
        <v>101</v>
      </c>
      <c r="S187" s="24" t="s">
        <v>342</v>
      </c>
    </row>
    <row r="188" spans="1:24">
      <c r="A188" s="22" t="s">
        <v>97</v>
      </c>
      <c r="B188" s="31">
        <v>13361.304179108507</v>
      </c>
      <c r="C188" s="31"/>
      <c r="D188" s="22" t="s">
        <v>98</v>
      </c>
      <c r="E188" s="22" t="s">
        <v>40</v>
      </c>
      <c r="F188" s="22" t="s">
        <v>29</v>
      </c>
      <c r="G188" s="22" t="s">
        <v>86</v>
      </c>
      <c r="H188" s="22" t="s">
        <v>33</v>
      </c>
      <c r="I188" s="22">
        <v>2</v>
      </c>
      <c r="J188" s="22">
        <f t="shared" si="6"/>
        <v>9.500118060523036</v>
      </c>
      <c r="K188" s="22">
        <v>0.28635642126552707</v>
      </c>
      <c r="L188" s="22" t="s">
        <v>31</v>
      </c>
      <c r="M188" s="22" t="s">
        <v>31</v>
      </c>
      <c r="N188" s="22" t="s">
        <v>31</v>
      </c>
      <c r="Q188" s="22" t="s">
        <v>101</v>
      </c>
    </row>
    <row r="189" spans="1:24">
      <c r="A189" s="22" t="s">
        <v>105</v>
      </c>
      <c r="B189" s="50">
        <v>1262.874534896732</v>
      </c>
      <c r="C189" s="50"/>
      <c r="D189" s="22" t="s">
        <v>50</v>
      </c>
      <c r="E189" s="22" t="s">
        <v>40</v>
      </c>
      <c r="F189" s="22" t="s">
        <v>29</v>
      </c>
      <c r="G189" s="22" t="s">
        <v>106</v>
      </c>
      <c r="H189" s="22" t="s">
        <v>33</v>
      </c>
      <c r="I189" s="22">
        <v>2</v>
      </c>
      <c r="J189" s="22">
        <f t="shared" si="6"/>
        <v>7.1411457784585934</v>
      </c>
      <c r="K189" s="22">
        <v>0.28635642126552707</v>
      </c>
      <c r="L189" s="22" t="s">
        <v>31</v>
      </c>
      <c r="M189" s="22" t="s">
        <v>31</v>
      </c>
      <c r="N189" s="22" t="s">
        <v>31</v>
      </c>
      <c r="Q189" s="22" t="s">
        <v>101</v>
      </c>
      <c r="S189" s="31">
        <v>13435.592605839052</v>
      </c>
      <c r="T189" s="22" t="s">
        <v>104</v>
      </c>
      <c r="U189" s="22">
        <f>S189/0.277778</f>
        <v>48368.094686544835</v>
      </c>
      <c r="V189" s="22" t="s">
        <v>103</v>
      </c>
      <c r="W189" s="22">
        <f>U189/38.3</f>
        <v>1262.874534896732</v>
      </c>
      <c r="X189" s="22" t="s">
        <v>108</v>
      </c>
    </row>
    <row r="190" spans="1:24">
      <c r="A190" s="22" t="s">
        <v>123</v>
      </c>
      <c r="B190" s="50">
        <v>6036.4604743081236</v>
      </c>
      <c r="C190" s="50"/>
      <c r="D190" s="22" t="s">
        <v>124</v>
      </c>
      <c r="E190" s="22" t="s">
        <v>40</v>
      </c>
      <c r="F190" s="22" t="s">
        <v>29</v>
      </c>
      <c r="G190" s="22" t="s">
        <v>86</v>
      </c>
      <c r="H190" s="22" t="s">
        <v>33</v>
      </c>
      <c r="I190" s="22">
        <v>2</v>
      </c>
      <c r="J190" s="22">
        <f t="shared" si="6"/>
        <v>8.7055731049680389</v>
      </c>
      <c r="K190" s="22">
        <v>0.28635642126552707</v>
      </c>
      <c r="L190" s="22" t="s">
        <v>31</v>
      </c>
      <c r="M190" s="22" t="s">
        <v>31</v>
      </c>
      <c r="N190" s="22" t="s">
        <v>31</v>
      </c>
      <c r="Q190" s="22" t="s">
        <v>101</v>
      </c>
      <c r="S190" s="31">
        <v>1676.795917632362</v>
      </c>
      <c r="T190" s="22" t="s">
        <v>104</v>
      </c>
      <c r="U190" s="22">
        <f>S190/0.277778</f>
        <v>6036.4604743081236</v>
      </c>
      <c r="V190" s="22" t="s">
        <v>103</v>
      </c>
    </row>
    <row r="191" spans="1:24">
      <c r="A191" s="22" t="s">
        <v>344</v>
      </c>
      <c r="B191" s="50">
        <v>285.68804516461654</v>
      </c>
      <c r="C191" s="50"/>
      <c r="D191" s="22" t="s">
        <v>39</v>
      </c>
      <c r="E191" s="22" t="s">
        <v>40</v>
      </c>
      <c r="F191" s="22" t="s">
        <v>29</v>
      </c>
      <c r="G191" s="22" t="s">
        <v>86</v>
      </c>
      <c r="H191" s="22" t="s">
        <v>33</v>
      </c>
      <c r="I191" s="22">
        <v>2</v>
      </c>
      <c r="J191" s="22">
        <f t="shared" si="6"/>
        <v>5.6549004643451992</v>
      </c>
      <c r="K191" s="22">
        <v>0.28635642126552707</v>
      </c>
      <c r="L191" s="22" t="s">
        <v>31</v>
      </c>
      <c r="M191" s="22" t="s">
        <v>31</v>
      </c>
      <c r="N191" s="22" t="s">
        <v>31</v>
      </c>
      <c r="Q191" s="22" t="s">
        <v>101</v>
      </c>
      <c r="S191" s="31">
        <v>3555.2318506762108</v>
      </c>
      <c r="T191" s="22" t="s">
        <v>104</v>
      </c>
      <c r="U191" s="22">
        <f>S191/0.277778</f>
        <v>12798.824423374819</v>
      </c>
      <c r="V191" s="22" t="s">
        <v>103</v>
      </c>
      <c r="W191" s="22">
        <f>U191/44.8</f>
        <v>285.68804516461654</v>
      </c>
      <c r="X191" s="22" t="s">
        <v>111</v>
      </c>
    </row>
    <row r="192" spans="1:24">
      <c r="A192" s="22" t="s">
        <v>38</v>
      </c>
      <c r="B192" s="50">
        <v>563.98515582746177</v>
      </c>
      <c r="C192" s="50"/>
      <c r="D192" s="22" t="s">
        <v>39</v>
      </c>
      <c r="E192" s="22" t="s">
        <v>40</v>
      </c>
      <c r="F192" s="22" t="s">
        <v>29</v>
      </c>
      <c r="G192" s="22" t="s">
        <v>117</v>
      </c>
      <c r="H192" s="22" t="s">
        <v>33</v>
      </c>
      <c r="I192" s="22">
        <v>2</v>
      </c>
      <c r="J192" s="22">
        <f t="shared" si="6"/>
        <v>6.3350279316968408</v>
      </c>
      <c r="K192" s="22">
        <v>0.28635642126552707</v>
      </c>
      <c r="L192" s="22" t="s">
        <v>31</v>
      </c>
      <c r="M192" s="22" t="s">
        <v>31</v>
      </c>
      <c r="N192" s="22" t="s">
        <v>31</v>
      </c>
      <c r="Q192" s="22" t="s">
        <v>101</v>
      </c>
      <c r="S192" s="31">
        <v>7237.8152900333598</v>
      </c>
      <c r="T192" s="22" t="s">
        <v>104</v>
      </c>
      <c r="U192" s="22">
        <f>S192/0.277778</f>
        <v>26056.114199228734</v>
      </c>
      <c r="V192" s="22" t="s">
        <v>103</v>
      </c>
      <c r="W192" s="22">
        <f>U192/46.2</f>
        <v>563.98515582746177</v>
      </c>
      <c r="X192" s="22" t="s">
        <v>111</v>
      </c>
    </row>
    <row r="193" spans="1:24">
      <c r="A193" s="22" t="s">
        <v>59</v>
      </c>
      <c r="B193" s="31">
        <f>W193</f>
        <v>3.4732223672658935</v>
      </c>
      <c r="C193" s="31"/>
      <c r="D193" s="22" t="s">
        <v>39</v>
      </c>
      <c r="E193" s="22" t="s">
        <v>2</v>
      </c>
      <c r="F193" s="22" t="s">
        <v>29</v>
      </c>
      <c r="G193" s="22" t="s">
        <v>60</v>
      </c>
      <c r="H193" s="22" t="s">
        <v>33</v>
      </c>
      <c r="I193" s="22">
        <v>2</v>
      </c>
      <c r="J193" s="22">
        <f t="shared" si="6"/>
        <v>1.2450827991427014</v>
      </c>
      <c r="K193" s="22">
        <v>0.28635642126552707</v>
      </c>
      <c r="L193" s="22" t="s">
        <v>31</v>
      </c>
      <c r="M193" s="22" t="s">
        <v>31</v>
      </c>
      <c r="N193" s="22" t="s">
        <v>31</v>
      </c>
      <c r="Q193" s="22" t="s">
        <v>101</v>
      </c>
      <c r="R193" s="30"/>
      <c r="S193" s="31">
        <v>42.450529560312965</v>
      </c>
      <c r="T193" s="22" t="s">
        <v>104</v>
      </c>
      <c r="U193" s="22">
        <f>S193/0.277778</f>
        <v>152.82178415969932</v>
      </c>
      <c r="V193" s="22" t="s">
        <v>103</v>
      </c>
      <c r="W193" s="22">
        <f>U193/44</f>
        <v>3.4732223672658935</v>
      </c>
      <c r="X193" s="22" t="s">
        <v>111</v>
      </c>
    </row>
    <row r="194" spans="1:24">
      <c r="A194" s="22" t="s">
        <v>242</v>
      </c>
      <c r="B194" s="31">
        <v>32599.085514762981</v>
      </c>
      <c r="C194" s="31"/>
      <c r="D194" s="22" t="s">
        <v>39</v>
      </c>
      <c r="E194" s="22" t="s">
        <v>40</v>
      </c>
      <c r="F194" s="22" t="s">
        <v>29</v>
      </c>
      <c r="G194" s="22" t="s">
        <v>86</v>
      </c>
      <c r="H194" s="22" t="s">
        <v>33</v>
      </c>
      <c r="I194" s="22">
        <v>2</v>
      </c>
      <c r="J194" s="22">
        <f t="shared" si="6"/>
        <v>10.392039515266955</v>
      </c>
      <c r="K194" s="22">
        <v>0.28635642126552707</v>
      </c>
      <c r="L194" s="22" t="s">
        <v>31</v>
      </c>
      <c r="M194" s="22" t="s">
        <v>31</v>
      </c>
      <c r="N194" s="22" t="s">
        <v>31</v>
      </c>
      <c r="Q194" s="22" t="s">
        <v>101</v>
      </c>
    </row>
    <row r="195" spans="1:24">
      <c r="A195" s="32" t="s">
        <v>243</v>
      </c>
      <c r="B195" s="31">
        <v>30.466193208552333</v>
      </c>
      <c r="C195" s="31"/>
      <c r="D195" s="22" t="s">
        <v>50</v>
      </c>
      <c r="E195" s="22" t="s">
        <v>40</v>
      </c>
      <c r="F195" s="22" t="s">
        <v>29</v>
      </c>
      <c r="G195" s="32" t="s">
        <v>117</v>
      </c>
      <c r="H195" s="22" t="s">
        <v>33</v>
      </c>
      <c r="I195" s="22">
        <v>2</v>
      </c>
      <c r="J195" s="22">
        <f t="shared" si="6"/>
        <v>3.4166176494705551</v>
      </c>
      <c r="K195" s="22">
        <v>0.28635642126552707</v>
      </c>
      <c r="L195" s="22" t="s">
        <v>31</v>
      </c>
      <c r="M195" s="22" t="s">
        <v>31</v>
      </c>
      <c r="N195" s="22" t="s">
        <v>31</v>
      </c>
      <c r="Q195" s="22" t="s">
        <v>101</v>
      </c>
    </row>
    <row r="196" spans="1:24">
      <c r="A196" s="22" t="s">
        <v>245</v>
      </c>
      <c r="B196" s="31">
        <v>739.27597229285038</v>
      </c>
      <c r="C196" s="31"/>
      <c r="D196" s="22" t="s">
        <v>39</v>
      </c>
      <c r="E196" s="22" t="s">
        <v>40</v>
      </c>
      <c r="F196" s="22" t="s">
        <v>29</v>
      </c>
      <c r="G196" s="22" t="s">
        <v>117</v>
      </c>
      <c r="H196" s="22" t="s">
        <v>33</v>
      </c>
      <c r="I196" s="22">
        <v>2</v>
      </c>
      <c r="J196" s="22">
        <f t="shared" si="6"/>
        <v>6.6056712914165434</v>
      </c>
      <c r="K196" s="22">
        <v>0.28635642126552702</v>
      </c>
      <c r="L196" s="22" t="s">
        <v>31</v>
      </c>
      <c r="M196" s="22" t="s">
        <v>31</v>
      </c>
      <c r="N196" s="22" t="s">
        <v>31</v>
      </c>
      <c r="Q196" s="22" t="s">
        <v>101</v>
      </c>
    </row>
    <row r="197" spans="1:24">
      <c r="A197" s="22" t="s">
        <v>48</v>
      </c>
      <c r="B197" s="31">
        <v>13889.059775234706</v>
      </c>
      <c r="C197" s="31"/>
      <c r="D197" s="22" t="s">
        <v>39</v>
      </c>
      <c r="E197" s="22" t="s">
        <v>43</v>
      </c>
      <c r="F197" s="22" t="s">
        <v>44</v>
      </c>
      <c r="G197" s="22" t="s">
        <v>29</v>
      </c>
      <c r="H197" s="22" t="s">
        <v>45</v>
      </c>
      <c r="I197" s="22">
        <v>2</v>
      </c>
      <c r="J197" s="22">
        <f t="shared" si="6"/>
        <v>9.5388567426894255</v>
      </c>
      <c r="K197" s="22">
        <v>0.28635642126552702</v>
      </c>
      <c r="L197" s="22" t="s">
        <v>31</v>
      </c>
      <c r="M197" s="22" t="s">
        <v>31</v>
      </c>
      <c r="N197" s="22" t="s">
        <v>31</v>
      </c>
      <c r="Q197" s="22" t="s">
        <v>101</v>
      </c>
    </row>
    <row r="198" spans="1:24">
      <c r="A198" s="22" t="s">
        <v>51</v>
      </c>
      <c r="B198" s="31">
        <v>0.14857685346109539</v>
      </c>
      <c r="C198" s="31"/>
      <c r="D198" s="22" t="s">
        <v>39</v>
      </c>
      <c r="E198" s="22" t="s">
        <v>43</v>
      </c>
      <c r="F198" s="22" t="s">
        <v>44</v>
      </c>
      <c r="G198" s="22" t="s">
        <v>29</v>
      </c>
      <c r="H198" s="22" t="s">
        <v>45</v>
      </c>
      <c r="I198" s="22">
        <v>2</v>
      </c>
      <c r="J198" s="22">
        <f t="shared" si="6"/>
        <v>-1.9066529228881905</v>
      </c>
      <c r="K198" s="22">
        <v>0.28635642126552702</v>
      </c>
      <c r="L198" s="22" t="s">
        <v>31</v>
      </c>
      <c r="M198" s="22" t="s">
        <v>31</v>
      </c>
      <c r="N198" s="22" t="s">
        <v>31</v>
      </c>
      <c r="Q198" s="22" t="s">
        <v>101</v>
      </c>
    </row>
    <row r="199" spans="1:24">
      <c r="A199" s="22" t="s">
        <v>42</v>
      </c>
      <c r="B199" s="22">
        <v>2.3560043905973695</v>
      </c>
      <c r="D199" s="22" t="s">
        <v>39</v>
      </c>
      <c r="E199" s="22" t="s">
        <v>43</v>
      </c>
      <c r="F199" s="22" t="s">
        <v>44</v>
      </c>
      <c r="G199" s="22" t="s">
        <v>29</v>
      </c>
      <c r="H199" s="22" t="s">
        <v>45</v>
      </c>
      <c r="I199" s="22">
        <v>2</v>
      </c>
      <c r="J199" s="22">
        <f t="shared" si="6"/>
        <v>0.85696712936883024</v>
      </c>
      <c r="K199" s="22">
        <v>0.28635642126552702</v>
      </c>
      <c r="L199" s="22" t="s">
        <v>31</v>
      </c>
      <c r="M199" s="22" t="s">
        <v>31</v>
      </c>
      <c r="N199" s="22" t="s">
        <v>31</v>
      </c>
      <c r="Q199" s="22" t="s">
        <v>101</v>
      </c>
    </row>
    <row r="200" spans="1:24">
      <c r="A200" s="22" t="s">
        <v>244</v>
      </c>
      <c r="B200" s="22">
        <v>11.153876641972232</v>
      </c>
      <c r="D200" s="22" t="s">
        <v>39</v>
      </c>
      <c r="E200" s="22" t="s">
        <v>43</v>
      </c>
      <c r="F200" s="22" t="s">
        <v>44</v>
      </c>
      <c r="G200" s="22" t="s">
        <v>29</v>
      </c>
      <c r="H200" s="22" t="s">
        <v>45</v>
      </c>
      <c r="I200" s="22">
        <v>2</v>
      </c>
      <c r="J200" s="22">
        <f t="shared" si="6"/>
        <v>2.411787118373502</v>
      </c>
      <c r="K200" s="22">
        <v>0.28635642126552702</v>
      </c>
      <c r="L200" s="22" t="s">
        <v>31</v>
      </c>
      <c r="M200" s="22" t="s">
        <v>31</v>
      </c>
      <c r="N200" s="22" t="s">
        <v>31</v>
      </c>
      <c r="Q200" s="22" t="s">
        <v>101</v>
      </c>
    </row>
    <row r="201" spans="1:24" s="29" customFormat="1">
      <c r="A201" s="27" t="s">
        <v>5</v>
      </c>
      <c r="B201" s="27" t="s">
        <v>341</v>
      </c>
      <c r="C201" s="27"/>
      <c r="D201" s="28"/>
      <c r="Q201" s="29" t="s">
        <v>101</v>
      </c>
    </row>
    <row r="202" spans="1:24">
      <c r="A202" s="22" t="s">
        <v>7</v>
      </c>
      <c r="B202" s="22" t="s">
        <v>95</v>
      </c>
      <c r="Q202" s="22" t="s">
        <v>101</v>
      </c>
    </row>
    <row r="203" spans="1:24">
      <c r="A203" s="22" t="s">
        <v>9</v>
      </c>
      <c r="B203" s="22" t="s">
        <v>399</v>
      </c>
      <c r="Q203" s="22" t="s">
        <v>101</v>
      </c>
    </row>
    <row r="204" spans="1:24">
      <c r="A204" s="22" t="s">
        <v>11</v>
      </c>
      <c r="B204" s="22" t="s">
        <v>400</v>
      </c>
      <c r="Q204" s="22" t="s">
        <v>101</v>
      </c>
    </row>
    <row r="205" spans="1:24">
      <c r="A205" s="22" t="s">
        <v>13</v>
      </c>
      <c r="B205" s="22" t="s">
        <v>86</v>
      </c>
      <c r="Q205" s="22" t="s">
        <v>101</v>
      </c>
    </row>
    <row r="206" spans="1:24">
      <c r="A206" s="22" t="s">
        <v>15</v>
      </c>
      <c r="B206" s="22">
        <v>1</v>
      </c>
      <c r="Q206" s="22" t="s">
        <v>101</v>
      </c>
    </row>
    <row r="207" spans="1:24">
      <c r="A207" s="22" t="s">
        <v>16</v>
      </c>
      <c r="B207" s="22" t="s">
        <v>17</v>
      </c>
      <c r="Q207" s="22" t="s">
        <v>101</v>
      </c>
    </row>
    <row r="208" spans="1:24">
      <c r="A208" s="22" t="s">
        <v>18</v>
      </c>
      <c r="B208" s="22" t="s">
        <v>18</v>
      </c>
      <c r="E208" s="22" t="s">
        <v>90</v>
      </c>
      <c r="Q208" s="22" t="s">
        <v>101</v>
      </c>
    </row>
    <row r="209" spans="1:24">
      <c r="A209" s="24" t="s">
        <v>19</v>
      </c>
      <c r="Q209" s="22" t="s">
        <v>101</v>
      </c>
    </row>
    <row r="210" spans="1:24">
      <c r="A210" s="24" t="s">
        <v>20</v>
      </c>
      <c r="B210" s="24" t="s">
        <v>21</v>
      </c>
      <c r="C210" s="24" t="s">
        <v>73</v>
      </c>
      <c r="D210" s="24" t="s">
        <v>18</v>
      </c>
      <c r="E210" s="24" t="s">
        <v>22</v>
      </c>
      <c r="F210" s="24" t="s">
        <v>7</v>
      </c>
      <c r="G210" s="24" t="s">
        <v>13</v>
      </c>
      <c r="H210" s="24" t="s">
        <v>16</v>
      </c>
      <c r="I210" s="24" t="s">
        <v>23</v>
      </c>
      <c r="J210" s="24" t="s">
        <v>24</v>
      </c>
      <c r="K210" s="24" t="s">
        <v>25</v>
      </c>
      <c r="L210" s="24" t="s">
        <v>26</v>
      </c>
      <c r="M210" s="24" t="s">
        <v>27</v>
      </c>
      <c r="N210" s="24" t="s">
        <v>28</v>
      </c>
      <c r="O210" s="24" t="s">
        <v>11</v>
      </c>
      <c r="P210" s="24" t="s">
        <v>337</v>
      </c>
      <c r="Q210" s="22" t="s">
        <v>101</v>
      </c>
    </row>
    <row r="211" spans="1:24">
      <c r="A211" s="30" t="s">
        <v>341</v>
      </c>
      <c r="B211" s="22">
        <v>1</v>
      </c>
      <c r="D211" s="22" t="s">
        <v>18</v>
      </c>
      <c r="E211" s="22" t="s">
        <v>2</v>
      </c>
      <c r="F211" s="22" t="s">
        <v>29</v>
      </c>
      <c r="G211" s="22" t="s">
        <v>86</v>
      </c>
      <c r="H211" s="22" t="s">
        <v>30</v>
      </c>
      <c r="I211" s="22">
        <v>1</v>
      </c>
      <c r="J211" s="22">
        <v>1</v>
      </c>
      <c r="K211" s="22" t="s">
        <v>31</v>
      </c>
      <c r="L211" s="22" t="s">
        <v>31</v>
      </c>
      <c r="M211" s="22" t="s">
        <v>31</v>
      </c>
      <c r="N211" s="22" t="s">
        <v>31</v>
      </c>
      <c r="Q211" s="22" t="s">
        <v>101</v>
      </c>
    </row>
    <row r="212" spans="1:24">
      <c r="A212" s="30" t="s">
        <v>401</v>
      </c>
      <c r="B212" s="22">
        <v>1</v>
      </c>
      <c r="D212" s="22" t="s">
        <v>18</v>
      </c>
      <c r="E212" s="22" t="s">
        <v>2</v>
      </c>
      <c r="F212" s="22" t="s">
        <v>29</v>
      </c>
      <c r="G212" s="22" t="s">
        <v>86</v>
      </c>
      <c r="H212" s="22" t="s">
        <v>33</v>
      </c>
      <c r="I212" s="22">
        <v>2</v>
      </c>
      <c r="J212" s="22">
        <f t="shared" ref="J212:J229" si="7">LN(B212)</f>
        <v>0</v>
      </c>
      <c r="K212" s="22">
        <v>0.30331501776206199</v>
      </c>
      <c r="L212" s="22" t="s">
        <v>31</v>
      </c>
      <c r="M212" s="22" t="s">
        <v>31</v>
      </c>
      <c r="N212" s="22" t="s">
        <v>31</v>
      </c>
      <c r="Q212" s="22" t="s">
        <v>101</v>
      </c>
    </row>
    <row r="213" spans="1:24">
      <c r="A213" s="30" t="s">
        <v>402</v>
      </c>
      <c r="B213" s="22">
        <v>1</v>
      </c>
      <c r="D213" s="22" t="s">
        <v>18</v>
      </c>
      <c r="E213" s="22" t="s">
        <v>2</v>
      </c>
      <c r="F213" s="22" t="s">
        <v>29</v>
      </c>
      <c r="G213" s="22" t="s">
        <v>86</v>
      </c>
      <c r="H213" s="22" t="s">
        <v>33</v>
      </c>
      <c r="I213" s="22">
        <v>2</v>
      </c>
      <c r="J213" s="22">
        <f t="shared" si="7"/>
        <v>0</v>
      </c>
      <c r="K213" s="22">
        <v>0.30331501776206199</v>
      </c>
      <c r="L213" s="22" t="s">
        <v>31</v>
      </c>
      <c r="M213" s="22" t="s">
        <v>31</v>
      </c>
      <c r="N213" s="22" t="s">
        <v>31</v>
      </c>
      <c r="Q213" s="22" t="s">
        <v>101</v>
      </c>
    </row>
    <row r="214" spans="1:24">
      <c r="A214" s="30" t="s">
        <v>403</v>
      </c>
      <c r="B214" s="22">
        <v>1</v>
      </c>
      <c r="D214" s="22" t="s">
        <v>18</v>
      </c>
      <c r="E214" s="22" t="s">
        <v>2</v>
      </c>
      <c r="F214" s="22" t="s">
        <v>29</v>
      </c>
      <c r="G214" s="22" t="s">
        <v>86</v>
      </c>
      <c r="H214" s="22" t="s">
        <v>33</v>
      </c>
      <c r="I214" s="22">
        <v>2</v>
      </c>
      <c r="J214" s="22">
        <f t="shared" si="7"/>
        <v>0</v>
      </c>
      <c r="K214" s="22">
        <v>0.30331501776206199</v>
      </c>
      <c r="L214" s="22" t="s">
        <v>31</v>
      </c>
      <c r="M214" s="22" t="s">
        <v>31</v>
      </c>
      <c r="N214" s="22" t="s">
        <v>31</v>
      </c>
      <c r="Q214" s="22" t="s">
        <v>101</v>
      </c>
    </row>
    <row r="215" spans="1:24">
      <c r="A215" s="30" t="s">
        <v>404</v>
      </c>
      <c r="B215" s="22">
        <v>1</v>
      </c>
      <c r="D215" s="22" t="s">
        <v>18</v>
      </c>
      <c r="E215" s="22" t="s">
        <v>2</v>
      </c>
      <c r="F215" s="22" t="s">
        <v>29</v>
      </c>
      <c r="G215" s="22" t="s">
        <v>86</v>
      </c>
      <c r="H215" s="22" t="s">
        <v>33</v>
      </c>
      <c r="I215" s="22">
        <v>2</v>
      </c>
      <c r="J215" s="22">
        <f t="shared" si="7"/>
        <v>0</v>
      </c>
      <c r="K215" s="22">
        <v>0.30331501776206199</v>
      </c>
      <c r="L215" s="22" t="s">
        <v>31</v>
      </c>
      <c r="M215" s="22" t="s">
        <v>31</v>
      </c>
      <c r="N215" s="22" t="s">
        <v>31</v>
      </c>
      <c r="Q215" s="22" t="s">
        <v>101</v>
      </c>
    </row>
    <row r="216" spans="1:24">
      <c r="A216" s="30" t="s">
        <v>405</v>
      </c>
      <c r="B216" s="22">
        <v>1</v>
      </c>
      <c r="D216" s="22" t="s">
        <v>18</v>
      </c>
      <c r="E216" s="22" t="s">
        <v>2</v>
      </c>
      <c r="F216" s="22" t="s">
        <v>29</v>
      </c>
      <c r="G216" s="22" t="s">
        <v>86</v>
      </c>
      <c r="H216" s="22" t="s">
        <v>33</v>
      </c>
      <c r="I216" s="22">
        <v>2</v>
      </c>
      <c r="J216" s="22">
        <f t="shared" si="7"/>
        <v>0</v>
      </c>
      <c r="K216" s="22">
        <v>0.30331501776206199</v>
      </c>
      <c r="L216" s="22" t="s">
        <v>31</v>
      </c>
      <c r="M216" s="22" t="s">
        <v>31</v>
      </c>
      <c r="N216" s="22" t="s">
        <v>31</v>
      </c>
      <c r="Q216" s="22" t="s">
        <v>101</v>
      </c>
      <c r="S216" s="24" t="s">
        <v>342</v>
      </c>
    </row>
    <row r="217" spans="1:24">
      <c r="A217" s="22" t="s">
        <v>97</v>
      </c>
      <c r="B217" s="31">
        <v>4590.5094783398099</v>
      </c>
      <c r="C217" s="31"/>
      <c r="D217" s="22" t="s">
        <v>98</v>
      </c>
      <c r="E217" s="22" t="s">
        <v>40</v>
      </c>
      <c r="F217" s="22" t="s">
        <v>29</v>
      </c>
      <c r="G217" s="22" t="s">
        <v>86</v>
      </c>
      <c r="H217" s="22" t="s">
        <v>33</v>
      </c>
      <c r="I217" s="22">
        <v>2</v>
      </c>
      <c r="J217" s="22">
        <f t="shared" si="7"/>
        <v>8.4317462943544825</v>
      </c>
      <c r="K217" s="22">
        <v>0.28635642126552707</v>
      </c>
      <c r="L217" s="22" t="s">
        <v>31</v>
      </c>
      <c r="M217" s="22" t="s">
        <v>31</v>
      </c>
      <c r="N217" s="22" t="s">
        <v>31</v>
      </c>
      <c r="Q217" s="22" t="s">
        <v>101</v>
      </c>
    </row>
    <row r="218" spans="1:24">
      <c r="A218" s="22" t="s">
        <v>105</v>
      </c>
      <c r="B218" s="22">
        <v>433.88260941337478</v>
      </c>
      <c r="D218" s="22" t="s">
        <v>50</v>
      </c>
      <c r="E218" s="22" t="s">
        <v>40</v>
      </c>
      <c r="F218" s="22" t="s">
        <v>29</v>
      </c>
      <c r="G218" s="22" t="s">
        <v>106</v>
      </c>
      <c r="H218" s="22" t="s">
        <v>33</v>
      </c>
      <c r="I218" s="22">
        <v>2</v>
      </c>
      <c r="J218" s="22">
        <f t="shared" si="7"/>
        <v>6.0727740122900409</v>
      </c>
      <c r="K218" s="22">
        <v>0.28635642126552707</v>
      </c>
      <c r="L218" s="22" t="s">
        <v>31</v>
      </c>
      <c r="M218" s="22" t="s">
        <v>31</v>
      </c>
      <c r="N218" s="22" t="s">
        <v>31</v>
      </c>
      <c r="Q218" s="22" t="s">
        <v>101</v>
      </c>
      <c r="S218" s="31">
        <v>4616.0325651931689</v>
      </c>
      <c r="T218" s="22" t="s">
        <v>104</v>
      </c>
      <c r="U218" s="22">
        <f>S218/0.277778</f>
        <v>16617.703940532254</v>
      </c>
      <c r="V218" s="22" t="s">
        <v>103</v>
      </c>
      <c r="W218" s="22">
        <f>U218/38.3</f>
        <v>433.88260941337478</v>
      </c>
      <c r="X218" s="22" t="s">
        <v>108</v>
      </c>
    </row>
    <row r="219" spans="1:24">
      <c r="A219" s="22" t="s">
        <v>123</v>
      </c>
      <c r="B219" s="22">
        <v>2073.9314554534726</v>
      </c>
      <c r="D219" s="22" t="s">
        <v>124</v>
      </c>
      <c r="E219" s="22" t="s">
        <v>40</v>
      </c>
      <c r="F219" s="22" t="s">
        <v>29</v>
      </c>
      <c r="G219" s="22" t="s">
        <v>86</v>
      </c>
      <c r="H219" s="22" t="s">
        <v>33</v>
      </c>
      <c r="I219" s="22">
        <v>2</v>
      </c>
      <c r="J219" s="22">
        <f t="shared" si="7"/>
        <v>7.6372013387994864</v>
      </c>
      <c r="K219" s="22">
        <v>0.28635642126552707</v>
      </c>
      <c r="L219" s="22" t="s">
        <v>31</v>
      </c>
      <c r="M219" s="22" t="s">
        <v>31</v>
      </c>
      <c r="N219" s="22" t="s">
        <v>31</v>
      </c>
      <c r="Q219" s="22" t="s">
        <v>101</v>
      </c>
      <c r="S219" s="31">
        <v>576.09253183295471</v>
      </c>
      <c r="T219" s="22" t="s">
        <v>104</v>
      </c>
      <c r="U219" s="22">
        <f>S219/0.277778</f>
        <v>2073.9314554534726</v>
      </c>
      <c r="V219" s="22" t="s">
        <v>103</v>
      </c>
    </row>
    <row r="220" spans="1:24">
      <c r="A220" s="22" t="s">
        <v>344</v>
      </c>
      <c r="B220" s="22">
        <v>98.153119006684179</v>
      </c>
      <c r="D220" s="22" t="s">
        <v>39</v>
      </c>
      <c r="E220" s="22" t="s">
        <v>40</v>
      </c>
      <c r="F220" s="22" t="s">
        <v>29</v>
      </c>
      <c r="G220" s="22" t="s">
        <v>86</v>
      </c>
      <c r="H220" s="22" t="s">
        <v>33</v>
      </c>
      <c r="I220" s="22">
        <v>2</v>
      </c>
      <c r="J220" s="22">
        <f t="shared" si="7"/>
        <v>4.5865286981766467</v>
      </c>
      <c r="K220" s="22">
        <v>0.28635642126552702</v>
      </c>
      <c r="L220" s="22" t="s">
        <v>31</v>
      </c>
      <c r="M220" s="22" t="s">
        <v>31</v>
      </c>
      <c r="N220" s="22" t="s">
        <v>31</v>
      </c>
      <c r="Q220" s="22" t="s">
        <v>101</v>
      </c>
      <c r="S220" s="31">
        <v>1221.4620136964545</v>
      </c>
      <c r="T220" s="22" t="s">
        <v>104</v>
      </c>
      <c r="U220" s="22">
        <f>S220/0.277778</f>
        <v>4397.2597314994509</v>
      </c>
      <c r="V220" s="22" t="s">
        <v>103</v>
      </c>
      <c r="W220" s="22">
        <f>U220/44.8</f>
        <v>98.153119006684179</v>
      </c>
      <c r="X220" s="22" t="s">
        <v>111</v>
      </c>
    </row>
    <row r="221" spans="1:24">
      <c r="A221" s="22" t="s">
        <v>38</v>
      </c>
      <c r="B221" s="22">
        <v>193.76695334254865</v>
      </c>
      <c r="D221" s="22" t="s">
        <v>39</v>
      </c>
      <c r="E221" s="22" t="s">
        <v>40</v>
      </c>
      <c r="F221" s="22" t="s">
        <v>29</v>
      </c>
      <c r="G221" s="22" t="s">
        <v>117</v>
      </c>
      <c r="H221" s="22" t="s">
        <v>33</v>
      </c>
      <c r="I221" s="22">
        <v>2</v>
      </c>
      <c r="J221" s="22">
        <f t="shared" si="7"/>
        <v>5.2666561655282882</v>
      </c>
      <c r="K221" s="22">
        <v>0.28635642126552702</v>
      </c>
      <c r="L221" s="22" t="s">
        <v>31</v>
      </c>
      <c r="M221" s="22" t="s">
        <v>31</v>
      </c>
      <c r="N221" s="22" t="s">
        <v>31</v>
      </c>
      <c r="Q221" s="22" t="s">
        <v>101</v>
      </c>
      <c r="S221" s="31">
        <v>2486.6778905700953</v>
      </c>
      <c r="T221" s="22" t="s">
        <v>104</v>
      </c>
      <c r="U221" s="22">
        <f>S221/0.277778</f>
        <v>8952.0332444257474</v>
      </c>
      <c r="V221" s="22" t="s">
        <v>103</v>
      </c>
      <c r="W221" s="22">
        <f>U221/46.2</f>
        <v>193.76695334254865</v>
      </c>
      <c r="X221" s="22" t="s">
        <v>111</v>
      </c>
    </row>
    <row r="222" spans="1:24">
      <c r="A222" s="22" t="s">
        <v>59</v>
      </c>
      <c r="B222" s="31">
        <f>W222</f>
        <v>1.1932862229306516</v>
      </c>
      <c r="C222" s="31"/>
      <c r="D222" s="22" t="s">
        <v>39</v>
      </c>
      <c r="E222" s="22" t="s">
        <v>2</v>
      </c>
      <c r="F222" s="22" t="s">
        <v>29</v>
      </c>
      <c r="G222" s="22" t="s">
        <v>60</v>
      </c>
      <c r="H222" s="22" t="s">
        <v>33</v>
      </c>
      <c r="I222" s="22">
        <v>2</v>
      </c>
      <c r="J222" s="22">
        <f t="shared" si="7"/>
        <v>0.17671103297414875</v>
      </c>
      <c r="K222" s="22">
        <v>0.28635642126552702</v>
      </c>
      <c r="L222" s="22" t="s">
        <v>31</v>
      </c>
      <c r="M222" s="22" t="s">
        <v>31</v>
      </c>
      <c r="N222" s="22" t="s">
        <v>31</v>
      </c>
      <c r="Q222" s="22" t="s">
        <v>101</v>
      </c>
      <c r="R222" s="30"/>
      <c r="S222" s="31">
        <v>14.584621059062146</v>
      </c>
      <c r="T222" s="22" t="s">
        <v>104</v>
      </c>
      <c r="U222" s="22">
        <f>S222/0.277778</f>
        <v>52.50459380894867</v>
      </c>
      <c r="V222" s="22" t="s">
        <v>103</v>
      </c>
      <c r="W222" s="22">
        <f>U222/44</f>
        <v>1.1932862229306516</v>
      </c>
      <c r="X222" s="22" t="s">
        <v>111</v>
      </c>
    </row>
    <row r="223" spans="1:24">
      <c r="A223" s="22" t="s">
        <v>242</v>
      </c>
      <c r="B223" s="31">
        <v>11199.985348340013</v>
      </c>
      <c r="C223" s="31"/>
      <c r="D223" s="22" t="s">
        <v>39</v>
      </c>
      <c r="E223" s="22" t="s">
        <v>40</v>
      </c>
      <c r="F223" s="22" t="s">
        <v>29</v>
      </c>
      <c r="G223" s="22" t="s">
        <v>86</v>
      </c>
      <c r="H223" s="22" t="s">
        <v>33</v>
      </c>
      <c r="I223" s="22">
        <v>2</v>
      </c>
      <c r="J223" s="22">
        <f t="shared" si="7"/>
        <v>9.3236677490984032</v>
      </c>
      <c r="K223" s="22">
        <v>0.28635642126552702</v>
      </c>
      <c r="L223" s="22" t="s">
        <v>31</v>
      </c>
      <c r="M223" s="22" t="s">
        <v>31</v>
      </c>
      <c r="N223" s="22" t="s">
        <v>31</v>
      </c>
      <c r="Q223" s="22" t="s">
        <v>101</v>
      </c>
    </row>
    <row r="224" spans="1:24">
      <c r="A224" s="32" t="s">
        <v>243</v>
      </c>
      <c r="B224" s="31">
        <v>10.467192934015134</v>
      </c>
      <c r="C224" s="31"/>
      <c r="D224" s="22" t="s">
        <v>50</v>
      </c>
      <c r="E224" s="22" t="s">
        <v>40</v>
      </c>
      <c r="F224" s="22" t="s">
        <v>29</v>
      </c>
      <c r="G224" s="32" t="s">
        <v>117</v>
      </c>
      <c r="H224" s="22" t="s">
        <v>33</v>
      </c>
      <c r="I224" s="22">
        <v>2</v>
      </c>
      <c r="J224" s="22">
        <f t="shared" si="7"/>
        <v>2.3482458833020026</v>
      </c>
      <c r="K224" s="22">
        <v>0.28635642126552702</v>
      </c>
      <c r="L224" s="22" t="s">
        <v>31</v>
      </c>
      <c r="M224" s="22" t="s">
        <v>31</v>
      </c>
      <c r="N224" s="22" t="s">
        <v>31</v>
      </c>
      <c r="Q224" s="22" t="s">
        <v>101</v>
      </c>
    </row>
    <row r="225" spans="1:17">
      <c r="A225" s="22" t="s">
        <v>245</v>
      </c>
      <c r="B225" s="31">
        <v>253.99117574356725</v>
      </c>
      <c r="C225" s="31"/>
      <c r="D225" s="22" t="s">
        <v>39</v>
      </c>
      <c r="E225" s="22" t="s">
        <v>40</v>
      </c>
      <c r="F225" s="22" t="s">
        <v>29</v>
      </c>
      <c r="G225" s="22" t="s">
        <v>117</v>
      </c>
      <c r="H225" s="22" t="s">
        <v>33</v>
      </c>
      <c r="I225" s="22">
        <v>2</v>
      </c>
      <c r="J225" s="22">
        <f t="shared" si="7"/>
        <v>5.53729952524799</v>
      </c>
      <c r="K225" s="22">
        <v>0.28635642126552702</v>
      </c>
      <c r="L225" s="22" t="s">
        <v>31</v>
      </c>
      <c r="M225" s="22" t="s">
        <v>31</v>
      </c>
      <c r="N225" s="22" t="s">
        <v>31</v>
      </c>
      <c r="Q225" s="22" t="s">
        <v>101</v>
      </c>
    </row>
    <row r="226" spans="1:17">
      <c r="A226" s="22" t="s">
        <v>48</v>
      </c>
      <c r="B226" s="31">
        <v>4771.8291335013355</v>
      </c>
      <c r="C226" s="31"/>
      <c r="D226" s="22" t="s">
        <v>39</v>
      </c>
      <c r="E226" s="22" t="s">
        <v>43</v>
      </c>
      <c r="F226" s="22" t="s">
        <v>44</v>
      </c>
      <c r="G226" s="22" t="s">
        <v>29</v>
      </c>
      <c r="H226" s="22" t="s">
        <v>45</v>
      </c>
      <c r="I226" s="22">
        <v>2</v>
      </c>
      <c r="J226" s="22">
        <f t="shared" si="7"/>
        <v>8.4704849765208738</v>
      </c>
      <c r="K226" s="22">
        <v>0.28635642126552702</v>
      </c>
      <c r="L226" s="22" t="s">
        <v>31</v>
      </c>
      <c r="M226" s="22" t="s">
        <v>31</v>
      </c>
      <c r="N226" s="22" t="s">
        <v>31</v>
      </c>
      <c r="Q226" s="22" t="s">
        <v>101</v>
      </c>
    </row>
    <row r="227" spans="1:17">
      <c r="A227" s="22" t="s">
        <v>51</v>
      </c>
      <c r="B227" s="31">
        <v>5.1046173706717511E-2</v>
      </c>
      <c r="C227" s="31"/>
      <c r="D227" s="22" t="s">
        <v>39</v>
      </c>
      <c r="E227" s="22" t="s">
        <v>43</v>
      </c>
      <c r="F227" s="22" t="s">
        <v>44</v>
      </c>
      <c r="G227" s="22" t="s">
        <v>29</v>
      </c>
      <c r="H227" s="22" t="s">
        <v>45</v>
      </c>
      <c r="I227" s="22">
        <v>2</v>
      </c>
      <c r="J227" s="22">
        <f t="shared" si="7"/>
        <v>-2.9750246890567431</v>
      </c>
      <c r="K227" s="22">
        <v>0.28635642126552702</v>
      </c>
      <c r="L227" s="22" t="s">
        <v>31</v>
      </c>
      <c r="M227" s="22" t="s">
        <v>31</v>
      </c>
      <c r="N227" s="22" t="s">
        <v>31</v>
      </c>
      <c r="Q227" s="22" t="s">
        <v>101</v>
      </c>
    </row>
    <row r="228" spans="1:17">
      <c r="A228" s="22" t="s">
        <v>42</v>
      </c>
      <c r="B228" s="22">
        <v>0.80944646877794901</v>
      </c>
      <c r="D228" s="22" t="s">
        <v>39</v>
      </c>
      <c r="E228" s="22" t="s">
        <v>43</v>
      </c>
      <c r="F228" s="22" t="s">
        <v>44</v>
      </c>
      <c r="G228" s="22" t="s">
        <v>29</v>
      </c>
      <c r="H228" s="22" t="s">
        <v>45</v>
      </c>
      <c r="I228" s="22">
        <v>2</v>
      </c>
      <c r="J228" s="22">
        <f t="shared" si="7"/>
        <v>-0.21140463679972257</v>
      </c>
      <c r="K228" s="22">
        <v>0.28635642126552702</v>
      </c>
      <c r="L228" s="22" t="s">
        <v>31</v>
      </c>
      <c r="M228" s="22" t="s">
        <v>31</v>
      </c>
      <c r="N228" s="22" t="s">
        <v>31</v>
      </c>
      <c r="Q228" s="22" t="s">
        <v>101</v>
      </c>
    </row>
    <row r="229" spans="1:17">
      <c r="A229" s="22" t="s">
        <v>244</v>
      </c>
      <c r="B229" s="22">
        <v>3.8321091832685785</v>
      </c>
      <c r="D229" s="22" t="s">
        <v>39</v>
      </c>
      <c r="E229" s="22" t="s">
        <v>43</v>
      </c>
      <c r="F229" s="22" t="s">
        <v>44</v>
      </c>
      <c r="G229" s="22" t="s">
        <v>29</v>
      </c>
      <c r="H229" s="22" t="s">
        <v>45</v>
      </c>
      <c r="I229" s="22">
        <v>2</v>
      </c>
      <c r="J229" s="22">
        <f t="shared" si="7"/>
        <v>1.3434153522049492</v>
      </c>
      <c r="K229" s="22">
        <v>0.28635642126552702</v>
      </c>
      <c r="L229" s="22" t="s">
        <v>31</v>
      </c>
      <c r="M229" s="22" t="s">
        <v>31</v>
      </c>
      <c r="N229" s="22" t="s">
        <v>31</v>
      </c>
      <c r="Q229" s="22" t="s">
        <v>101</v>
      </c>
    </row>
    <row r="230" spans="1:17" s="29" customFormat="1">
      <c r="A230" s="27" t="s">
        <v>5</v>
      </c>
      <c r="B230" s="27" t="s">
        <v>401</v>
      </c>
      <c r="C230" s="27"/>
      <c r="D230" s="28"/>
      <c r="Q230" s="29" t="s">
        <v>101</v>
      </c>
    </row>
    <row r="231" spans="1:17">
      <c r="A231" s="22" t="s">
        <v>7</v>
      </c>
      <c r="B231" s="22" t="s">
        <v>95</v>
      </c>
      <c r="Q231" s="22" t="s">
        <v>101</v>
      </c>
    </row>
    <row r="232" spans="1:17">
      <c r="A232" s="22" t="s">
        <v>9</v>
      </c>
      <c r="B232" s="22" t="s">
        <v>406</v>
      </c>
      <c r="Q232" s="22" t="s">
        <v>101</v>
      </c>
    </row>
    <row r="233" spans="1:17">
      <c r="A233" s="22" t="s">
        <v>11</v>
      </c>
      <c r="B233" s="22" t="s">
        <v>407</v>
      </c>
      <c r="Q233" s="22" t="s">
        <v>101</v>
      </c>
    </row>
    <row r="234" spans="1:17">
      <c r="A234" s="22" t="s">
        <v>13</v>
      </c>
      <c r="B234" s="22" t="s">
        <v>86</v>
      </c>
      <c r="Q234" s="22" t="s">
        <v>101</v>
      </c>
    </row>
    <row r="235" spans="1:17">
      <c r="A235" s="22" t="s">
        <v>15</v>
      </c>
      <c r="B235" s="22">
        <v>1</v>
      </c>
      <c r="Q235" s="22" t="s">
        <v>101</v>
      </c>
    </row>
    <row r="236" spans="1:17">
      <c r="A236" s="22" t="s">
        <v>16</v>
      </c>
      <c r="B236" s="22" t="s">
        <v>17</v>
      </c>
      <c r="Q236" s="22" t="s">
        <v>101</v>
      </c>
    </row>
    <row r="237" spans="1:17">
      <c r="A237" s="22" t="s">
        <v>18</v>
      </c>
      <c r="B237" s="22" t="s">
        <v>18</v>
      </c>
      <c r="E237" s="22" t="s">
        <v>90</v>
      </c>
      <c r="Q237" s="22" t="s">
        <v>101</v>
      </c>
    </row>
    <row r="238" spans="1:17">
      <c r="A238" s="24" t="s">
        <v>19</v>
      </c>
      <c r="Q238" s="22" t="s">
        <v>101</v>
      </c>
    </row>
    <row r="239" spans="1:17">
      <c r="A239" s="24" t="s">
        <v>20</v>
      </c>
      <c r="B239" s="24" t="s">
        <v>21</v>
      </c>
      <c r="C239" s="24" t="s">
        <v>73</v>
      </c>
      <c r="D239" s="24" t="s">
        <v>18</v>
      </c>
      <c r="E239" s="24" t="s">
        <v>22</v>
      </c>
      <c r="F239" s="24" t="s">
        <v>7</v>
      </c>
      <c r="G239" s="24" t="s">
        <v>13</v>
      </c>
      <c r="H239" s="24" t="s">
        <v>16</v>
      </c>
      <c r="I239" s="24" t="s">
        <v>23</v>
      </c>
      <c r="J239" s="24" t="s">
        <v>24</v>
      </c>
      <c r="K239" s="24" t="s">
        <v>25</v>
      </c>
      <c r="L239" s="24" t="s">
        <v>26</v>
      </c>
      <c r="M239" s="24" t="s">
        <v>27</v>
      </c>
      <c r="N239" s="24" t="s">
        <v>28</v>
      </c>
      <c r="O239" s="24" t="s">
        <v>11</v>
      </c>
      <c r="P239" s="24" t="s">
        <v>337</v>
      </c>
      <c r="Q239" s="22" t="s">
        <v>101</v>
      </c>
    </row>
    <row r="240" spans="1:17">
      <c r="A240" s="30" t="s">
        <v>401</v>
      </c>
      <c r="B240" s="22">
        <v>1</v>
      </c>
      <c r="D240" s="22" t="s">
        <v>18</v>
      </c>
      <c r="E240" s="22" t="s">
        <v>2</v>
      </c>
      <c r="F240" s="22" t="s">
        <v>29</v>
      </c>
      <c r="G240" s="22" t="s">
        <v>86</v>
      </c>
      <c r="H240" s="22" t="s">
        <v>30</v>
      </c>
      <c r="I240" s="22">
        <v>1</v>
      </c>
      <c r="J240" s="22">
        <v>1</v>
      </c>
      <c r="K240" s="22" t="s">
        <v>31</v>
      </c>
      <c r="L240" s="22" t="s">
        <v>31</v>
      </c>
      <c r="M240" s="22" t="s">
        <v>31</v>
      </c>
      <c r="N240" s="22" t="s">
        <v>31</v>
      </c>
      <c r="Q240" s="22" t="s">
        <v>101</v>
      </c>
    </row>
    <row r="241" spans="1:24">
      <c r="A241" s="34" t="s">
        <v>286</v>
      </c>
      <c r="B241" s="26">
        <v>344.1</v>
      </c>
      <c r="C241" s="26"/>
      <c r="D241" s="26" t="s">
        <v>39</v>
      </c>
      <c r="E241" s="26" t="s">
        <v>40</v>
      </c>
      <c r="F241" s="26" t="s">
        <v>29</v>
      </c>
      <c r="G241" s="26" t="s">
        <v>86</v>
      </c>
      <c r="H241" s="26" t="s">
        <v>33</v>
      </c>
      <c r="I241" s="26">
        <v>2</v>
      </c>
      <c r="J241" s="26">
        <f t="shared" ref="J241:J256" si="8">LN(B241)</f>
        <v>5.8409323128034352</v>
      </c>
      <c r="K241" s="26">
        <v>0.30331501776206199</v>
      </c>
      <c r="L241" s="26" t="s">
        <v>31</v>
      </c>
      <c r="M241" s="26" t="s">
        <v>31</v>
      </c>
      <c r="N241" s="26" t="s">
        <v>31</v>
      </c>
      <c r="O241" s="26" t="s">
        <v>352</v>
      </c>
      <c r="P241" s="22" t="s">
        <v>408</v>
      </c>
      <c r="Q241" s="22" t="s">
        <v>101</v>
      </c>
    </row>
    <row r="242" spans="1:24">
      <c r="A242" s="49" t="s">
        <v>173</v>
      </c>
      <c r="B242" s="25">
        <v>321.16000000000003</v>
      </c>
      <c r="C242" s="25"/>
      <c r="D242" s="25" t="s">
        <v>39</v>
      </c>
      <c r="E242" s="25" t="s">
        <v>40</v>
      </c>
      <c r="F242" s="25" t="s">
        <v>29</v>
      </c>
      <c r="G242" s="25" t="s">
        <v>117</v>
      </c>
      <c r="H242" s="25" t="s">
        <v>33</v>
      </c>
      <c r="I242" s="25">
        <v>2</v>
      </c>
      <c r="J242" s="25">
        <f t="shared" si="8"/>
        <v>5.7719394413164835</v>
      </c>
      <c r="K242" s="25">
        <v>0.30331501776206199</v>
      </c>
      <c r="L242" s="25" t="s">
        <v>31</v>
      </c>
      <c r="M242" s="25" t="s">
        <v>31</v>
      </c>
      <c r="N242" s="25" t="s">
        <v>31</v>
      </c>
      <c r="O242" s="25" t="s">
        <v>99</v>
      </c>
      <c r="P242" s="22" t="s">
        <v>395</v>
      </c>
      <c r="Q242" s="22" t="s">
        <v>101</v>
      </c>
    </row>
    <row r="243" spans="1:24">
      <c r="A243" s="49" t="s">
        <v>286</v>
      </c>
      <c r="B243" s="25">
        <v>321.16000000000003</v>
      </c>
      <c r="C243" s="25"/>
      <c r="D243" s="25" t="s">
        <v>39</v>
      </c>
      <c r="E243" s="25" t="s">
        <v>40</v>
      </c>
      <c r="F243" s="25" t="s">
        <v>29</v>
      </c>
      <c r="G243" s="25" t="s">
        <v>86</v>
      </c>
      <c r="H243" s="25" t="s">
        <v>110</v>
      </c>
      <c r="I243" s="25">
        <v>2</v>
      </c>
      <c r="J243" s="25">
        <f t="shared" si="8"/>
        <v>5.7719394413164835</v>
      </c>
      <c r="K243" s="25">
        <v>0.30331501776206199</v>
      </c>
      <c r="L243" s="25" t="s">
        <v>31</v>
      </c>
      <c r="M243" s="25" t="s">
        <v>31</v>
      </c>
      <c r="N243" s="25" t="s">
        <v>31</v>
      </c>
      <c r="O243" s="25" t="s">
        <v>99</v>
      </c>
      <c r="P243" s="22" t="s">
        <v>396</v>
      </c>
      <c r="Q243" s="22" t="s">
        <v>101</v>
      </c>
      <c r="S243" s="24" t="s">
        <v>342</v>
      </c>
    </row>
    <row r="244" spans="1:24">
      <c r="A244" s="22" t="s">
        <v>97</v>
      </c>
      <c r="B244" s="31">
        <v>918.10189566796214</v>
      </c>
      <c r="C244" s="31"/>
      <c r="D244" s="22" t="s">
        <v>98</v>
      </c>
      <c r="E244" s="22" t="s">
        <v>40</v>
      </c>
      <c r="F244" s="22" t="s">
        <v>29</v>
      </c>
      <c r="G244" s="22" t="s">
        <v>86</v>
      </c>
      <c r="H244" s="22" t="s">
        <v>33</v>
      </c>
      <c r="I244" s="22">
        <v>2</v>
      </c>
      <c r="J244" s="22">
        <f t="shared" si="8"/>
        <v>6.822308381920382</v>
      </c>
      <c r="K244" s="22">
        <v>0.28635642126552702</v>
      </c>
      <c r="L244" s="22" t="s">
        <v>31</v>
      </c>
      <c r="M244" s="22" t="s">
        <v>31</v>
      </c>
      <c r="N244" s="22" t="s">
        <v>31</v>
      </c>
      <c r="Q244" s="22" t="s">
        <v>101</v>
      </c>
    </row>
    <row r="245" spans="1:24">
      <c r="A245" s="22" t="s">
        <v>105</v>
      </c>
      <c r="B245" s="31">
        <v>86.776521882674956</v>
      </c>
      <c r="C245" s="31"/>
      <c r="D245" s="22" t="s">
        <v>50</v>
      </c>
      <c r="E245" s="22" t="s">
        <v>40</v>
      </c>
      <c r="F245" s="22" t="s">
        <v>29</v>
      </c>
      <c r="G245" s="22" t="s">
        <v>106</v>
      </c>
      <c r="H245" s="22" t="s">
        <v>33</v>
      </c>
      <c r="I245" s="22">
        <v>2</v>
      </c>
      <c r="J245" s="22">
        <f t="shared" si="8"/>
        <v>4.4633360998559404</v>
      </c>
      <c r="K245" s="22">
        <v>0.28635642126552702</v>
      </c>
      <c r="L245" s="22" t="s">
        <v>31</v>
      </c>
      <c r="M245" s="22" t="s">
        <v>31</v>
      </c>
      <c r="N245" s="22" t="s">
        <v>31</v>
      </c>
      <c r="Q245" s="22" t="s">
        <v>101</v>
      </c>
      <c r="S245" s="31">
        <v>923.20651303863372</v>
      </c>
      <c r="T245" s="22" t="s">
        <v>104</v>
      </c>
      <c r="U245" s="22">
        <f>S245/0.277778</f>
        <v>3323.5407881064507</v>
      </c>
      <c r="V245" s="22" t="s">
        <v>103</v>
      </c>
      <c r="W245" s="22">
        <f>U245/38.3</f>
        <v>86.776521882674956</v>
      </c>
      <c r="X245" s="22" t="s">
        <v>108</v>
      </c>
    </row>
    <row r="246" spans="1:24">
      <c r="A246" s="22" t="s">
        <v>123</v>
      </c>
      <c r="B246" s="31">
        <v>414.78629109069448</v>
      </c>
      <c r="C246" s="31"/>
      <c r="D246" s="22" t="s">
        <v>124</v>
      </c>
      <c r="E246" s="22" t="s">
        <v>40</v>
      </c>
      <c r="F246" s="22" t="s">
        <v>29</v>
      </c>
      <c r="G246" s="22" t="s">
        <v>86</v>
      </c>
      <c r="H246" s="22" t="s">
        <v>33</v>
      </c>
      <c r="I246" s="22">
        <v>2</v>
      </c>
      <c r="J246" s="22">
        <f t="shared" si="8"/>
        <v>6.0277634263653859</v>
      </c>
      <c r="K246" s="22">
        <v>0.28635642126552702</v>
      </c>
      <c r="L246" s="22" t="s">
        <v>31</v>
      </c>
      <c r="M246" s="22" t="s">
        <v>31</v>
      </c>
      <c r="N246" s="22" t="s">
        <v>31</v>
      </c>
      <c r="Q246" s="22" t="s">
        <v>101</v>
      </c>
      <c r="S246" s="31">
        <v>115.21850636659094</v>
      </c>
      <c r="T246" s="22" t="s">
        <v>104</v>
      </c>
      <c r="U246" s="22">
        <f>S246/0.277778</f>
        <v>414.78629109069448</v>
      </c>
      <c r="V246" s="22" t="s">
        <v>103</v>
      </c>
    </row>
    <row r="247" spans="1:24">
      <c r="A247" s="22" t="s">
        <v>344</v>
      </c>
      <c r="B247" s="31">
        <v>19.630623801336835</v>
      </c>
      <c r="C247" s="31"/>
      <c r="D247" s="22" t="s">
        <v>39</v>
      </c>
      <c r="E247" s="22" t="s">
        <v>40</v>
      </c>
      <c r="F247" s="22" t="s">
        <v>29</v>
      </c>
      <c r="G247" s="22" t="s">
        <v>86</v>
      </c>
      <c r="H247" s="22" t="s">
        <v>33</v>
      </c>
      <c r="I247" s="22">
        <v>2</v>
      </c>
      <c r="J247" s="22">
        <f t="shared" si="8"/>
        <v>2.9770907857425457</v>
      </c>
      <c r="K247" s="22">
        <v>0.28635642126552702</v>
      </c>
      <c r="L247" s="22" t="s">
        <v>31</v>
      </c>
      <c r="M247" s="22" t="s">
        <v>31</v>
      </c>
      <c r="N247" s="22" t="s">
        <v>31</v>
      </c>
      <c r="Q247" s="22" t="s">
        <v>101</v>
      </c>
      <c r="S247" s="31">
        <v>244.29240273929091</v>
      </c>
      <c r="T247" s="22" t="s">
        <v>104</v>
      </c>
      <c r="U247" s="22">
        <f>S247/0.277778</f>
        <v>879.4519462998901</v>
      </c>
      <c r="V247" s="22" t="s">
        <v>103</v>
      </c>
      <c r="W247" s="22">
        <f>U247/44.8</f>
        <v>19.630623801336835</v>
      </c>
      <c r="X247" s="22" t="s">
        <v>111</v>
      </c>
    </row>
    <row r="248" spans="1:24">
      <c r="A248" s="22" t="s">
        <v>38</v>
      </c>
      <c r="B248" s="31">
        <v>38.753390668509724</v>
      </c>
      <c r="C248" s="31"/>
      <c r="D248" s="22" t="s">
        <v>39</v>
      </c>
      <c r="E248" s="22" t="s">
        <v>40</v>
      </c>
      <c r="F248" s="22" t="s">
        <v>29</v>
      </c>
      <c r="G248" s="22" t="s">
        <v>117</v>
      </c>
      <c r="H248" s="22" t="s">
        <v>33</v>
      </c>
      <c r="I248" s="22">
        <v>2</v>
      </c>
      <c r="J248" s="22">
        <f t="shared" si="8"/>
        <v>3.6572182530941877</v>
      </c>
      <c r="K248" s="22">
        <v>0.28635642126552702</v>
      </c>
      <c r="L248" s="22" t="s">
        <v>31</v>
      </c>
      <c r="M248" s="22" t="s">
        <v>31</v>
      </c>
      <c r="N248" s="22" t="s">
        <v>31</v>
      </c>
      <c r="Q248" s="22" t="s">
        <v>101</v>
      </c>
      <c r="S248" s="31">
        <v>497.33557811401909</v>
      </c>
      <c r="T248" s="22" t="s">
        <v>104</v>
      </c>
      <c r="U248" s="22">
        <f>S248/0.277778</f>
        <v>1790.4066488851495</v>
      </c>
      <c r="V248" s="22" t="s">
        <v>103</v>
      </c>
      <c r="W248" s="22">
        <f>U248/46.2</f>
        <v>38.753390668509724</v>
      </c>
      <c r="X248" s="22" t="s">
        <v>111</v>
      </c>
    </row>
    <row r="249" spans="1:24">
      <c r="A249" s="22" t="s">
        <v>59</v>
      </c>
      <c r="B249" s="31">
        <f>W249</f>
        <v>0.24545434909106617</v>
      </c>
      <c r="C249" s="31"/>
      <c r="D249" s="22" t="s">
        <v>39</v>
      </c>
      <c r="E249" s="22" t="s">
        <v>2</v>
      </c>
      <c r="F249" s="22" t="s">
        <v>29</v>
      </c>
      <c r="G249" s="22" t="s">
        <v>60</v>
      </c>
      <c r="H249" s="22" t="s">
        <v>33</v>
      </c>
      <c r="I249" s="22">
        <v>2</v>
      </c>
      <c r="J249" s="22">
        <f t="shared" si="8"/>
        <v>-1.4046442997877673</v>
      </c>
      <c r="K249" s="22">
        <v>0.28635642126552702</v>
      </c>
      <c r="L249" s="22" t="s">
        <v>31</v>
      </c>
      <c r="M249" s="22" t="s">
        <v>31</v>
      </c>
      <c r="N249" s="22" t="s">
        <v>31</v>
      </c>
      <c r="Q249" s="22" t="s">
        <v>101</v>
      </c>
      <c r="R249" s="30"/>
      <c r="S249" s="31">
        <v>3</v>
      </c>
      <c r="T249" s="22" t="s">
        <v>104</v>
      </c>
      <c r="U249" s="22">
        <f>S249/0.277778</f>
        <v>10.799991360006912</v>
      </c>
      <c r="V249" s="22" t="s">
        <v>103</v>
      </c>
      <c r="W249" s="22">
        <f>U249/44</f>
        <v>0.24545434909106617</v>
      </c>
      <c r="X249" s="22" t="s">
        <v>111</v>
      </c>
    </row>
    <row r="250" spans="1:24">
      <c r="A250" s="22" t="s">
        <v>242</v>
      </c>
      <c r="B250" s="31">
        <v>2239.997069668003</v>
      </c>
      <c r="C250" s="31"/>
      <c r="D250" s="22" t="s">
        <v>39</v>
      </c>
      <c r="E250" s="22" t="s">
        <v>40</v>
      </c>
      <c r="F250" s="22" t="s">
        <v>29</v>
      </c>
      <c r="G250" s="22" t="s">
        <v>86</v>
      </c>
      <c r="H250" s="22" t="s">
        <v>33</v>
      </c>
      <c r="I250" s="22">
        <v>2</v>
      </c>
      <c r="J250" s="22">
        <f t="shared" si="8"/>
        <v>7.7142298366643027</v>
      </c>
      <c r="K250" s="22">
        <v>0.28635642126552702</v>
      </c>
      <c r="L250" s="22" t="s">
        <v>31</v>
      </c>
      <c r="M250" s="22" t="s">
        <v>31</v>
      </c>
      <c r="N250" s="22" t="s">
        <v>31</v>
      </c>
      <c r="Q250" s="22" t="s">
        <v>101</v>
      </c>
    </row>
    <row r="251" spans="1:24">
      <c r="A251" s="32" t="s">
        <v>243</v>
      </c>
      <c r="B251" s="31">
        <v>2.093438586803027</v>
      </c>
      <c r="C251" s="31"/>
      <c r="D251" s="22" t="s">
        <v>50</v>
      </c>
      <c r="E251" s="22" t="s">
        <v>40</v>
      </c>
      <c r="F251" s="22" t="s">
        <v>29</v>
      </c>
      <c r="G251" s="32" t="s">
        <v>117</v>
      </c>
      <c r="H251" s="22" t="s">
        <v>33</v>
      </c>
      <c r="I251" s="22">
        <v>2</v>
      </c>
      <c r="J251" s="22">
        <f t="shared" si="8"/>
        <v>0.73880797086790206</v>
      </c>
      <c r="K251" s="22">
        <v>0.28635642126552702</v>
      </c>
      <c r="L251" s="22" t="s">
        <v>31</v>
      </c>
      <c r="M251" s="22" t="s">
        <v>31</v>
      </c>
      <c r="N251" s="22" t="s">
        <v>31</v>
      </c>
      <c r="Q251" s="22" t="s">
        <v>101</v>
      </c>
    </row>
    <row r="252" spans="1:24">
      <c r="A252" s="22" t="s">
        <v>245</v>
      </c>
      <c r="B252" s="31">
        <v>50.798235148713452</v>
      </c>
      <c r="C252" s="31"/>
      <c r="D252" s="22" t="s">
        <v>39</v>
      </c>
      <c r="E252" s="22" t="s">
        <v>40</v>
      </c>
      <c r="F252" s="22" t="s">
        <v>29</v>
      </c>
      <c r="G252" s="22" t="s">
        <v>117</v>
      </c>
      <c r="H252" s="22" t="s">
        <v>33</v>
      </c>
      <c r="I252" s="22">
        <v>2</v>
      </c>
      <c r="J252" s="22">
        <f t="shared" si="8"/>
        <v>3.9278616128138899</v>
      </c>
      <c r="K252" s="22">
        <v>0.28635642126552702</v>
      </c>
      <c r="L252" s="22" t="s">
        <v>31</v>
      </c>
      <c r="M252" s="22" t="s">
        <v>31</v>
      </c>
      <c r="N252" s="22" t="s">
        <v>31</v>
      </c>
      <c r="Q252" s="22" t="s">
        <v>101</v>
      </c>
    </row>
    <row r="253" spans="1:24">
      <c r="A253" s="22" t="s">
        <v>48</v>
      </c>
      <c r="B253" s="31">
        <v>954.36582670026701</v>
      </c>
      <c r="C253" s="31"/>
      <c r="D253" s="22" t="s">
        <v>39</v>
      </c>
      <c r="E253" s="22" t="s">
        <v>43</v>
      </c>
      <c r="F253" s="22" t="s">
        <v>44</v>
      </c>
      <c r="G253" s="22" t="s">
        <v>29</v>
      </c>
      <c r="H253" s="22" t="s">
        <v>45</v>
      </c>
      <c r="I253" s="22">
        <v>2</v>
      </c>
      <c r="J253" s="22">
        <f t="shared" si="8"/>
        <v>6.8610470640867733</v>
      </c>
      <c r="K253" s="22">
        <v>0.28635642126552702</v>
      </c>
      <c r="L253" s="22" t="s">
        <v>31</v>
      </c>
      <c r="M253" s="22" t="s">
        <v>31</v>
      </c>
      <c r="N253" s="22" t="s">
        <v>31</v>
      </c>
      <c r="Q253" s="22" t="s">
        <v>101</v>
      </c>
    </row>
    <row r="254" spans="1:24">
      <c r="A254" s="22" t="s">
        <v>51</v>
      </c>
      <c r="B254" s="31">
        <v>1.0209234741343503E-2</v>
      </c>
      <c r="C254" s="31"/>
      <c r="D254" s="22" t="s">
        <v>39</v>
      </c>
      <c r="E254" s="22" t="s">
        <v>43</v>
      </c>
      <c r="F254" s="22" t="s">
        <v>44</v>
      </c>
      <c r="G254" s="22" t="s">
        <v>29</v>
      </c>
      <c r="H254" s="22" t="s">
        <v>45</v>
      </c>
      <c r="I254" s="22">
        <v>2</v>
      </c>
      <c r="J254" s="22">
        <f t="shared" si="8"/>
        <v>-4.5844626014908432</v>
      </c>
      <c r="K254" s="22">
        <v>0.28635642126552702</v>
      </c>
      <c r="L254" s="22" t="s">
        <v>31</v>
      </c>
      <c r="M254" s="22" t="s">
        <v>31</v>
      </c>
      <c r="N254" s="22" t="s">
        <v>31</v>
      </c>
      <c r="Q254" s="22" t="s">
        <v>101</v>
      </c>
    </row>
    <row r="255" spans="1:24">
      <c r="A255" s="22" t="s">
        <v>42</v>
      </c>
      <c r="B255" s="22">
        <v>0.1618892937555898</v>
      </c>
      <c r="D255" s="22" t="s">
        <v>39</v>
      </c>
      <c r="E255" s="22" t="s">
        <v>43</v>
      </c>
      <c r="F255" s="22" t="s">
        <v>44</v>
      </c>
      <c r="G255" s="22" t="s">
        <v>29</v>
      </c>
      <c r="H255" s="22" t="s">
        <v>45</v>
      </c>
      <c r="I255" s="22">
        <v>2</v>
      </c>
      <c r="J255" s="22">
        <f t="shared" si="8"/>
        <v>-1.8208425492338229</v>
      </c>
      <c r="K255" s="22">
        <v>0.28635642126552702</v>
      </c>
      <c r="L255" s="22" t="s">
        <v>31</v>
      </c>
      <c r="M255" s="22" t="s">
        <v>31</v>
      </c>
      <c r="N255" s="22" t="s">
        <v>31</v>
      </c>
      <c r="Q255" s="22" t="s">
        <v>101</v>
      </c>
    </row>
    <row r="256" spans="1:24">
      <c r="A256" s="22" t="s">
        <v>244</v>
      </c>
      <c r="B256" s="22">
        <v>0.76642183665371566</v>
      </c>
      <c r="D256" s="22" t="s">
        <v>39</v>
      </c>
      <c r="E256" s="22" t="s">
        <v>43</v>
      </c>
      <c r="F256" s="22" t="s">
        <v>44</v>
      </c>
      <c r="G256" s="22" t="s">
        <v>29</v>
      </c>
      <c r="H256" s="22" t="s">
        <v>45</v>
      </c>
      <c r="I256" s="22">
        <v>2</v>
      </c>
      <c r="J256" s="22">
        <f t="shared" si="8"/>
        <v>-0.26602256022915127</v>
      </c>
      <c r="K256" s="22">
        <v>0.28635642126552702</v>
      </c>
      <c r="L256" s="22" t="s">
        <v>31</v>
      </c>
      <c r="M256" s="22" t="s">
        <v>31</v>
      </c>
      <c r="N256" s="22" t="s">
        <v>31</v>
      </c>
      <c r="Q256" s="22" t="s">
        <v>101</v>
      </c>
    </row>
    <row r="257" spans="1:24" s="29" customFormat="1">
      <c r="A257" s="27" t="s">
        <v>5</v>
      </c>
      <c r="B257" s="27" t="s">
        <v>402</v>
      </c>
      <c r="C257" s="27"/>
      <c r="D257" s="28"/>
      <c r="Q257" s="29" t="s">
        <v>101</v>
      </c>
    </row>
    <row r="258" spans="1:24">
      <c r="A258" s="22" t="s">
        <v>7</v>
      </c>
      <c r="B258" s="22" t="s">
        <v>95</v>
      </c>
      <c r="Q258" s="22" t="s">
        <v>101</v>
      </c>
    </row>
    <row r="259" spans="1:24">
      <c r="A259" s="22" t="s">
        <v>9</v>
      </c>
      <c r="B259" s="22" t="s">
        <v>409</v>
      </c>
      <c r="Q259" s="22" t="s">
        <v>101</v>
      </c>
    </row>
    <row r="260" spans="1:24">
      <c r="A260" s="22" t="s">
        <v>11</v>
      </c>
      <c r="B260" s="22" t="s">
        <v>410</v>
      </c>
      <c r="Q260" s="22" t="s">
        <v>101</v>
      </c>
    </row>
    <row r="261" spans="1:24">
      <c r="A261" s="22" t="s">
        <v>13</v>
      </c>
      <c r="B261" s="22" t="s">
        <v>86</v>
      </c>
      <c r="Q261" s="22" t="s">
        <v>101</v>
      </c>
    </row>
    <row r="262" spans="1:24">
      <c r="A262" s="22" t="s">
        <v>15</v>
      </c>
      <c r="B262" s="22">
        <v>1</v>
      </c>
      <c r="Q262" s="22" t="s">
        <v>101</v>
      </c>
    </row>
    <row r="263" spans="1:24">
      <c r="A263" s="22" t="s">
        <v>16</v>
      </c>
      <c r="B263" s="22" t="s">
        <v>17</v>
      </c>
      <c r="Q263" s="22" t="s">
        <v>101</v>
      </c>
    </row>
    <row r="264" spans="1:24">
      <c r="A264" s="22" t="s">
        <v>18</v>
      </c>
      <c r="B264" s="22" t="s">
        <v>18</v>
      </c>
      <c r="E264" s="22" t="s">
        <v>90</v>
      </c>
      <c r="Q264" s="22" t="s">
        <v>101</v>
      </c>
    </row>
    <row r="265" spans="1:24">
      <c r="A265" s="24" t="s">
        <v>19</v>
      </c>
      <c r="Q265" s="22" t="s">
        <v>101</v>
      </c>
    </row>
    <row r="266" spans="1:24">
      <c r="A266" s="24" t="s">
        <v>20</v>
      </c>
      <c r="B266" s="24" t="s">
        <v>21</v>
      </c>
      <c r="C266" s="24" t="s">
        <v>73</v>
      </c>
      <c r="D266" s="24" t="s">
        <v>18</v>
      </c>
      <c r="E266" s="24" t="s">
        <v>22</v>
      </c>
      <c r="F266" s="24" t="s">
        <v>7</v>
      </c>
      <c r="G266" s="24" t="s">
        <v>13</v>
      </c>
      <c r="H266" s="24" t="s">
        <v>16</v>
      </c>
      <c r="I266" s="24" t="s">
        <v>23</v>
      </c>
      <c r="J266" s="24" t="s">
        <v>24</v>
      </c>
      <c r="K266" s="24" t="s">
        <v>25</v>
      </c>
      <c r="L266" s="24" t="s">
        <v>26</v>
      </c>
      <c r="M266" s="24" t="s">
        <v>27</v>
      </c>
      <c r="N266" s="24" t="s">
        <v>28</v>
      </c>
      <c r="O266" s="24" t="s">
        <v>11</v>
      </c>
      <c r="P266" s="24" t="s">
        <v>337</v>
      </c>
      <c r="Q266" s="22" t="s">
        <v>101</v>
      </c>
      <c r="S266" s="24" t="s">
        <v>342</v>
      </c>
    </row>
    <row r="267" spans="1:24">
      <c r="A267" s="30" t="s">
        <v>402</v>
      </c>
      <c r="B267" s="22">
        <v>1</v>
      </c>
      <c r="D267" s="22" t="s">
        <v>18</v>
      </c>
      <c r="E267" s="22" t="s">
        <v>2</v>
      </c>
      <c r="F267" s="22" t="s">
        <v>29</v>
      </c>
      <c r="G267" s="26" t="s">
        <v>86</v>
      </c>
      <c r="H267" s="22" t="s">
        <v>30</v>
      </c>
      <c r="I267" s="22">
        <v>1</v>
      </c>
      <c r="J267" s="22">
        <v>1</v>
      </c>
      <c r="K267" s="22" t="s">
        <v>31</v>
      </c>
      <c r="L267" s="22" t="s">
        <v>31</v>
      </c>
      <c r="M267" s="22" t="s">
        <v>31</v>
      </c>
      <c r="N267" s="22" t="s">
        <v>31</v>
      </c>
      <c r="Q267" s="22" t="s">
        <v>101</v>
      </c>
    </row>
    <row r="268" spans="1:24">
      <c r="A268" s="34" t="s">
        <v>411</v>
      </c>
      <c r="B268" s="26">
        <v>4.7136986301369852</v>
      </c>
      <c r="C268" s="26"/>
      <c r="D268" s="26" t="s">
        <v>412</v>
      </c>
      <c r="E268" s="26" t="s">
        <v>40</v>
      </c>
      <c r="F268" s="26" t="s">
        <v>29</v>
      </c>
      <c r="G268" s="26" t="s">
        <v>86</v>
      </c>
      <c r="H268" s="26" t="s">
        <v>33</v>
      </c>
      <c r="I268" s="26">
        <v>2</v>
      </c>
      <c r="J268" s="26">
        <f t="shared" ref="J268:J285" si="9">LN(B268)</f>
        <v>1.5504728716550433</v>
      </c>
      <c r="K268" s="26">
        <v>0.30331501776206199</v>
      </c>
      <c r="L268" s="26" t="s">
        <v>31</v>
      </c>
      <c r="M268" s="26" t="s">
        <v>31</v>
      </c>
      <c r="N268" s="26" t="s">
        <v>31</v>
      </c>
      <c r="O268" s="26" t="s">
        <v>352</v>
      </c>
      <c r="P268" s="22" t="s">
        <v>413</v>
      </c>
      <c r="Q268" s="22" t="s">
        <v>101</v>
      </c>
      <c r="R268" s="32"/>
      <c r="S268" s="22">
        <v>68.819999999999993</v>
      </c>
      <c r="T268" s="22" t="s">
        <v>111</v>
      </c>
      <c r="U268" s="22">
        <f>S268/7300</f>
        <v>9.4273972602739713E-3</v>
      </c>
      <c r="V268" s="22" t="s">
        <v>108</v>
      </c>
      <c r="W268" s="22">
        <f>U268/0.002</f>
        <v>4.7136986301369852</v>
      </c>
      <c r="X268" s="22" t="s">
        <v>414</v>
      </c>
    </row>
    <row r="269" spans="1:24">
      <c r="A269" s="34" t="s">
        <v>289</v>
      </c>
      <c r="B269" s="26">
        <v>17.205000000000002</v>
      </c>
      <c r="C269" s="26"/>
      <c r="D269" s="26" t="s">
        <v>39</v>
      </c>
      <c r="E269" s="26" t="s">
        <v>40</v>
      </c>
      <c r="F269" s="26" t="s">
        <v>29</v>
      </c>
      <c r="G269" s="26" t="s">
        <v>117</v>
      </c>
      <c r="H269" s="26" t="s">
        <v>33</v>
      </c>
      <c r="I269" s="26">
        <v>2</v>
      </c>
      <c r="J269" s="26">
        <f t="shared" si="9"/>
        <v>2.8452000392494439</v>
      </c>
      <c r="K269" s="26">
        <v>0.30331501776206199</v>
      </c>
      <c r="L269" s="26" t="s">
        <v>31</v>
      </c>
      <c r="M269" s="26" t="s">
        <v>31</v>
      </c>
      <c r="N269" s="26" t="s">
        <v>31</v>
      </c>
      <c r="O269" s="26" t="s">
        <v>352</v>
      </c>
      <c r="P269" s="22" t="s">
        <v>415</v>
      </c>
      <c r="Q269" s="22" t="s">
        <v>101</v>
      </c>
    </row>
    <row r="270" spans="1:24">
      <c r="A270" s="36" t="s">
        <v>173</v>
      </c>
      <c r="B270" s="38">
        <v>64.231999999999999</v>
      </c>
      <c r="C270" s="38"/>
      <c r="D270" s="38" t="s">
        <v>39</v>
      </c>
      <c r="E270" s="38" t="s">
        <v>40</v>
      </c>
      <c r="F270" s="38" t="s">
        <v>29</v>
      </c>
      <c r="G270" s="38" t="s">
        <v>117</v>
      </c>
      <c r="H270" s="38" t="s">
        <v>33</v>
      </c>
      <c r="I270" s="38">
        <v>2</v>
      </c>
      <c r="J270" s="38">
        <f t="shared" si="9"/>
        <v>4.162501528882383</v>
      </c>
      <c r="K270" s="38">
        <v>0.30331501776206199</v>
      </c>
      <c r="L270" s="38" t="s">
        <v>31</v>
      </c>
      <c r="M270" s="38" t="s">
        <v>31</v>
      </c>
      <c r="N270" s="38" t="s">
        <v>31</v>
      </c>
      <c r="O270" s="38" t="s">
        <v>99</v>
      </c>
      <c r="P270" s="39" t="s">
        <v>416</v>
      </c>
      <c r="Q270" s="22" t="s">
        <v>101</v>
      </c>
    </row>
    <row r="271" spans="1:24">
      <c r="A271" s="44" t="s">
        <v>411</v>
      </c>
      <c r="B271" s="46">
        <v>4.3994520547945202</v>
      </c>
      <c r="C271" s="46"/>
      <c r="D271" s="46" t="s">
        <v>412</v>
      </c>
      <c r="E271" s="46" t="s">
        <v>40</v>
      </c>
      <c r="F271" s="46" t="s">
        <v>29</v>
      </c>
      <c r="G271" s="46" t="s">
        <v>86</v>
      </c>
      <c r="H271" s="46" t="s">
        <v>110</v>
      </c>
      <c r="I271" s="46">
        <v>2</v>
      </c>
      <c r="J271" s="46">
        <f t="shared" si="9"/>
        <v>1.4814800001680921</v>
      </c>
      <c r="K271" s="46">
        <v>0.30331501776206199</v>
      </c>
      <c r="L271" s="46" t="s">
        <v>31</v>
      </c>
      <c r="M271" s="46" t="s">
        <v>31</v>
      </c>
      <c r="N271" s="46" t="s">
        <v>31</v>
      </c>
      <c r="O271" s="46" t="s">
        <v>99</v>
      </c>
      <c r="P271" s="47" t="s">
        <v>417</v>
      </c>
      <c r="Q271" s="22" t="s">
        <v>101</v>
      </c>
      <c r="S271" s="22">
        <v>64.231999999999999</v>
      </c>
      <c r="T271" s="22" t="s">
        <v>111</v>
      </c>
      <c r="U271" s="22">
        <f>S271/7300</f>
        <v>8.7989041095890407E-3</v>
      </c>
      <c r="V271" s="22" t="s">
        <v>108</v>
      </c>
      <c r="W271" s="22">
        <f>U271/0.002</f>
        <v>4.3994520547945202</v>
      </c>
      <c r="X271" s="22" t="s">
        <v>414</v>
      </c>
    </row>
    <row r="272" spans="1:24">
      <c r="A272" s="49" t="s">
        <v>418</v>
      </c>
      <c r="B272" s="57">
        <v>16.058</v>
      </c>
      <c r="C272" s="57"/>
      <c r="D272" s="25" t="s">
        <v>39</v>
      </c>
      <c r="E272" s="25" t="s">
        <v>40</v>
      </c>
      <c r="F272" s="25" t="s">
        <v>29</v>
      </c>
      <c r="G272" s="25" t="s">
        <v>86</v>
      </c>
      <c r="H272" s="25" t="s">
        <v>33</v>
      </c>
      <c r="I272" s="25">
        <v>2</v>
      </c>
      <c r="J272" s="25">
        <f t="shared" si="9"/>
        <v>2.7762071677624922</v>
      </c>
      <c r="K272" s="25">
        <v>0.30331501776206199</v>
      </c>
      <c r="L272" s="25" t="s">
        <v>31</v>
      </c>
      <c r="M272" s="25" t="s">
        <v>31</v>
      </c>
      <c r="N272" s="25" t="s">
        <v>31</v>
      </c>
      <c r="O272" s="25" t="s">
        <v>99</v>
      </c>
      <c r="P272" s="22" t="s">
        <v>419</v>
      </c>
      <c r="Q272" s="22" t="s">
        <v>101</v>
      </c>
    </row>
    <row r="273" spans="1:24">
      <c r="A273" s="22" t="s">
        <v>97</v>
      </c>
      <c r="B273" s="31">
        <v>229.52547391699053</v>
      </c>
      <c r="C273" s="31"/>
      <c r="D273" s="22" t="s">
        <v>98</v>
      </c>
      <c r="E273" s="22" t="s">
        <v>40</v>
      </c>
      <c r="F273" s="22" t="s">
        <v>29</v>
      </c>
      <c r="G273" s="22" t="s">
        <v>86</v>
      </c>
      <c r="H273" s="22" t="s">
        <v>33</v>
      </c>
      <c r="I273" s="22">
        <v>2</v>
      </c>
      <c r="J273" s="22">
        <f t="shared" si="9"/>
        <v>5.4360140208004912</v>
      </c>
      <c r="K273" s="22">
        <v>0.28635642126552702</v>
      </c>
      <c r="L273" s="22" t="s">
        <v>31</v>
      </c>
      <c r="M273" s="22" t="s">
        <v>31</v>
      </c>
      <c r="N273" s="22" t="s">
        <v>31</v>
      </c>
      <c r="Q273" s="22" t="s">
        <v>101</v>
      </c>
    </row>
    <row r="274" spans="1:24">
      <c r="A274" s="22" t="s">
        <v>105</v>
      </c>
      <c r="B274" s="22">
        <v>21.694130470668739</v>
      </c>
      <c r="D274" s="22" t="s">
        <v>50</v>
      </c>
      <c r="E274" s="22" t="s">
        <v>40</v>
      </c>
      <c r="F274" s="22" t="s">
        <v>29</v>
      </c>
      <c r="G274" s="22" t="s">
        <v>106</v>
      </c>
      <c r="H274" s="22" t="s">
        <v>33</v>
      </c>
      <c r="I274" s="22">
        <v>2</v>
      </c>
      <c r="J274" s="22">
        <f t="shared" si="9"/>
        <v>3.0770417387360496</v>
      </c>
      <c r="K274" s="22">
        <v>0.28635642126552702</v>
      </c>
      <c r="L274" s="22" t="s">
        <v>31</v>
      </c>
      <c r="M274" s="22" t="s">
        <v>31</v>
      </c>
      <c r="N274" s="22" t="s">
        <v>31</v>
      </c>
      <c r="Q274" s="22" t="s">
        <v>101</v>
      </c>
      <c r="S274" s="31">
        <v>230.80162825965843</v>
      </c>
      <c r="T274" s="22" t="s">
        <v>104</v>
      </c>
      <c r="U274" s="22">
        <f>S274/0.277778</f>
        <v>830.88519702661267</v>
      </c>
      <c r="V274" s="22" t="s">
        <v>103</v>
      </c>
      <c r="W274" s="22">
        <f>U274/38.3</f>
        <v>21.694130470668739</v>
      </c>
      <c r="X274" s="22" t="s">
        <v>108</v>
      </c>
    </row>
    <row r="275" spans="1:24">
      <c r="A275" s="22" t="s">
        <v>123</v>
      </c>
      <c r="B275" s="22">
        <v>103.69657277267362</v>
      </c>
      <c r="D275" s="22" t="s">
        <v>124</v>
      </c>
      <c r="E275" s="22" t="s">
        <v>40</v>
      </c>
      <c r="F275" s="22" t="s">
        <v>29</v>
      </c>
      <c r="G275" s="22" t="s">
        <v>86</v>
      </c>
      <c r="H275" s="22" t="s">
        <v>33</v>
      </c>
      <c r="I275" s="22">
        <v>2</v>
      </c>
      <c r="J275" s="22">
        <f t="shared" si="9"/>
        <v>4.6414690652454951</v>
      </c>
      <c r="K275" s="22">
        <v>0.28635642126552702</v>
      </c>
      <c r="L275" s="22" t="s">
        <v>31</v>
      </c>
      <c r="M275" s="22" t="s">
        <v>31</v>
      </c>
      <c r="N275" s="22" t="s">
        <v>31</v>
      </c>
      <c r="Q275" s="22" t="s">
        <v>101</v>
      </c>
      <c r="S275" s="31">
        <v>28.804626591647736</v>
      </c>
      <c r="T275" s="22" t="s">
        <v>104</v>
      </c>
      <c r="U275" s="22">
        <f>S275/0.277778</f>
        <v>103.69657277267362</v>
      </c>
      <c r="V275" s="22" t="s">
        <v>103</v>
      </c>
    </row>
    <row r="276" spans="1:24">
      <c r="A276" s="22" t="s">
        <v>344</v>
      </c>
      <c r="B276" s="22">
        <v>4.9076559503342088</v>
      </c>
      <c r="D276" s="22" t="s">
        <v>39</v>
      </c>
      <c r="E276" s="22" t="s">
        <v>40</v>
      </c>
      <c r="F276" s="22" t="s">
        <v>29</v>
      </c>
      <c r="G276" s="22" t="s">
        <v>86</v>
      </c>
      <c r="H276" s="22" t="s">
        <v>33</v>
      </c>
      <c r="I276" s="22">
        <v>2</v>
      </c>
      <c r="J276" s="22">
        <f t="shared" si="9"/>
        <v>1.5907964246226554</v>
      </c>
      <c r="K276" s="22">
        <v>0.28635642126552702</v>
      </c>
      <c r="L276" s="22" t="s">
        <v>31</v>
      </c>
      <c r="M276" s="22" t="s">
        <v>31</v>
      </c>
      <c r="N276" s="22" t="s">
        <v>31</v>
      </c>
      <c r="Q276" s="22" t="s">
        <v>101</v>
      </c>
      <c r="S276" s="31">
        <v>61.073100684822727</v>
      </c>
      <c r="T276" s="22" t="s">
        <v>104</v>
      </c>
      <c r="U276" s="22">
        <f>S276/0.277778</f>
        <v>219.86298657497252</v>
      </c>
      <c r="V276" s="22" t="s">
        <v>103</v>
      </c>
      <c r="W276" s="22">
        <f>U276/44.8</f>
        <v>4.9076559503342088</v>
      </c>
      <c r="X276" s="22" t="s">
        <v>111</v>
      </c>
    </row>
    <row r="277" spans="1:24">
      <c r="A277" s="22" t="s">
        <v>38</v>
      </c>
      <c r="B277" s="22">
        <v>9.6883476671274309</v>
      </c>
      <c r="D277" s="22" t="s">
        <v>39</v>
      </c>
      <c r="E277" s="22" t="s">
        <v>40</v>
      </c>
      <c r="F277" s="22" t="s">
        <v>29</v>
      </c>
      <c r="G277" s="22" t="s">
        <v>117</v>
      </c>
      <c r="H277" s="22" t="s">
        <v>33</v>
      </c>
      <c r="I277" s="22">
        <v>2</v>
      </c>
      <c r="J277" s="22">
        <f t="shared" si="9"/>
        <v>2.2709238919742969</v>
      </c>
      <c r="K277" s="22">
        <v>0.28635642126552702</v>
      </c>
      <c r="L277" s="22" t="s">
        <v>31</v>
      </c>
      <c r="M277" s="22" t="s">
        <v>31</v>
      </c>
      <c r="N277" s="22" t="s">
        <v>31</v>
      </c>
      <c r="Q277" s="22" t="s">
        <v>101</v>
      </c>
      <c r="S277" s="31">
        <v>124.33389452850477</v>
      </c>
      <c r="T277" s="22" t="s">
        <v>104</v>
      </c>
      <c r="U277" s="22">
        <f>S277/0.277778</f>
        <v>447.60166222128737</v>
      </c>
      <c r="V277" s="22" t="s">
        <v>103</v>
      </c>
      <c r="W277" s="22">
        <f>U277/46.2</f>
        <v>9.6883476671274309</v>
      </c>
      <c r="X277" s="22" t="s">
        <v>111</v>
      </c>
    </row>
    <row r="278" spans="1:24">
      <c r="A278" s="22" t="s">
        <v>59</v>
      </c>
      <c r="B278" s="31">
        <f>W278</f>
        <v>5.9664311146532589E-2</v>
      </c>
      <c r="C278" s="31"/>
      <c r="D278" s="22" t="s">
        <v>39</v>
      </c>
      <c r="E278" s="22" t="s">
        <v>2</v>
      </c>
      <c r="F278" s="22" t="s">
        <v>29</v>
      </c>
      <c r="G278" s="22" t="s">
        <v>60</v>
      </c>
      <c r="H278" s="22" t="s">
        <v>33</v>
      </c>
      <c r="I278" s="22">
        <v>2</v>
      </c>
      <c r="J278" s="22">
        <f t="shared" si="9"/>
        <v>-2.819021240579842</v>
      </c>
      <c r="K278" s="22">
        <v>0.28635642126552702</v>
      </c>
      <c r="L278" s="22" t="s">
        <v>31</v>
      </c>
      <c r="M278" s="22" t="s">
        <v>31</v>
      </c>
      <c r="N278" s="22" t="s">
        <v>31</v>
      </c>
      <c r="Q278" s="22" t="s">
        <v>101</v>
      </c>
      <c r="R278" s="30"/>
      <c r="S278" s="31">
        <v>0.72923105295310731</v>
      </c>
      <c r="T278" s="22" t="s">
        <v>104</v>
      </c>
      <c r="U278" s="22">
        <f>S278/0.277778</f>
        <v>2.6252296904474339</v>
      </c>
      <c r="V278" s="22" t="s">
        <v>103</v>
      </c>
      <c r="W278" s="22">
        <f>U278/44</f>
        <v>5.9664311146532589E-2</v>
      </c>
      <c r="X278" s="22" t="s">
        <v>111</v>
      </c>
    </row>
    <row r="279" spans="1:24">
      <c r="A279" s="22" t="s">
        <v>242</v>
      </c>
      <c r="B279" s="31">
        <v>559.99926741700074</v>
      </c>
      <c r="C279" s="31"/>
      <c r="D279" s="22" t="s">
        <v>39</v>
      </c>
      <c r="E279" s="22" t="s">
        <v>40</v>
      </c>
      <c r="F279" s="22" t="s">
        <v>29</v>
      </c>
      <c r="G279" s="22" t="s">
        <v>86</v>
      </c>
      <c r="H279" s="22" t="s">
        <v>33</v>
      </c>
      <c r="I279" s="22">
        <v>2</v>
      </c>
      <c r="J279" s="22">
        <f t="shared" si="9"/>
        <v>6.3279354755444119</v>
      </c>
      <c r="K279" s="22">
        <v>0.28635642126552702</v>
      </c>
      <c r="L279" s="22" t="s">
        <v>31</v>
      </c>
      <c r="M279" s="22" t="s">
        <v>31</v>
      </c>
      <c r="N279" s="22" t="s">
        <v>31</v>
      </c>
      <c r="Q279" s="22" t="s">
        <v>101</v>
      </c>
    </row>
    <row r="280" spans="1:24">
      <c r="A280" s="32" t="s">
        <v>243</v>
      </c>
      <c r="B280" s="31">
        <v>0.52335964670075674</v>
      </c>
      <c r="C280" s="31"/>
      <c r="D280" s="22" t="s">
        <v>50</v>
      </c>
      <c r="E280" s="22" t="s">
        <v>40</v>
      </c>
      <c r="F280" s="22" t="s">
        <v>29</v>
      </c>
      <c r="G280" s="32" t="s">
        <v>117</v>
      </c>
      <c r="H280" s="22" t="s">
        <v>33</v>
      </c>
      <c r="I280" s="22">
        <v>2</v>
      </c>
      <c r="J280" s="22">
        <f t="shared" si="9"/>
        <v>-0.64748639025198862</v>
      </c>
      <c r="K280" s="22">
        <v>0.28635642126552702</v>
      </c>
      <c r="L280" s="22" t="s">
        <v>31</v>
      </c>
      <c r="M280" s="22" t="s">
        <v>31</v>
      </c>
      <c r="N280" s="22" t="s">
        <v>31</v>
      </c>
      <c r="Q280" s="22" t="s">
        <v>101</v>
      </c>
    </row>
    <row r="281" spans="1:24">
      <c r="A281" s="22" t="s">
        <v>245</v>
      </c>
      <c r="B281" s="31">
        <v>12.699558787178363</v>
      </c>
      <c r="C281" s="31"/>
      <c r="D281" s="22" t="s">
        <v>39</v>
      </c>
      <c r="E281" s="22" t="s">
        <v>40</v>
      </c>
      <c r="F281" s="22" t="s">
        <v>29</v>
      </c>
      <c r="G281" s="22" t="s">
        <v>117</v>
      </c>
      <c r="H281" s="22" t="s">
        <v>33</v>
      </c>
      <c r="I281" s="22">
        <v>2</v>
      </c>
      <c r="J281" s="22">
        <f t="shared" si="9"/>
        <v>2.5415672516939991</v>
      </c>
      <c r="K281" s="22">
        <v>0.28635642126552702</v>
      </c>
      <c r="L281" s="22" t="s">
        <v>31</v>
      </c>
      <c r="M281" s="22" t="s">
        <v>31</v>
      </c>
      <c r="N281" s="22" t="s">
        <v>31</v>
      </c>
      <c r="Q281" s="22" t="s">
        <v>101</v>
      </c>
    </row>
    <row r="282" spans="1:24">
      <c r="A282" s="22" t="s">
        <v>48</v>
      </c>
      <c r="B282" s="31">
        <v>238.59145667506675</v>
      </c>
      <c r="C282" s="31"/>
      <c r="D282" s="22" t="s">
        <v>39</v>
      </c>
      <c r="E282" s="22" t="s">
        <v>43</v>
      </c>
      <c r="F282" s="22" t="s">
        <v>44</v>
      </c>
      <c r="G282" s="22" t="s">
        <v>29</v>
      </c>
      <c r="H282" s="22" t="s">
        <v>45</v>
      </c>
      <c r="I282" s="22">
        <v>2</v>
      </c>
      <c r="J282" s="22">
        <f t="shared" si="9"/>
        <v>5.4747527029668825</v>
      </c>
      <c r="K282" s="22">
        <v>0.28635642126552702</v>
      </c>
      <c r="L282" s="22" t="s">
        <v>31</v>
      </c>
      <c r="M282" s="22" t="s">
        <v>31</v>
      </c>
      <c r="N282" s="22" t="s">
        <v>31</v>
      </c>
      <c r="Q282" s="22" t="s">
        <v>101</v>
      </c>
    </row>
    <row r="283" spans="1:24">
      <c r="A283" s="22" t="s">
        <v>51</v>
      </c>
      <c r="B283" s="31">
        <v>2.5523086853358758E-3</v>
      </c>
      <c r="C283" s="31"/>
      <c r="D283" s="22" t="s">
        <v>39</v>
      </c>
      <c r="E283" s="22" t="s">
        <v>43</v>
      </c>
      <c r="F283" s="22" t="s">
        <v>44</v>
      </c>
      <c r="G283" s="22" t="s">
        <v>29</v>
      </c>
      <c r="H283" s="22" t="s">
        <v>45</v>
      </c>
      <c r="I283" s="22">
        <v>2</v>
      </c>
      <c r="J283" s="22">
        <f t="shared" si="9"/>
        <v>-5.970756962610734</v>
      </c>
      <c r="K283" s="22">
        <v>0.28635642126552702</v>
      </c>
      <c r="L283" s="22" t="s">
        <v>31</v>
      </c>
      <c r="M283" s="22" t="s">
        <v>31</v>
      </c>
      <c r="N283" s="22" t="s">
        <v>31</v>
      </c>
      <c r="Q283" s="22" t="s">
        <v>101</v>
      </c>
    </row>
    <row r="284" spans="1:24">
      <c r="A284" s="22" t="s">
        <v>42</v>
      </c>
      <c r="B284" s="22">
        <v>4.0472323438897451E-2</v>
      </c>
      <c r="D284" s="22" t="s">
        <v>39</v>
      </c>
      <c r="E284" s="22" t="s">
        <v>43</v>
      </c>
      <c r="F284" s="22" t="s">
        <v>44</v>
      </c>
      <c r="G284" s="22" t="s">
        <v>29</v>
      </c>
      <c r="H284" s="22" t="s">
        <v>45</v>
      </c>
      <c r="I284" s="22">
        <v>2</v>
      </c>
      <c r="J284" s="22">
        <f t="shared" si="9"/>
        <v>-3.2071369103537135</v>
      </c>
      <c r="K284" s="22">
        <v>0.28635642126552702</v>
      </c>
      <c r="L284" s="22" t="s">
        <v>31</v>
      </c>
      <c r="M284" s="22" t="s">
        <v>31</v>
      </c>
      <c r="N284" s="22" t="s">
        <v>31</v>
      </c>
      <c r="Q284" s="22" t="s">
        <v>101</v>
      </c>
    </row>
    <row r="285" spans="1:24">
      <c r="A285" s="22" t="s">
        <v>244</v>
      </c>
      <c r="B285" s="22">
        <v>0.19160545916342892</v>
      </c>
      <c r="D285" s="22" t="s">
        <v>39</v>
      </c>
      <c r="E285" s="22" t="s">
        <v>43</v>
      </c>
      <c r="F285" s="22" t="s">
        <v>44</v>
      </c>
      <c r="G285" s="22" t="s">
        <v>29</v>
      </c>
      <c r="H285" s="22" t="s">
        <v>45</v>
      </c>
      <c r="I285" s="22">
        <v>2</v>
      </c>
      <c r="J285" s="22">
        <f t="shared" si="9"/>
        <v>-1.6523169213490418</v>
      </c>
      <c r="K285" s="22">
        <v>0.28635642126552702</v>
      </c>
      <c r="L285" s="22" t="s">
        <v>31</v>
      </c>
      <c r="M285" s="22" t="s">
        <v>31</v>
      </c>
      <c r="N285" s="22" t="s">
        <v>31</v>
      </c>
      <c r="Q285" s="22" t="s">
        <v>101</v>
      </c>
    </row>
    <row r="286" spans="1:24" s="29" customFormat="1">
      <c r="A286" s="27" t="s">
        <v>5</v>
      </c>
      <c r="B286" s="27" t="s">
        <v>403</v>
      </c>
      <c r="C286" s="27"/>
      <c r="D286" s="28"/>
      <c r="Q286" s="29" t="s">
        <v>101</v>
      </c>
    </row>
    <row r="287" spans="1:24">
      <c r="A287" s="22" t="s">
        <v>7</v>
      </c>
      <c r="B287" s="22" t="s">
        <v>95</v>
      </c>
      <c r="Q287" s="22" t="s">
        <v>101</v>
      </c>
    </row>
    <row r="288" spans="1:24">
      <c r="A288" s="22" t="s">
        <v>9</v>
      </c>
      <c r="B288" s="22" t="s">
        <v>420</v>
      </c>
      <c r="Q288" s="22" t="s">
        <v>101</v>
      </c>
    </row>
    <row r="289" spans="1:19">
      <c r="A289" s="22" t="s">
        <v>11</v>
      </c>
      <c r="B289" s="22" t="s">
        <v>421</v>
      </c>
      <c r="Q289" s="22" t="s">
        <v>101</v>
      </c>
    </row>
    <row r="290" spans="1:19">
      <c r="A290" s="22" t="s">
        <v>13</v>
      </c>
      <c r="B290" s="22" t="s">
        <v>86</v>
      </c>
      <c r="Q290" s="22" t="s">
        <v>101</v>
      </c>
    </row>
    <row r="291" spans="1:19">
      <c r="A291" s="22" t="s">
        <v>15</v>
      </c>
      <c r="B291" s="22">
        <v>1</v>
      </c>
      <c r="Q291" s="22" t="s">
        <v>101</v>
      </c>
    </row>
    <row r="292" spans="1:19">
      <c r="A292" s="22" t="s">
        <v>16</v>
      </c>
      <c r="B292" s="22" t="s">
        <v>17</v>
      </c>
      <c r="Q292" s="22" t="s">
        <v>101</v>
      </c>
    </row>
    <row r="293" spans="1:19">
      <c r="A293" s="22" t="s">
        <v>18</v>
      </c>
      <c r="B293" s="22" t="s">
        <v>18</v>
      </c>
      <c r="E293" s="22" t="s">
        <v>90</v>
      </c>
      <c r="Q293" s="22" t="s">
        <v>101</v>
      </c>
    </row>
    <row r="294" spans="1:19">
      <c r="A294" s="24" t="s">
        <v>19</v>
      </c>
      <c r="Q294" s="22" t="s">
        <v>101</v>
      </c>
    </row>
    <row r="295" spans="1:19">
      <c r="A295" s="24" t="s">
        <v>20</v>
      </c>
      <c r="B295" s="24" t="s">
        <v>21</v>
      </c>
      <c r="C295" s="24" t="s">
        <v>73</v>
      </c>
      <c r="D295" s="24" t="s">
        <v>18</v>
      </c>
      <c r="E295" s="24" t="s">
        <v>22</v>
      </c>
      <c r="F295" s="24" t="s">
        <v>7</v>
      </c>
      <c r="G295" s="24" t="s">
        <v>13</v>
      </c>
      <c r="H295" s="24" t="s">
        <v>16</v>
      </c>
      <c r="I295" s="24" t="s">
        <v>23</v>
      </c>
      <c r="J295" s="24" t="s">
        <v>24</v>
      </c>
      <c r="K295" s="24" t="s">
        <v>25</v>
      </c>
      <c r="L295" s="24" t="s">
        <v>26</v>
      </c>
      <c r="M295" s="24" t="s">
        <v>27</v>
      </c>
      <c r="N295" s="24" t="s">
        <v>28</v>
      </c>
      <c r="O295" s="24" t="s">
        <v>11</v>
      </c>
      <c r="P295" s="24" t="s">
        <v>337</v>
      </c>
      <c r="Q295" s="22" t="s">
        <v>101</v>
      </c>
    </row>
    <row r="296" spans="1:19">
      <c r="A296" s="30" t="s">
        <v>403</v>
      </c>
      <c r="B296" s="22">
        <v>1</v>
      </c>
      <c r="D296" s="22" t="s">
        <v>18</v>
      </c>
      <c r="E296" s="22" t="s">
        <v>2</v>
      </c>
      <c r="F296" s="22" t="s">
        <v>29</v>
      </c>
      <c r="G296" s="26" t="s">
        <v>86</v>
      </c>
      <c r="H296" s="22" t="s">
        <v>30</v>
      </c>
      <c r="I296" s="22">
        <v>1</v>
      </c>
      <c r="J296" s="22">
        <v>1</v>
      </c>
      <c r="K296" s="22" t="s">
        <v>31</v>
      </c>
      <c r="L296" s="22" t="s">
        <v>31</v>
      </c>
      <c r="M296" s="22" t="s">
        <v>31</v>
      </c>
      <c r="N296" s="22" t="s">
        <v>31</v>
      </c>
      <c r="Q296" s="22" t="s">
        <v>101</v>
      </c>
    </row>
    <row r="297" spans="1:19">
      <c r="A297" s="62" t="s">
        <v>422</v>
      </c>
      <c r="B297" s="26">
        <v>229.40000000000003</v>
      </c>
      <c r="C297" s="26"/>
      <c r="D297" s="26" t="s">
        <v>39</v>
      </c>
      <c r="E297" s="26" t="s">
        <v>40</v>
      </c>
      <c r="F297" s="26" t="s">
        <v>29</v>
      </c>
      <c r="G297" s="26" t="s">
        <v>86</v>
      </c>
      <c r="H297" s="26" t="s">
        <v>33</v>
      </c>
      <c r="I297" s="26">
        <v>2</v>
      </c>
      <c r="J297" s="26">
        <f t="shared" ref="J297:J317" si="10">LN(B297)</f>
        <v>5.4354672046952706</v>
      </c>
      <c r="K297" s="26">
        <v>0.30331501776206199</v>
      </c>
      <c r="L297" s="26" t="s">
        <v>31</v>
      </c>
      <c r="M297" s="26" t="s">
        <v>31</v>
      </c>
      <c r="N297" s="26" t="s">
        <v>31</v>
      </c>
      <c r="O297" s="26" t="s">
        <v>352</v>
      </c>
      <c r="P297" s="22" t="s">
        <v>423</v>
      </c>
      <c r="Q297" s="22" t="s">
        <v>101</v>
      </c>
    </row>
    <row r="298" spans="1:19">
      <c r="A298" s="62" t="s">
        <v>286</v>
      </c>
      <c r="B298" s="26">
        <v>229.40000000000003</v>
      </c>
      <c r="C298" s="26"/>
      <c r="D298" s="26" t="s">
        <v>39</v>
      </c>
      <c r="E298" s="26" t="s">
        <v>40</v>
      </c>
      <c r="F298" s="26" t="s">
        <v>29</v>
      </c>
      <c r="G298" s="26" t="s">
        <v>86</v>
      </c>
      <c r="H298" s="26" t="s">
        <v>33</v>
      </c>
      <c r="I298" s="26">
        <v>2</v>
      </c>
      <c r="J298" s="26">
        <f t="shared" si="10"/>
        <v>5.4354672046952706</v>
      </c>
      <c r="K298" s="26">
        <v>0.30331501776206199</v>
      </c>
      <c r="L298" s="26" t="s">
        <v>31</v>
      </c>
      <c r="M298" s="26" t="s">
        <v>31</v>
      </c>
      <c r="N298" s="26" t="s">
        <v>31</v>
      </c>
      <c r="O298" s="26" t="s">
        <v>352</v>
      </c>
      <c r="P298" s="22" t="s">
        <v>424</v>
      </c>
      <c r="Q298" s="22" t="s">
        <v>101</v>
      </c>
    </row>
    <row r="299" spans="1:19" ht="18" customHeight="1">
      <c r="A299" s="62" t="s">
        <v>248</v>
      </c>
      <c r="B299" s="26">
        <v>114.70000000000002</v>
      </c>
      <c r="C299" s="26"/>
      <c r="D299" s="26" t="s">
        <v>39</v>
      </c>
      <c r="E299" s="26" t="s">
        <v>40</v>
      </c>
      <c r="F299" s="26" t="s">
        <v>29</v>
      </c>
      <c r="G299" s="26" t="s">
        <v>86</v>
      </c>
      <c r="H299" s="26" t="s">
        <v>33</v>
      </c>
      <c r="I299" s="26">
        <v>2</v>
      </c>
      <c r="J299" s="26">
        <f t="shared" si="10"/>
        <v>4.7423200241353252</v>
      </c>
      <c r="K299" s="26">
        <v>0.30331501776206199</v>
      </c>
      <c r="L299" s="26" t="s">
        <v>31</v>
      </c>
      <c r="M299" s="26" t="s">
        <v>31</v>
      </c>
      <c r="N299" s="26" t="s">
        <v>31</v>
      </c>
      <c r="O299" s="26" t="s">
        <v>352</v>
      </c>
      <c r="P299" s="22" t="s">
        <v>425</v>
      </c>
      <c r="Q299" s="22" t="s">
        <v>101</v>
      </c>
    </row>
    <row r="300" spans="1:19" ht="18" customHeight="1">
      <c r="A300" s="36" t="s">
        <v>173</v>
      </c>
      <c r="B300" s="38">
        <v>214.106666666667</v>
      </c>
      <c r="C300" s="38"/>
      <c r="D300" s="38" t="s">
        <v>39</v>
      </c>
      <c r="E300" s="38" t="s">
        <v>40</v>
      </c>
      <c r="F300" s="38" t="s">
        <v>29</v>
      </c>
      <c r="G300" s="38" t="s">
        <v>117</v>
      </c>
      <c r="H300" s="38" t="s">
        <v>33</v>
      </c>
      <c r="I300" s="38">
        <v>2</v>
      </c>
      <c r="J300" s="38">
        <f t="shared" si="10"/>
        <v>5.3664743332083207</v>
      </c>
      <c r="K300" s="38">
        <v>0.30331501776206199</v>
      </c>
      <c r="L300" s="38" t="s">
        <v>31</v>
      </c>
      <c r="M300" s="38" t="s">
        <v>31</v>
      </c>
      <c r="N300" s="38" t="s">
        <v>31</v>
      </c>
      <c r="O300" s="38" t="s">
        <v>99</v>
      </c>
      <c r="P300" s="39" t="s">
        <v>426</v>
      </c>
      <c r="Q300" s="22" t="s">
        <v>101</v>
      </c>
    </row>
    <row r="301" spans="1:19">
      <c r="A301" s="44" t="s">
        <v>286</v>
      </c>
      <c r="B301" s="46">
        <v>214.106666666667</v>
      </c>
      <c r="C301" s="46"/>
      <c r="D301" s="46" t="s">
        <v>39</v>
      </c>
      <c r="E301" s="46" t="s">
        <v>40</v>
      </c>
      <c r="F301" s="46" t="s">
        <v>29</v>
      </c>
      <c r="G301" s="46" t="s">
        <v>86</v>
      </c>
      <c r="H301" s="46" t="s">
        <v>110</v>
      </c>
      <c r="I301" s="46">
        <v>2</v>
      </c>
      <c r="J301" s="46">
        <f t="shared" si="10"/>
        <v>5.3664743332083207</v>
      </c>
      <c r="K301" s="46">
        <v>0.30331501776206199</v>
      </c>
      <c r="L301" s="46" t="s">
        <v>31</v>
      </c>
      <c r="M301" s="46" t="s">
        <v>31</v>
      </c>
      <c r="N301" s="46" t="s">
        <v>31</v>
      </c>
      <c r="O301" s="46" t="s">
        <v>99</v>
      </c>
      <c r="P301" s="47" t="s">
        <v>427</v>
      </c>
      <c r="Q301" s="22" t="s">
        <v>101</v>
      </c>
    </row>
    <row r="302" spans="1:19">
      <c r="A302" s="36" t="s">
        <v>131</v>
      </c>
      <c r="B302" s="25">
        <v>107.053333333333</v>
      </c>
      <c r="C302" s="25"/>
      <c r="D302" s="25" t="s">
        <v>39</v>
      </c>
      <c r="E302" s="25" t="s">
        <v>40</v>
      </c>
      <c r="F302" s="25" t="s">
        <v>29</v>
      </c>
      <c r="G302" s="25" t="s">
        <v>117</v>
      </c>
      <c r="H302" s="25" t="s">
        <v>33</v>
      </c>
      <c r="I302" s="25">
        <v>2</v>
      </c>
      <c r="J302" s="25">
        <f t="shared" si="10"/>
        <v>4.6733271526483708</v>
      </c>
      <c r="K302" s="25">
        <v>0.30331501776206199</v>
      </c>
      <c r="L302" s="25" t="s">
        <v>31</v>
      </c>
      <c r="M302" s="25" t="s">
        <v>31</v>
      </c>
      <c r="N302" s="25" t="s">
        <v>31</v>
      </c>
      <c r="O302" s="25" t="s">
        <v>99</v>
      </c>
      <c r="P302" s="22" t="s">
        <v>428</v>
      </c>
      <c r="Q302" s="22" t="s">
        <v>101</v>
      </c>
    </row>
    <row r="303" spans="1:19">
      <c r="A303" s="40" t="s">
        <v>133</v>
      </c>
      <c r="B303" s="25">
        <v>107.053333333333</v>
      </c>
      <c r="C303" s="22" t="s">
        <v>134</v>
      </c>
      <c r="D303" s="25" t="s">
        <v>39</v>
      </c>
      <c r="E303" s="25" t="s">
        <v>40</v>
      </c>
      <c r="F303" s="25" t="s">
        <v>29</v>
      </c>
      <c r="G303" s="25" t="s">
        <v>117</v>
      </c>
      <c r="H303" s="25" t="s">
        <v>33</v>
      </c>
      <c r="I303" s="25">
        <v>2</v>
      </c>
      <c r="J303" s="25">
        <f t="shared" si="10"/>
        <v>4.6733271526483708</v>
      </c>
      <c r="K303" s="25">
        <v>0.30331501776206199</v>
      </c>
      <c r="L303" s="25" t="s">
        <v>31</v>
      </c>
      <c r="M303" s="25" t="s">
        <v>31</v>
      </c>
      <c r="N303" s="25" t="s">
        <v>31</v>
      </c>
      <c r="O303" s="25" t="s">
        <v>99</v>
      </c>
      <c r="P303" s="22" t="s">
        <v>428</v>
      </c>
      <c r="Q303" s="22" t="s">
        <v>101</v>
      </c>
    </row>
    <row r="304" spans="1:19">
      <c r="A304" s="49" t="s">
        <v>248</v>
      </c>
      <c r="B304" s="25">
        <v>107.053333333333</v>
      </c>
      <c r="C304" s="25"/>
      <c r="D304" s="25" t="s">
        <v>39</v>
      </c>
      <c r="E304" s="25" t="s">
        <v>40</v>
      </c>
      <c r="F304" s="25" t="s">
        <v>29</v>
      </c>
      <c r="G304" s="25" t="s">
        <v>86</v>
      </c>
      <c r="H304" s="25" t="s">
        <v>110</v>
      </c>
      <c r="I304" s="25">
        <v>2</v>
      </c>
      <c r="J304" s="25">
        <f t="shared" si="10"/>
        <v>4.6733271526483708</v>
      </c>
      <c r="K304" s="25">
        <v>0.30331501776206199</v>
      </c>
      <c r="L304" s="25" t="s">
        <v>31</v>
      </c>
      <c r="M304" s="25" t="s">
        <v>31</v>
      </c>
      <c r="N304" s="25" t="s">
        <v>31</v>
      </c>
      <c r="O304" s="25" t="s">
        <v>99</v>
      </c>
      <c r="P304" s="22" t="s">
        <v>429</v>
      </c>
      <c r="Q304" s="22" t="s">
        <v>101</v>
      </c>
      <c r="S304" s="24" t="s">
        <v>342</v>
      </c>
    </row>
    <row r="305" spans="1:24">
      <c r="A305" s="22" t="s">
        <v>97</v>
      </c>
      <c r="B305" s="31">
        <v>918.10189566796214</v>
      </c>
      <c r="C305" s="31"/>
      <c r="D305" s="22" t="s">
        <v>98</v>
      </c>
      <c r="E305" s="22" t="s">
        <v>40</v>
      </c>
      <c r="F305" s="22" t="s">
        <v>29</v>
      </c>
      <c r="G305" s="22" t="s">
        <v>86</v>
      </c>
      <c r="H305" s="22" t="s">
        <v>33</v>
      </c>
      <c r="I305" s="22">
        <v>2</v>
      </c>
      <c r="J305" s="22">
        <f t="shared" si="10"/>
        <v>6.822308381920382</v>
      </c>
      <c r="K305" s="22">
        <v>0.28635642126552702</v>
      </c>
      <c r="L305" s="22" t="s">
        <v>31</v>
      </c>
      <c r="M305" s="22" t="s">
        <v>31</v>
      </c>
      <c r="N305" s="22" t="s">
        <v>31</v>
      </c>
      <c r="Q305" s="22" t="s">
        <v>101</v>
      </c>
    </row>
    <row r="306" spans="1:24">
      <c r="A306" s="22" t="s">
        <v>105</v>
      </c>
      <c r="B306" s="22">
        <v>86.776521882674956</v>
      </c>
      <c r="D306" s="22" t="s">
        <v>50</v>
      </c>
      <c r="E306" s="22" t="s">
        <v>40</v>
      </c>
      <c r="F306" s="22" t="s">
        <v>29</v>
      </c>
      <c r="G306" s="22" t="s">
        <v>106</v>
      </c>
      <c r="H306" s="22" t="s">
        <v>33</v>
      </c>
      <c r="I306" s="22">
        <v>2</v>
      </c>
      <c r="J306" s="22">
        <f t="shared" si="10"/>
        <v>4.4633360998559404</v>
      </c>
      <c r="K306" s="22">
        <v>0.28635642126552702</v>
      </c>
      <c r="L306" s="22" t="s">
        <v>31</v>
      </c>
      <c r="M306" s="22" t="s">
        <v>31</v>
      </c>
      <c r="N306" s="22" t="s">
        <v>31</v>
      </c>
      <c r="Q306" s="22" t="s">
        <v>101</v>
      </c>
      <c r="S306" s="31">
        <v>923.20651303863372</v>
      </c>
      <c r="T306" s="22" t="s">
        <v>104</v>
      </c>
      <c r="U306" s="22">
        <f>S306/0.277778</f>
        <v>3323.5407881064507</v>
      </c>
      <c r="V306" s="22" t="s">
        <v>103</v>
      </c>
      <c r="W306" s="22">
        <f>U306/38.3</f>
        <v>86.776521882674956</v>
      </c>
      <c r="X306" s="22" t="s">
        <v>108</v>
      </c>
    </row>
    <row r="307" spans="1:24">
      <c r="A307" s="22" t="s">
        <v>123</v>
      </c>
      <c r="B307" s="22">
        <v>414.78629109069448</v>
      </c>
      <c r="D307" s="22" t="s">
        <v>124</v>
      </c>
      <c r="E307" s="22" t="s">
        <v>40</v>
      </c>
      <c r="F307" s="22" t="s">
        <v>29</v>
      </c>
      <c r="G307" s="22" t="s">
        <v>86</v>
      </c>
      <c r="H307" s="22" t="s">
        <v>33</v>
      </c>
      <c r="I307" s="22">
        <v>2</v>
      </c>
      <c r="J307" s="22">
        <f t="shared" si="10"/>
        <v>6.0277634263653859</v>
      </c>
      <c r="K307" s="22">
        <v>0.28635642126552702</v>
      </c>
      <c r="L307" s="22" t="s">
        <v>31</v>
      </c>
      <c r="M307" s="22" t="s">
        <v>31</v>
      </c>
      <c r="N307" s="22" t="s">
        <v>31</v>
      </c>
      <c r="Q307" s="22" t="s">
        <v>101</v>
      </c>
      <c r="S307" s="31">
        <v>115.21850636659094</v>
      </c>
      <c r="T307" s="22" t="s">
        <v>104</v>
      </c>
      <c r="U307" s="22">
        <f>S307/0.277778</f>
        <v>414.78629109069448</v>
      </c>
      <c r="V307" s="22" t="s">
        <v>103</v>
      </c>
    </row>
    <row r="308" spans="1:24">
      <c r="A308" s="22" t="s">
        <v>344</v>
      </c>
      <c r="B308" s="22">
        <v>19.630623801336835</v>
      </c>
      <c r="D308" s="22" t="s">
        <v>39</v>
      </c>
      <c r="E308" s="22" t="s">
        <v>40</v>
      </c>
      <c r="F308" s="22" t="s">
        <v>29</v>
      </c>
      <c r="G308" s="22" t="s">
        <v>86</v>
      </c>
      <c r="H308" s="22" t="s">
        <v>33</v>
      </c>
      <c r="I308" s="22">
        <v>2</v>
      </c>
      <c r="J308" s="22">
        <f t="shared" si="10"/>
        <v>2.9770907857425457</v>
      </c>
      <c r="K308" s="22">
        <v>0.28635642126552702</v>
      </c>
      <c r="L308" s="22" t="s">
        <v>31</v>
      </c>
      <c r="M308" s="22" t="s">
        <v>31</v>
      </c>
      <c r="N308" s="22" t="s">
        <v>31</v>
      </c>
      <c r="Q308" s="22" t="s">
        <v>101</v>
      </c>
      <c r="S308" s="31">
        <v>244.29240273929091</v>
      </c>
      <c r="T308" s="22" t="s">
        <v>104</v>
      </c>
      <c r="U308" s="22">
        <f>S308/0.277778</f>
        <v>879.4519462998901</v>
      </c>
      <c r="V308" s="22" t="s">
        <v>103</v>
      </c>
      <c r="W308" s="22">
        <f>U308/44.8</f>
        <v>19.630623801336835</v>
      </c>
      <c r="X308" s="22" t="s">
        <v>111</v>
      </c>
    </row>
    <row r="309" spans="1:24">
      <c r="A309" s="22" t="s">
        <v>38</v>
      </c>
      <c r="B309" s="22">
        <v>38.753390668509724</v>
      </c>
      <c r="D309" s="22" t="s">
        <v>39</v>
      </c>
      <c r="E309" s="22" t="s">
        <v>40</v>
      </c>
      <c r="F309" s="22" t="s">
        <v>29</v>
      </c>
      <c r="G309" s="22" t="s">
        <v>117</v>
      </c>
      <c r="H309" s="22" t="s">
        <v>33</v>
      </c>
      <c r="I309" s="22">
        <v>2</v>
      </c>
      <c r="J309" s="22">
        <f t="shared" si="10"/>
        <v>3.6572182530941877</v>
      </c>
      <c r="K309" s="22">
        <v>0.28635642126552702</v>
      </c>
      <c r="L309" s="22" t="s">
        <v>31</v>
      </c>
      <c r="M309" s="22" t="s">
        <v>31</v>
      </c>
      <c r="N309" s="22" t="s">
        <v>31</v>
      </c>
      <c r="Q309" s="22" t="s">
        <v>101</v>
      </c>
      <c r="S309" s="31">
        <v>497.33557811401909</v>
      </c>
      <c r="T309" s="22" t="s">
        <v>104</v>
      </c>
      <c r="U309" s="22">
        <f>S309/0.277778</f>
        <v>1790.4066488851495</v>
      </c>
      <c r="V309" s="22" t="s">
        <v>103</v>
      </c>
      <c r="W309" s="22">
        <f>U309/46.2</f>
        <v>38.753390668509724</v>
      </c>
      <c r="X309" s="22" t="s">
        <v>111</v>
      </c>
    </row>
    <row r="310" spans="1:24">
      <c r="A310" s="22" t="s">
        <v>59</v>
      </c>
      <c r="B310" s="31">
        <f>W310</f>
        <v>0.23865724458613036</v>
      </c>
      <c r="C310" s="31"/>
      <c r="D310" s="22" t="s">
        <v>39</v>
      </c>
      <c r="E310" s="22" t="s">
        <v>2</v>
      </c>
      <c r="F310" s="22" t="s">
        <v>29</v>
      </c>
      <c r="G310" s="22" t="s">
        <v>60</v>
      </c>
      <c r="H310" s="22" t="s">
        <v>33</v>
      </c>
      <c r="I310" s="22">
        <v>2</v>
      </c>
      <c r="J310" s="22">
        <f t="shared" si="10"/>
        <v>-1.4327268794599515</v>
      </c>
      <c r="K310" s="22">
        <v>0.28635642126552702</v>
      </c>
      <c r="L310" s="22" t="s">
        <v>31</v>
      </c>
      <c r="M310" s="22" t="s">
        <v>31</v>
      </c>
      <c r="N310" s="22" t="s">
        <v>31</v>
      </c>
      <c r="Q310" s="22" t="s">
        <v>101</v>
      </c>
      <c r="R310" s="30"/>
      <c r="S310" s="31">
        <v>2.9169242118124292</v>
      </c>
      <c r="T310" s="22" t="s">
        <v>104</v>
      </c>
      <c r="U310" s="22">
        <f>S310/0.277778</f>
        <v>10.500918761789736</v>
      </c>
      <c r="V310" s="22" t="s">
        <v>103</v>
      </c>
      <c r="W310" s="22">
        <f>U310/44</f>
        <v>0.23865724458613036</v>
      </c>
      <c r="X310" s="22" t="s">
        <v>111</v>
      </c>
    </row>
    <row r="311" spans="1:24">
      <c r="A311" s="22" t="s">
        <v>242</v>
      </c>
      <c r="B311" s="31">
        <v>2239.997069668003</v>
      </c>
      <c r="C311" s="31"/>
      <c r="D311" s="22" t="s">
        <v>39</v>
      </c>
      <c r="E311" s="22" t="s">
        <v>40</v>
      </c>
      <c r="F311" s="22" t="s">
        <v>29</v>
      </c>
      <c r="G311" s="22" t="s">
        <v>86</v>
      </c>
      <c r="H311" s="22" t="s">
        <v>33</v>
      </c>
      <c r="I311" s="22">
        <v>2</v>
      </c>
      <c r="J311" s="22">
        <f t="shared" si="10"/>
        <v>7.7142298366643027</v>
      </c>
      <c r="K311" s="22">
        <v>0.28635642126552702</v>
      </c>
      <c r="L311" s="22" t="s">
        <v>31</v>
      </c>
      <c r="M311" s="22" t="s">
        <v>31</v>
      </c>
      <c r="N311" s="22" t="s">
        <v>31</v>
      </c>
      <c r="Q311" s="22" t="s">
        <v>101</v>
      </c>
    </row>
    <row r="312" spans="1:24">
      <c r="A312" s="32" t="s">
        <v>243</v>
      </c>
      <c r="B312" s="22">
        <v>2.093438586803027</v>
      </c>
      <c r="D312" s="22" t="s">
        <v>50</v>
      </c>
      <c r="E312" s="22" t="s">
        <v>40</v>
      </c>
      <c r="F312" s="22" t="s">
        <v>29</v>
      </c>
      <c r="G312" s="32" t="s">
        <v>117</v>
      </c>
      <c r="H312" s="22" t="s">
        <v>33</v>
      </c>
      <c r="I312" s="22">
        <v>2</v>
      </c>
      <c r="J312" s="22">
        <f t="shared" si="10"/>
        <v>0.73880797086790206</v>
      </c>
      <c r="K312" s="22">
        <v>0.28635642126552702</v>
      </c>
      <c r="L312" s="22" t="s">
        <v>31</v>
      </c>
      <c r="M312" s="22" t="s">
        <v>31</v>
      </c>
      <c r="N312" s="22" t="s">
        <v>31</v>
      </c>
      <c r="Q312" s="22" t="s">
        <v>101</v>
      </c>
    </row>
    <row r="313" spans="1:24">
      <c r="A313" s="22" t="s">
        <v>245</v>
      </c>
      <c r="B313" s="31">
        <v>50.798235148713452</v>
      </c>
      <c r="C313" s="31"/>
      <c r="D313" s="22" t="s">
        <v>39</v>
      </c>
      <c r="E313" s="22" t="s">
        <v>40</v>
      </c>
      <c r="F313" s="22" t="s">
        <v>29</v>
      </c>
      <c r="G313" s="22" t="s">
        <v>117</v>
      </c>
      <c r="H313" s="22" t="s">
        <v>33</v>
      </c>
      <c r="I313" s="22">
        <v>2</v>
      </c>
      <c r="J313" s="22">
        <f t="shared" si="10"/>
        <v>3.9278616128138899</v>
      </c>
      <c r="K313" s="22">
        <v>0.28635642126552702</v>
      </c>
      <c r="L313" s="22" t="s">
        <v>31</v>
      </c>
      <c r="M313" s="22" t="s">
        <v>31</v>
      </c>
      <c r="N313" s="22" t="s">
        <v>31</v>
      </c>
      <c r="Q313" s="22" t="s">
        <v>101</v>
      </c>
    </row>
    <row r="314" spans="1:24">
      <c r="A314" s="22" t="s">
        <v>48</v>
      </c>
      <c r="B314" s="31">
        <v>954.36582670026701</v>
      </c>
      <c r="C314" s="31"/>
      <c r="D314" s="22" t="s">
        <v>39</v>
      </c>
      <c r="E314" s="22" t="s">
        <v>43</v>
      </c>
      <c r="F314" s="22" t="s">
        <v>44</v>
      </c>
      <c r="G314" s="22" t="s">
        <v>29</v>
      </c>
      <c r="H314" s="22" t="s">
        <v>45</v>
      </c>
      <c r="I314" s="22">
        <v>2</v>
      </c>
      <c r="J314" s="22">
        <f t="shared" si="10"/>
        <v>6.8610470640867733</v>
      </c>
      <c r="K314" s="22">
        <v>0.28635642126552702</v>
      </c>
      <c r="L314" s="22" t="s">
        <v>31</v>
      </c>
      <c r="M314" s="22" t="s">
        <v>31</v>
      </c>
      <c r="N314" s="22" t="s">
        <v>31</v>
      </c>
      <c r="Q314" s="22" t="s">
        <v>101</v>
      </c>
    </row>
    <row r="315" spans="1:24">
      <c r="A315" s="22" t="s">
        <v>51</v>
      </c>
      <c r="B315" s="31">
        <v>1.0209234741343503E-2</v>
      </c>
      <c r="C315" s="31"/>
      <c r="D315" s="22" t="s">
        <v>39</v>
      </c>
      <c r="E315" s="22" t="s">
        <v>43</v>
      </c>
      <c r="F315" s="22" t="s">
        <v>44</v>
      </c>
      <c r="G315" s="22" t="s">
        <v>29</v>
      </c>
      <c r="H315" s="22" t="s">
        <v>45</v>
      </c>
      <c r="I315" s="22">
        <v>2</v>
      </c>
      <c r="J315" s="22">
        <f t="shared" si="10"/>
        <v>-4.5844626014908432</v>
      </c>
      <c r="K315" s="22">
        <v>0.28635642126552702</v>
      </c>
      <c r="L315" s="22" t="s">
        <v>31</v>
      </c>
      <c r="M315" s="22" t="s">
        <v>31</v>
      </c>
      <c r="N315" s="22" t="s">
        <v>31</v>
      </c>
      <c r="Q315" s="22" t="s">
        <v>101</v>
      </c>
    </row>
    <row r="316" spans="1:24">
      <c r="A316" s="22" t="s">
        <v>42</v>
      </c>
      <c r="B316" s="22">
        <v>0.1618892937555898</v>
      </c>
      <c r="D316" s="22" t="s">
        <v>39</v>
      </c>
      <c r="E316" s="22" t="s">
        <v>43</v>
      </c>
      <c r="F316" s="22" t="s">
        <v>44</v>
      </c>
      <c r="G316" s="22" t="s">
        <v>29</v>
      </c>
      <c r="H316" s="22" t="s">
        <v>45</v>
      </c>
      <c r="I316" s="22">
        <v>2</v>
      </c>
      <c r="J316" s="22">
        <f t="shared" si="10"/>
        <v>-1.8208425492338229</v>
      </c>
      <c r="K316" s="22">
        <v>0.28635642126552702</v>
      </c>
      <c r="L316" s="22" t="s">
        <v>31</v>
      </c>
      <c r="M316" s="22" t="s">
        <v>31</v>
      </c>
      <c r="N316" s="22" t="s">
        <v>31</v>
      </c>
      <c r="Q316" s="22" t="s">
        <v>101</v>
      </c>
    </row>
    <row r="317" spans="1:24">
      <c r="A317" s="22" t="s">
        <v>244</v>
      </c>
      <c r="B317" s="22">
        <v>0.76642183665371566</v>
      </c>
      <c r="D317" s="22" t="s">
        <v>39</v>
      </c>
      <c r="E317" s="22" t="s">
        <v>43</v>
      </c>
      <c r="F317" s="22" t="s">
        <v>44</v>
      </c>
      <c r="G317" s="22" t="s">
        <v>29</v>
      </c>
      <c r="H317" s="22" t="s">
        <v>45</v>
      </c>
      <c r="I317" s="22">
        <v>2</v>
      </c>
      <c r="J317" s="22">
        <f t="shared" si="10"/>
        <v>-0.26602256022915127</v>
      </c>
      <c r="K317" s="22">
        <v>0.28635642126552702</v>
      </c>
      <c r="L317" s="22" t="s">
        <v>31</v>
      </c>
      <c r="M317" s="22" t="s">
        <v>31</v>
      </c>
      <c r="N317" s="22" t="s">
        <v>31</v>
      </c>
      <c r="Q317" s="22" t="s">
        <v>101</v>
      </c>
    </row>
    <row r="318" spans="1:24" s="29" customFormat="1">
      <c r="A318" s="27" t="s">
        <v>5</v>
      </c>
      <c r="B318" s="27" t="s">
        <v>404</v>
      </c>
      <c r="C318" s="27"/>
      <c r="D318" s="28"/>
      <c r="Q318" s="29" t="s">
        <v>101</v>
      </c>
    </row>
    <row r="319" spans="1:24">
      <c r="A319" s="22" t="s">
        <v>7</v>
      </c>
      <c r="B319" s="22" t="s">
        <v>95</v>
      </c>
      <c r="Q319" s="22" t="s">
        <v>101</v>
      </c>
    </row>
    <row r="320" spans="1:24">
      <c r="A320" s="22" t="s">
        <v>9</v>
      </c>
      <c r="B320" s="22" t="s">
        <v>430</v>
      </c>
      <c r="Q320" s="22" t="s">
        <v>101</v>
      </c>
    </row>
    <row r="321" spans="1:17">
      <c r="A321" s="22" t="s">
        <v>11</v>
      </c>
      <c r="B321" s="22" t="s">
        <v>431</v>
      </c>
      <c r="Q321" s="22" t="s">
        <v>101</v>
      </c>
    </row>
    <row r="322" spans="1:17">
      <c r="A322" s="22" t="s">
        <v>13</v>
      </c>
      <c r="B322" s="22" t="s">
        <v>86</v>
      </c>
      <c r="Q322" s="22" t="s">
        <v>101</v>
      </c>
    </row>
    <row r="323" spans="1:17">
      <c r="A323" s="22" t="s">
        <v>15</v>
      </c>
      <c r="B323" s="22">
        <v>1</v>
      </c>
      <c r="Q323" s="22" t="s">
        <v>101</v>
      </c>
    </row>
    <row r="324" spans="1:17">
      <c r="A324" s="22" t="s">
        <v>16</v>
      </c>
      <c r="B324" s="22" t="s">
        <v>17</v>
      </c>
      <c r="Q324" s="22" t="s">
        <v>101</v>
      </c>
    </row>
    <row r="325" spans="1:17">
      <c r="A325" s="22" t="s">
        <v>18</v>
      </c>
      <c r="B325" s="22" t="s">
        <v>18</v>
      </c>
      <c r="E325" s="22" t="s">
        <v>90</v>
      </c>
      <c r="Q325" s="22" t="s">
        <v>101</v>
      </c>
    </row>
    <row r="326" spans="1:17">
      <c r="A326" s="24" t="s">
        <v>19</v>
      </c>
      <c r="Q326" s="22" t="s">
        <v>101</v>
      </c>
    </row>
    <row r="327" spans="1:17">
      <c r="A327" s="24" t="s">
        <v>20</v>
      </c>
      <c r="B327" s="24" t="s">
        <v>21</v>
      </c>
      <c r="C327" s="24" t="s">
        <v>73</v>
      </c>
      <c r="D327" s="24" t="s">
        <v>18</v>
      </c>
      <c r="E327" s="24" t="s">
        <v>22</v>
      </c>
      <c r="F327" s="24" t="s">
        <v>7</v>
      </c>
      <c r="G327" s="24" t="s">
        <v>13</v>
      </c>
      <c r="H327" s="24" t="s">
        <v>16</v>
      </c>
      <c r="I327" s="24" t="s">
        <v>23</v>
      </c>
      <c r="J327" s="24" t="s">
        <v>24</v>
      </c>
      <c r="K327" s="24" t="s">
        <v>25</v>
      </c>
      <c r="L327" s="24" t="s">
        <v>26</v>
      </c>
      <c r="M327" s="24" t="s">
        <v>27</v>
      </c>
      <c r="N327" s="24" t="s">
        <v>28</v>
      </c>
      <c r="O327" s="24" t="s">
        <v>11</v>
      </c>
      <c r="P327" s="24" t="s">
        <v>337</v>
      </c>
      <c r="Q327" s="22" t="s">
        <v>101</v>
      </c>
    </row>
    <row r="328" spans="1:17">
      <c r="A328" s="30" t="s">
        <v>404</v>
      </c>
      <c r="B328" s="22">
        <v>1</v>
      </c>
      <c r="D328" s="22" t="s">
        <v>18</v>
      </c>
      <c r="E328" s="22" t="s">
        <v>2</v>
      </c>
      <c r="F328" s="22" t="s">
        <v>29</v>
      </c>
      <c r="G328" s="22" t="s">
        <v>86</v>
      </c>
      <c r="H328" s="22" t="s">
        <v>30</v>
      </c>
      <c r="I328" s="22">
        <v>1</v>
      </c>
      <c r="J328" s="22">
        <v>1</v>
      </c>
      <c r="K328" s="22" t="s">
        <v>31</v>
      </c>
      <c r="L328" s="22" t="s">
        <v>31</v>
      </c>
      <c r="M328" s="22" t="s">
        <v>31</v>
      </c>
      <c r="N328" s="22" t="s">
        <v>31</v>
      </c>
      <c r="Q328" s="22" t="s">
        <v>101</v>
      </c>
    </row>
    <row r="329" spans="1:17">
      <c r="A329" s="34" t="s">
        <v>248</v>
      </c>
      <c r="B329" s="26">
        <v>275.28000000000003</v>
      </c>
      <c r="C329" s="26"/>
      <c r="D329" s="26" t="s">
        <v>39</v>
      </c>
      <c r="E329" s="26" t="s">
        <v>40</v>
      </c>
      <c r="F329" s="26" t="s">
        <v>29</v>
      </c>
      <c r="G329" s="26" t="s">
        <v>86</v>
      </c>
      <c r="H329" s="26" t="s">
        <v>33</v>
      </c>
      <c r="I329" s="26">
        <v>2</v>
      </c>
      <c r="J329" s="26">
        <f t="shared" ref="J329:J348" si="11">LN(B329)</f>
        <v>5.6177887614892255</v>
      </c>
      <c r="K329" s="26">
        <v>0.30331501776206199</v>
      </c>
      <c r="L329" s="26" t="s">
        <v>31</v>
      </c>
      <c r="M329" s="26" t="s">
        <v>31</v>
      </c>
      <c r="N329" s="26" t="s">
        <v>31</v>
      </c>
      <c r="O329" s="26" t="s">
        <v>352</v>
      </c>
      <c r="P329" s="22" t="s">
        <v>432</v>
      </c>
      <c r="Q329" s="22" t="s">
        <v>101</v>
      </c>
    </row>
    <row r="330" spans="1:17">
      <c r="A330" s="34" t="s">
        <v>433</v>
      </c>
      <c r="B330" s="26">
        <v>275.28000000000003</v>
      </c>
      <c r="C330" s="26"/>
      <c r="D330" s="26" t="s">
        <v>39</v>
      </c>
      <c r="E330" s="26" t="s">
        <v>40</v>
      </c>
      <c r="F330" s="26" t="s">
        <v>29</v>
      </c>
      <c r="G330" s="26" t="s">
        <v>86</v>
      </c>
      <c r="H330" s="26" t="s">
        <v>33</v>
      </c>
      <c r="I330" s="26">
        <v>2</v>
      </c>
      <c r="J330" s="26">
        <f t="shared" si="11"/>
        <v>5.6177887614892255</v>
      </c>
      <c r="K330" s="26">
        <v>0.30331501776206199</v>
      </c>
      <c r="L330" s="26" t="s">
        <v>31</v>
      </c>
      <c r="M330" s="26" t="s">
        <v>31</v>
      </c>
      <c r="N330" s="26" t="s">
        <v>31</v>
      </c>
      <c r="O330" s="26" t="s">
        <v>352</v>
      </c>
      <c r="P330" s="22" t="s">
        <v>434</v>
      </c>
      <c r="Q330" s="22" t="s">
        <v>101</v>
      </c>
    </row>
    <row r="331" spans="1:17">
      <c r="A331" s="34" t="s">
        <v>295</v>
      </c>
      <c r="B331" s="26">
        <v>137.64000000000001</v>
      </c>
      <c r="C331" s="26"/>
      <c r="D331" s="26" t="s">
        <v>39</v>
      </c>
      <c r="E331" s="26" t="s">
        <v>40</v>
      </c>
      <c r="F331" s="26" t="s">
        <v>29</v>
      </c>
      <c r="G331" s="26" t="s">
        <v>86</v>
      </c>
      <c r="H331" s="26" t="s">
        <v>33</v>
      </c>
      <c r="I331" s="26">
        <v>2</v>
      </c>
      <c r="J331" s="26">
        <f t="shared" si="11"/>
        <v>4.9246415809292801</v>
      </c>
      <c r="K331" s="26">
        <v>0.30331501776206199</v>
      </c>
      <c r="L331" s="26" t="s">
        <v>31</v>
      </c>
      <c r="M331" s="26" t="s">
        <v>31</v>
      </c>
      <c r="N331" s="26" t="s">
        <v>31</v>
      </c>
      <c r="O331" s="26" t="s">
        <v>352</v>
      </c>
      <c r="P331" s="22" t="s">
        <v>101</v>
      </c>
      <c r="Q331" s="22" t="s">
        <v>101</v>
      </c>
    </row>
    <row r="332" spans="1:17">
      <c r="A332" s="36" t="s">
        <v>131</v>
      </c>
      <c r="B332" s="25">
        <v>256.928</v>
      </c>
      <c r="C332" s="25"/>
      <c r="D332" s="25" t="s">
        <v>39</v>
      </c>
      <c r="E332" s="25" t="s">
        <v>40</v>
      </c>
      <c r="F332" s="25" t="s">
        <v>29</v>
      </c>
      <c r="G332" s="25" t="s">
        <v>117</v>
      </c>
      <c r="H332" s="25" t="s">
        <v>33</v>
      </c>
      <c r="I332" s="25">
        <v>2</v>
      </c>
      <c r="J332" s="25">
        <f t="shared" si="11"/>
        <v>5.5487958900022738</v>
      </c>
      <c r="K332" s="25">
        <v>0.30331501776206199</v>
      </c>
      <c r="L332" s="25" t="s">
        <v>31</v>
      </c>
      <c r="M332" s="25" t="s">
        <v>31</v>
      </c>
      <c r="N332" s="25" t="s">
        <v>31</v>
      </c>
      <c r="O332" s="25" t="s">
        <v>99</v>
      </c>
      <c r="P332" s="22" t="s">
        <v>428</v>
      </c>
      <c r="Q332" s="22" t="s">
        <v>101</v>
      </c>
    </row>
    <row r="333" spans="1:17">
      <c r="A333" s="40" t="s">
        <v>133</v>
      </c>
      <c r="B333" s="25">
        <v>256.928</v>
      </c>
      <c r="C333" s="25" t="s">
        <v>134</v>
      </c>
      <c r="D333" s="25" t="s">
        <v>39</v>
      </c>
      <c r="E333" s="25" t="s">
        <v>40</v>
      </c>
      <c r="F333" s="25" t="s">
        <v>29</v>
      </c>
      <c r="G333" s="25" t="s">
        <v>117</v>
      </c>
      <c r="H333" s="25" t="s">
        <v>33</v>
      </c>
      <c r="I333" s="25">
        <v>2</v>
      </c>
      <c r="J333" s="25">
        <f t="shared" si="11"/>
        <v>5.5487958900022738</v>
      </c>
      <c r="K333" s="25">
        <v>0.30331501776206199</v>
      </c>
      <c r="L333" s="25" t="s">
        <v>31</v>
      </c>
      <c r="M333" s="25" t="s">
        <v>31</v>
      </c>
      <c r="N333" s="25" t="s">
        <v>31</v>
      </c>
      <c r="O333" s="25" t="s">
        <v>99</v>
      </c>
      <c r="P333" s="22" t="s">
        <v>428</v>
      </c>
      <c r="Q333" s="22" t="s">
        <v>101</v>
      </c>
    </row>
    <row r="334" spans="1:17">
      <c r="A334" s="49" t="s">
        <v>248</v>
      </c>
      <c r="B334" s="25">
        <v>256.928</v>
      </c>
      <c r="C334" s="25"/>
      <c r="D334" s="25" t="s">
        <v>39</v>
      </c>
      <c r="E334" s="25" t="s">
        <v>40</v>
      </c>
      <c r="F334" s="25" t="s">
        <v>29</v>
      </c>
      <c r="G334" s="25" t="s">
        <v>86</v>
      </c>
      <c r="H334" s="25" t="s">
        <v>110</v>
      </c>
      <c r="I334" s="25">
        <v>2</v>
      </c>
      <c r="J334" s="25">
        <f t="shared" si="11"/>
        <v>5.5487958900022738</v>
      </c>
      <c r="K334" s="25">
        <v>0.30331501776206199</v>
      </c>
      <c r="L334" s="25" t="s">
        <v>31</v>
      </c>
      <c r="M334" s="25" t="s">
        <v>31</v>
      </c>
      <c r="N334" s="25" t="s">
        <v>31</v>
      </c>
      <c r="O334" s="25" t="s">
        <v>99</v>
      </c>
      <c r="P334" s="22" t="s">
        <v>429</v>
      </c>
      <c r="Q334" s="22" t="s">
        <v>101</v>
      </c>
    </row>
    <row r="335" spans="1:17">
      <c r="A335" s="36" t="s">
        <v>173</v>
      </c>
      <c r="B335" s="38">
        <v>256.928</v>
      </c>
      <c r="C335" s="38"/>
      <c r="D335" s="38" t="s">
        <v>39</v>
      </c>
      <c r="E335" s="38" t="s">
        <v>40</v>
      </c>
      <c r="F335" s="38" t="s">
        <v>29</v>
      </c>
      <c r="G335" s="38" t="s">
        <v>117</v>
      </c>
      <c r="H335" s="38" t="s">
        <v>33</v>
      </c>
      <c r="I335" s="38">
        <v>2</v>
      </c>
      <c r="J335" s="38">
        <f t="shared" si="11"/>
        <v>5.5487958900022738</v>
      </c>
      <c r="K335" s="38">
        <v>0.30331501776206199</v>
      </c>
      <c r="L335" s="38" t="s">
        <v>31</v>
      </c>
      <c r="M335" s="38" t="s">
        <v>31</v>
      </c>
      <c r="N335" s="38" t="s">
        <v>31</v>
      </c>
      <c r="O335" s="38" t="s">
        <v>99</v>
      </c>
      <c r="P335" s="39" t="s">
        <v>435</v>
      </c>
      <c r="Q335" s="22" t="s">
        <v>101</v>
      </c>
    </row>
    <row r="336" spans="1:17">
      <c r="A336" s="44" t="s">
        <v>433</v>
      </c>
      <c r="B336" s="46">
        <v>256.928</v>
      </c>
      <c r="C336" s="46"/>
      <c r="D336" s="46" t="s">
        <v>39</v>
      </c>
      <c r="E336" s="46" t="s">
        <v>40</v>
      </c>
      <c r="F336" s="46" t="s">
        <v>29</v>
      </c>
      <c r="G336" s="46" t="s">
        <v>86</v>
      </c>
      <c r="H336" s="46" t="s">
        <v>110</v>
      </c>
      <c r="I336" s="46">
        <v>2</v>
      </c>
      <c r="J336" s="46">
        <f t="shared" si="11"/>
        <v>5.5487958900022738</v>
      </c>
      <c r="K336" s="46">
        <v>0.30331501776206199</v>
      </c>
      <c r="L336" s="46" t="s">
        <v>31</v>
      </c>
      <c r="M336" s="46" t="s">
        <v>31</v>
      </c>
      <c r="N336" s="46" t="s">
        <v>31</v>
      </c>
      <c r="O336" s="46" t="s">
        <v>99</v>
      </c>
      <c r="P336" s="47" t="s">
        <v>436</v>
      </c>
      <c r="Q336" s="22" t="s">
        <v>101</v>
      </c>
    </row>
    <row r="337" spans="1:24">
      <c r="A337" s="49" t="s">
        <v>437</v>
      </c>
      <c r="B337" s="25">
        <v>128.464</v>
      </c>
      <c r="C337" s="25"/>
      <c r="D337" s="25" t="s">
        <v>39</v>
      </c>
      <c r="E337" s="25" t="s">
        <v>40</v>
      </c>
      <c r="F337" s="25" t="s">
        <v>29</v>
      </c>
      <c r="G337" s="25" t="s">
        <v>117</v>
      </c>
      <c r="H337" s="25" t="s">
        <v>33</v>
      </c>
      <c r="I337" s="25">
        <v>2</v>
      </c>
      <c r="J337" s="25">
        <f t="shared" si="11"/>
        <v>4.8556487094423284</v>
      </c>
      <c r="K337" s="25">
        <v>0.30331501776206199</v>
      </c>
      <c r="L337" s="25" t="s">
        <v>31</v>
      </c>
      <c r="M337" s="25" t="s">
        <v>31</v>
      </c>
      <c r="N337" s="25" t="s">
        <v>31</v>
      </c>
      <c r="O337" s="25" t="s">
        <v>99</v>
      </c>
      <c r="P337" s="22" t="s">
        <v>438</v>
      </c>
      <c r="Q337" s="22" t="s">
        <v>101</v>
      </c>
      <c r="S337" s="24" t="s">
        <v>342</v>
      </c>
    </row>
    <row r="338" spans="1:24">
      <c r="A338" s="22" t="s">
        <v>97</v>
      </c>
      <c r="B338" s="31">
        <v>1836.2037913359243</v>
      </c>
      <c r="C338" s="31"/>
      <c r="D338" s="22" t="s">
        <v>98</v>
      </c>
      <c r="E338" s="22" t="s">
        <v>40</v>
      </c>
      <c r="F338" s="22" t="s">
        <v>29</v>
      </c>
      <c r="G338" s="22" t="s">
        <v>86</v>
      </c>
      <c r="H338" s="22" t="s">
        <v>33</v>
      </c>
      <c r="I338" s="22">
        <v>2</v>
      </c>
      <c r="J338" s="22">
        <f t="shared" si="11"/>
        <v>7.5154555624803274</v>
      </c>
      <c r="K338" s="22">
        <v>0.28635642126552702</v>
      </c>
      <c r="L338" s="22" t="s">
        <v>31</v>
      </c>
      <c r="M338" s="22" t="s">
        <v>31</v>
      </c>
      <c r="N338" s="22" t="s">
        <v>31</v>
      </c>
      <c r="Q338" s="22" t="s">
        <v>101</v>
      </c>
    </row>
    <row r="339" spans="1:24">
      <c r="A339" s="22" t="s">
        <v>105</v>
      </c>
      <c r="B339" s="31">
        <v>173.55304376534991</v>
      </c>
      <c r="C339" s="31"/>
      <c r="D339" s="22" t="s">
        <v>50</v>
      </c>
      <c r="E339" s="22" t="s">
        <v>40</v>
      </c>
      <c r="F339" s="22" t="s">
        <v>29</v>
      </c>
      <c r="G339" s="22" t="s">
        <v>106</v>
      </c>
      <c r="H339" s="22" t="s">
        <v>33</v>
      </c>
      <c r="I339" s="22">
        <v>2</v>
      </c>
      <c r="J339" s="22">
        <f t="shared" si="11"/>
        <v>5.1564832804158858</v>
      </c>
      <c r="K339" s="22">
        <v>0.28635642126552702</v>
      </c>
      <c r="L339" s="22" t="s">
        <v>31</v>
      </c>
      <c r="M339" s="22" t="s">
        <v>31</v>
      </c>
      <c r="N339" s="22" t="s">
        <v>31</v>
      </c>
      <c r="Q339" s="22" t="s">
        <v>101</v>
      </c>
      <c r="S339" s="31">
        <v>1846.4130260772674</v>
      </c>
      <c r="T339" s="22" t="s">
        <v>104</v>
      </c>
      <c r="U339" s="22">
        <f>S339/0.277778</f>
        <v>6647.0815762129014</v>
      </c>
      <c r="V339" s="22" t="s">
        <v>103</v>
      </c>
      <c r="W339" s="22">
        <f>U339/38.3</f>
        <v>173.55304376534991</v>
      </c>
      <c r="X339" s="22" t="s">
        <v>108</v>
      </c>
    </row>
    <row r="340" spans="1:24">
      <c r="A340" s="22" t="s">
        <v>123</v>
      </c>
      <c r="B340" s="31">
        <v>829.57258218138895</v>
      </c>
      <c r="C340" s="31"/>
      <c r="D340" s="22" t="s">
        <v>124</v>
      </c>
      <c r="E340" s="22" t="s">
        <v>40</v>
      </c>
      <c r="F340" s="22" t="s">
        <v>29</v>
      </c>
      <c r="G340" s="22" t="s">
        <v>86</v>
      </c>
      <c r="H340" s="22" t="s">
        <v>33</v>
      </c>
      <c r="I340" s="22">
        <v>2</v>
      </c>
      <c r="J340" s="22">
        <f t="shared" si="11"/>
        <v>6.7209106069253313</v>
      </c>
      <c r="K340" s="22">
        <v>0.28635642126552702</v>
      </c>
      <c r="L340" s="22" t="s">
        <v>31</v>
      </c>
      <c r="M340" s="22" t="s">
        <v>31</v>
      </c>
      <c r="N340" s="22" t="s">
        <v>31</v>
      </c>
      <c r="Q340" s="22" t="s">
        <v>101</v>
      </c>
      <c r="S340" s="31">
        <v>230.43701273318189</v>
      </c>
      <c r="T340" s="22" t="s">
        <v>104</v>
      </c>
      <c r="U340" s="22">
        <f>S340/0.277778</f>
        <v>829.57258218138895</v>
      </c>
      <c r="V340" s="22" t="s">
        <v>103</v>
      </c>
    </row>
    <row r="341" spans="1:24">
      <c r="A341" s="22" t="s">
        <v>344</v>
      </c>
      <c r="B341" s="31">
        <v>39.26124760267367</v>
      </c>
      <c r="C341" s="31"/>
      <c r="D341" s="22" t="s">
        <v>39</v>
      </c>
      <c r="E341" s="22" t="s">
        <v>40</v>
      </c>
      <c r="F341" s="22" t="s">
        <v>29</v>
      </c>
      <c r="G341" s="22" t="s">
        <v>86</v>
      </c>
      <c r="H341" s="22" t="s">
        <v>33</v>
      </c>
      <c r="I341" s="22">
        <v>2</v>
      </c>
      <c r="J341" s="22">
        <f t="shared" si="11"/>
        <v>3.6702379663024911</v>
      </c>
      <c r="K341" s="22">
        <v>0.28635642126552702</v>
      </c>
      <c r="L341" s="22" t="s">
        <v>31</v>
      </c>
      <c r="M341" s="22" t="s">
        <v>31</v>
      </c>
      <c r="N341" s="22" t="s">
        <v>31</v>
      </c>
      <c r="Q341" s="22" t="s">
        <v>101</v>
      </c>
      <c r="S341" s="31">
        <v>488.58480547858181</v>
      </c>
      <c r="T341" s="22" t="s">
        <v>104</v>
      </c>
      <c r="U341" s="22">
        <f>S341/0.277778</f>
        <v>1758.9038925997802</v>
      </c>
      <c r="V341" s="22" t="s">
        <v>103</v>
      </c>
      <c r="W341" s="22">
        <f>U341/44.8</f>
        <v>39.26124760267367</v>
      </c>
      <c r="X341" s="22" t="s">
        <v>111</v>
      </c>
    </row>
    <row r="342" spans="1:24">
      <c r="A342" s="22" t="s">
        <v>38</v>
      </c>
      <c r="B342" s="31">
        <v>77.506781337019447</v>
      </c>
      <c r="C342" s="31"/>
      <c r="D342" s="22" t="s">
        <v>39</v>
      </c>
      <c r="E342" s="22" t="s">
        <v>40</v>
      </c>
      <c r="F342" s="22" t="s">
        <v>29</v>
      </c>
      <c r="G342" s="22" t="s">
        <v>117</v>
      </c>
      <c r="H342" s="22" t="s">
        <v>33</v>
      </c>
      <c r="I342" s="22">
        <v>2</v>
      </c>
      <c r="J342" s="22">
        <f t="shared" si="11"/>
        <v>4.3503654336541331</v>
      </c>
      <c r="K342" s="22">
        <v>0.28635642126552702</v>
      </c>
      <c r="L342" s="22" t="s">
        <v>31</v>
      </c>
      <c r="M342" s="22" t="s">
        <v>31</v>
      </c>
      <c r="N342" s="22" t="s">
        <v>31</v>
      </c>
      <c r="Q342" s="22" t="s">
        <v>101</v>
      </c>
      <c r="S342" s="31">
        <v>994.67115622803817</v>
      </c>
      <c r="T342" s="22" t="s">
        <v>104</v>
      </c>
      <c r="U342" s="22">
        <f>S342/0.277778</f>
        <v>3580.813297770299</v>
      </c>
      <c r="V342" s="22" t="s">
        <v>103</v>
      </c>
      <c r="W342" s="22">
        <f>U342/46.2</f>
        <v>77.506781337019447</v>
      </c>
      <c r="X342" s="22" t="s">
        <v>111</v>
      </c>
    </row>
    <row r="343" spans="1:24">
      <c r="A343" s="22" t="s">
        <v>59</v>
      </c>
      <c r="B343" s="31">
        <f>W343</f>
        <v>0.47731448917226071</v>
      </c>
      <c r="C343" s="31"/>
      <c r="D343" s="22" t="s">
        <v>39</v>
      </c>
      <c r="E343" s="22" t="s">
        <v>2</v>
      </c>
      <c r="F343" s="22" t="s">
        <v>29</v>
      </c>
      <c r="G343" s="22" t="s">
        <v>60</v>
      </c>
      <c r="H343" s="22" t="s">
        <v>33</v>
      </c>
      <c r="I343" s="22">
        <v>2</v>
      </c>
      <c r="J343" s="22">
        <f t="shared" si="11"/>
        <v>-0.73957969890000619</v>
      </c>
      <c r="K343" s="22">
        <v>0.28635642126552702</v>
      </c>
      <c r="L343" s="22" t="s">
        <v>31</v>
      </c>
      <c r="M343" s="22" t="s">
        <v>31</v>
      </c>
      <c r="N343" s="22" t="s">
        <v>31</v>
      </c>
      <c r="Q343" s="22" t="s">
        <v>101</v>
      </c>
      <c r="R343" s="30"/>
      <c r="S343" s="31">
        <v>5.8338484236248584</v>
      </c>
      <c r="T343" s="22" t="s">
        <v>104</v>
      </c>
      <c r="U343" s="22">
        <f>S343/0.277778</f>
        <v>21.001837523579471</v>
      </c>
      <c r="V343" s="22" t="s">
        <v>103</v>
      </c>
      <c r="W343" s="22">
        <f>U343/44</f>
        <v>0.47731448917226071</v>
      </c>
      <c r="X343" s="22" t="s">
        <v>111</v>
      </c>
    </row>
    <row r="344" spans="1:24">
      <c r="A344" s="22" t="s">
        <v>242</v>
      </c>
      <c r="B344" s="22">
        <v>4479.9941393360059</v>
      </c>
      <c r="D344" s="22" t="s">
        <v>39</v>
      </c>
      <c r="E344" s="22" t="s">
        <v>40</v>
      </c>
      <c r="F344" s="22" t="s">
        <v>29</v>
      </c>
      <c r="G344" s="22" t="s">
        <v>86</v>
      </c>
      <c r="H344" s="22" t="s">
        <v>33</v>
      </c>
      <c r="I344" s="22">
        <v>2</v>
      </c>
      <c r="J344" s="22">
        <f t="shared" si="11"/>
        <v>8.4073770172242472</v>
      </c>
      <c r="K344" s="22">
        <v>0.28635642126552702</v>
      </c>
      <c r="L344" s="22" t="s">
        <v>31</v>
      </c>
      <c r="M344" s="22" t="s">
        <v>31</v>
      </c>
      <c r="N344" s="22" t="s">
        <v>31</v>
      </c>
      <c r="Q344" s="22" t="s">
        <v>101</v>
      </c>
    </row>
    <row r="345" spans="1:24">
      <c r="A345" s="32" t="s">
        <v>243</v>
      </c>
      <c r="B345" s="22">
        <v>4.1868771736060539</v>
      </c>
      <c r="D345" s="22" t="s">
        <v>50</v>
      </c>
      <c r="E345" s="22" t="s">
        <v>40</v>
      </c>
      <c r="F345" s="22" t="s">
        <v>29</v>
      </c>
      <c r="G345" s="32" t="s">
        <v>117</v>
      </c>
      <c r="H345" s="22" t="s">
        <v>33</v>
      </c>
      <c r="I345" s="22">
        <v>2</v>
      </c>
      <c r="J345" s="22">
        <f t="shared" si="11"/>
        <v>1.4319551514278475</v>
      </c>
      <c r="K345" s="22">
        <v>0.28635642126552702</v>
      </c>
      <c r="L345" s="22" t="s">
        <v>31</v>
      </c>
      <c r="M345" s="22" t="s">
        <v>31</v>
      </c>
      <c r="N345" s="22" t="s">
        <v>31</v>
      </c>
      <c r="Q345" s="22" t="s">
        <v>101</v>
      </c>
    </row>
    <row r="346" spans="1:24">
      <c r="A346" s="22" t="s">
        <v>245</v>
      </c>
      <c r="B346" s="31">
        <v>101.5964702974269</v>
      </c>
      <c r="C346" s="31"/>
      <c r="D346" s="22" t="s">
        <v>39</v>
      </c>
      <c r="E346" s="22" t="s">
        <v>40</v>
      </c>
      <c r="F346" s="22" t="s">
        <v>29</v>
      </c>
      <c r="G346" s="22" t="s">
        <v>117</v>
      </c>
      <c r="H346" s="22" t="s">
        <v>33</v>
      </c>
      <c r="I346" s="22">
        <v>2</v>
      </c>
      <c r="J346" s="22">
        <f t="shared" si="11"/>
        <v>4.6210087933738349</v>
      </c>
      <c r="K346" s="22">
        <v>0.28635642126552702</v>
      </c>
      <c r="L346" s="22" t="s">
        <v>31</v>
      </c>
      <c r="M346" s="22" t="s">
        <v>31</v>
      </c>
      <c r="N346" s="22" t="s">
        <v>31</v>
      </c>
      <c r="Q346" s="22" t="s">
        <v>101</v>
      </c>
    </row>
    <row r="347" spans="1:24">
      <c r="A347" s="22" t="s">
        <v>48</v>
      </c>
      <c r="B347" s="31">
        <v>1908.731653400534</v>
      </c>
      <c r="C347" s="31"/>
      <c r="D347" s="22" t="s">
        <v>39</v>
      </c>
      <c r="E347" s="22" t="s">
        <v>43</v>
      </c>
      <c r="F347" s="22" t="s">
        <v>44</v>
      </c>
      <c r="G347" s="22" t="s">
        <v>29</v>
      </c>
      <c r="H347" s="22" t="s">
        <v>45</v>
      </c>
      <c r="I347" s="22">
        <v>2</v>
      </c>
      <c r="J347" s="22">
        <f t="shared" si="11"/>
        <v>7.5541942446467187</v>
      </c>
      <c r="K347" s="22">
        <v>0.28635642126552702</v>
      </c>
      <c r="L347" s="22" t="s">
        <v>31</v>
      </c>
      <c r="M347" s="22" t="s">
        <v>31</v>
      </c>
      <c r="N347" s="22" t="s">
        <v>31</v>
      </c>
      <c r="Q347" s="22" t="s">
        <v>101</v>
      </c>
    </row>
    <row r="348" spans="1:24">
      <c r="A348" s="22" t="s">
        <v>51</v>
      </c>
      <c r="B348" s="31">
        <v>2.0418469482687007E-2</v>
      </c>
      <c r="C348" s="31"/>
      <c r="D348" s="22" t="s">
        <v>39</v>
      </c>
      <c r="E348" s="22" t="s">
        <v>43</v>
      </c>
      <c r="F348" s="22" t="s">
        <v>44</v>
      </c>
      <c r="G348" s="22" t="s">
        <v>29</v>
      </c>
      <c r="H348" s="22" t="s">
        <v>45</v>
      </c>
      <c r="I348" s="22">
        <v>2</v>
      </c>
      <c r="J348" s="22">
        <f t="shared" si="11"/>
        <v>-3.8913154209308982</v>
      </c>
      <c r="K348" s="22">
        <v>0.28635642126552702</v>
      </c>
      <c r="L348" s="22" t="s">
        <v>31</v>
      </c>
      <c r="M348" s="22" t="s">
        <v>31</v>
      </c>
      <c r="N348" s="22" t="s">
        <v>31</v>
      </c>
      <c r="Q348" s="22" t="s">
        <v>101</v>
      </c>
    </row>
    <row r="349" spans="1:24">
      <c r="A349" s="22" t="s">
        <v>42</v>
      </c>
      <c r="B349" s="22">
        <v>0.32377858751117961</v>
      </c>
      <c r="D349" s="22" t="s">
        <v>39</v>
      </c>
      <c r="E349" s="22" t="s">
        <v>43</v>
      </c>
      <c r="F349" s="22" t="s">
        <v>44</v>
      </c>
      <c r="G349" s="22" t="s">
        <v>29</v>
      </c>
      <c r="H349" s="22" t="s">
        <v>45</v>
      </c>
      <c r="I349" s="22">
        <v>2</v>
      </c>
      <c r="J349" s="22">
        <f>LN(B349)</f>
        <v>-1.1276953686738775</v>
      </c>
      <c r="K349" s="22">
        <v>0.28635642126552702</v>
      </c>
      <c r="L349" s="22" t="s">
        <v>31</v>
      </c>
      <c r="M349" s="22" t="s">
        <v>31</v>
      </c>
      <c r="N349" s="22" t="s">
        <v>31</v>
      </c>
      <c r="Q349" s="22" t="s">
        <v>101</v>
      </c>
    </row>
    <row r="350" spans="1:24">
      <c r="A350" s="22" t="s">
        <v>244</v>
      </c>
      <c r="B350" s="22">
        <v>1.5328436733074313</v>
      </c>
      <c r="D350" s="22" t="s">
        <v>39</v>
      </c>
      <c r="E350" s="22" t="s">
        <v>43</v>
      </c>
      <c r="F350" s="22" t="s">
        <v>44</v>
      </c>
      <c r="G350" s="22" t="s">
        <v>29</v>
      </c>
      <c r="H350" s="22" t="s">
        <v>45</v>
      </c>
      <c r="I350" s="22">
        <v>2</v>
      </c>
      <c r="J350" s="22">
        <f t="shared" ref="J350" si="12">LN(B350)</f>
        <v>0.42712462033079401</v>
      </c>
      <c r="K350" s="22">
        <v>0.28635642126552702</v>
      </c>
      <c r="L350" s="22" t="s">
        <v>31</v>
      </c>
      <c r="M350" s="22" t="s">
        <v>31</v>
      </c>
      <c r="N350" s="22" t="s">
        <v>31</v>
      </c>
      <c r="Q350" s="22" t="s">
        <v>101</v>
      </c>
    </row>
    <row r="351" spans="1:24" s="29" customFormat="1">
      <c r="A351" s="27" t="s">
        <v>5</v>
      </c>
      <c r="B351" s="27" t="s">
        <v>405</v>
      </c>
      <c r="C351" s="27"/>
      <c r="D351" s="28"/>
      <c r="Q351" s="29" t="s">
        <v>101</v>
      </c>
    </row>
    <row r="352" spans="1:24">
      <c r="A352" s="22" t="s">
        <v>7</v>
      </c>
      <c r="B352" s="22" t="s">
        <v>95</v>
      </c>
      <c r="Q352" s="22" t="s">
        <v>101</v>
      </c>
    </row>
    <row r="353" spans="1:17">
      <c r="A353" s="22" t="s">
        <v>9</v>
      </c>
      <c r="B353" s="22" t="s">
        <v>439</v>
      </c>
      <c r="Q353" s="22" t="s">
        <v>101</v>
      </c>
    </row>
    <row r="354" spans="1:17">
      <c r="A354" s="22" t="s">
        <v>11</v>
      </c>
      <c r="B354" s="22" t="s">
        <v>440</v>
      </c>
      <c r="Q354" s="22" t="s">
        <v>101</v>
      </c>
    </row>
    <row r="355" spans="1:17">
      <c r="A355" s="22" t="s">
        <v>13</v>
      </c>
      <c r="B355" s="22" t="s">
        <v>86</v>
      </c>
      <c r="Q355" s="22" t="s">
        <v>101</v>
      </c>
    </row>
    <row r="356" spans="1:17">
      <c r="A356" s="22" t="s">
        <v>15</v>
      </c>
      <c r="B356" s="22">
        <v>1</v>
      </c>
      <c r="Q356" s="22" t="s">
        <v>101</v>
      </c>
    </row>
    <row r="357" spans="1:17">
      <c r="A357" s="22" t="s">
        <v>16</v>
      </c>
      <c r="B357" s="22" t="s">
        <v>17</v>
      </c>
      <c r="Q357" s="22" t="s">
        <v>101</v>
      </c>
    </row>
    <row r="358" spans="1:17">
      <c r="A358" s="22" t="s">
        <v>18</v>
      </c>
      <c r="B358" s="22" t="s">
        <v>18</v>
      </c>
      <c r="E358" s="22" t="s">
        <v>90</v>
      </c>
      <c r="Q358" s="22" t="s">
        <v>101</v>
      </c>
    </row>
    <row r="359" spans="1:17">
      <c r="A359" s="24" t="s">
        <v>19</v>
      </c>
      <c r="Q359" s="22" t="s">
        <v>101</v>
      </c>
    </row>
    <row r="360" spans="1:17">
      <c r="A360" s="24" t="s">
        <v>20</v>
      </c>
      <c r="B360" s="24" t="s">
        <v>21</v>
      </c>
      <c r="C360" s="24" t="s">
        <v>73</v>
      </c>
      <c r="D360" s="24" t="s">
        <v>18</v>
      </c>
      <c r="E360" s="24" t="s">
        <v>22</v>
      </c>
      <c r="F360" s="24" t="s">
        <v>7</v>
      </c>
      <c r="G360" s="24" t="s">
        <v>13</v>
      </c>
      <c r="H360" s="24" t="s">
        <v>16</v>
      </c>
      <c r="I360" s="24" t="s">
        <v>23</v>
      </c>
      <c r="J360" s="24" t="s">
        <v>24</v>
      </c>
      <c r="K360" s="24" t="s">
        <v>25</v>
      </c>
      <c r="L360" s="24" t="s">
        <v>26</v>
      </c>
      <c r="M360" s="24" t="s">
        <v>27</v>
      </c>
      <c r="N360" s="24" t="s">
        <v>28</v>
      </c>
      <c r="O360" s="24" t="s">
        <v>11</v>
      </c>
      <c r="P360" s="24" t="s">
        <v>337</v>
      </c>
      <c r="Q360" s="22" t="s">
        <v>101</v>
      </c>
    </row>
    <row r="361" spans="1:17">
      <c r="A361" s="30" t="s">
        <v>405</v>
      </c>
      <c r="B361" s="22">
        <v>1</v>
      </c>
      <c r="D361" s="22" t="s">
        <v>18</v>
      </c>
      <c r="E361" s="22" t="s">
        <v>2</v>
      </c>
      <c r="F361" s="22" t="s">
        <v>29</v>
      </c>
      <c r="G361" s="22" t="s">
        <v>86</v>
      </c>
      <c r="H361" s="22" t="s">
        <v>30</v>
      </c>
      <c r="I361" s="22">
        <v>1</v>
      </c>
      <c r="J361" s="22">
        <v>1</v>
      </c>
      <c r="K361" s="22" t="s">
        <v>31</v>
      </c>
      <c r="L361" s="22" t="s">
        <v>31</v>
      </c>
      <c r="M361" s="22" t="s">
        <v>31</v>
      </c>
      <c r="N361" s="22" t="s">
        <v>31</v>
      </c>
      <c r="Q361" s="22" t="s">
        <v>101</v>
      </c>
    </row>
    <row r="362" spans="1:17">
      <c r="A362" s="62" t="s">
        <v>136</v>
      </c>
      <c r="B362" s="26">
        <v>43.012499999999996</v>
      </c>
      <c r="C362" s="26"/>
      <c r="D362" s="26" t="s">
        <v>39</v>
      </c>
      <c r="E362" s="26" t="s">
        <v>40</v>
      </c>
      <c r="F362" s="26" t="s">
        <v>29</v>
      </c>
      <c r="G362" s="26" t="s">
        <v>86</v>
      </c>
      <c r="H362" s="26" t="s">
        <v>33</v>
      </c>
      <c r="I362" s="26">
        <v>2</v>
      </c>
      <c r="J362" s="26">
        <f t="shared" ref="J362:J386" si="13">LN(B362)</f>
        <v>3.7614907711235985</v>
      </c>
      <c r="K362" s="26">
        <v>0.30331501776206199</v>
      </c>
      <c r="L362" s="26" t="s">
        <v>31</v>
      </c>
      <c r="M362" s="26" t="s">
        <v>31</v>
      </c>
      <c r="N362" s="26" t="s">
        <v>31</v>
      </c>
      <c r="O362" s="26" t="s">
        <v>352</v>
      </c>
      <c r="P362" s="22" t="s">
        <v>441</v>
      </c>
      <c r="Q362" s="22" t="s">
        <v>101</v>
      </c>
    </row>
    <row r="363" spans="1:17">
      <c r="A363" s="62" t="s">
        <v>286</v>
      </c>
      <c r="B363" s="26">
        <v>43.012499999999996</v>
      </c>
      <c r="C363" s="26"/>
      <c r="D363" s="26" t="s">
        <v>39</v>
      </c>
      <c r="E363" s="26" t="s">
        <v>40</v>
      </c>
      <c r="F363" s="26" t="s">
        <v>29</v>
      </c>
      <c r="G363" s="26" t="s">
        <v>86</v>
      </c>
      <c r="H363" s="26" t="s">
        <v>33</v>
      </c>
      <c r="I363" s="26">
        <v>2</v>
      </c>
      <c r="J363" s="26">
        <f t="shared" si="13"/>
        <v>3.7614907711235985</v>
      </c>
      <c r="K363" s="26">
        <v>0.30331501776206199</v>
      </c>
      <c r="L363" s="26" t="s">
        <v>31</v>
      </c>
      <c r="M363" s="26" t="s">
        <v>31</v>
      </c>
      <c r="N363" s="26" t="s">
        <v>31</v>
      </c>
      <c r="O363" s="26" t="s">
        <v>352</v>
      </c>
      <c r="P363" s="22" t="s">
        <v>442</v>
      </c>
      <c r="Q363" s="22" t="s">
        <v>101</v>
      </c>
    </row>
    <row r="364" spans="1:17">
      <c r="A364" s="34" t="s">
        <v>147</v>
      </c>
      <c r="B364" s="26">
        <v>43.012499999999996</v>
      </c>
      <c r="C364" s="26"/>
      <c r="D364" s="26" t="s">
        <v>39</v>
      </c>
      <c r="E364" s="26" t="s">
        <v>40</v>
      </c>
      <c r="F364" s="26" t="s">
        <v>29</v>
      </c>
      <c r="G364" s="26" t="s">
        <v>86</v>
      </c>
      <c r="H364" s="26" t="s">
        <v>33</v>
      </c>
      <c r="I364" s="26">
        <v>2</v>
      </c>
      <c r="J364" s="26">
        <f t="shared" si="13"/>
        <v>3.7614907711235985</v>
      </c>
      <c r="K364" s="26">
        <v>0.30331501776206199</v>
      </c>
      <c r="L364" s="26" t="s">
        <v>31</v>
      </c>
      <c r="M364" s="26" t="s">
        <v>31</v>
      </c>
      <c r="N364" s="26" t="s">
        <v>31</v>
      </c>
      <c r="O364" s="26" t="s">
        <v>352</v>
      </c>
      <c r="P364" s="22" t="s">
        <v>443</v>
      </c>
      <c r="Q364" s="22" t="s">
        <v>101</v>
      </c>
    </row>
    <row r="365" spans="1:17">
      <c r="A365" s="34" t="s">
        <v>147</v>
      </c>
      <c r="B365" s="26">
        <v>12.905999999999999</v>
      </c>
      <c r="C365" s="26"/>
      <c r="D365" s="26" t="s">
        <v>39</v>
      </c>
      <c r="E365" s="26" t="s">
        <v>40</v>
      </c>
      <c r="F365" s="26" t="s">
        <v>29</v>
      </c>
      <c r="G365" s="26" t="s">
        <v>86</v>
      </c>
      <c r="H365" s="26" t="s">
        <v>33</v>
      </c>
      <c r="I365" s="26">
        <v>2</v>
      </c>
      <c r="J365" s="26">
        <f t="shared" si="13"/>
        <v>2.5576923195136478</v>
      </c>
      <c r="K365" s="26">
        <v>0.30331501776206199</v>
      </c>
      <c r="L365" s="26" t="s">
        <v>31</v>
      </c>
      <c r="M365" s="26" t="s">
        <v>31</v>
      </c>
      <c r="N365" s="26" t="s">
        <v>31</v>
      </c>
      <c r="O365" s="26" t="s">
        <v>352</v>
      </c>
      <c r="P365" s="22" t="s">
        <v>444</v>
      </c>
      <c r="Q365" s="22" t="s">
        <v>101</v>
      </c>
    </row>
    <row r="366" spans="1:17">
      <c r="A366" s="34" t="s">
        <v>144</v>
      </c>
      <c r="B366" s="26">
        <v>30.113999999999994</v>
      </c>
      <c r="C366" s="26"/>
      <c r="D366" s="26" t="s">
        <v>39</v>
      </c>
      <c r="E366" s="26" t="s">
        <v>40</v>
      </c>
      <c r="F366" s="26" t="s">
        <v>29</v>
      </c>
      <c r="G366" s="26" t="s">
        <v>86</v>
      </c>
      <c r="H366" s="26" t="s">
        <v>33</v>
      </c>
      <c r="I366" s="26">
        <v>2</v>
      </c>
      <c r="J366" s="26">
        <f t="shared" si="13"/>
        <v>3.4049901799008513</v>
      </c>
      <c r="K366" s="26">
        <v>0.30331501776206199</v>
      </c>
      <c r="L366" s="26" t="s">
        <v>31</v>
      </c>
      <c r="M366" s="26" t="s">
        <v>31</v>
      </c>
      <c r="N366" s="26" t="s">
        <v>31</v>
      </c>
      <c r="O366" s="26" t="s">
        <v>352</v>
      </c>
      <c r="P366" s="22" t="s">
        <v>445</v>
      </c>
      <c r="Q366" s="22" t="s">
        <v>101</v>
      </c>
    </row>
    <row r="367" spans="1:17">
      <c r="A367" s="34" t="s">
        <v>141</v>
      </c>
      <c r="B367" s="26">
        <v>43.012499999999996</v>
      </c>
      <c r="C367" s="26"/>
      <c r="D367" s="26" t="s">
        <v>39</v>
      </c>
      <c r="E367" s="26" t="s">
        <v>40</v>
      </c>
      <c r="F367" s="26" t="s">
        <v>29</v>
      </c>
      <c r="G367" s="26" t="s">
        <v>86</v>
      </c>
      <c r="H367" s="26" t="s">
        <v>33</v>
      </c>
      <c r="I367" s="26">
        <v>2</v>
      </c>
      <c r="J367" s="26">
        <f t="shared" si="13"/>
        <v>3.7614907711235985</v>
      </c>
      <c r="K367" s="26">
        <v>0.30331501776206199</v>
      </c>
      <c r="L367" s="26" t="s">
        <v>31</v>
      </c>
      <c r="M367" s="26" t="s">
        <v>31</v>
      </c>
      <c r="N367" s="26" t="s">
        <v>31</v>
      </c>
      <c r="O367" s="26" t="s">
        <v>352</v>
      </c>
      <c r="P367" s="22" t="s">
        <v>446</v>
      </c>
      <c r="Q367" s="22" t="s">
        <v>101</v>
      </c>
    </row>
    <row r="368" spans="1:17">
      <c r="A368" s="34" t="s">
        <v>433</v>
      </c>
      <c r="B368" s="26">
        <v>43.012499999999996</v>
      </c>
      <c r="C368" s="26"/>
      <c r="D368" s="26" t="s">
        <v>39</v>
      </c>
      <c r="E368" s="26" t="s">
        <v>40</v>
      </c>
      <c r="F368" s="26" t="s">
        <v>29</v>
      </c>
      <c r="G368" s="26" t="s">
        <v>86</v>
      </c>
      <c r="H368" s="26" t="s">
        <v>33</v>
      </c>
      <c r="I368" s="26">
        <v>2</v>
      </c>
      <c r="J368" s="26">
        <f t="shared" si="13"/>
        <v>3.7614907711235985</v>
      </c>
      <c r="K368" s="26">
        <v>0.30331501776206199</v>
      </c>
      <c r="L368" s="26" t="s">
        <v>31</v>
      </c>
      <c r="M368" s="26" t="s">
        <v>31</v>
      </c>
      <c r="N368" s="26" t="s">
        <v>31</v>
      </c>
      <c r="O368" s="26" t="s">
        <v>352</v>
      </c>
      <c r="P368" s="22" t="s">
        <v>447</v>
      </c>
      <c r="Q368" s="22" t="s">
        <v>101</v>
      </c>
    </row>
    <row r="369" spans="1:19">
      <c r="A369" s="36" t="s">
        <v>131</v>
      </c>
      <c r="B369" s="38">
        <v>40.145000000000003</v>
      </c>
      <c r="C369" s="38"/>
      <c r="D369" s="38" t="s">
        <v>39</v>
      </c>
      <c r="E369" s="38" t="s">
        <v>40</v>
      </c>
      <c r="F369" s="38" t="s">
        <v>29</v>
      </c>
      <c r="G369" s="38" t="s">
        <v>117</v>
      </c>
      <c r="H369" s="38" t="s">
        <v>33</v>
      </c>
      <c r="I369" s="38">
        <v>2</v>
      </c>
      <c r="J369" s="38">
        <f t="shared" si="13"/>
        <v>3.6924978996366473</v>
      </c>
      <c r="K369" s="38">
        <v>0.30331501776206199</v>
      </c>
      <c r="L369" s="38" t="s">
        <v>31</v>
      </c>
      <c r="M369" s="38" t="s">
        <v>31</v>
      </c>
      <c r="N369" s="38" t="s">
        <v>31</v>
      </c>
      <c r="O369" s="38" t="s">
        <v>99</v>
      </c>
      <c r="P369" s="39" t="s">
        <v>448</v>
      </c>
      <c r="Q369" s="22" t="s">
        <v>101</v>
      </c>
    </row>
    <row r="370" spans="1:19">
      <c r="A370" s="40" t="s">
        <v>133</v>
      </c>
      <c r="B370" s="25">
        <v>40.145000000000003</v>
      </c>
      <c r="C370" s="22" t="s">
        <v>134</v>
      </c>
      <c r="D370" s="25" t="s">
        <v>39</v>
      </c>
      <c r="E370" s="25" t="s">
        <v>40</v>
      </c>
      <c r="F370" s="25" t="s">
        <v>29</v>
      </c>
      <c r="G370" s="25" t="s">
        <v>117</v>
      </c>
      <c r="H370" s="25" t="s">
        <v>33</v>
      </c>
      <c r="I370" s="25">
        <v>2</v>
      </c>
      <c r="J370" s="25">
        <f t="shared" si="13"/>
        <v>3.6924978996366473</v>
      </c>
      <c r="K370" s="25">
        <v>0.30331501776206199</v>
      </c>
      <c r="L370" s="25" t="s">
        <v>31</v>
      </c>
      <c r="M370" s="25" t="s">
        <v>31</v>
      </c>
      <c r="N370" s="25" t="s">
        <v>31</v>
      </c>
      <c r="O370" s="25" t="s">
        <v>99</v>
      </c>
      <c r="P370" s="43" t="s">
        <v>448</v>
      </c>
      <c r="Q370" s="22" t="s">
        <v>101</v>
      </c>
    </row>
    <row r="371" spans="1:19">
      <c r="A371" s="44" t="s">
        <v>136</v>
      </c>
      <c r="B371" s="46">
        <v>40.145000000000003</v>
      </c>
      <c r="C371" s="46"/>
      <c r="D371" s="46" t="s">
        <v>39</v>
      </c>
      <c r="E371" s="46" t="s">
        <v>40</v>
      </c>
      <c r="F371" s="46" t="s">
        <v>29</v>
      </c>
      <c r="G371" s="46" t="s">
        <v>86</v>
      </c>
      <c r="H371" s="46" t="s">
        <v>110</v>
      </c>
      <c r="I371" s="46">
        <v>2</v>
      </c>
      <c r="J371" s="46">
        <f t="shared" si="13"/>
        <v>3.6924978996366473</v>
      </c>
      <c r="K371" s="46">
        <v>0.30331501776206199</v>
      </c>
      <c r="L371" s="46" t="s">
        <v>31</v>
      </c>
      <c r="M371" s="46" t="s">
        <v>31</v>
      </c>
      <c r="N371" s="46" t="s">
        <v>31</v>
      </c>
      <c r="O371" s="46" t="s">
        <v>99</v>
      </c>
      <c r="P371" s="47" t="s">
        <v>449</v>
      </c>
      <c r="Q371" s="22" t="s">
        <v>101</v>
      </c>
    </row>
    <row r="372" spans="1:19">
      <c r="A372" s="36" t="s">
        <v>173</v>
      </c>
      <c r="B372" s="38">
        <v>40.145000000000003</v>
      </c>
      <c r="C372" s="38"/>
      <c r="D372" s="38" t="s">
        <v>39</v>
      </c>
      <c r="E372" s="38" t="s">
        <v>40</v>
      </c>
      <c r="F372" s="38" t="s">
        <v>29</v>
      </c>
      <c r="G372" s="38" t="s">
        <v>117</v>
      </c>
      <c r="H372" s="38" t="s">
        <v>33</v>
      </c>
      <c r="I372" s="38">
        <v>2</v>
      </c>
      <c r="J372" s="38">
        <f t="shared" si="13"/>
        <v>3.6924978996366473</v>
      </c>
      <c r="K372" s="38">
        <v>0.30331501776206199</v>
      </c>
      <c r="L372" s="38" t="s">
        <v>31</v>
      </c>
      <c r="M372" s="38" t="s">
        <v>31</v>
      </c>
      <c r="N372" s="38" t="s">
        <v>31</v>
      </c>
      <c r="O372" s="38" t="s">
        <v>99</v>
      </c>
      <c r="P372" s="39" t="s">
        <v>450</v>
      </c>
      <c r="Q372" s="22" t="s">
        <v>101</v>
      </c>
    </row>
    <row r="373" spans="1:19">
      <c r="A373" s="44" t="s">
        <v>286</v>
      </c>
      <c r="B373" s="46">
        <v>40.145000000000003</v>
      </c>
      <c r="C373" s="46"/>
      <c r="D373" s="46" t="s">
        <v>39</v>
      </c>
      <c r="E373" s="46" t="s">
        <v>40</v>
      </c>
      <c r="F373" s="46" t="s">
        <v>29</v>
      </c>
      <c r="G373" s="46" t="s">
        <v>86</v>
      </c>
      <c r="H373" s="46" t="s">
        <v>110</v>
      </c>
      <c r="I373" s="46">
        <v>2</v>
      </c>
      <c r="J373" s="46">
        <f t="shared" si="13"/>
        <v>3.6924978996366473</v>
      </c>
      <c r="K373" s="46">
        <v>0.30331501776206199</v>
      </c>
      <c r="L373" s="46" t="s">
        <v>31</v>
      </c>
      <c r="M373" s="46" t="s">
        <v>31</v>
      </c>
      <c r="N373" s="46" t="s">
        <v>31</v>
      </c>
      <c r="O373" s="46" t="s">
        <v>99</v>
      </c>
      <c r="P373" s="47" t="s">
        <v>451</v>
      </c>
      <c r="Q373" s="22" t="s">
        <v>101</v>
      </c>
    </row>
    <row r="374" spans="1:19">
      <c r="A374" s="36" t="s">
        <v>139</v>
      </c>
      <c r="B374" s="38">
        <v>40.145000000000003</v>
      </c>
      <c r="C374" s="48" t="s">
        <v>140</v>
      </c>
      <c r="D374" s="38" t="s">
        <v>39</v>
      </c>
      <c r="E374" s="38" t="s">
        <v>40</v>
      </c>
      <c r="F374" s="38" t="s">
        <v>29</v>
      </c>
      <c r="G374" s="38" t="s">
        <v>117</v>
      </c>
      <c r="H374" s="38" t="s">
        <v>33</v>
      </c>
      <c r="I374" s="38">
        <v>2</v>
      </c>
      <c r="J374" s="38">
        <f t="shared" si="13"/>
        <v>3.6924978996366473</v>
      </c>
      <c r="K374" s="38">
        <v>0.30331501776206199</v>
      </c>
      <c r="L374" s="38" t="s">
        <v>31</v>
      </c>
      <c r="M374" s="38" t="s">
        <v>31</v>
      </c>
      <c r="N374" s="38" t="s">
        <v>31</v>
      </c>
      <c r="O374" s="38" t="s">
        <v>99</v>
      </c>
      <c r="P374" s="39" t="s">
        <v>452</v>
      </c>
      <c r="Q374" s="22" t="s">
        <v>101</v>
      </c>
    </row>
    <row r="375" spans="1:19">
      <c r="A375" s="44" t="s">
        <v>147</v>
      </c>
      <c r="B375" s="46">
        <v>40.145000000000003</v>
      </c>
      <c r="C375" s="46"/>
      <c r="D375" s="46" t="s">
        <v>39</v>
      </c>
      <c r="E375" s="46" t="s">
        <v>40</v>
      </c>
      <c r="F375" s="46" t="s">
        <v>29</v>
      </c>
      <c r="G375" s="46" t="s">
        <v>86</v>
      </c>
      <c r="H375" s="46" t="s">
        <v>110</v>
      </c>
      <c r="I375" s="46">
        <v>2</v>
      </c>
      <c r="J375" s="46">
        <f t="shared" si="13"/>
        <v>3.6924978996366473</v>
      </c>
      <c r="K375" s="46">
        <v>0.30331501776206199</v>
      </c>
      <c r="L375" s="46" t="s">
        <v>31</v>
      </c>
      <c r="M375" s="46" t="s">
        <v>31</v>
      </c>
      <c r="N375" s="46" t="s">
        <v>31</v>
      </c>
      <c r="O375" s="46" t="s">
        <v>99</v>
      </c>
      <c r="P375" s="47" t="s">
        <v>453</v>
      </c>
      <c r="Q375" s="22" t="s">
        <v>101</v>
      </c>
    </row>
    <row r="376" spans="1:19">
      <c r="A376" s="36" t="s">
        <v>139</v>
      </c>
      <c r="B376" s="38">
        <v>12.0456</v>
      </c>
      <c r="C376" s="48" t="s">
        <v>140</v>
      </c>
      <c r="D376" s="38" t="s">
        <v>39</v>
      </c>
      <c r="E376" s="38" t="s">
        <v>40</v>
      </c>
      <c r="F376" s="38" t="s">
        <v>29</v>
      </c>
      <c r="G376" s="38" t="s">
        <v>117</v>
      </c>
      <c r="H376" s="38" t="s">
        <v>33</v>
      </c>
      <c r="I376" s="38">
        <v>2</v>
      </c>
      <c r="J376" s="38">
        <f t="shared" si="13"/>
        <v>2.4886994480266966</v>
      </c>
      <c r="K376" s="38">
        <v>0.30331501776206199</v>
      </c>
      <c r="L376" s="38" t="s">
        <v>31</v>
      </c>
      <c r="M376" s="38" t="s">
        <v>31</v>
      </c>
      <c r="N376" s="38" t="s">
        <v>31</v>
      </c>
      <c r="O376" s="38" t="s">
        <v>99</v>
      </c>
      <c r="P376" s="39" t="s">
        <v>454</v>
      </c>
      <c r="Q376" s="22" t="s">
        <v>101</v>
      </c>
    </row>
    <row r="377" spans="1:19">
      <c r="A377" s="44" t="s">
        <v>147</v>
      </c>
      <c r="B377" s="46">
        <v>12.0456</v>
      </c>
      <c r="C377" s="46"/>
      <c r="D377" s="46" t="s">
        <v>39</v>
      </c>
      <c r="E377" s="46" t="s">
        <v>40</v>
      </c>
      <c r="F377" s="46" t="s">
        <v>29</v>
      </c>
      <c r="G377" s="46" t="s">
        <v>86</v>
      </c>
      <c r="H377" s="46" t="s">
        <v>110</v>
      </c>
      <c r="I377" s="46">
        <v>2</v>
      </c>
      <c r="J377" s="46">
        <f t="shared" si="13"/>
        <v>2.4886994480266966</v>
      </c>
      <c r="K377" s="46">
        <v>0.30331501776206199</v>
      </c>
      <c r="L377" s="46" t="s">
        <v>31</v>
      </c>
      <c r="M377" s="46" t="s">
        <v>31</v>
      </c>
      <c r="N377" s="46" t="s">
        <v>31</v>
      </c>
      <c r="O377" s="46" t="s">
        <v>99</v>
      </c>
      <c r="P377" s="47" t="s">
        <v>455</v>
      </c>
      <c r="Q377" s="22" t="s">
        <v>101</v>
      </c>
    </row>
    <row r="378" spans="1:19">
      <c r="A378" s="36" t="s">
        <v>139</v>
      </c>
      <c r="B378" s="38">
        <v>28.106400000000001</v>
      </c>
      <c r="C378" s="48" t="s">
        <v>140</v>
      </c>
      <c r="D378" s="38" t="s">
        <v>39</v>
      </c>
      <c r="E378" s="38" t="s">
        <v>40</v>
      </c>
      <c r="F378" s="38" t="s">
        <v>29</v>
      </c>
      <c r="G378" s="38" t="s">
        <v>117</v>
      </c>
      <c r="H378" s="38" t="s">
        <v>33</v>
      </c>
      <c r="I378" s="38">
        <v>2</v>
      </c>
      <c r="J378" s="38">
        <f t="shared" si="13"/>
        <v>3.3359973084139001</v>
      </c>
      <c r="K378" s="38">
        <v>0.30331501776206199</v>
      </c>
      <c r="L378" s="38" t="s">
        <v>31</v>
      </c>
      <c r="M378" s="38" t="s">
        <v>31</v>
      </c>
      <c r="N378" s="38" t="s">
        <v>31</v>
      </c>
      <c r="O378" s="38" t="s">
        <v>99</v>
      </c>
      <c r="P378" s="39" t="s">
        <v>456</v>
      </c>
      <c r="Q378" s="22" t="s">
        <v>101</v>
      </c>
    </row>
    <row r="379" spans="1:19">
      <c r="A379" s="44" t="s">
        <v>144</v>
      </c>
      <c r="B379" s="46">
        <v>28.106400000000001</v>
      </c>
      <c r="C379" s="46"/>
      <c r="D379" s="46" t="s">
        <v>39</v>
      </c>
      <c r="E379" s="46" t="s">
        <v>40</v>
      </c>
      <c r="F379" s="46" t="s">
        <v>29</v>
      </c>
      <c r="G379" s="46" t="s">
        <v>86</v>
      </c>
      <c r="H379" s="46" t="s">
        <v>110</v>
      </c>
      <c r="I379" s="46">
        <v>2</v>
      </c>
      <c r="J379" s="46">
        <f t="shared" si="13"/>
        <v>3.3359973084139001</v>
      </c>
      <c r="K379" s="46">
        <v>0.30331501776206199</v>
      </c>
      <c r="L379" s="46" t="s">
        <v>31</v>
      </c>
      <c r="M379" s="46" t="s">
        <v>31</v>
      </c>
      <c r="N379" s="46" t="s">
        <v>31</v>
      </c>
      <c r="O379" s="46" t="s">
        <v>99</v>
      </c>
      <c r="P379" s="47" t="s">
        <v>457</v>
      </c>
      <c r="Q379" s="22" t="s">
        <v>101</v>
      </c>
    </row>
    <row r="380" spans="1:19">
      <c r="A380" s="36" t="s">
        <v>139</v>
      </c>
      <c r="B380" s="38">
        <v>40.145000000000003</v>
      </c>
      <c r="C380" s="48" t="s">
        <v>140</v>
      </c>
      <c r="D380" s="38" t="s">
        <v>39</v>
      </c>
      <c r="E380" s="38" t="s">
        <v>40</v>
      </c>
      <c r="F380" s="38" t="s">
        <v>29</v>
      </c>
      <c r="G380" s="38" t="s">
        <v>117</v>
      </c>
      <c r="H380" s="38" t="s">
        <v>33</v>
      </c>
      <c r="I380" s="38">
        <v>2</v>
      </c>
      <c r="J380" s="38">
        <f t="shared" si="13"/>
        <v>3.6924978996366473</v>
      </c>
      <c r="K380" s="38">
        <v>0.30331501776206199</v>
      </c>
      <c r="L380" s="38" t="s">
        <v>31</v>
      </c>
      <c r="M380" s="38" t="s">
        <v>31</v>
      </c>
      <c r="N380" s="38" t="s">
        <v>31</v>
      </c>
      <c r="O380" s="38" t="s">
        <v>99</v>
      </c>
      <c r="P380" s="39" t="s">
        <v>458</v>
      </c>
      <c r="Q380" s="22" t="s">
        <v>101</v>
      </c>
    </row>
    <row r="381" spans="1:19">
      <c r="A381" s="44" t="s">
        <v>141</v>
      </c>
      <c r="B381" s="46">
        <v>40.145000000000003</v>
      </c>
      <c r="C381" s="46"/>
      <c r="D381" s="46" t="s">
        <v>39</v>
      </c>
      <c r="E381" s="46" t="s">
        <v>40</v>
      </c>
      <c r="F381" s="46" t="s">
        <v>29</v>
      </c>
      <c r="G381" s="46" t="s">
        <v>86</v>
      </c>
      <c r="H381" s="46" t="s">
        <v>110</v>
      </c>
      <c r="I381" s="46">
        <v>2</v>
      </c>
      <c r="J381" s="46">
        <f t="shared" si="13"/>
        <v>3.6924978996366473</v>
      </c>
      <c r="K381" s="46">
        <v>0.30331501776206199</v>
      </c>
      <c r="L381" s="46" t="s">
        <v>31</v>
      </c>
      <c r="M381" s="46" t="s">
        <v>31</v>
      </c>
      <c r="N381" s="46" t="s">
        <v>31</v>
      </c>
      <c r="O381" s="46" t="s">
        <v>99</v>
      </c>
      <c r="P381" s="47" t="s">
        <v>459</v>
      </c>
      <c r="Q381" s="22" t="s">
        <v>101</v>
      </c>
    </row>
    <row r="382" spans="1:19">
      <c r="A382" s="49" t="s">
        <v>173</v>
      </c>
      <c r="B382" s="25">
        <v>40.145000000000003</v>
      </c>
      <c r="C382" s="25"/>
      <c r="D382" s="25" t="s">
        <v>39</v>
      </c>
      <c r="E382" s="25" t="s">
        <v>40</v>
      </c>
      <c r="F382" s="25" t="s">
        <v>29</v>
      </c>
      <c r="G382" s="25" t="s">
        <v>117</v>
      </c>
      <c r="H382" s="25" t="s">
        <v>33</v>
      </c>
      <c r="I382" s="25">
        <v>2</v>
      </c>
      <c r="J382" s="25">
        <f t="shared" si="13"/>
        <v>3.6924978996366473</v>
      </c>
      <c r="K382" s="25">
        <v>0.30331501776206199</v>
      </c>
      <c r="L382" s="25" t="s">
        <v>31</v>
      </c>
      <c r="M382" s="25" t="s">
        <v>31</v>
      </c>
      <c r="N382" s="25" t="s">
        <v>31</v>
      </c>
      <c r="O382" s="25" t="s">
        <v>99</v>
      </c>
      <c r="P382" s="22" t="s">
        <v>460</v>
      </c>
      <c r="Q382" s="22" t="s">
        <v>101</v>
      </c>
    </row>
    <row r="383" spans="1:19">
      <c r="A383" s="49" t="s">
        <v>433</v>
      </c>
      <c r="B383" s="25">
        <v>40.145000000000003</v>
      </c>
      <c r="C383" s="25"/>
      <c r="D383" s="25" t="s">
        <v>39</v>
      </c>
      <c r="E383" s="25" t="s">
        <v>40</v>
      </c>
      <c r="F383" s="25" t="s">
        <v>29</v>
      </c>
      <c r="G383" s="25" t="s">
        <v>86</v>
      </c>
      <c r="H383" s="25" t="s">
        <v>110</v>
      </c>
      <c r="I383" s="25">
        <v>2</v>
      </c>
      <c r="J383" s="25">
        <f t="shared" si="13"/>
        <v>3.6924978996366473</v>
      </c>
      <c r="K383" s="25">
        <v>0.30331501776206199</v>
      </c>
      <c r="L383" s="25" t="s">
        <v>31</v>
      </c>
      <c r="M383" s="25" t="s">
        <v>31</v>
      </c>
      <c r="N383" s="25" t="s">
        <v>31</v>
      </c>
      <c r="O383" s="25" t="s">
        <v>99</v>
      </c>
      <c r="P383" s="22" t="s">
        <v>461</v>
      </c>
      <c r="Q383" s="22" t="s">
        <v>101</v>
      </c>
      <c r="S383" s="24" t="s">
        <v>342</v>
      </c>
    </row>
    <row r="384" spans="1:19">
      <c r="A384" s="22" t="s">
        <v>97</v>
      </c>
      <c r="B384" s="31">
        <v>688.57642175097146</v>
      </c>
      <c r="C384" s="31"/>
      <c r="D384" s="22" t="s">
        <v>98</v>
      </c>
      <c r="E384" s="22" t="s">
        <v>40</v>
      </c>
      <c r="F384" s="22" t="s">
        <v>29</v>
      </c>
      <c r="G384" s="22" t="s">
        <v>86</v>
      </c>
      <c r="H384" s="22" t="s">
        <v>33</v>
      </c>
      <c r="I384" s="22">
        <v>2</v>
      </c>
      <c r="J384" s="22">
        <f t="shared" si="13"/>
        <v>6.5346263094686012</v>
      </c>
      <c r="K384" s="22">
        <v>0.28635642126552702</v>
      </c>
      <c r="L384" s="22" t="s">
        <v>31</v>
      </c>
      <c r="M384" s="22" t="s">
        <v>31</v>
      </c>
      <c r="N384" s="22" t="s">
        <v>31</v>
      </c>
      <c r="Q384" s="22" t="s">
        <v>101</v>
      </c>
    </row>
    <row r="385" spans="1:24">
      <c r="A385" s="22" t="s">
        <v>105</v>
      </c>
      <c r="B385" s="22">
        <v>65.082391412006203</v>
      </c>
      <c r="D385" s="22" t="s">
        <v>50</v>
      </c>
      <c r="E385" s="22" t="s">
        <v>40</v>
      </c>
      <c r="F385" s="22" t="s">
        <v>29</v>
      </c>
      <c r="G385" s="22" t="s">
        <v>106</v>
      </c>
      <c r="H385" s="22" t="s">
        <v>33</v>
      </c>
      <c r="I385" s="22">
        <v>2</v>
      </c>
      <c r="J385" s="22">
        <f t="shared" si="13"/>
        <v>4.1756540274041587</v>
      </c>
      <c r="K385" s="22">
        <v>0.28635642126552702</v>
      </c>
      <c r="L385" s="22" t="s">
        <v>31</v>
      </c>
      <c r="M385" s="22" t="s">
        <v>31</v>
      </c>
      <c r="N385" s="22" t="s">
        <v>31</v>
      </c>
      <c r="Q385" s="22" t="s">
        <v>101</v>
      </c>
      <c r="S385" s="31">
        <v>692.4048847789752</v>
      </c>
      <c r="T385" s="22" t="s">
        <v>104</v>
      </c>
      <c r="U385" s="22">
        <f>S385/0.277778</f>
        <v>2492.6555910798374</v>
      </c>
      <c r="V385" s="22" t="s">
        <v>103</v>
      </c>
      <c r="W385" s="22">
        <f>U385/38.3</f>
        <v>65.082391412006203</v>
      </c>
      <c r="X385" s="22" t="s">
        <v>108</v>
      </c>
    </row>
    <row r="386" spans="1:24">
      <c r="A386" s="22" t="s">
        <v>123</v>
      </c>
      <c r="B386" s="22">
        <v>311.0897183180208</v>
      </c>
      <c r="D386" s="22" t="s">
        <v>124</v>
      </c>
      <c r="E386" s="22" t="s">
        <v>40</v>
      </c>
      <c r="F386" s="22" t="s">
        <v>29</v>
      </c>
      <c r="G386" s="22" t="s">
        <v>86</v>
      </c>
      <c r="H386" s="22" t="s">
        <v>33</v>
      </c>
      <c r="I386" s="22">
        <v>2</v>
      </c>
      <c r="J386" s="22">
        <f t="shared" si="13"/>
        <v>5.7400813539136042</v>
      </c>
      <c r="K386" s="22">
        <v>0.28635642126552702</v>
      </c>
      <c r="L386" s="22" t="s">
        <v>31</v>
      </c>
      <c r="M386" s="22" t="s">
        <v>31</v>
      </c>
      <c r="N386" s="22" t="s">
        <v>31</v>
      </c>
      <c r="Q386" s="22" t="s">
        <v>101</v>
      </c>
      <c r="S386" s="31">
        <v>86.413879774943197</v>
      </c>
      <c r="T386" s="22" t="s">
        <v>104</v>
      </c>
      <c r="U386" s="22">
        <f>S386/0.277778</f>
        <v>311.0897183180208</v>
      </c>
      <c r="V386" s="22" t="s">
        <v>103</v>
      </c>
    </row>
    <row r="387" spans="1:24">
      <c r="A387" s="22" t="s">
        <v>344</v>
      </c>
      <c r="B387" s="22">
        <v>14.722967851002625</v>
      </c>
      <c r="D387" s="22" t="s">
        <v>39</v>
      </c>
      <c r="E387" s="22" t="s">
        <v>40</v>
      </c>
      <c r="F387" s="22" t="s">
        <v>29</v>
      </c>
      <c r="G387" s="22" t="s">
        <v>86</v>
      </c>
      <c r="H387" s="22" t="s">
        <v>33</v>
      </c>
      <c r="I387" s="22">
        <v>2</v>
      </c>
      <c r="J387" s="22">
        <f>LN(B387)</f>
        <v>2.6894087132907649</v>
      </c>
      <c r="K387" s="22">
        <v>0.28635642126552702</v>
      </c>
      <c r="L387" s="22" t="s">
        <v>31</v>
      </c>
      <c r="M387" s="22" t="s">
        <v>31</v>
      </c>
      <c r="N387" s="22" t="s">
        <v>31</v>
      </c>
      <c r="Q387" s="22" t="s">
        <v>101</v>
      </c>
      <c r="S387" s="31">
        <v>183.21930205446816</v>
      </c>
      <c r="T387" s="22" t="s">
        <v>104</v>
      </c>
      <c r="U387" s="22">
        <f>S387/0.277778</f>
        <v>659.58895972491757</v>
      </c>
      <c r="V387" s="22" t="s">
        <v>103</v>
      </c>
      <c r="W387" s="22">
        <f>U387/44.8</f>
        <v>14.722967851002625</v>
      </c>
      <c r="X387" s="22" t="s">
        <v>111</v>
      </c>
    </row>
    <row r="388" spans="1:24">
      <c r="A388" s="22" t="s">
        <v>38</v>
      </c>
      <c r="B388" s="22">
        <v>29.065043001382289</v>
      </c>
      <c r="D388" s="22" t="s">
        <v>39</v>
      </c>
      <c r="E388" s="22" t="s">
        <v>40</v>
      </c>
      <c r="F388" s="22" t="s">
        <v>29</v>
      </c>
      <c r="G388" s="22" t="s">
        <v>117</v>
      </c>
      <c r="H388" s="22" t="s">
        <v>33</v>
      </c>
      <c r="I388" s="22">
        <v>2</v>
      </c>
      <c r="J388" s="22">
        <f t="shared" ref="J388:J396" si="14">LN(B388)</f>
        <v>3.3695361806424065</v>
      </c>
      <c r="K388" s="22">
        <v>0.28635642126552702</v>
      </c>
      <c r="L388" s="22" t="s">
        <v>31</v>
      </c>
      <c r="M388" s="22" t="s">
        <v>31</v>
      </c>
      <c r="N388" s="22" t="s">
        <v>31</v>
      </c>
      <c r="Q388" s="22" t="s">
        <v>101</v>
      </c>
      <c r="S388" s="31">
        <v>373.00168358551429</v>
      </c>
      <c r="T388" s="22" t="s">
        <v>104</v>
      </c>
      <c r="U388" s="22">
        <f>S388/0.277778</f>
        <v>1342.8049866638619</v>
      </c>
      <c r="V388" s="22" t="s">
        <v>103</v>
      </c>
      <c r="W388" s="22">
        <f>U388/46.2</f>
        <v>29.065043001382289</v>
      </c>
      <c r="X388" s="22" t="s">
        <v>111</v>
      </c>
    </row>
    <row r="389" spans="1:24">
      <c r="A389" s="22" t="s">
        <v>59</v>
      </c>
      <c r="B389" s="31">
        <f>W389</f>
        <v>0.17899293343959771</v>
      </c>
      <c r="C389" s="31"/>
      <c r="D389" s="22" t="s">
        <v>39</v>
      </c>
      <c r="E389" s="22" t="s">
        <v>2</v>
      </c>
      <c r="F389" s="22" t="s">
        <v>29</v>
      </c>
      <c r="G389" s="22" t="s">
        <v>60</v>
      </c>
      <c r="H389" s="22" t="s">
        <v>33</v>
      </c>
      <c r="I389" s="22">
        <v>2</v>
      </c>
      <c r="J389" s="22">
        <f t="shared" si="14"/>
        <v>-1.7204089519117327</v>
      </c>
      <c r="K389" s="22">
        <v>0.28635642126552702</v>
      </c>
      <c r="L389" s="22" t="s">
        <v>31</v>
      </c>
      <c r="M389" s="22" t="s">
        <v>31</v>
      </c>
      <c r="N389" s="22" t="s">
        <v>31</v>
      </c>
      <c r="Q389" s="22" t="s">
        <v>101</v>
      </c>
      <c r="R389" s="30"/>
      <c r="S389" s="31">
        <v>2.1876931588593216</v>
      </c>
      <c r="T389" s="22" t="s">
        <v>104</v>
      </c>
      <c r="U389" s="22">
        <f>S389/0.277778</f>
        <v>7.8756890713422996</v>
      </c>
      <c r="V389" s="22" t="s">
        <v>103</v>
      </c>
      <c r="W389" s="22">
        <f>U389/44</f>
        <v>0.17899293343959771</v>
      </c>
      <c r="X389" s="22" t="s">
        <v>111</v>
      </c>
    </row>
    <row r="390" spans="1:24">
      <c r="A390" s="22" t="s">
        <v>242</v>
      </c>
      <c r="B390" s="22">
        <v>1679.997802251002</v>
      </c>
      <c r="D390" s="22" t="s">
        <v>39</v>
      </c>
      <c r="E390" s="22" t="s">
        <v>40</v>
      </c>
      <c r="F390" s="22" t="s">
        <v>29</v>
      </c>
      <c r="G390" s="22" t="s">
        <v>86</v>
      </c>
      <c r="H390" s="22" t="s">
        <v>33</v>
      </c>
      <c r="I390" s="22">
        <v>2</v>
      </c>
      <c r="J390" s="22">
        <f t="shared" si="14"/>
        <v>7.4265477642125219</v>
      </c>
      <c r="K390" s="22">
        <v>0.28635642126552702</v>
      </c>
      <c r="L390" s="22" t="s">
        <v>31</v>
      </c>
      <c r="M390" s="22" t="s">
        <v>31</v>
      </c>
      <c r="N390" s="22" t="s">
        <v>31</v>
      </c>
      <c r="Q390" s="22" t="s">
        <v>101</v>
      </c>
    </row>
    <row r="391" spans="1:24">
      <c r="A391" s="32" t="s">
        <v>243</v>
      </c>
      <c r="B391" s="22">
        <v>1.5700789401022699</v>
      </c>
      <c r="D391" s="22" t="s">
        <v>50</v>
      </c>
      <c r="E391" s="22" t="s">
        <v>40</v>
      </c>
      <c r="F391" s="22" t="s">
        <v>29</v>
      </c>
      <c r="G391" s="32" t="s">
        <v>117</v>
      </c>
      <c r="H391" s="22" t="s">
        <v>33</v>
      </c>
      <c r="I391" s="22">
        <v>2</v>
      </c>
      <c r="J391" s="22">
        <f t="shared" si="14"/>
        <v>0.45112589841612089</v>
      </c>
      <c r="K391" s="22">
        <v>0.28635642126552702</v>
      </c>
      <c r="L391" s="22" t="s">
        <v>31</v>
      </c>
      <c r="M391" s="22" t="s">
        <v>31</v>
      </c>
      <c r="N391" s="22" t="s">
        <v>31</v>
      </c>
      <c r="Q391" s="22" t="s">
        <v>101</v>
      </c>
    </row>
    <row r="392" spans="1:24">
      <c r="A392" s="22" t="s">
        <v>245</v>
      </c>
      <c r="B392" s="31">
        <v>38.098676361535084</v>
      </c>
      <c r="C392" s="31"/>
      <c r="D392" s="22" t="s">
        <v>39</v>
      </c>
      <c r="E392" s="22" t="s">
        <v>40</v>
      </c>
      <c r="F392" s="22" t="s">
        <v>29</v>
      </c>
      <c r="G392" s="22" t="s">
        <v>117</v>
      </c>
      <c r="H392" s="22" t="s">
        <v>33</v>
      </c>
      <c r="I392" s="22">
        <v>2</v>
      </c>
      <c r="J392" s="22">
        <f t="shared" si="14"/>
        <v>3.6401795403621087</v>
      </c>
      <c r="K392" s="22">
        <v>0.28635642126552702</v>
      </c>
      <c r="L392" s="22" t="s">
        <v>31</v>
      </c>
      <c r="M392" s="22" t="s">
        <v>31</v>
      </c>
      <c r="N392" s="22" t="s">
        <v>31</v>
      </c>
      <c r="Q392" s="22" t="s">
        <v>101</v>
      </c>
    </row>
    <row r="393" spans="1:24">
      <c r="A393" s="22" t="s">
        <v>48</v>
      </c>
      <c r="B393" s="31">
        <v>715.77437002520026</v>
      </c>
      <c r="C393" s="31"/>
      <c r="D393" s="22" t="s">
        <v>39</v>
      </c>
      <c r="E393" s="22" t="s">
        <v>43</v>
      </c>
      <c r="F393" s="22" t="s">
        <v>44</v>
      </c>
      <c r="G393" s="22" t="s">
        <v>29</v>
      </c>
      <c r="H393" s="22" t="s">
        <v>45</v>
      </c>
      <c r="I393" s="22">
        <v>2</v>
      </c>
      <c r="J393" s="22">
        <f t="shared" si="14"/>
        <v>6.5733649916349925</v>
      </c>
      <c r="K393" s="22">
        <v>0.28635642126552702</v>
      </c>
      <c r="L393" s="22" t="s">
        <v>31</v>
      </c>
      <c r="M393" s="22" t="s">
        <v>31</v>
      </c>
      <c r="N393" s="22" t="s">
        <v>31</v>
      </c>
      <c r="Q393" s="22" t="s">
        <v>101</v>
      </c>
    </row>
    <row r="394" spans="1:24">
      <c r="A394" s="22" t="s">
        <v>51</v>
      </c>
      <c r="B394" s="31">
        <v>7.6569260560076253E-3</v>
      </c>
      <c r="C394" s="31"/>
      <c r="D394" s="22" t="s">
        <v>39</v>
      </c>
      <c r="E394" s="22" t="s">
        <v>43</v>
      </c>
      <c r="F394" s="22" t="s">
        <v>44</v>
      </c>
      <c r="G394" s="22" t="s">
        <v>29</v>
      </c>
      <c r="H394" s="22" t="s">
        <v>45</v>
      </c>
      <c r="I394" s="22">
        <v>2</v>
      </c>
      <c r="J394" s="22">
        <f t="shared" si="14"/>
        <v>-4.8721446739426248</v>
      </c>
      <c r="K394" s="22">
        <v>0.28635642126552702</v>
      </c>
      <c r="L394" s="22" t="s">
        <v>31</v>
      </c>
      <c r="M394" s="22" t="s">
        <v>31</v>
      </c>
      <c r="N394" s="22" t="s">
        <v>31</v>
      </c>
      <c r="Q394" s="22" t="s">
        <v>101</v>
      </c>
    </row>
    <row r="395" spans="1:24">
      <c r="A395" s="22" t="s">
        <v>42</v>
      </c>
      <c r="B395" s="31">
        <v>0.12141697031669232</v>
      </c>
      <c r="C395" s="31"/>
      <c r="D395" s="22" t="s">
        <v>39</v>
      </c>
      <c r="E395" s="22" t="s">
        <v>43</v>
      </c>
      <c r="F395" s="22" t="s">
        <v>44</v>
      </c>
      <c r="G395" s="22" t="s">
        <v>29</v>
      </c>
      <c r="H395" s="22" t="s">
        <v>45</v>
      </c>
      <c r="I395" s="22">
        <v>2</v>
      </c>
      <c r="J395" s="22">
        <f t="shared" si="14"/>
        <v>-2.108524621685604</v>
      </c>
      <c r="K395" s="22">
        <v>0.28635642126552702</v>
      </c>
      <c r="L395" s="22" t="s">
        <v>31</v>
      </c>
      <c r="M395" s="22" t="s">
        <v>31</v>
      </c>
      <c r="N395" s="22" t="s">
        <v>31</v>
      </c>
      <c r="Q395" s="22" t="s">
        <v>101</v>
      </c>
    </row>
    <row r="396" spans="1:24">
      <c r="A396" s="22" t="s">
        <v>244</v>
      </c>
      <c r="B396" s="22">
        <v>0.5748163774902868</v>
      </c>
      <c r="D396" s="22" t="s">
        <v>39</v>
      </c>
      <c r="E396" s="22" t="s">
        <v>43</v>
      </c>
      <c r="F396" s="22" t="s">
        <v>44</v>
      </c>
      <c r="G396" s="22" t="s">
        <v>29</v>
      </c>
      <c r="H396" s="22" t="s">
        <v>45</v>
      </c>
      <c r="I396" s="22">
        <v>2</v>
      </c>
      <c r="J396" s="22">
        <f t="shared" si="14"/>
        <v>-0.55370463268093217</v>
      </c>
      <c r="K396" s="22">
        <v>0.28635642126552702</v>
      </c>
      <c r="L396" s="22" t="s">
        <v>31</v>
      </c>
      <c r="M396" s="22" t="s">
        <v>31</v>
      </c>
      <c r="N396" s="22" t="s">
        <v>31</v>
      </c>
      <c r="Q396" s="22" t="s">
        <v>101</v>
      </c>
    </row>
  </sheetData>
  <pageMargins left="0.7" right="0.7" top="0.75" bottom="0.75" header="0.3" footer="0.3"/>
  <pageSetup paperSize="9"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844FC1-E5C1-4CC3-BAA4-A89AE4DC9A3D}">
  <dimension ref="A1:X48"/>
  <sheetViews>
    <sheetView workbookViewId="0">
      <selection activeCell="E14" sqref="E14"/>
    </sheetView>
  </sheetViews>
  <sheetFormatPr defaultRowHeight="15"/>
  <cols>
    <col min="1" max="1" width="75.28515625" bestFit="1" customWidth="1"/>
    <col min="2" max="2" width="11" customWidth="1"/>
    <col min="4" max="4" width="15.28515625" customWidth="1"/>
    <col min="5" max="5" width="10.140625" bestFit="1" customWidth="1"/>
    <col min="6" max="6" width="11" bestFit="1" customWidth="1"/>
    <col min="7" max="7" width="13.85546875" bestFit="1" customWidth="1"/>
  </cols>
  <sheetData>
    <row r="1" spans="1:24" s="63" customFormat="1">
      <c r="A1" s="63" t="s">
        <v>0</v>
      </c>
      <c r="B1" s="63" t="s">
        <v>462</v>
      </c>
      <c r="C1" s="64"/>
    </row>
    <row r="2" spans="1:24">
      <c r="A2" s="65" t="s">
        <v>5</v>
      </c>
      <c r="B2" s="65" t="s">
        <v>377</v>
      </c>
      <c r="C2" s="65"/>
      <c r="D2" s="66"/>
      <c r="E2" s="67"/>
      <c r="F2" s="67"/>
      <c r="G2" s="67"/>
      <c r="H2" s="67"/>
      <c r="I2" s="67"/>
      <c r="J2" s="67"/>
      <c r="K2" s="67"/>
      <c r="L2" s="67"/>
      <c r="M2" s="67"/>
      <c r="N2" s="67"/>
      <c r="O2" s="67"/>
      <c r="P2" s="67"/>
      <c r="Q2" s="67" t="s">
        <v>101</v>
      </c>
      <c r="S2" s="22"/>
      <c r="T2" s="22"/>
      <c r="U2" s="22"/>
      <c r="V2" s="22"/>
      <c r="W2" s="22"/>
      <c r="X2" s="22"/>
    </row>
    <row r="3" spans="1:24">
      <c r="A3" t="s">
        <v>7</v>
      </c>
      <c r="B3" t="s">
        <v>95</v>
      </c>
      <c r="Q3" t="s">
        <v>101</v>
      </c>
      <c r="S3" s="22"/>
      <c r="T3" s="22"/>
      <c r="U3" s="22"/>
      <c r="V3" s="22"/>
      <c r="W3" s="22"/>
      <c r="X3" s="22"/>
    </row>
    <row r="4" spans="1:24">
      <c r="A4" t="s">
        <v>9</v>
      </c>
      <c r="B4" s="22" t="s">
        <v>463</v>
      </c>
      <c r="C4" s="22"/>
      <c r="Q4" t="s">
        <v>101</v>
      </c>
      <c r="S4" s="22"/>
      <c r="T4" s="22"/>
      <c r="U4" s="22"/>
      <c r="V4" s="22"/>
      <c r="W4" s="22"/>
      <c r="X4" s="22"/>
    </row>
    <row r="5" spans="1:24">
      <c r="A5" t="s">
        <v>11</v>
      </c>
      <c r="B5" t="s">
        <v>464</v>
      </c>
      <c r="Q5" t="s">
        <v>101</v>
      </c>
      <c r="S5" s="22"/>
      <c r="T5" s="22"/>
      <c r="U5" s="22"/>
      <c r="V5" s="22"/>
      <c r="W5" s="22"/>
      <c r="X5" s="22"/>
    </row>
    <row r="6" spans="1:24">
      <c r="A6" t="s">
        <v>13</v>
      </c>
      <c r="B6" t="s">
        <v>117</v>
      </c>
      <c r="Q6" t="s">
        <v>101</v>
      </c>
      <c r="S6" s="22"/>
      <c r="T6" s="22"/>
      <c r="U6" s="22"/>
      <c r="V6" s="22"/>
      <c r="W6" s="22"/>
      <c r="X6" s="22"/>
    </row>
    <row r="7" spans="1:24">
      <c r="A7" t="s">
        <v>15</v>
      </c>
      <c r="B7">
        <v>1</v>
      </c>
      <c r="Q7" t="s">
        <v>101</v>
      </c>
      <c r="S7" s="22"/>
      <c r="T7" s="22"/>
      <c r="U7" s="22"/>
      <c r="V7" s="22"/>
      <c r="W7" s="22"/>
      <c r="X7" s="22"/>
    </row>
    <row r="8" spans="1:24">
      <c r="A8" t="s">
        <v>16</v>
      </c>
      <c r="B8" t="s">
        <v>17</v>
      </c>
      <c r="Q8" t="s">
        <v>101</v>
      </c>
      <c r="S8" s="22"/>
      <c r="T8" s="22"/>
      <c r="U8" s="22"/>
      <c r="V8" s="22"/>
      <c r="W8" s="22"/>
      <c r="X8" s="22"/>
    </row>
    <row r="9" spans="1:24">
      <c r="A9" t="s">
        <v>18</v>
      </c>
      <c r="B9" t="s">
        <v>39</v>
      </c>
      <c r="E9" t="s">
        <v>90</v>
      </c>
      <c r="Q9" t="s">
        <v>101</v>
      </c>
      <c r="S9" s="22"/>
      <c r="T9" s="22"/>
      <c r="U9" s="22"/>
      <c r="V9" s="22"/>
      <c r="W9" s="22"/>
      <c r="X9" s="22"/>
    </row>
    <row r="10" spans="1:24">
      <c r="A10" s="68" t="s">
        <v>19</v>
      </c>
      <c r="Q10" t="s">
        <v>101</v>
      </c>
      <c r="S10" s="22"/>
      <c r="T10" s="22"/>
      <c r="U10" s="22"/>
      <c r="V10" s="22"/>
      <c r="W10" s="22"/>
      <c r="X10" s="22"/>
    </row>
    <row r="11" spans="1:24">
      <c r="A11" s="68" t="s">
        <v>20</v>
      </c>
      <c r="B11" s="68" t="s">
        <v>21</v>
      </c>
      <c r="C11" s="68" t="s">
        <v>73</v>
      </c>
      <c r="D11" s="68" t="s">
        <v>18</v>
      </c>
      <c r="E11" s="68" t="s">
        <v>22</v>
      </c>
      <c r="F11" s="68" t="s">
        <v>7</v>
      </c>
      <c r="G11" s="68" t="s">
        <v>13</v>
      </c>
      <c r="H11" s="68" t="s">
        <v>16</v>
      </c>
      <c r="I11" s="68" t="s">
        <v>23</v>
      </c>
      <c r="J11" s="68" t="s">
        <v>24</v>
      </c>
      <c r="K11" s="68" t="s">
        <v>25</v>
      </c>
      <c r="L11" s="68" t="s">
        <v>26</v>
      </c>
      <c r="M11" s="68" t="s">
        <v>27</v>
      </c>
      <c r="N11" s="68" t="s">
        <v>28</v>
      </c>
      <c r="O11" s="68" t="s">
        <v>11</v>
      </c>
      <c r="P11" s="24" t="s">
        <v>337</v>
      </c>
      <c r="Q11" t="s">
        <v>101</v>
      </c>
      <c r="S11" s="22"/>
      <c r="T11" s="22"/>
      <c r="U11" s="22"/>
      <c r="V11" s="22"/>
      <c r="W11" s="22"/>
      <c r="X11" s="22"/>
    </row>
    <row r="12" spans="1:24">
      <c r="A12" t="s">
        <v>377</v>
      </c>
      <c r="B12">
        <v>1</v>
      </c>
      <c r="D12" t="s">
        <v>39</v>
      </c>
      <c r="E12" t="s">
        <v>2</v>
      </c>
      <c r="F12" t="s">
        <v>29</v>
      </c>
      <c r="G12" t="s">
        <v>117</v>
      </c>
      <c r="H12" t="s">
        <v>30</v>
      </c>
      <c r="I12">
        <v>1</v>
      </c>
      <c r="J12">
        <v>1</v>
      </c>
      <c r="K12" t="s">
        <v>31</v>
      </c>
      <c r="L12" t="s">
        <v>31</v>
      </c>
      <c r="M12" t="s">
        <v>31</v>
      </c>
      <c r="N12" t="s">
        <v>31</v>
      </c>
      <c r="Q12" t="s">
        <v>101</v>
      </c>
      <c r="S12" s="22"/>
      <c r="T12" s="22"/>
      <c r="U12" s="22"/>
      <c r="V12" s="22"/>
      <c r="W12" s="22"/>
      <c r="X12" s="22"/>
    </row>
    <row r="13" spans="1:24">
      <c r="A13" s="69" t="s">
        <v>245</v>
      </c>
      <c r="B13">
        <v>-1</v>
      </c>
      <c r="D13" t="s">
        <v>39</v>
      </c>
      <c r="E13" s="70" t="s">
        <v>40</v>
      </c>
      <c r="F13" s="70" t="s">
        <v>29</v>
      </c>
      <c r="G13" s="70" t="s">
        <v>117</v>
      </c>
      <c r="H13" s="70" t="s">
        <v>33</v>
      </c>
      <c r="I13">
        <v>1</v>
      </c>
      <c r="J13">
        <v>1</v>
      </c>
      <c r="K13" t="s">
        <v>31</v>
      </c>
      <c r="L13" t="s">
        <v>31</v>
      </c>
      <c r="M13" t="s">
        <v>31</v>
      </c>
      <c r="N13" t="s">
        <v>31</v>
      </c>
      <c r="Q13" s="22" t="s">
        <v>101</v>
      </c>
      <c r="S13" s="22"/>
      <c r="T13" s="22"/>
      <c r="U13" s="22"/>
      <c r="V13" s="22"/>
      <c r="W13" s="22"/>
      <c r="X13" s="22"/>
    </row>
    <row r="14" spans="1:24">
      <c r="A14" s="65" t="s">
        <v>5</v>
      </c>
      <c r="B14" s="65" t="s">
        <v>418</v>
      </c>
      <c r="C14" s="65"/>
      <c r="D14" s="66"/>
      <c r="E14" s="67"/>
      <c r="F14" s="67"/>
      <c r="G14" s="67"/>
      <c r="H14" s="67"/>
      <c r="I14" s="67"/>
      <c r="J14" s="67"/>
      <c r="K14" s="67"/>
      <c r="L14" s="67"/>
      <c r="M14" s="67"/>
      <c r="N14" s="67"/>
      <c r="O14" s="67"/>
      <c r="P14" s="67"/>
      <c r="Q14" s="67" t="s">
        <v>101</v>
      </c>
      <c r="S14" s="22"/>
      <c r="T14" s="22"/>
      <c r="U14" s="22"/>
      <c r="V14" s="22"/>
      <c r="W14" s="22"/>
      <c r="X14" s="22"/>
    </row>
    <row r="15" spans="1:24">
      <c r="A15" t="s">
        <v>7</v>
      </c>
      <c r="B15" t="s">
        <v>95</v>
      </c>
      <c r="Q15" t="s">
        <v>101</v>
      </c>
      <c r="S15" s="22"/>
      <c r="T15" s="22"/>
      <c r="U15" s="22"/>
      <c r="V15" s="22"/>
      <c r="W15" s="22"/>
      <c r="X15" s="22"/>
    </row>
    <row r="16" spans="1:24">
      <c r="A16" t="s">
        <v>9</v>
      </c>
      <c r="B16" s="22" t="s">
        <v>465</v>
      </c>
      <c r="C16" s="22"/>
      <c r="Q16" t="s">
        <v>101</v>
      </c>
      <c r="S16" s="22"/>
      <c r="T16" s="22"/>
      <c r="U16" s="22"/>
      <c r="V16" s="22"/>
      <c r="W16" s="22"/>
      <c r="X16" s="22"/>
    </row>
    <row r="17" spans="1:24">
      <c r="A17" t="s">
        <v>11</v>
      </c>
      <c r="B17" t="s">
        <v>464</v>
      </c>
      <c r="Q17" t="s">
        <v>101</v>
      </c>
      <c r="S17" s="22"/>
      <c r="T17" s="22"/>
      <c r="U17" s="22"/>
      <c r="V17" s="22"/>
      <c r="W17" s="22"/>
      <c r="X17" s="22"/>
    </row>
    <row r="18" spans="1:24">
      <c r="A18" t="s">
        <v>13</v>
      </c>
      <c r="B18" t="s">
        <v>86</v>
      </c>
      <c r="Q18" t="s">
        <v>101</v>
      </c>
      <c r="S18" s="22"/>
      <c r="T18" s="22"/>
      <c r="U18" s="22"/>
      <c r="V18" s="22"/>
      <c r="W18" s="22"/>
      <c r="X18" s="22"/>
    </row>
    <row r="19" spans="1:24">
      <c r="A19" t="s">
        <v>15</v>
      </c>
      <c r="B19">
        <v>1</v>
      </c>
      <c r="Q19" t="s">
        <v>101</v>
      </c>
      <c r="S19" s="22"/>
      <c r="T19" s="22"/>
      <c r="U19" s="22"/>
      <c r="V19" s="22"/>
      <c r="W19" s="22"/>
      <c r="X19" s="22"/>
    </row>
    <row r="20" spans="1:24">
      <c r="A20" t="s">
        <v>16</v>
      </c>
      <c r="B20" t="s">
        <v>17</v>
      </c>
      <c r="Q20" t="s">
        <v>101</v>
      </c>
      <c r="S20" s="22"/>
      <c r="T20" s="22"/>
      <c r="U20" s="22"/>
      <c r="V20" s="22"/>
      <c r="W20" s="22"/>
      <c r="X20" s="22"/>
    </row>
    <row r="21" spans="1:24">
      <c r="A21" t="s">
        <v>18</v>
      </c>
      <c r="B21" t="s">
        <v>39</v>
      </c>
      <c r="E21" t="s">
        <v>90</v>
      </c>
      <c r="Q21" t="s">
        <v>101</v>
      </c>
      <c r="S21" s="22"/>
      <c r="T21" s="22"/>
      <c r="U21" s="22"/>
      <c r="V21" s="22"/>
      <c r="W21" s="22"/>
      <c r="X21" s="22"/>
    </row>
    <row r="22" spans="1:24">
      <c r="A22" s="68" t="s">
        <v>19</v>
      </c>
      <c r="Q22" t="s">
        <v>101</v>
      </c>
      <c r="S22" s="22"/>
      <c r="T22" s="22"/>
      <c r="U22" s="22"/>
      <c r="V22" s="22"/>
      <c r="W22" s="22"/>
      <c r="X22" s="22"/>
    </row>
    <row r="23" spans="1:24">
      <c r="A23" s="68" t="s">
        <v>20</v>
      </c>
      <c r="B23" s="68" t="s">
        <v>21</v>
      </c>
      <c r="C23" s="68" t="s">
        <v>73</v>
      </c>
      <c r="D23" s="68" t="s">
        <v>18</v>
      </c>
      <c r="E23" s="68" t="s">
        <v>22</v>
      </c>
      <c r="F23" s="68" t="s">
        <v>7</v>
      </c>
      <c r="G23" s="68" t="s">
        <v>13</v>
      </c>
      <c r="H23" s="68" t="s">
        <v>16</v>
      </c>
      <c r="I23" s="68" t="s">
        <v>23</v>
      </c>
      <c r="J23" s="68" t="s">
        <v>24</v>
      </c>
      <c r="K23" s="68" t="s">
        <v>25</v>
      </c>
      <c r="L23" s="68" t="s">
        <v>26</v>
      </c>
      <c r="M23" s="68" t="s">
        <v>27</v>
      </c>
      <c r="N23" s="68" t="s">
        <v>28</v>
      </c>
      <c r="O23" s="68" t="s">
        <v>11</v>
      </c>
      <c r="P23" s="24" t="s">
        <v>337</v>
      </c>
      <c r="Q23" t="s">
        <v>101</v>
      </c>
      <c r="S23" s="22"/>
      <c r="T23" s="22"/>
      <c r="U23" s="22"/>
      <c r="V23" s="22"/>
      <c r="W23" s="22"/>
      <c r="X23" s="22"/>
    </row>
    <row r="24" spans="1:24">
      <c r="A24" t="s">
        <v>418</v>
      </c>
      <c r="B24">
        <v>1</v>
      </c>
      <c r="D24" t="s">
        <v>39</v>
      </c>
      <c r="E24" t="s">
        <v>2</v>
      </c>
      <c r="F24" t="s">
        <v>29</v>
      </c>
      <c r="G24" t="s">
        <v>86</v>
      </c>
      <c r="H24" t="s">
        <v>30</v>
      </c>
      <c r="I24">
        <v>1</v>
      </c>
      <c r="J24">
        <v>1</v>
      </c>
      <c r="K24" t="s">
        <v>31</v>
      </c>
      <c r="L24" t="s">
        <v>31</v>
      </c>
      <c r="M24" t="s">
        <v>31</v>
      </c>
      <c r="N24" t="s">
        <v>31</v>
      </c>
      <c r="Q24" t="s">
        <v>101</v>
      </c>
      <c r="S24" s="22"/>
      <c r="T24" s="22"/>
      <c r="U24" s="22"/>
      <c r="V24" s="22"/>
      <c r="W24" s="22"/>
      <c r="X24" s="22"/>
    </row>
    <row r="25" spans="1:24">
      <c r="A25" s="32" t="s">
        <v>466</v>
      </c>
      <c r="B25">
        <v>-1</v>
      </c>
      <c r="D25" t="s">
        <v>39</v>
      </c>
      <c r="E25" s="70" t="s">
        <v>40</v>
      </c>
      <c r="F25" s="70" t="s">
        <v>29</v>
      </c>
      <c r="G25" s="70" t="s">
        <v>86</v>
      </c>
      <c r="H25" s="70" t="s">
        <v>33</v>
      </c>
      <c r="I25">
        <v>1</v>
      </c>
      <c r="J25">
        <v>1</v>
      </c>
      <c r="K25" t="s">
        <v>31</v>
      </c>
      <c r="L25" t="s">
        <v>31</v>
      </c>
      <c r="M25" t="s">
        <v>31</v>
      </c>
      <c r="N25" t="s">
        <v>31</v>
      </c>
      <c r="Q25" s="22" t="s">
        <v>101</v>
      </c>
      <c r="S25" s="22"/>
      <c r="T25" s="22"/>
      <c r="U25" s="22"/>
      <c r="V25" s="22"/>
      <c r="W25" s="22"/>
      <c r="X25" s="22"/>
    </row>
    <row r="26" spans="1:24" s="67" customFormat="1">
      <c r="A26" s="65" t="s">
        <v>5</v>
      </c>
      <c r="B26" s="65" t="s">
        <v>437</v>
      </c>
      <c r="C26" s="65"/>
      <c r="D26" s="66"/>
      <c r="Q26" s="67" t="s">
        <v>101</v>
      </c>
      <c r="S26" s="29"/>
      <c r="T26" s="29"/>
      <c r="U26" s="29"/>
      <c r="V26" s="29"/>
      <c r="W26" s="29"/>
      <c r="X26" s="29"/>
    </row>
    <row r="27" spans="1:24">
      <c r="A27" t="s">
        <v>7</v>
      </c>
      <c r="B27" t="s">
        <v>95</v>
      </c>
      <c r="Q27" t="s">
        <v>101</v>
      </c>
      <c r="S27" s="22"/>
      <c r="T27" s="22"/>
      <c r="U27" s="22"/>
      <c r="V27" s="22"/>
      <c r="W27" s="22"/>
      <c r="X27" s="22"/>
    </row>
    <row r="28" spans="1:24">
      <c r="A28" t="s">
        <v>9</v>
      </c>
      <c r="B28" s="22" t="s">
        <v>467</v>
      </c>
      <c r="C28" s="22"/>
      <c r="Q28" t="s">
        <v>101</v>
      </c>
      <c r="S28" s="22"/>
      <c r="T28" s="22"/>
      <c r="U28" s="22"/>
      <c r="V28" s="22"/>
      <c r="W28" s="22"/>
      <c r="X28" s="22"/>
    </row>
    <row r="29" spans="1:24">
      <c r="A29" t="s">
        <v>11</v>
      </c>
      <c r="B29" t="s">
        <v>464</v>
      </c>
      <c r="Q29" t="s">
        <v>101</v>
      </c>
      <c r="S29" s="22"/>
      <c r="T29" s="22"/>
      <c r="U29" s="22"/>
      <c r="V29" s="22"/>
      <c r="W29" s="22"/>
      <c r="X29" s="22"/>
    </row>
    <row r="30" spans="1:24">
      <c r="A30" t="s">
        <v>13</v>
      </c>
      <c r="B30" t="s">
        <v>117</v>
      </c>
      <c r="Q30" t="s">
        <v>101</v>
      </c>
      <c r="S30" s="22"/>
      <c r="T30" s="22"/>
      <c r="U30" s="22"/>
      <c r="V30" s="22"/>
      <c r="W30" s="22"/>
      <c r="X30" s="22"/>
    </row>
    <row r="31" spans="1:24">
      <c r="A31" t="s">
        <v>15</v>
      </c>
      <c r="B31">
        <v>1</v>
      </c>
      <c r="Q31" t="s">
        <v>101</v>
      </c>
      <c r="S31" s="22"/>
      <c r="T31" s="22"/>
      <c r="U31" s="22"/>
      <c r="V31" s="22"/>
      <c r="W31" s="22"/>
      <c r="X31" s="22"/>
    </row>
    <row r="32" spans="1:24">
      <c r="A32" t="s">
        <v>16</v>
      </c>
      <c r="B32" t="s">
        <v>17</v>
      </c>
      <c r="Q32" t="s">
        <v>101</v>
      </c>
      <c r="S32" s="22"/>
      <c r="T32" s="22"/>
      <c r="U32" s="22"/>
      <c r="V32" s="22"/>
      <c r="W32" s="22"/>
      <c r="X32" s="22"/>
    </row>
    <row r="33" spans="1:24">
      <c r="A33" t="s">
        <v>18</v>
      </c>
      <c r="B33" t="str">
        <f>D36</f>
        <v>kilogram</v>
      </c>
      <c r="E33" t="s">
        <v>90</v>
      </c>
      <c r="Q33" t="s">
        <v>101</v>
      </c>
      <c r="S33" s="22"/>
      <c r="T33" s="22"/>
      <c r="U33" s="22"/>
      <c r="V33" s="22"/>
      <c r="W33" s="22"/>
      <c r="X33" s="22"/>
    </row>
    <row r="34" spans="1:24">
      <c r="A34" s="68" t="s">
        <v>19</v>
      </c>
      <c r="Q34" t="s">
        <v>101</v>
      </c>
      <c r="S34" s="22"/>
      <c r="T34" s="22"/>
      <c r="U34" s="22"/>
      <c r="V34" s="22"/>
      <c r="W34" s="22"/>
      <c r="X34" s="22"/>
    </row>
    <row r="35" spans="1:24">
      <c r="A35" s="68" t="s">
        <v>20</v>
      </c>
      <c r="B35" s="68" t="s">
        <v>21</v>
      </c>
      <c r="C35" s="68" t="s">
        <v>73</v>
      </c>
      <c r="D35" s="68" t="s">
        <v>18</v>
      </c>
      <c r="E35" s="68" t="s">
        <v>22</v>
      </c>
      <c r="F35" s="68" t="s">
        <v>7</v>
      </c>
      <c r="G35" s="68" t="s">
        <v>13</v>
      </c>
      <c r="H35" s="68" t="s">
        <v>16</v>
      </c>
      <c r="I35" s="68" t="s">
        <v>23</v>
      </c>
      <c r="J35" s="68" t="s">
        <v>24</v>
      </c>
      <c r="K35" s="68" t="s">
        <v>25</v>
      </c>
      <c r="L35" s="68" t="s">
        <v>26</v>
      </c>
      <c r="M35" s="68" t="s">
        <v>27</v>
      </c>
      <c r="N35" s="68" t="s">
        <v>28</v>
      </c>
      <c r="O35" s="68" t="s">
        <v>11</v>
      </c>
      <c r="P35" s="24" t="s">
        <v>337</v>
      </c>
      <c r="Q35" t="s">
        <v>101</v>
      </c>
      <c r="S35" s="22"/>
      <c r="T35" s="22"/>
      <c r="U35" s="22"/>
      <c r="V35" s="22"/>
      <c r="W35" s="22"/>
      <c r="X35" s="22"/>
    </row>
    <row r="36" spans="1:24">
      <c r="A36" t="s">
        <v>437</v>
      </c>
      <c r="B36">
        <v>1</v>
      </c>
      <c r="D36" t="s">
        <v>39</v>
      </c>
      <c r="E36" t="s">
        <v>2</v>
      </c>
      <c r="F36" t="s">
        <v>29</v>
      </c>
      <c r="G36" t="s">
        <v>117</v>
      </c>
      <c r="H36" t="s">
        <v>30</v>
      </c>
      <c r="I36">
        <v>1</v>
      </c>
      <c r="J36">
        <v>1</v>
      </c>
      <c r="K36" t="s">
        <v>31</v>
      </c>
      <c r="L36" t="s">
        <v>31</v>
      </c>
      <c r="M36" t="s">
        <v>31</v>
      </c>
      <c r="N36" t="s">
        <v>31</v>
      </c>
      <c r="Q36" t="s">
        <v>101</v>
      </c>
      <c r="S36" s="22"/>
      <c r="T36" s="22"/>
      <c r="U36" s="22"/>
      <c r="V36" s="22"/>
      <c r="W36" s="22"/>
      <c r="X36" s="22"/>
    </row>
    <row r="37" spans="1:24" s="72" customFormat="1">
      <c r="A37" s="71" t="s">
        <v>296</v>
      </c>
      <c r="B37" s="72">
        <v>-1</v>
      </c>
      <c r="C37" s="73"/>
      <c r="D37" s="72" t="s">
        <v>39</v>
      </c>
      <c r="E37" s="74" t="s">
        <v>40</v>
      </c>
      <c r="F37" s="74" t="s">
        <v>29</v>
      </c>
      <c r="G37" s="72" t="s">
        <v>117</v>
      </c>
      <c r="H37" s="74" t="s">
        <v>33</v>
      </c>
      <c r="I37" s="72">
        <v>1</v>
      </c>
      <c r="J37" s="72">
        <v>1</v>
      </c>
      <c r="K37" s="72" t="s">
        <v>31</v>
      </c>
      <c r="L37" s="72" t="s">
        <v>31</v>
      </c>
      <c r="M37" s="72" t="s">
        <v>31</v>
      </c>
      <c r="N37" s="72" t="s">
        <v>31</v>
      </c>
      <c r="Q37" s="75" t="s">
        <v>101</v>
      </c>
      <c r="S37" s="75"/>
      <c r="T37" s="75"/>
      <c r="U37" s="75"/>
      <c r="V37" s="75"/>
      <c r="W37" s="75"/>
      <c r="X37" s="75"/>
    </row>
    <row r="38" spans="1:24" s="63" customFormat="1">
      <c r="A38" s="76"/>
      <c r="C38" s="64"/>
      <c r="D38" s="64"/>
      <c r="E38" s="64"/>
      <c r="F38" s="64"/>
      <c r="G38" s="64"/>
      <c r="H38" s="64"/>
      <c r="Q38" s="76"/>
      <c r="R38" s="77"/>
      <c r="S38" s="64"/>
      <c r="T38" s="64"/>
    </row>
    <row r="39" spans="1:24" s="63" customFormat="1">
      <c r="A39" s="76"/>
      <c r="C39" s="64"/>
      <c r="D39" s="64"/>
      <c r="E39" s="64"/>
      <c r="F39" s="64"/>
      <c r="G39" s="64"/>
      <c r="Q39" s="76"/>
      <c r="R39" s="77"/>
      <c r="S39" s="64"/>
      <c r="T39" s="64"/>
    </row>
    <row r="40" spans="1:24" s="63" customFormat="1">
      <c r="A40" s="76"/>
      <c r="C40" s="64"/>
      <c r="D40" s="64"/>
      <c r="E40" s="64"/>
      <c r="F40" s="64"/>
      <c r="G40" s="64"/>
      <c r="Q40" s="76"/>
      <c r="R40" s="77"/>
      <c r="S40" s="64"/>
      <c r="T40" s="64"/>
    </row>
    <row r="41" spans="1:24" s="63" customFormat="1">
      <c r="A41" s="76"/>
      <c r="B41" s="77"/>
      <c r="C41" s="64"/>
      <c r="D41" s="64"/>
      <c r="E41" s="64"/>
      <c r="F41" s="64"/>
      <c r="G41" s="64"/>
      <c r="H41" s="64"/>
      <c r="Q41" s="78"/>
      <c r="R41" s="77"/>
      <c r="S41" s="64"/>
      <c r="T41" s="64"/>
    </row>
    <row r="42" spans="1:24" s="63" customFormat="1"/>
    <row r="43" spans="1:24" s="63" customFormat="1">
      <c r="A43" s="79"/>
      <c r="C43" s="64"/>
      <c r="D43" s="64"/>
      <c r="E43" s="64"/>
      <c r="F43" s="80"/>
      <c r="G43" s="64"/>
    </row>
    <row r="44" spans="1:24" s="63" customFormat="1">
      <c r="B44" s="77"/>
      <c r="H44" s="64"/>
    </row>
    <row r="45" spans="1:24" s="63" customFormat="1">
      <c r="B45" s="77"/>
    </row>
    <row r="46" spans="1:24" s="63" customFormat="1">
      <c r="B46" s="77"/>
    </row>
    <row r="47" spans="1:24" s="63" customFormat="1">
      <c r="B47" s="77"/>
      <c r="H47" s="64"/>
    </row>
    <row r="48" spans="1:24" s="63" customFormat="1"/>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99D339-22F4-4AC8-B4D0-0255B1DC877C}">
  <dimension ref="A1:Q48"/>
  <sheetViews>
    <sheetView tabSelected="1" topLeftCell="A5" workbookViewId="0">
      <selection activeCell="D21" sqref="D21"/>
    </sheetView>
  </sheetViews>
  <sheetFormatPr defaultColWidth="8.85546875" defaultRowHeight="15"/>
  <cols>
    <col min="1" max="1" width="30.28515625" style="81" customWidth="1"/>
    <col min="2" max="2" width="43.42578125" style="81" bestFit="1" customWidth="1"/>
    <col min="3" max="3" width="10.140625" style="81" customWidth="1"/>
    <col min="4" max="4" width="31" style="83" bestFit="1" customWidth="1"/>
    <col min="5" max="5" width="12" style="81" customWidth="1"/>
    <col min="6" max="7" width="8.85546875" style="81"/>
    <col min="8" max="8" width="16.140625" style="81" customWidth="1"/>
    <col min="9" max="11" width="8.85546875" style="81"/>
    <col min="12" max="13" width="11.28515625" style="81" customWidth="1"/>
    <col min="14" max="14" width="12.140625" style="81" customWidth="1"/>
    <col min="15" max="15" width="15.7109375" style="81" customWidth="1"/>
    <col min="16" max="16384" width="8.85546875" style="81"/>
  </cols>
  <sheetData>
    <row r="1" spans="1:17">
      <c r="A1" s="81" t="s">
        <v>0</v>
      </c>
      <c r="B1" s="81">
        <v>13</v>
      </c>
      <c r="C1" s="82"/>
    </row>
    <row r="2" spans="1:17" ht="15.75">
      <c r="A2" s="87" t="s">
        <v>5</v>
      </c>
      <c r="B2" s="87" t="s">
        <v>35</v>
      </c>
      <c r="C2" s="88"/>
      <c r="D2" s="89"/>
      <c r="E2" s="90"/>
      <c r="F2" s="90"/>
      <c r="G2" s="90"/>
      <c r="H2" s="90"/>
      <c r="I2" s="90"/>
      <c r="J2" s="90"/>
      <c r="K2" s="90"/>
      <c r="L2" s="90"/>
      <c r="M2" s="90"/>
      <c r="N2" s="90"/>
    </row>
    <row r="3" spans="1:17" s="85" customFormat="1" ht="12.75">
      <c r="A3" s="85" t="s">
        <v>7</v>
      </c>
      <c r="B3" s="85" t="s">
        <v>468</v>
      </c>
      <c r="D3" s="86"/>
      <c r="O3" s="135" t="s">
        <v>469</v>
      </c>
      <c r="P3" s="136"/>
      <c r="Q3" s="137"/>
    </row>
    <row r="4" spans="1:17" s="85" customFormat="1" ht="12.75">
      <c r="A4" s="85" t="s">
        <v>9</v>
      </c>
      <c r="B4" s="85" t="s">
        <v>470</v>
      </c>
      <c r="D4" s="86"/>
      <c r="O4" s="91" t="s">
        <v>471</v>
      </c>
      <c r="P4" s="92" t="s">
        <v>472</v>
      </c>
      <c r="Q4" s="93" t="s">
        <v>473</v>
      </c>
    </row>
    <row r="5" spans="1:17" s="85" customFormat="1" ht="409.5">
      <c r="A5" s="85" t="s">
        <v>11</v>
      </c>
      <c r="B5" s="94" t="s">
        <v>474</v>
      </c>
      <c r="D5" s="86"/>
      <c r="O5" s="95" t="s">
        <v>35</v>
      </c>
      <c r="P5" s="96">
        <v>1</v>
      </c>
      <c r="Q5" s="97">
        <f>P5/P5</f>
        <v>1</v>
      </c>
    </row>
    <row r="6" spans="1:17" s="85" customFormat="1" ht="12.75">
      <c r="A6" s="85" t="s">
        <v>13</v>
      </c>
      <c r="B6" s="85" t="s">
        <v>36</v>
      </c>
      <c r="D6" s="86"/>
      <c r="O6" s="95" t="s">
        <v>475</v>
      </c>
      <c r="P6" s="96">
        <v>100</v>
      </c>
      <c r="Q6" s="97">
        <f>P5/P6</f>
        <v>0.01</v>
      </c>
    </row>
    <row r="7" spans="1:17" s="85" customFormat="1" ht="12.75">
      <c r="A7" s="85" t="s">
        <v>15</v>
      </c>
      <c r="B7" s="98">
        <v>1</v>
      </c>
      <c r="D7" s="86"/>
      <c r="O7" s="99" t="s">
        <v>476</v>
      </c>
      <c r="P7" s="100">
        <v>100</v>
      </c>
      <c r="Q7" s="101">
        <f>P5/P7</f>
        <v>0.01</v>
      </c>
    </row>
    <row r="8" spans="1:17" s="85" customFormat="1" ht="12.75">
      <c r="A8" s="85" t="s">
        <v>16</v>
      </c>
      <c r="B8" s="85" t="s">
        <v>17</v>
      </c>
      <c r="D8" s="86"/>
    </row>
    <row r="9" spans="1:17" s="85" customFormat="1" ht="12.75">
      <c r="A9" s="85" t="s">
        <v>18</v>
      </c>
      <c r="B9" s="85" t="s">
        <v>18</v>
      </c>
      <c r="D9" s="86"/>
    </row>
    <row r="10" spans="1:17" ht="15.75">
      <c r="A10" s="84" t="s">
        <v>19</v>
      </c>
    </row>
    <row r="11" spans="1:17" ht="15.75">
      <c r="A11" s="84" t="s">
        <v>20</v>
      </c>
      <c r="B11" s="84" t="s">
        <v>21</v>
      </c>
      <c r="C11" s="84" t="s">
        <v>18</v>
      </c>
      <c r="D11" s="102" t="s">
        <v>22</v>
      </c>
      <c r="E11" s="84" t="s">
        <v>7</v>
      </c>
      <c r="F11" s="84" t="s">
        <v>13</v>
      </c>
      <c r="G11" s="84" t="s">
        <v>16</v>
      </c>
      <c r="H11" s="84" t="s">
        <v>23</v>
      </c>
      <c r="I11" s="84" t="s">
        <v>24</v>
      </c>
      <c r="J11" s="84" t="s">
        <v>25</v>
      </c>
      <c r="K11" s="84" t="s">
        <v>26</v>
      </c>
      <c r="L11" s="84" t="s">
        <v>27</v>
      </c>
      <c r="M11" s="84" t="s">
        <v>28</v>
      </c>
      <c r="N11" s="84" t="s">
        <v>477</v>
      </c>
    </row>
    <row r="12" spans="1:17" s="85" customFormat="1" ht="12.75">
      <c r="A12" s="85" t="str">
        <f>B2</f>
        <v>airport use</v>
      </c>
      <c r="B12" s="85">
        <f>B7</f>
        <v>1</v>
      </c>
      <c r="C12" s="85" t="str">
        <f>B9</f>
        <v>unit</v>
      </c>
      <c r="D12" s="86" t="s">
        <v>2</v>
      </c>
      <c r="E12" s="85" t="s">
        <v>29</v>
      </c>
      <c r="F12" s="85" t="str">
        <f>B6</f>
        <v>RER</v>
      </c>
      <c r="G12" s="85" t="s">
        <v>30</v>
      </c>
      <c r="H12" s="85">
        <v>0</v>
      </c>
      <c r="I12" s="85">
        <f>B12</f>
        <v>1</v>
      </c>
      <c r="J12" s="85" t="s">
        <v>31</v>
      </c>
      <c r="K12" s="85" t="s">
        <v>31</v>
      </c>
      <c r="L12" s="85" t="s">
        <v>31</v>
      </c>
      <c r="M12" s="85" t="s">
        <v>31</v>
      </c>
    </row>
    <row r="13" spans="1:17" s="85" customFormat="1" ht="12.75">
      <c r="A13" s="98" t="s">
        <v>475</v>
      </c>
      <c r="B13" s="103">
        <f>1*Q6</f>
        <v>0.01</v>
      </c>
      <c r="C13" s="85" t="s">
        <v>18</v>
      </c>
      <c r="D13" s="86" t="s">
        <v>2</v>
      </c>
      <c r="E13" s="85" t="s">
        <v>29</v>
      </c>
      <c r="F13" s="85" t="s">
        <v>478</v>
      </c>
      <c r="G13" s="85" t="s">
        <v>33</v>
      </c>
      <c r="H13" s="85">
        <v>0</v>
      </c>
      <c r="I13" s="85">
        <f t="shared" ref="I13" si="0">B13</f>
        <v>0.01</v>
      </c>
      <c r="J13" s="85" t="s">
        <v>31</v>
      </c>
      <c r="K13" s="85" t="s">
        <v>31</v>
      </c>
      <c r="L13" s="85" t="s">
        <v>31</v>
      </c>
      <c r="M13" s="85" t="s">
        <v>31</v>
      </c>
      <c r="N13" s="85" t="s">
        <v>479</v>
      </c>
    </row>
    <row r="14" spans="1:17" s="85" customFormat="1" ht="12.75">
      <c r="A14" s="104" t="s">
        <v>344</v>
      </c>
      <c r="B14" s="105">
        <f>(56913+2210+3600)*0.846</f>
        <v>53063.657999999996</v>
      </c>
      <c r="C14" s="85" t="s">
        <v>39</v>
      </c>
      <c r="D14" s="86" t="s">
        <v>40</v>
      </c>
      <c r="E14" s="85" t="s">
        <v>29</v>
      </c>
      <c r="F14" s="85" t="s">
        <v>86</v>
      </c>
      <c r="G14" s="85" t="s">
        <v>33</v>
      </c>
      <c r="H14" s="85">
        <v>2</v>
      </c>
      <c r="I14" s="85">
        <f>LN(B14)</f>
        <v>10.879247566137133</v>
      </c>
      <c r="J14" s="85">
        <v>1.0523125754508578</v>
      </c>
      <c r="K14" s="85" t="s">
        <v>31</v>
      </c>
      <c r="L14" s="85" t="s">
        <v>31</v>
      </c>
      <c r="M14" s="85" t="s">
        <v>31</v>
      </c>
      <c r="N14" s="85" t="s">
        <v>480</v>
      </c>
    </row>
    <row r="15" spans="1:17" s="85" customFormat="1" ht="12.75">
      <c r="A15" s="98" t="s">
        <v>481</v>
      </c>
      <c r="B15" s="105">
        <v>1170.7317073170732</v>
      </c>
      <c r="C15" s="85" t="s">
        <v>39</v>
      </c>
      <c r="D15" s="86" t="s">
        <v>40</v>
      </c>
      <c r="E15" s="85" t="s">
        <v>29</v>
      </c>
      <c r="F15" s="85" t="s">
        <v>86</v>
      </c>
      <c r="G15" s="85" t="s">
        <v>33</v>
      </c>
      <c r="H15" s="85">
        <v>2</v>
      </c>
      <c r="I15" s="85">
        <f>LN(B15)</f>
        <v>7.0653842231857205</v>
      </c>
      <c r="J15" s="85">
        <v>1.0268106203456886</v>
      </c>
      <c r="K15" s="85" t="s">
        <v>31</v>
      </c>
      <c r="L15" s="85" t="s">
        <v>31</v>
      </c>
      <c r="M15" s="85" t="s">
        <v>31</v>
      </c>
      <c r="N15" s="85" t="s">
        <v>482</v>
      </c>
    </row>
    <row r="16" spans="1:17" s="85" customFormat="1" ht="12.75">
      <c r="A16" s="104" t="s">
        <v>97</v>
      </c>
      <c r="B16" s="105">
        <f>3495301+(1000+3699)</f>
        <v>3500000</v>
      </c>
      <c r="C16" s="85" t="s">
        <v>98</v>
      </c>
      <c r="D16" s="86" t="s">
        <v>40</v>
      </c>
      <c r="E16" s="85" t="s">
        <v>29</v>
      </c>
      <c r="F16" s="85" t="s">
        <v>14</v>
      </c>
      <c r="G16" s="85" t="s">
        <v>33</v>
      </c>
      <c r="H16" s="85">
        <v>2</v>
      </c>
      <c r="I16" s="85">
        <f>LN(B16)</f>
        <v>15.068273526459642</v>
      </c>
      <c r="J16" s="85">
        <v>1.0523125754508578</v>
      </c>
      <c r="K16" s="85" t="s">
        <v>31</v>
      </c>
      <c r="L16" s="85" t="s">
        <v>31</v>
      </c>
      <c r="M16" s="85" t="s">
        <v>31</v>
      </c>
      <c r="N16" s="85" t="s">
        <v>483</v>
      </c>
    </row>
    <row r="17" spans="1:14" s="85" customFormat="1" ht="12.75">
      <c r="A17" s="98" t="s">
        <v>105</v>
      </c>
      <c r="B17" s="105">
        <v>315000</v>
      </c>
      <c r="C17" s="85" t="s">
        <v>50</v>
      </c>
      <c r="D17" s="86" t="s">
        <v>40</v>
      </c>
      <c r="E17" s="85" t="s">
        <v>29</v>
      </c>
      <c r="F17" s="85" t="s">
        <v>14</v>
      </c>
      <c r="G17" s="85" t="s">
        <v>33</v>
      </c>
      <c r="H17" s="85">
        <v>2</v>
      </c>
      <c r="I17" s="85">
        <f>LN(B17)</f>
        <v>12.66032791780777</v>
      </c>
      <c r="J17" s="85">
        <v>1.0523125754508578</v>
      </c>
      <c r="K17" s="85" t="s">
        <v>31</v>
      </c>
      <c r="L17" s="85" t="s">
        <v>31</v>
      </c>
      <c r="M17" s="85" t="s">
        <v>31</v>
      </c>
      <c r="N17" s="85" t="s">
        <v>484</v>
      </c>
    </row>
    <row r="18" spans="1:14" s="85" customFormat="1" ht="12.75">
      <c r="A18" s="98" t="s">
        <v>242</v>
      </c>
      <c r="B18" s="105">
        <v>31369447</v>
      </c>
      <c r="C18" s="85" t="s">
        <v>39</v>
      </c>
      <c r="D18" s="86" t="s">
        <v>40</v>
      </c>
      <c r="E18" s="85" t="s">
        <v>29</v>
      </c>
      <c r="F18" s="85" t="s">
        <v>36</v>
      </c>
      <c r="G18" s="85" t="s">
        <v>33</v>
      </c>
      <c r="H18" s="85">
        <v>2</v>
      </c>
      <c r="I18" s="85">
        <f>LN(B18)</f>
        <v>17.261344951704181</v>
      </c>
      <c r="J18" s="85">
        <v>1.0268106203456886</v>
      </c>
      <c r="K18" s="85" t="s">
        <v>31</v>
      </c>
      <c r="L18" s="85" t="s">
        <v>31</v>
      </c>
      <c r="M18" s="85" t="s">
        <v>31</v>
      </c>
      <c r="N18" s="85" t="s">
        <v>485</v>
      </c>
    </row>
    <row r="19" spans="1:14" s="85" customFormat="1" ht="12.75">
      <c r="A19" s="104" t="s">
        <v>486</v>
      </c>
      <c r="B19" s="105">
        <f>0.437*2133976</f>
        <v>932547.51199999999</v>
      </c>
      <c r="C19" s="85" t="s">
        <v>39</v>
      </c>
      <c r="D19" s="86" t="s">
        <v>2</v>
      </c>
      <c r="E19" s="85" t="s">
        <v>29</v>
      </c>
      <c r="F19" s="85" t="s">
        <v>36</v>
      </c>
      <c r="G19" s="85" t="s">
        <v>33</v>
      </c>
      <c r="H19" s="85">
        <v>2</v>
      </c>
      <c r="I19" s="85">
        <f t="shared" ref="I19:I20" si="1">LN(B19)</f>
        <v>13.745675380408573</v>
      </c>
      <c r="J19" s="85">
        <v>1.223608598770918</v>
      </c>
      <c r="K19" s="85" t="s">
        <v>31</v>
      </c>
      <c r="L19" s="85" t="s">
        <v>31</v>
      </c>
      <c r="M19" s="85" t="s">
        <v>31</v>
      </c>
      <c r="N19" s="85" t="s">
        <v>487</v>
      </c>
    </row>
    <row r="20" spans="1:14" s="85" customFormat="1" ht="12.75">
      <c r="A20" s="104" t="s">
        <v>488</v>
      </c>
      <c r="B20" s="105">
        <f>0.25*1063218</f>
        <v>265804.5</v>
      </c>
      <c r="C20" s="85" t="s">
        <v>39</v>
      </c>
      <c r="D20" s="86" t="s">
        <v>2</v>
      </c>
      <c r="E20" s="85" t="s">
        <v>29</v>
      </c>
      <c r="F20" s="85" t="s">
        <v>36</v>
      </c>
      <c r="G20" s="85" t="s">
        <v>33</v>
      </c>
      <c r="H20" s="85">
        <v>2</v>
      </c>
      <c r="I20" s="85">
        <f t="shared" si="1"/>
        <v>12.490516355140544</v>
      </c>
      <c r="J20" s="85">
        <v>1.223608598770918</v>
      </c>
      <c r="K20" s="85" t="s">
        <v>31</v>
      </c>
      <c r="L20" s="85" t="s">
        <v>31</v>
      </c>
      <c r="M20" s="85" t="s">
        <v>31</v>
      </c>
      <c r="N20" s="85" t="s">
        <v>489</v>
      </c>
    </row>
    <row r="21" spans="1:14" s="85" customFormat="1" ht="12.75">
      <c r="A21" s="98" t="s">
        <v>490</v>
      </c>
      <c r="B21" s="103">
        <f>1*Q7</f>
        <v>0.01</v>
      </c>
      <c r="C21" s="85" t="s">
        <v>18</v>
      </c>
      <c r="D21" s="86" t="s">
        <v>2</v>
      </c>
      <c r="E21" s="85" t="s">
        <v>29</v>
      </c>
      <c r="F21" s="85" t="s">
        <v>36</v>
      </c>
      <c r="G21" s="85" t="s">
        <v>33</v>
      </c>
      <c r="H21" s="85">
        <v>0</v>
      </c>
      <c r="I21" s="85">
        <f t="shared" ref="I21" si="2">B21</f>
        <v>0.01</v>
      </c>
      <c r="J21" s="85" t="s">
        <v>31</v>
      </c>
      <c r="K21" s="85" t="s">
        <v>31</v>
      </c>
      <c r="L21" s="85" t="s">
        <v>31</v>
      </c>
      <c r="M21" s="85" t="s">
        <v>31</v>
      </c>
      <c r="N21" s="85" t="s">
        <v>491</v>
      </c>
    </row>
    <row r="22" spans="1:14" ht="15.75">
      <c r="A22" s="87" t="s">
        <v>5</v>
      </c>
      <c r="B22" s="87" t="s">
        <v>486</v>
      </c>
      <c r="C22" s="88"/>
      <c r="D22" s="89"/>
      <c r="E22" s="90"/>
      <c r="F22" s="90"/>
      <c r="G22" s="90"/>
      <c r="H22" s="90"/>
      <c r="I22" s="90"/>
      <c r="J22" s="90"/>
      <c r="K22" s="90"/>
      <c r="L22" s="90"/>
      <c r="M22" s="90"/>
      <c r="N22" s="90"/>
    </row>
    <row r="23" spans="1:14" s="85" customFormat="1" ht="12.75">
      <c r="A23" s="85" t="s">
        <v>7</v>
      </c>
      <c r="B23" s="85" t="s">
        <v>468</v>
      </c>
      <c r="D23" s="86"/>
    </row>
    <row r="24" spans="1:14" s="85" customFormat="1" ht="12.75">
      <c r="A24" s="85" t="s">
        <v>9</v>
      </c>
      <c r="B24" s="85" t="s">
        <v>492</v>
      </c>
      <c r="D24" s="86"/>
    </row>
    <row r="25" spans="1:14" s="85" customFormat="1" ht="12.75">
      <c r="A25" s="85" t="s">
        <v>11</v>
      </c>
      <c r="B25" s="85" t="s">
        <v>493</v>
      </c>
      <c r="D25" s="86"/>
    </row>
    <row r="26" spans="1:14" s="85" customFormat="1" ht="12.75">
      <c r="A26" s="85" t="s">
        <v>13</v>
      </c>
      <c r="B26" s="85" t="s">
        <v>36</v>
      </c>
      <c r="D26" s="86"/>
    </row>
    <row r="27" spans="1:14" s="85" customFormat="1" ht="12.75">
      <c r="A27" s="85" t="s">
        <v>15</v>
      </c>
      <c r="B27" s="98">
        <v>1</v>
      </c>
      <c r="D27" s="86"/>
    </row>
    <row r="28" spans="1:14" s="85" customFormat="1" ht="12.75">
      <c r="A28" s="85" t="s">
        <v>16</v>
      </c>
      <c r="B28" s="85" t="s">
        <v>17</v>
      </c>
      <c r="D28" s="86"/>
    </row>
    <row r="29" spans="1:14" s="85" customFormat="1" ht="12.75">
      <c r="A29" s="85" t="s">
        <v>18</v>
      </c>
      <c r="B29" s="85" t="s">
        <v>39</v>
      </c>
      <c r="D29" s="86"/>
    </row>
    <row r="30" spans="1:14" ht="15.75">
      <c r="A30" s="84" t="s">
        <v>19</v>
      </c>
    </row>
    <row r="31" spans="1:14" ht="15.75">
      <c r="A31" s="84" t="s">
        <v>20</v>
      </c>
      <c r="B31" s="84" t="s">
        <v>21</v>
      </c>
      <c r="C31" s="84" t="s">
        <v>18</v>
      </c>
      <c r="D31" s="102" t="s">
        <v>22</v>
      </c>
      <c r="E31" s="84" t="s">
        <v>7</v>
      </c>
      <c r="F31" s="84" t="s">
        <v>13</v>
      </c>
      <c r="G31" s="84" t="s">
        <v>16</v>
      </c>
      <c r="H31" s="84" t="s">
        <v>23</v>
      </c>
      <c r="I31" s="84" t="s">
        <v>24</v>
      </c>
      <c r="J31" s="84" t="s">
        <v>25</v>
      </c>
      <c r="K31" s="84" t="s">
        <v>26</v>
      </c>
      <c r="L31" s="84" t="s">
        <v>27</v>
      </c>
      <c r="M31" s="84" t="s">
        <v>28</v>
      </c>
      <c r="N31" s="84" t="s">
        <v>477</v>
      </c>
    </row>
    <row r="32" spans="1:14" s="85" customFormat="1" ht="12.75">
      <c r="A32" s="85" t="str">
        <f>B22</f>
        <v>solid waste from terminals</v>
      </c>
      <c r="B32" s="85">
        <f>B27</f>
        <v>1</v>
      </c>
      <c r="C32" s="85" t="str">
        <f>B29</f>
        <v>kilogram</v>
      </c>
      <c r="D32" s="86" t="s">
        <v>2</v>
      </c>
      <c r="E32" s="85" t="s">
        <v>29</v>
      </c>
      <c r="F32" s="85" t="str">
        <f>B26</f>
        <v>RER</v>
      </c>
      <c r="G32" s="85" t="s">
        <v>30</v>
      </c>
      <c r="H32" s="85">
        <v>0</v>
      </c>
      <c r="I32" s="85">
        <f>B32</f>
        <v>1</v>
      </c>
      <c r="J32" s="85" t="s">
        <v>31</v>
      </c>
      <c r="K32" s="85" t="s">
        <v>31</v>
      </c>
      <c r="L32" s="85" t="s">
        <v>31</v>
      </c>
      <c r="M32" s="85" t="s">
        <v>31</v>
      </c>
    </row>
    <row r="33" spans="1:14" s="85" customFormat="1" ht="12.75">
      <c r="A33" s="85" t="s">
        <v>494</v>
      </c>
      <c r="B33" s="105">
        <v>-1</v>
      </c>
      <c r="C33" s="85" t="s">
        <v>39</v>
      </c>
      <c r="D33" s="86" t="s">
        <v>40</v>
      </c>
      <c r="E33" s="85" t="s">
        <v>29</v>
      </c>
      <c r="F33" s="85" t="s">
        <v>36</v>
      </c>
      <c r="G33" s="85" t="s">
        <v>33</v>
      </c>
      <c r="H33" s="85">
        <v>0</v>
      </c>
      <c r="I33" s="105">
        <f>B33</f>
        <v>-1</v>
      </c>
      <c r="J33" s="85" t="s">
        <v>31</v>
      </c>
      <c r="K33" s="85" t="s">
        <v>31</v>
      </c>
      <c r="L33" s="85" t="s">
        <v>31</v>
      </c>
      <c r="M33" s="85" t="s">
        <v>31</v>
      </c>
      <c r="N33" s="85" t="s">
        <v>495</v>
      </c>
    </row>
    <row r="34" spans="1:14" ht="15.75">
      <c r="A34" s="87" t="s">
        <v>5</v>
      </c>
      <c r="B34" s="87" t="s">
        <v>488</v>
      </c>
      <c r="C34" s="88"/>
      <c r="D34" s="89"/>
      <c r="E34" s="90"/>
      <c r="F34" s="90"/>
      <c r="G34" s="90"/>
      <c r="H34" s="90"/>
      <c r="I34" s="90"/>
      <c r="J34" s="90"/>
      <c r="K34" s="90"/>
      <c r="L34" s="90"/>
      <c r="M34" s="90"/>
      <c r="N34" s="90"/>
    </row>
    <row r="35" spans="1:14" s="85" customFormat="1" ht="12.75">
      <c r="A35" s="85" t="s">
        <v>7</v>
      </c>
      <c r="B35" s="85" t="s">
        <v>468</v>
      </c>
      <c r="D35" s="86"/>
    </row>
    <row r="36" spans="1:14" s="85" customFormat="1" ht="12.75">
      <c r="A36" s="85" t="s">
        <v>9</v>
      </c>
      <c r="B36" s="85" t="s">
        <v>496</v>
      </c>
      <c r="D36" s="86"/>
    </row>
    <row r="37" spans="1:14" s="85" customFormat="1" ht="12.75">
      <c r="A37" s="85" t="s">
        <v>11</v>
      </c>
      <c r="B37" s="85" t="s">
        <v>497</v>
      </c>
      <c r="D37" s="86"/>
    </row>
    <row r="38" spans="1:14" s="85" customFormat="1" ht="12.75">
      <c r="A38" s="85" t="s">
        <v>13</v>
      </c>
      <c r="B38" s="85" t="s">
        <v>36</v>
      </c>
      <c r="D38" s="86"/>
    </row>
    <row r="39" spans="1:14" s="85" customFormat="1" ht="12.75">
      <c r="A39" s="85" t="s">
        <v>15</v>
      </c>
      <c r="B39" s="98">
        <v>1</v>
      </c>
      <c r="D39" s="86"/>
    </row>
    <row r="40" spans="1:14" s="85" customFormat="1" ht="12.75">
      <c r="A40" s="85" t="s">
        <v>16</v>
      </c>
      <c r="B40" s="85" t="s">
        <v>17</v>
      </c>
      <c r="D40" s="86"/>
    </row>
    <row r="41" spans="1:14" s="85" customFormat="1" ht="12.75">
      <c r="A41" s="85" t="s">
        <v>18</v>
      </c>
      <c r="B41" s="85" t="s">
        <v>39</v>
      </c>
      <c r="D41" s="86"/>
    </row>
    <row r="42" spans="1:14" ht="15.75">
      <c r="A42" s="84" t="s">
        <v>19</v>
      </c>
    </row>
    <row r="43" spans="1:14" ht="15.75">
      <c r="A43" s="84" t="s">
        <v>20</v>
      </c>
      <c r="B43" s="84" t="s">
        <v>21</v>
      </c>
      <c r="C43" s="84" t="s">
        <v>18</v>
      </c>
      <c r="D43" s="102" t="s">
        <v>22</v>
      </c>
      <c r="E43" s="84" t="s">
        <v>7</v>
      </c>
      <c r="F43" s="84" t="s">
        <v>13</v>
      </c>
      <c r="G43" s="84" t="s">
        <v>16</v>
      </c>
      <c r="H43" s="84" t="s">
        <v>23</v>
      </c>
      <c r="I43" s="84" t="s">
        <v>24</v>
      </c>
      <c r="J43" s="84" t="s">
        <v>25</v>
      </c>
      <c r="K43" s="84" t="s">
        <v>26</v>
      </c>
      <c r="L43" s="84" t="s">
        <v>27</v>
      </c>
      <c r="M43" s="84" t="s">
        <v>28</v>
      </c>
      <c r="N43" s="84" t="s">
        <v>477</v>
      </c>
    </row>
    <row r="44" spans="1:14" s="85" customFormat="1" ht="12.75">
      <c r="A44" s="85" t="str">
        <f>B34</f>
        <v>solid waste from planes</v>
      </c>
      <c r="B44" s="85">
        <f>B39</f>
        <v>1</v>
      </c>
      <c r="C44" s="85" t="str">
        <f>B41</f>
        <v>kilogram</v>
      </c>
      <c r="D44" s="86" t="s">
        <v>2</v>
      </c>
      <c r="E44" s="85" t="s">
        <v>29</v>
      </c>
      <c r="F44" s="85" t="str">
        <f>B38</f>
        <v>RER</v>
      </c>
      <c r="G44" s="85" t="s">
        <v>30</v>
      </c>
      <c r="H44" s="85">
        <v>0</v>
      </c>
      <c r="I44" s="85">
        <f>B44</f>
        <v>1</v>
      </c>
      <c r="J44" s="85" t="s">
        <v>31</v>
      </c>
      <c r="K44" s="85" t="s">
        <v>31</v>
      </c>
      <c r="L44" s="85" t="s">
        <v>31</v>
      </c>
      <c r="M44" s="85" t="s">
        <v>31</v>
      </c>
    </row>
    <row r="45" spans="1:14" s="85" customFormat="1" ht="12.75">
      <c r="A45" s="85" t="s">
        <v>494</v>
      </c>
      <c r="B45" s="105">
        <v>-1</v>
      </c>
      <c r="C45" s="85" t="s">
        <v>39</v>
      </c>
      <c r="D45" s="86" t="s">
        <v>40</v>
      </c>
      <c r="E45" s="85" t="s">
        <v>29</v>
      </c>
      <c r="F45" s="85" t="s">
        <v>36</v>
      </c>
      <c r="G45" s="85" t="s">
        <v>33</v>
      </c>
      <c r="H45" s="85">
        <v>0</v>
      </c>
      <c r="I45" s="85">
        <f t="shared" ref="I45" si="3">B45</f>
        <v>-1</v>
      </c>
      <c r="J45" s="85" t="s">
        <v>31</v>
      </c>
      <c r="K45" s="85" t="s">
        <v>31</v>
      </c>
      <c r="L45" s="85" t="s">
        <v>31</v>
      </c>
      <c r="M45" s="85" t="s">
        <v>31</v>
      </c>
      <c r="N45" s="85" t="s">
        <v>498</v>
      </c>
    </row>
    <row r="46" spans="1:14">
      <c r="A46" s="90"/>
      <c r="B46" s="90"/>
      <c r="C46" s="90"/>
      <c r="D46" s="89"/>
      <c r="E46" s="90"/>
      <c r="F46" s="90"/>
      <c r="G46" s="90"/>
      <c r="H46" s="90"/>
      <c r="I46" s="90"/>
      <c r="J46" s="90"/>
      <c r="K46" s="90"/>
      <c r="L46" s="90"/>
      <c r="M46" s="90"/>
      <c r="N46" s="90"/>
    </row>
    <row r="47" spans="1:14">
      <c r="A47" s="98"/>
    </row>
    <row r="48" spans="1:14">
      <c r="A48" s="98"/>
    </row>
  </sheetData>
  <mergeCells count="1">
    <mergeCell ref="O3:Q3"/>
  </mergeCells>
  <pageMargins left="0.7" right="0.7" top="0.75" bottom="0.75" header="0.3" footer="0.3"/>
  <pageSetup paperSize="9"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CBB212-0BD2-45A9-9F94-D9D2E6C81AF5}">
  <dimension ref="A1:P201"/>
  <sheetViews>
    <sheetView workbookViewId="0">
      <selection activeCell="B7" sqref="B7"/>
    </sheetView>
  </sheetViews>
  <sheetFormatPr defaultColWidth="8.85546875" defaultRowHeight="15"/>
  <cols>
    <col min="1" max="1" width="30.28515625" style="81" customWidth="1"/>
    <col min="2" max="2" width="43.42578125" style="81" bestFit="1" customWidth="1"/>
    <col min="3" max="3" width="10.140625" style="81" customWidth="1"/>
    <col min="4" max="4" width="31" style="81" bestFit="1" customWidth="1"/>
    <col min="5" max="5" width="12" style="81" customWidth="1"/>
    <col min="6" max="7" width="8.85546875" style="81"/>
    <col min="8" max="8" width="16.140625" style="81" customWidth="1"/>
    <col min="9" max="11" width="8.85546875" style="81"/>
    <col min="12" max="13" width="11.28515625" style="81" customWidth="1"/>
    <col min="14" max="14" width="12.140625" style="81" customWidth="1"/>
    <col min="15" max="15" width="17.42578125" style="81" customWidth="1"/>
    <col min="16" max="16384" width="8.85546875" style="81"/>
  </cols>
  <sheetData>
    <row r="1" spans="1:16">
      <c r="A1" s="81" t="s">
        <v>0</v>
      </c>
      <c r="B1" s="81">
        <v>13</v>
      </c>
      <c r="C1" s="82"/>
    </row>
    <row r="2" spans="1:16" ht="15.75">
      <c r="A2" s="87" t="s">
        <v>5</v>
      </c>
      <c r="B2" s="87" t="s">
        <v>475</v>
      </c>
      <c r="C2" s="88"/>
      <c r="D2" s="90"/>
      <c r="E2" s="90"/>
      <c r="F2" s="90"/>
      <c r="G2" s="90"/>
      <c r="H2" s="90"/>
      <c r="I2" s="90"/>
      <c r="J2" s="90"/>
      <c r="K2" s="90"/>
      <c r="L2" s="90"/>
      <c r="M2" s="90"/>
      <c r="N2" s="90"/>
    </row>
    <row r="3" spans="1:16" s="85" customFormat="1" ht="12.75">
      <c r="A3" s="85" t="s">
        <v>7</v>
      </c>
      <c r="B3" s="85" t="s">
        <v>468</v>
      </c>
      <c r="O3" s="135" t="s">
        <v>469</v>
      </c>
      <c r="P3" s="137"/>
    </row>
    <row r="4" spans="1:16" s="85" customFormat="1" ht="12.75">
      <c r="A4" s="85" t="s">
        <v>9</v>
      </c>
      <c r="B4" s="85" t="s">
        <v>499</v>
      </c>
      <c r="O4" s="91" t="s">
        <v>471</v>
      </c>
      <c r="P4" s="93" t="s">
        <v>472</v>
      </c>
    </row>
    <row r="5" spans="1:16" s="85" customFormat="1" ht="12.75">
      <c r="A5" s="85" t="s">
        <v>11</v>
      </c>
      <c r="B5" s="85" t="s">
        <v>500</v>
      </c>
      <c r="O5" s="95" t="s">
        <v>501</v>
      </c>
      <c r="P5" s="106">
        <v>100</v>
      </c>
    </row>
    <row r="6" spans="1:16" s="85" customFormat="1" ht="12.75">
      <c r="A6" s="85" t="s">
        <v>13</v>
      </c>
      <c r="B6" s="85" t="s">
        <v>478</v>
      </c>
      <c r="O6" s="99" t="s">
        <v>502</v>
      </c>
      <c r="P6" s="107">
        <v>33.33</v>
      </c>
    </row>
    <row r="7" spans="1:16" s="85" customFormat="1" ht="12.75">
      <c r="A7" s="85" t="s">
        <v>15</v>
      </c>
      <c r="B7" s="98">
        <v>1</v>
      </c>
      <c r="O7" s="108" t="s">
        <v>473</v>
      </c>
      <c r="P7" s="107">
        <f>P5/P6</f>
        <v>3.0003000300030003</v>
      </c>
    </row>
    <row r="8" spans="1:16" s="85" customFormat="1" ht="12.75">
      <c r="A8" s="85" t="s">
        <v>16</v>
      </c>
      <c r="B8" s="85" t="s">
        <v>17</v>
      </c>
    </row>
    <row r="9" spans="1:16" s="85" customFormat="1" ht="12.75">
      <c r="A9" s="85" t="s">
        <v>18</v>
      </c>
      <c r="B9" s="85" t="s">
        <v>18</v>
      </c>
    </row>
    <row r="10" spans="1:16" ht="15.75">
      <c r="A10" s="84" t="s">
        <v>19</v>
      </c>
    </row>
    <row r="11" spans="1:16" ht="15.75">
      <c r="A11" s="84" t="s">
        <v>20</v>
      </c>
      <c r="B11" s="84" t="s">
        <v>21</v>
      </c>
      <c r="C11" s="84" t="s">
        <v>18</v>
      </c>
      <c r="D11" s="84" t="s">
        <v>22</v>
      </c>
      <c r="E11" s="84" t="s">
        <v>7</v>
      </c>
      <c r="F11" s="84" t="s">
        <v>13</v>
      </c>
      <c r="G11" s="84" t="s">
        <v>16</v>
      </c>
      <c r="H11" s="84" t="s">
        <v>23</v>
      </c>
      <c r="I11" s="84" t="s">
        <v>24</v>
      </c>
      <c r="J11" s="84" t="s">
        <v>25</v>
      </c>
      <c r="K11" s="84" t="s">
        <v>26</v>
      </c>
      <c r="L11" s="84" t="s">
        <v>27</v>
      </c>
      <c r="M11" s="84" t="s">
        <v>28</v>
      </c>
      <c r="N11" s="84" t="s">
        <v>477</v>
      </c>
    </row>
    <row r="12" spans="1:16" s="85" customFormat="1" ht="12.75">
      <c r="A12" s="85" t="str">
        <f>B2</f>
        <v>airport construction</v>
      </c>
      <c r="B12" s="85">
        <f>B7</f>
        <v>1</v>
      </c>
      <c r="C12" s="85" t="str">
        <f>B9</f>
        <v>unit</v>
      </c>
      <c r="D12" s="85" t="s">
        <v>2</v>
      </c>
      <c r="E12" s="85" t="s">
        <v>29</v>
      </c>
      <c r="F12" s="85" t="str">
        <f>B6</f>
        <v>NL</v>
      </c>
      <c r="G12" s="85" t="s">
        <v>30</v>
      </c>
      <c r="H12" s="85">
        <v>0</v>
      </c>
      <c r="I12" s="85">
        <f>B12</f>
        <v>1</v>
      </c>
    </row>
    <row r="13" spans="1:16" s="85" customFormat="1" ht="12.75">
      <c r="A13" s="98" t="s">
        <v>503</v>
      </c>
      <c r="B13" s="105">
        <v>1</v>
      </c>
      <c r="C13" s="85" t="s">
        <v>18</v>
      </c>
      <c r="D13" s="85" t="s">
        <v>2</v>
      </c>
      <c r="E13" s="85" t="s">
        <v>29</v>
      </c>
      <c r="F13" s="85" t="s">
        <v>36</v>
      </c>
      <c r="G13" s="85" t="s">
        <v>33</v>
      </c>
      <c r="H13" s="85">
        <v>0</v>
      </c>
      <c r="I13" s="85">
        <f t="shared" ref="I13:I14" si="0">B13</f>
        <v>1</v>
      </c>
      <c r="J13" s="85" t="s">
        <v>31</v>
      </c>
      <c r="K13" s="85" t="s">
        <v>31</v>
      </c>
      <c r="L13" s="85" t="s">
        <v>31</v>
      </c>
      <c r="M13" s="85" t="s">
        <v>31</v>
      </c>
      <c r="N13" s="85" t="s">
        <v>504</v>
      </c>
    </row>
    <row r="14" spans="1:16" s="85" customFormat="1" ht="12.75">
      <c r="A14" s="98" t="s">
        <v>505</v>
      </c>
      <c r="B14" s="105">
        <v>1</v>
      </c>
      <c r="C14" s="85" t="s">
        <v>18</v>
      </c>
      <c r="D14" s="98" t="s">
        <v>2</v>
      </c>
      <c r="E14" s="85" t="s">
        <v>29</v>
      </c>
      <c r="F14" s="85" t="s">
        <v>36</v>
      </c>
      <c r="G14" s="85" t="s">
        <v>33</v>
      </c>
      <c r="H14" s="85">
        <v>0</v>
      </c>
      <c r="I14" s="85">
        <f t="shared" si="0"/>
        <v>1</v>
      </c>
      <c r="J14" s="85" t="s">
        <v>31</v>
      </c>
      <c r="K14" s="85" t="s">
        <v>31</v>
      </c>
      <c r="L14" s="85" t="s">
        <v>31</v>
      </c>
      <c r="M14" s="85" t="s">
        <v>31</v>
      </c>
      <c r="N14" s="85" t="s">
        <v>506</v>
      </c>
    </row>
    <row r="15" spans="1:16" ht="15.75">
      <c r="A15" s="87" t="s">
        <v>5</v>
      </c>
      <c r="B15" s="87" t="s">
        <v>503</v>
      </c>
      <c r="C15" s="88"/>
      <c r="D15" s="90"/>
      <c r="E15" s="90"/>
      <c r="F15" s="90"/>
      <c r="G15" s="90"/>
      <c r="H15" s="90"/>
      <c r="I15" s="90"/>
      <c r="J15" s="90"/>
      <c r="K15" s="90"/>
      <c r="L15" s="90"/>
      <c r="M15" s="90"/>
      <c r="N15" s="90"/>
    </row>
    <row r="16" spans="1:16" s="85" customFormat="1" ht="12.75">
      <c r="A16" s="85" t="s">
        <v>7</v>
      </c>
      <c r="B16" s="85" t="s">
        <v>468</v>
      </c>
    </row>
    <row r="17" spans="1:14" s="85" customFormat="1" ht="12.75">
      <c r="A17" s="85" t="s">
        <v>9</v>
      </c>
      <c r="B17" s="85" t="s">
        <v>507</v>
      </c>
    </row>
    <row r="18" spans="1:14" s="85" customFormat="1" ht="12.75">
      <c r="A18" s="85" t="s">
        <v>11</v>
      </c>
      <c r="B18" s="85" t="s">
        <v>508</v>
      </c>
    </row>
    <row r="19" spans="1:14" s="85" customFormat="1" ht="12.75">
      <c r="A19" s="85" t="s">
        <v>13</v>
      </c>
      <c r="B19" s="85" t="s">
        <v>36</v>
      </c>
    </row>
    <row r="20" spans="1:14" s="85" customFormat="1" ht="12.75">
      <c r="A20" s="85" t="s">
        <v>15</v>
      </c>
      <c r="B20" s="98">
        <v>1</v>
      </c>
    </row>
    <row r="21" spans="1:14" s="85" customFormat="1" ht="12.75">
      <c r="A21" s="85" t="s">
        <v>16</v>
      </c>
      <c r="B21" s="85" t="s">
        <v>17</v>
      </c>
    </row>
    <row r="22" spans="1:14" s="85" customFormat="1" ht="12.75">
      <c r="A22" s="85" t="s">
        <v>18</v>
      </c>
      <c r="B22" s="85" t="s">
        <v>18</v>
      </c>
    </row>
    <row r="23" spans="1:14" ht="15.75">
      <c r="A23" s="84" t="s">
        <v>19</v>
      </c>
    </row>
    <row r="24" spans="1:14" ht="15.75">
      <c r="A24" s="84" t="s">
        <v>20</v>
      </c>
      <c r="B24" s="84" t="s">
        <v>21</v>
      </c>
      <c r="C24" s="84" t="s">
        <v>18</v>
      </c>
      <c r="D24" s="84" t="s">
        <v>22</v>
      </c>
      <c r="E24" s="84" t="s">
        <v>7</v>
      </c>
      <c r="F24" s="84" t="s">
        <v>13</v>
      </c>
      <c r="G24" s="84" t="s">
        <v>16</v>
      </c>
      <c r="H24" s="84" t="s">
        <v>23</v>
      </c>
      <c r="I24" s="84" t="s">
        <v>24</v>
      </c>
      <c r="J24" s="84" t="s">
        <v>25</v>
      </c>
      <c r="K24" s="84" t="s">
        <v>26</v>
      </c>
      <c r="L24" s="84" t="s">
        <v>27</v>
      </c>
      <c r="M24" s="84" t="s">
        <v>28</v>
      </c>
      <c r="N24" s="84" t="s">
        <v>477</v>
      </c>
    </row>
    <row r="25" spans="1:14" s="85" customFormat="1" ht="12.75">
      <c r="A25" s="85" t="str">
        <f>B15</f>
        <v>landside construction</v>
      </c>
      <c r="B25" s="85">
        <f>B20</f>
        <v>1</v>
      </c>
      <c r="C25" s="85" t="str">
        <f>B22</f>
        <v>unit</v>
      </c>
      <c r="D25" s="85" t="s">
        <v>2</v>
      </c>
      <c r="E25" s="85" t="s">
        <v>29</v>
      </c>
      <c r="F25" s="85" t="str">
        <f>B19</f>
        <v>RER</v>
      </c>
      <c r="G25" s="85" t="s">
        <v>30</v>
      </c>
      <c r="H25" s="85">
        <v>0</v>
      </c>
      <c r="I25" s="85">
        <f>B25</f>
        <v>1</v>
      </c>
      <c r="J25" s="85" t="s">
        <v>31</v>
      </c>
      <c r="K25" s="85" t="s">
        <v>31</v>
      </c>
      <c r="L25" s="85" t="s">
        <v>31</v>
      </c>
      <c r="M25" s="85" t="s">
        <v>31</v>
      </c>
    </row>
    <row r="26" spans="1:14" s="85" customFormat="1" ht="12.75">
      <c r="A26" s="98" t="s">
        <v>509</v>
      </c>
      <c r="B26" s="105">
        <v>1</v>
      </c>
      <c r="C26" s="85" t="s">
        <v>18</v>
      </c>
      <c r="D26" s="85" t="s">
        <v>2</v>
      </c>
      <c r="E26" s="85" t="s">
        <v>29</v>
      </c>
      <c r="F26" s="85" t="s">
        <v>36</v>
      </c>
      <c r="G26" s="85" t="s">
        <v>33</v>
      </c>
      <c r="H26" s="85">
        <v>0</v>
      </c>
      <c r="I26" s="85">
        <f>B26</f>
        <v>1</v>
      </c>
      <c r="J26" s="85" t="s">
        <v>31</v>
      </c>
      <c r="K26" s="85" t="s">
        <v>31</v>
      </c>
      <c r="L26" s="85" t="s">
        <v>31</v>
      </c>
      <c r="M26" s="85" t="s">
        <v>31</v>
      </c>
      <c r="N26" s="85" t="s">
        <v>510</v>
      </c>
    </row>
    <row r="27" spans="1:14" s="85" customFormat="1" ht="12.75">
      <c r="A27" s="98" t="s">
        <v>511</v>
      </c>
      <c r="B27" s="105">
        <v>1</v>
      </c>
      <c r="C27" s="85" t="s">
        <v>18</v>
      </c>
      <c r="D27" s="85" t="s">
        <v>2</v>
      </c>
      <c r="E27" s="85" t="s">
        <v>29</v>
      </c>
      <c r="F27" s="85" t="s">
        <v>36</v>
      </c>
      <c r="G27" s="85" t="s">
        <v>33</v>
      </c>
      <c r="H27" s="85">
        <v>0</v>
      </c>
      <c r="I27" s="85">
        <f>B27</f>
        <v>1</v>
      </c>
      <c r="J27" s="85" t="s">
        <v>31</v>
      </c>
      <c r="K27" s="85" t="s">
        <v>31</v>
      </c>
      <c r="L27" s="85" t="s">
        <v>31</v>
      </c>
      <c r="M27" s="85" t="s">
        <v>31</v>
      </c>
      <c r="N27" s="85" t="s">
        <v>512</v>
      </c>
    </row>
    <row r="28" spans="1:14" s="85" customFormat="1" ht="12.75">
      <c r="A28" s="98" t="s">
        <v>513</v>
      </c>
      <c r="B28" s="105">
        <v>1</v>
      </c>
      <c r="C28" s="85" t="s">
        <v>18</v>
      </c>
      <c r="D28" s="85" t="s">
        <v>2</v>
      </c>
      <c r="E28" s="85" t="s">
        <v>29</v>
      </c>
      <c r="F28" s="85" t="s">
        <v>36</v>
      </c>
      <c r="G28" s="85" t="s">
        <v>33</v>
      </c>
      <c r="H28" s="85">
        <v>0</v>
      </c>
      <c r="I28" s="85">
        <f>B28</f>
        <v>1</v>
      </c>
      <c r="J28" s="85" t="s">
        <v>31</v>
      </c>
      <c r="K28" s="85" t="s">
        <v>31</v>
      </c>
      <c r="L28" s="85" t="s">
        <v>31</v>
      </c>
      <c r="M28" s="85" t="s">
        <v>31</v>
      </c>
      <c r="N28" s="85" t="s">
        <v>506</v>
      </c>
    </row>
    <row r="29" spans="1:14" ht="15.75">
      <c r="A29" s="87" t="s">
        <v>5</v>
      </c>
      <c r="B29" s="87" t="s">
        <v>509</v>
      </c>
      <c r="C29" s="88"/>
      <c r="D29" s="90"/>
      <c r="E29" s="90"/>
      <c r="F29" s="90"/>
      <c r="G29" s="90"/>
      <c r="H29" s="90"/>
      <c r="I29" s="90"/>
      <c r="J29" s="90"/>
      <c r="K29" s="90"/>
      <c r="L29" s="90"/>
      <c r="M29" s="90"/>
      <c r="N29" s="90"/>
    </row>
    <row r="30" spans="1:14" s="85" customFormat="1" ht="12.75">
      <c r="A30" s="85" t="s">
        <v>7</v>
      </c>
      <c r="B30" s="85" t="s">
        <v>468</v>
      </c>
    </row>
    <row r="31" spans="1:14" s="85" customFormat="1" ht="12.75">
      <c r="A31" s="85" t="s">
        <v>9</v>
      </c>
      <c r="B31" s="85" t="s">
        <v>514</v>
      </c>
    </row>
    <row r="32" spans="1:14" s="85" customFormat="1" ht="12.75">
      <c r="A32" s="85" t="s">
        <v>11</v>
      </c>
      <c r="B32" s="85" t="s">
        <v>515</v>
      </c>
    </row>
    <row r="33" spans="1:14" s="85" customFormat="1" ht="12.75">
      <c r="A33" s="85" t="s">
        <v>13</v>
      </c>
      <c r="B33" s="85" t="s">
        <v>36</v>
      </c>
    </row>
    <row r="34" spans="1:14" s="85" customFormat="1" ht="12.75">
      <c r="A34" s="85" t="s">
        <v>15</v>
      </c>
      <c r="B34" s="98">
        <v>1</v>
      </c>
    </row>
    <row r="35" spans="1:14" s="85" customFormat="1" ht="12.75">
      <c r="A35" s="85" t="s">
        <v>16</v>
      </c>
      <c r="B35" s="85" t="s">
        <v>17</v>
      </c>
    </row>
    <row r="36" spans="1:14" s="85" customFormat="1" ht="12.75">
      <c r="A36" s="85" t="s">
        <v>18</v>
      </c>
      <c r="B36" s="85" t="s">
        <v>18</v>
      </c>
    </row>
    <row r="37" spans="1:14" ht="15.75">
      <c r="A37" s="84" t="s">
        <v>19</v>
      </c>
    </row>
    <row r="38" spans="1:14" ht="15.75">
      <c r="A38" s="84" t="s">
        <v>20</v>
      </c>
      <c r="B38" s="84" t="s">
        <v>21</v>
      </c>
      <c r="C38" s="84" t="s">
        <v>18</v>
      </c>
      <c r="D38" s="84" t="s">
        <v>22</v>
      </c>
      <c r="E38" s="84" t="s">
        <v>7</v>
      </c>
      <c r="F38" s="84" t="s">
        <v>13</v>
      </c>
      <c r="G38" s="84" t="s">
        <v>16</v>
      </c>
      <c r="H38" s="84" t="s">
        <v>23</v>
      </c>
      <c r="I38" s="84" t="s">
        <v>24</v>
      </c>
      <c r="J38" s="84" t="s">
        <v>25</v>
      </c>
      <c r="K38" s="84" t="s">
        <v>26</v>
      </c>
      <c r="L38" s="84" t="s">
        <v>27</v>
      </c>
      <c r="M38" s="84" t="s">
        <v>28</v>
      </c>
      <c r="N38" s="84" t="s">
        <v>477</v>
      </c>
    </row>
    <row r="39" spans="1:14" s="85" customFormat="1" ht="12.75">
      <c r="A39" s="85" t="str">
        <f>B29</f>
        <v>landside building construction</v>
      </c>
      <c r="B39" s="85">
        <f>B34</f>
        <v>1</v>
      </c>
      <c r="C39" s="85" t="str">
        <f>B36</f>
        <v>unit</v>
      </c>
      <c r="D39" s="85" t="s">
        <v>2</v>
      </c>
      <c r="E39" s="85" t="s">
        <v>29</v>
      </c>
      <c r="F39" s="85" t="str">
        <f>B33</f>
        <v>RER</v>
      </c>
      <c r="G39" s="85" t="s">
        <v>30</v>
      </c>
      <c r="H39" s="85">
        <v>0</v>
      </c>
      <c r="I39" s="85">
        <f>B39</f>
        <v>1</v>
      </c>
      <c r="J39" s="85" t="s">
        <v>31</v>
      </c>
      <c r="K39" s="85" t="s">
        <v>31</v>
      </c>
      <c r="L39" s="85" t="s">
        <v>31</v>
      </c>
      <c r="M39" s="85" t="s">
        <v>31</v>
      </c>
    </row>
    <row r="40" spans="1:14" s="85" customFormat="1" ht="12.75">
      <c r="A40" s="85" t="s">
        <v>516</v>
      </c>
      <c r="B40" s="85">
        <v>49625</v>
      </c>
      <c r="C40" s="85" t="s">
        <v>412</v>
      </c>
      <c r="D40" s="85" t="s">
        <v>43</v>
      </c>
      <c r="E40" s="85" t="s">
        <v>517</v>
      </c>
      <c r="F40" s="85" t="s">
        <v>29</v>
      </c>
      <c r="G40" s="85" t="s">
        <v>45</v>
      </c>
      <c r="H40" s="85">
        <v>0</v>
      </c>
      <c r="I40" s="85">
        <f>B40</f>
        <v>49625</v>
      </c>
      <c r="J40" s="85" t="s">
        <v>31</v>
      </c>
      <c r="K40" s="85" t="s">
        <v>31</v>
      </c>
      <c r="L40" s="85" t="s">
        <v>31</v>
      </c>
      <c r="M40" s="85" t="s">
        <v>31</v>
      </c>
      <c r="N40" s="85" t="s">
        <v>518</v>
      </c>
    </row>
    <row r="41" spans="1:14" s="85" customFormat="1" ht="12.75">
      <c r="A41" s="85" t="s">
        <v>519</v>
      </c>
      <c r="B41" s="85">
        <f>100*B40</f>
        <v>4962500</v>
      </c>
      <c r="C41" s="85" t="s">
        <v>520</v>
      </c>
      <c r="D41" s="85" t="s">
        <v>43</v>
      </c>
      <c r="E41" s="85" t="s">
        <v>517</v>
      </c>
      <c r="F41" s="85" t="s">
        <v>29</v>
      </c>
      <c r="G41" s="85" t="s">
        <v>45</v>
      </c>
      <c r="H41" s="85">
        <v>0</v>
      </c>
      <c r="I41" s="85">
        <f>B41</f>
        <v>4962500</v>
      </c>
      <c r="J41" s="85" t="s">
        <v>31</v>
      </c>
      <c r="K41" s="85" t="s">
        <v>31</v>
      </c>
      <c r="L41" s="85" t="s">
        <v>31</v>
      </c>
      <c r="M41" s="85" t="s">
        <v>31</v>
      </c>
      <c r="N41" s="85" t="s">
        <v>521</v>
      </c>
    </row>
    <row r="42" spans="1:14" s="85" customFormat="1" ht="12.75">
      <c r="A42" s="98" t="s">
        <v>522</v>
      </c>
      <c r="B42" s="105">
        <f>B40*0.7</f>
        <v>34737.5</v>
      </c>
      <c r="C42" s="85" t="s">
        <v>412</v>
      </c>
      <c r="D42" s="85" t="s">
        <v>40</v>
      </c>
      <c r="E42" s="85" t="s">
        <v>29</v>
      </c>
      <c r="F42" s="85" t="s">
        <v>86</v>
      </c>
      <c r="G42" s="85" t="s">
        <v>33</v>
      </c>
      <c r="H42" s="85">
        <v>0</v>
      </c>
      <c r="I42" s="85">
        <f t="shared" ref="I42:I43" si="1">B42</f>
        <v>34737.5</v>
      </c>
      <c r="J42" s="85" t="s">
        <v>31</v>
      </c>
      <c r="K42" s="85" t="s">
        <v>31</v>
      </c>
      <c r="L42" s="85" t="s">
        <v>31</v>
      </c>
      <c r="M42" s="85" t="s">
        <v>31</v>
      </c>
      <c r="N42" s="85" t="s">
        <v>523</v>
      </c>
    </row>
    <row r="43" spans="1:14" s="85" customFormat="1" ht="12.75">
      <c r="A43" s="109" t="s">
        <v>524</v>
      </c>
      <c r="B43" s="105">
        <f>B40*0.3*5*2.5*P7</f>
        <v>558337.0837083708</v>
      </c>
      <c r="C43" s="85" t="s">
        <v>50</v>
      </c>
      <c r="D43" s="103" t="s">
        <v>40</v>
      </c>
      <c r="E43" s="85" t="s">
        <v>29</v>
      </c>
      <c r="F43" s="85" t="s">
        <v>86</v>
      </c>
      <c r="G43" s="85" t="s">
        <v>33</v>
      </c>
      <c r="H43" s="85">
        <v>0</v>
      </c>
      <c r="I43" s="85">
        <f t="shared" si="1"/>
        <v>558337.0837083708</v>
      </c>
      <c r="J43" s="85" t="s">
        <v>31</v>
      </c>
      <c r="K43" s="85" t="s">
        <v>31</v>
      </c>
      <c r="L43" s="85" t="s">
        <v>31</v>
      </c>
      <c r="M43" s="85" t="s">
        <v>31</v>
      </c>
      <c r="N43" s="85" t="s">
        <v>525</v>
      </c>
    </row>
    <row r="44" spans="1:14" ht="15.75">
      <c r="A44" s="87" t="s">
        <v>5</v>
      </c>
      <c r="B44" s="87" t="s">
        <v>511</v>
      </c>
      <c r="C44" s="88"/>
      <c r="D44" s="90"/>
      <c r="E44" s="90"/>
      <c r="F44" s="90"/>
      <c r="G44" s="90"/>
      <c r="H44" s="90"/>
      <c r="I44" s="90"/>
      <c r="J44" s="90"/>
      <c r="K44" s="90"/>
      <c r="L44" s="90"/>
      <c r="M44" s="90"/>
      <c r="N44" s="90"/>
    </row>
    <row r="45" spans="1:14" s="85" customFormat="1" ht="12.75">
      <c r="A45" s="85" t="s">
        <v>7</v>
      </c>
      <c r="B45" s="85" t="s">
        <v>468</v>
      </c>
    </row>
    <row r="46" spans="1:14" s="85" customFormat="1" ht="12.75">
      <c r="A46" s="85" t="s">
        <v>9</v>
      </c>
      <c r="B46" s="85" t="s">
        <v>526</v>
      </c>
    </row>
    <row r="47" spans="1:14" s="85" customFormat="1" ht="12.75">
      <c r="A47" s="85" t="s">
        <v>11</v>
      </c>
      <c r="B47" s="85" t="s">
        <v>527</v>
      </c>
    </row>
    <row r="48" spans="1:14" s="85" customFormat="1" ht="12.75">
      <c r="A48" s="85" t="s">
        <v>13</v>
      </c>
      <c r="B48" s="85" t="s">
        <v>36</v>
      </c>
    </row>
    <row r="49" spans="1:14" s="85" customFormat="1" ht="12.75">
      <c r="A49" s="85" t="s">
        <v>15</v>
      </c>
      <c r="B49" s="98">
        <v>1</v>
      </c>
    </row>
    <row r="50" spans="1:14" s="85" customFormat="1" ht="12.75">
      <c r="A50" s="85" t="s">
        <v>16</v>
      </c>
      <c r="B50" s="85" t="s">
        <v>17</v>
      </c>
    </row>
    <row r="51" spans="1:14" s="85" customFormat="1" ht="12.75">
      <c r="A51" s="85" t="s">
        <v>18</v>
      </c>
      <c r="B51" s="85" t="s">
        <v>18</v>
      </c>
    </row>
    <row r="52" spans="1:14" ht="15.75">
      <c r="A52" s="84" t="s">
        <v>19</v>
      </c>
    </row>
    <row r="53" spans="1:14" ht="15.75">
      <c r="A53" s="84" t="s">
        <v>20</v>
      </c>
      <c r="B53" s="84" t="s">
        <v>21</v>
      </c>
      <c r="C53" s="84" t="s">
        <v>18</v>
      </c>
      <c r="D53" s="84" t="s">
        <v>22</v>
      </c>
      <c r="E53" s="84" t="s">
        <v>7</v>
      </c>
      <c r="F53" s="84" t="s">
        <v>13</v>
      </c>
      <c r="G53" s="84" t="s">
        <v>16</v>
      </c>
      <c r="H53" s="84" t="s">
        <v>23</v>
      </c>
      <c r="I53" s="84" t="s">
        <v>24</v>
      </c>
      <c r="J53" s="84" t="s">
        <v>25</v>
      </c>
      <c r="K53" s="84" t="s">
        <v>26</v>
      </c>
      <c r="L53" s="84" t="s">
        <v>27</v>
      </c>
      <c r="M53" s="84" t="s">
        <v>28</v>
      </c>
      <c r="N53" s="84" t="s">
        <v>477</v>
      </c>
    </row>
    <row r="54" spans="1:14" s="85" customFormat="1" ht="12.75">
      <c r="A54" s="85" t="str">
        <f>B44</f>
        <v>parking construction</v>
      </c>
      <c r="B54" s="85">
        <f>B49</f>
        <v>1</v>
      </c>
      <c r="C54" s="85" t="str">
        <f>B51</f>
        <v>unit</v>
      </c>
      <c r="D54" s="85" t="s">
        <v>2</v>
      </c>
      <c r="E54" s="85" t="s">
        <v>29</v>
      </c>
      <c r="F54" s="85" t="str">
        <f>B48</f>
        <v>RER</v>
      </c>
      <c r="G54" s="85" t="s">
        <v>30</v>
      </c>
      <c r="H54" s="85">
        <v>0</v>
      </c>
      <c r="I54" s="85">
        <f>B54</f>
        <v>1</v>
      </c>
      <c r="J54" s="85" t="s">
        <v>31</v>
      </c>
      <c r="K54" s="85" t="s">
        <v>31</v>
      </c>
      <c r="L54" s="85" t="s">
        <v>31</v>
      </c>
      <c r="M54" s="85" t="s">
        <v>31</v>
      </c>
    </row>
    <row r="55" spans="1:14" s="85" customFormat="1" ht="12.75">
      <c r="A55" s="98" t="s">
        <v>528</v>
      </c>
      <c r="B55" s="85">
        <v>96841</v>
      </c>
      <c r="C55" s="85" t="s">
        <v>412</v>
      </c>
      <c r="D55" s="85" t="s">
        <v>43</v>
      </c>
      <c r="E55" s="85" t="s">
        <v>517</v>
      </c>
      <c r="F55" s="85" t="s">
        <v>29</v>
      </c>
      <c r="G55" s="85" t="s">
        <v>45</v>
      </c>
      <c r="H55" s="85">
        <v>0</v>
      </c>
      <c r="I55" s="85">
        <f>B55</f>
        <v>96841</v>
      </c>
      <c r="J55" s="85" t="s">
        <v>31</v>
      </c>
      <c r="K55" s="85" t="s">
        <v>31</v>
      </c>
      <c r="L55" s="85" t="s">
        <v>31</v>
      </c>
      <c r="M55" s="85" t="s">
        <v>31</v>
      </c>
      <c r="N55" s="85" t="s">
        <v>518</v>
      </c>
    </row>
    <row r="56" spans="1:14" s="85" customFormat="1" ht="12.75">
      <c r="A56" s="85" t="s">
        <v>529</v>
      </c>
      <c r="B56" s="85">
        <f>100*B55</f>
        <v>9684100</v>
      </c>
      <c r="C56" s="85" t="s">
        <v>520</v>
      </c>
      <c r="D56" s="85" t="s">
        <v>43</v>
      </c>
      <c r="E56" s="85" t="s">
        <v>517</v>
      </c>
      <c r="F56" s="85" t="s">
        <v>29</v>
      </c>
      <c r="G56" s="85" t="s">
        <v>45</v>
      </c>
      <c r="H56" s="85">
        <v>0</v>
      </c>
      <c r="I56" s="85">
        <f>B56</f>
        <v>9684100</v>
      </c>
      <c r="J56" s="85" t="s">
        <v>31</v>
      </c>
      <c r="K56" s="85" t="s">
        <v>31</v>
      </c>
      <c r="L56" s="85" t="s">
        <v>31</v>
      </c>
      <c r="M56" s="85" t="s">
        <v>31</v>
      </c>
      <c r="N56" s="85" t="s">
        <v>521</v>
      </c>
    </row>
    <row r="57" spans="1:14" s="85" customFormat="1" ht="12.75">
      <c r="A57" s="110" t="s">
        <v>530</v>
      </c>
      <c r="B57" s="105">
        <f>B55*0.3*P7</f>
        <v>87165.616561656163</v>
      </c>
      <c r="C57" s="85" t="s">
        <v>50</v>
      </c>
      <c r="D57" s="85" t="s">
        <v>40</v>
      </c>
      <c r="E57" s="85" t="s">
        <v>29</v>
      </c>
      <c r="F57" s="85" t="s">
        <v>117</v>
      </c>
      <c r="G57" s="85" t="s">
        <v>33</v>
      </c>
      <c r="H57" s="85">
        <v>0</v>
      </c>
      <c r="I57" s="85">
        <f t="shared" ref="I57" si="2">B57</f>
        <v>87165.616561656163</v>
      </c>
      <c r="J57" s="85" t="s">
        <v>31</v>
      </c>
      <c r="K57" s="85" t="s">
        <v>31</v>
      </c>
      <c r="L57" s="85" t="s">
        <v>31</v>
      </c>
      <c r="M57" s="85" t="s">
        <v>31</v>
      </c>
      <c r="N57" s="85" t="s">
        <v>531</v>
      </c>
    </row>
    <row r="58" spans="1:14" ht="15.75">
      <c r="A58" s="87" t="s">
        <v>5</v>
      </c>
      <c r="B58" s="87" t="s">
        <v>513</v>
      </c>
      <c r="C58" s="88"/>
      <c r="D58" s="90"/>
      <c r="E58" s="90"/>
      <c r="F58" s="90"/>
      <c r="G58" s="90"/>
      <c r="H58" s="90"/>
      <c r="I58" s="90"/>
      <c r="J58" s="90"/>
      <c r="K58" s="90"/>
      <c r="L58" s="90"/>
      <c r="M58" s="90"/>
      <c r="N58" s="90"/>
    </row>
    <row r="59" spans="1:14" s="85" customFormat="1" ht="12.75">
      <c r="A59" s="85" t="s">
        <v>7</v>
      </c>
      <c r="B59" s="85" t="s">
        <v>468</v>
      </c>
    </row>
    <row r="60" spans="1:14" s="85" customFormat="1" ht="12.75">
      <c r="A60" s="85" t="s">
        <v>9</v>
      </c>
      <c r="B60" s="85" t="s">
        <v>532</v>
      </c>
    </row>
    <row r="61" spans="1:14" s="85" customFormat="1" ht="12.75">
      <c r="A61" s="85" t="s">
        <v>11</v>
      </c>
      <c r="B61" s="85" t="s">
        <v>533</v>
      </c>
    </row>
    <row r="62" spans="1:14" s="85" customFormat="1" ht="12.75">
      <c r="A62" s="85" t="s">
        <v>13</v>
      </c>
      <c r="B62" s="85" t="s">
        <v>36</v>
      </c>
    </row>
    <row r="63" spans="1:14" s="85" customFormat="1" ht="12.75">
      <c r="A63" s="85" t="s">
        <v>15</v>
      </c>
      <c r="B63" s="98">
        <v>1</v>
      </c>
    </row>
    <row r="64" spans="1:14" s="85" customFormat="1" ht="12.75">
      <c r="A64" s="85" t="s">
        <v>16</v>
      </c>
      <c r="B64" s="85" t="s">
        <v>17</v>
      </c>
    </row>
    <row r="65" spans="1:14" s="85" customFormat="1" ht="12.75">
      <c r="A65" s="85" t="s">
        <v>18</v>
      </c>
      <c r="B65" s="85" t="s">
        <v>18</v>
      </c>
    </row>
    <row r="66" spans="1:14" ht="15.75">
      <c r="A66" s="84" t="s">
        <v>19</v>
      </c>
    </row>
    <row r="67" spans="1:14" ht="15.75">
      <c r="A67" s="84" t="s">
        <v>20</v>
      </c>
      <c r="B67" s="84" t="s">
        <v>21</v>
      </c>
      <c r="C67" s="84" t="s">
        <v>18</v>
      </c>
      <c r="D67" s="84" t="s">
        <v>22</v>
      </c>
      <c r="E67" s="84" t="s">
        <v>7</v>
      </c>
      <c r="F67" s="84" t="s">
        <v>13</v>
      </c>
      <c r="G67" s="84" t="s">
        <v>16</v>
      </c>
      <c r="H67" s="84" t="s">
        <v>23</v>
      </c>
      <c r="I67" s="84" t="s">
        <v>24</v>
      </c>
      <c r="J67" s="84" t="s">
        <v>25</v>
      </c>
      <c r="K67" s="84" t="s">
        <v>26</v>
      </c>
      <c r="L67" s="84" t="s">
        <v>27</v>
      </c>
      <c r="M67" s="84" t="s">
        <v>28</v>
      </c>
      <c r="N67" s="84" t="s">
        <v>477</v>
      </c>
    </row>
    <row r="68" spans="1:14" s="85" customFormat="1" ht="12.75">
      <c r="A68" s="85" t="str">
        <f>B58</f>
        <v>landside green areas</v>
      </c>
      <c r="B68" s="85">
        <f>B63</f>
        <v>1</v>
      </c>
      <c r="C68" s="85" t="str">
        <f>B65</f>
        <v>unit</v>
      </c>
      <c r="D68" s="85" t="s">
        <v>2</v>
      </c>
      <c r="E68" s="85" t="s">
        <v>29</v>
      </c>
      <c r="F68" s="85" t="str">
        <f>B62</f>
        <v>RER</v>
      </c>
      <c r="G68" s="85" t="s">
        <v>30</v>
      </c>
      <c r="H68" s="85">
        <v>0</v>
      </c>
      <c r="I68" s="85">
        <f>B68</f>
        <v>1</v>
      </c>
      <c r="J68" s="85" t="s">
        <v>31</v>
      </c>
      <c r="K68" s="85" t="s">
        <v>31</v>
      </c>
      <c r="L68" s="85" t="s">
        <v>31</v>
      </c>
      <c r="M68" s="85" t="s">
        <v>31</v>
      </c>
    </row>
    <row r="69" spans="1:14" s="85" customFormat="1" ht="12.75">
      <c r="A69" s="98" t="s">
        <v>534</v>
      </c>
      <c r="B69" s="105">
        <f>466000-B40-B55</f>
        <v>319534</v>
      </c>
      <c r="C69" s="85" t="s">
        <v>412</v>
      </c>
      <c r="D69" s="85" t="s">
        <v>43</v>
      </c>
      <c r="E69" s="85" t="s">
        <v>517</v>
      </c>
      <c r="F69" s="85" t="s">
        <v>29</v>
      </c>
      <c r="G69" s="85" t="s">
        <v>45</v>
      </c>
      <c r="H69" s="85">
        <v>0</v>
      </c>
      <c r="I69" s="85">
        <f t="shared" ref="I69" si="3">B69</f>
        <v>319534</v>
      </c>
      <c r="J69" s="85" t="s">
        <v>31</v>
      </c>
      <c r="K69" s="85" t="s">
        <v>31</v>
      </c>
      <c r="L69" s="85" t="s">
        <v>31</v>
      </c>
      <c r="M69" s="85" t="s">
        <v>31</v>
      </c>
      <c r="N69" s="85" t="s">
        <v>518</v>
      </c>
    </row>
    <row r="70" spans="1:14" s="85" customFormat="1" ht="15.75">
      <c r="A70" s="87" t="s">
        <v>5</v>
      </c>
      <c r="B70" s="87" t="s">
        <v>505</v>
      </c>
      <c r="C70" s="88"/>
      <c r="D70" s="90"/>
      <c r="E70" s="90"/>
      <c r="F70" s="90"/>
      <c r="G70" s="90"/>
      <c r="H70" s="90"/>
      <c r="I70" s="90"/>
      <c r="J70" s="90"/>
      <c r="K70" s="90"/>
      <c r="L70" s="90"/>
      <c r="M70" s="90"/>
      <c r="N70" s="90"/>
    </row>
    <row r="71" spans="1:14" s="85" customFormat="1" ht="12.75">
      <c r="A71" s="85" t="s">
        <v>7</v>
      </c>
      <c r="B71" s="85" t="s">
        <v>468</v>
      </c>
    </row>
    <row r="72" spans="1:14" s="85" customFormat="1" ht="12.75">
      <c r="A72" s="85" t="s">
        <v>9</v>
      </c>
      <c r="B72" s="85" t="s">
        <v>535</v>
      </c>
    </row>
    <row r="73" spans="1:14">
      <c r="A73" s="85" t="s">
        <v>11</v>
      </c>
      <c r="B73" s="85" t="s">
        <v>536</v>
      </c>
      <c r="C73" s="85"/>
      <c r="D73" s="85"/>
      <c r="E73" s="85"/>
      <c r="F73" s="85"/>
      <c r="G73" s="85"/>
      <c r="H73" s="85"/>
      <c r="I73" s="85"/>
      <c r="J73" s="85"/>
      <c r="K73" s="85"/>
      <c r="L73" s="85"/>
      <c r="M73" s="85"/>
      <c r="N73" s="85"/>
    </row>
    <row r="74" spans="1:14">
      <c r="A74" s="85" t="s">
        <v>13</v>
      </c>
      <c r="B74" s="85" t="s">
        <v>36</v>
      </c>
      <c r="C74" s="85"/>
      <c r="D74" s="85"/>
      <c r="E74" s="85"/>
      <c r="F74" s="85"/>
      <c r="G74" s="85"/>
      <c r="H74" s="85"/>
      <c r="I74" s="85"/>
      <c r="J74" s="85"/>
      <c r="K74" s="85"/>
      <c r="L74" s="85"/>
      <c r="M74" s="85"/>
      <c r="N74" s="85"/>
    </row>
    <row r="75" spans="1:14">
      <c r="A75" s="85" t="s">
        <v>15</v>
      </c>
      <c r="B75" s="98">
        <v>1</v>
      </c>
      <c r="C75" s="85"/>
      <c r="D75" s="85"/>
      <c r="E75" s="85"/>
      <c r="F75" s="85"/>
      <c r="G75" s="85"/>
      <c r="H75" s="85"/>
      <c r="I75" s="85"/>
      <c r="J75" s="85"/>
      <c r="K75" s="85"/>
      <c r="L75" s="85"/>
      <c r="M75" s="85"/>
      <c r="N75" s="85"/>
    </row>
    <row r="76" spans="1:14">
      <c r="A76" s="85" t="s">
        <v>16</v>
      </c>
      <c r="B76" s="85" t="s">
        <v>17</v>
      </c>
      <c r="C76" s="85"/>
      <c r="D76" s="85"/>
      <c r="E76" s="85"/>
      <c r="F76" s="85"/>
      <c r="G76" s="85"/>
      <c r="H76" s="85"/>
      <c r="I76" s="85"/>
      <c r="J76" s="85"/>
      <c r="K76" s="85"/>
      <c r="L76" s="85"/>
      <c r="M76" s="85"/>
      <c r="N76" s="85"/>
    </row>
    <row r="77" spans="1:14">
      <c r="A77" s="85" t="s">
        <v>18</v>
      </c>
      <c r="B77" s="85" t="s">
        <v>18</v>
      </c>
      <c r="C77" s="85"/>
      <c r="D77" s="85"/>
      <c r="E77" s="85"/>
      <c r="F77" s="85"/>
      <c r="G77" s="85"/>
      <c r="H77" s="85"/>
      <c r="I77" s="85"/>
      <c r="J77" s="85"/>
      <c r="K77" s="85"/>
      <c r="L77" s="85"/>
      <c r="M77" s="85"/>
      <c r="N77" s="85"/>
    </row>
    <row r="78" spans="1:14" ht="15.75">
      <c r="A78" s="84" t="s">
        <v>19</v>
      </c>
    </row>
    <row r="79" spans="1:14" ht="15.75">
      <c r="A79" s="84" t="s">
        <v>20</v>
      </c>
      <c r="B79" s="84" t="s">
        <v>21</v>
      </c>
      <c r="C79" s="84" t="s">
        <v>18</v>
      </c>
      <c r="D79" s="84" t="s">
        <v>22</v>
      </c>
      <c r="E79" s="84" t="s">
        <v>7</v>
      </c>
      <c r="F79" s="84" t="s">
        <v>13</v>
      </c>
      <c r="G79" s="84" t="s">
        <v>16</v>
      </c>
      <c r="H79" s="84" t="s">
        <v>23</v>
      </c>
      <c r="I79" s="84" t="s">
        <v>24</v>
      </c>
      <c r="J79" s="84" t="s">
        <v>25</v>
      </c>
      <c r="K79" s="84" t="s">
        <v>26</v>
      </c>
      <c r="L79" s="84" t="s">
        <v>27</v>
      </c>
      <c r="M79" s="84" t="s">
        <v>28</v>
      </c>
      <c r="N79" s="84" t="s">
        <v>477</v>
      </c>
    </row>
    <row r="80" spans="1:14">
      <c r="A80" s="85" t="str">
        <f>B70</f>
        <v>airside construction</v>
      </c>
      <c r="B80" s="85">
        <f>B75</f>
        <v>1</v>
      </c>
      <c r="C80" s="85" t="str">
        <f>B77</f>
        <v>unit</v>
      </c>
      <c r="D80" s="85" t="s">
        <v>2</v>
      </c>
      <c r="E80" s="85" t="s">
        <v>29</v>
      </c>
      <c r="F80" s="85" t="str">
        <f>B74</f>
        <v>RER</v>
      </c>
      <c r="G80" s="85" t="s">
        <v>30</v>
      </c>
      <c r="H80" s="85">
        <v>0</v>
      </c>
      <c r="I80" s="85">
        <f>B80</f>
        <v>1</v>
      </c>
      <c r="J80" s="85" t="s">
        <v>31</v>
      </c>
      <c r="K80" s="85" t="s">
        <v>31</v>
      </c>
      <c r="L80" s="85" t="s">
        <v>31</v>
      </c>
      <c r="M80" s="85" t="s">
        <v>31</v>
      </c>
      <c r="N80" s="85"/>
    </row>
    <row r="81" spans="1:14">
      <c r="A81" s="98" t="s">
        <v>537</v>
      </c>
      <c r="B81" s="105">
        <v>1</v>
      </c>
      <c r="C81" s="85" t="s">
        <v>18</v>
      </c>
      <c r="D81" s="85" t="s">
        <v>2</v>
      </c>
      <c r="E81" s="85" t="s">
        <v>29</v>
      </c>
      <c r="F81" s="85" t="s">
        <v>36</v>
      </c>
      <c r="G81" s="85" t="s">
        <v>33</v>
      </c>
      <c r="H81" s="85">
        <v>0</v>
      </c>
      <c r="I81" s="85">
        <f>B81</f>
        <v>1</v>
      </c>
      <c r="J81" s="85" t="s">
        <v>31</v>
      </c>
      <c r="K81" s="85" t="s">
        <v>31</v>
      </c>
      <c r="L81" s="85" t="s">
        <v>31</v>
      </c>
      <c r="M81" s="85" t="s">
        <v>31</v>
      </c>
      <c r="N81" s="85" t="s">
        <v>538</v>
      </c>
    </row>
    <row r="82" spans="1:14">
      <c r="A82" s="98" t="s">
        <v>539</v>
      </c>
      <c r="B82" s="105">
        <v>1</v>
      </c>
      <c r="C82" s="85" t="s">
        <v>18</v>
      </c>
      <c r="D82" s="85" t="s">
        <v>2</v>
      </c>
      <c r="E82" s="85" t="s">
        <v>29</v>
      </c>
      <c r="F82" s="85" t="s">
        <v>36</v>
      </c>
      <c r="G82" s="85" t="s">
        <v>33</v>
      </c>
      <c r="H82" s="85">
        <v>0</v>
      </c>
      <c r="I82" s="85">
        <f>B82</f>
        <v>1</v>
      </c>
      <c r="J82" s="85" t="s">
        <v>31</v>
      </c>
      <c r="K82" s="85" t="s">
        <v>31</v>
      </c>
      <c r="L82" s="85" t="s">
        <v>31</v>
      </c>
      <c r="M82" s="85" t="s">
        <v>31</v>
      </c>
      <c r="N82" s="85" t="s">
        <v>540</v>
      </c>
    </row>
    <row r="83" spans="1:14">
      <c r="A83" s="98" t="s">
        <v>541</v>
      </c>
      <c r="B83" s="105">
        <v>1</v>
      </c>
      <c r="C83" s="85" t="s">
        <v>18</v>
      </c>
      <c r="D83" s="85" t="s">
        <v>2</v>
      </c>
      <c r="E83" s="85" t="s">
        <v>29</v>
      </c>
      <c r="F83" s="85" t="s">
        <v>36</v>
      </c>
      <c r="G83" s="85" t="s">
        <v>33</v>
      </c>
      <c r="H83" s="85">
        <v>0</v>
      </c>
      <c r="I83" s="85">
        <f>B83</f>
        <v>1</v>
      </c>
      <c r="J83" s="85" t="s">
        <v>31</v>
      </c>
      <c r="K83" s="85" t="s">
        <v>31</v>
      </c>
      <c r="L83" s="85" t="s">
        <v>31</v>
      </c>
      <c r="M83" s="85" t="s">
        <v>31</v>
      </c>
      <c r="N83" s="85" t="s">
        <v>542</v>
      </c>
    </row>
    <row r="84" spans="1:14">
      <c r="A84" s="98" t="s">
        <v>543</v>
      </c>
      <c r="B84" s="105">
        <v>1</v>
      </c>
      <c r="C84" s="85" t="s">
        <v>18</v>
      </c>
      <c r="D84" s="85" t="s">
        <v>2</v>
      </c>
      <c r="E84" s="85" t="s">
        <v>29</v>
      </c>
      <c r="F84" s="85" t="s">
        <v>36</v>
      </c>
      <c r="G84" s="85" t="s">
        <v>33</v>
      </c>
      <c r="H84" s="85">
        <v>0</v>
      </c>
      <c r="I84" s="85">
        <f t="shared" ref="I84:I87" si="4">B84</f>
        <v>1</v>
      </c>
      <c r="J84" s="85" t="s">
        <v>31</v>
      </c>
      <c r="K84" s="85" t="s">
        <v>31</v>
      </c>
      <c r="L84" s="85" t="s">
        <v>31</v>
      </c>
      <c r="M84" s="85" t="s">
        <v>31</v>
      </c>
      <c r="N84" s="85" t="s">
        <v>544</v>
      </c>
    </row>
    <row r="85" spans="1:14">
      <c r="A85" s="98" t="s">
        <v>545</v>
      </c>
      <c r="B85" s="105">
        <v>1</v>
      </c>
      <c r="C85" s="85" t="s">
        <v>18</v>
      </c>
      <c r="D85" s="85" t="s">
        <v>2</v>
      </c>
      <c r="E85" s="85" t="s">
        <v>29</v>
      </c>
      <c r="F85" s="85" t="s">
        <v>36</v>
      </c>
      <c r="G85" s="85" t="s">
        <v>33</v>
      </c>
      <c r="H85" s="85">
        <v>0</v>
      </c>
      <c r="I85" s="85">
        <f t="shared" si="4"/>
        <v>1</v>
      </c>
      <c r="J85" s="85" t="s">
        <v>31</v>
      </c>
      <c r="K85" s="85" t="s">
        <v>31</v>
      </c>
      <c r="L85" s="85" t="s">
        <v>31</v>
      </c>
      <c r="M85" s="85" t="s">
        <v>31</v>
      </c>
      <c r="N85" s="85" t="s">
        <v>546</v>
      </c>
    </row>
    <row r="86" spans="1:14">
      <c r="A86" s="98" t="s">
        <v>547</v>
      </c>
      <c r="B86" s="105">
        <v>1</v>
      </c>
      <c r="C86" s="85" t="s">
        <v>18</v>
      </c>
      <c r="D86" s="85" t="s">
        <v>2</v>
      </c>
      <c r="E86" s="85" t="s">
        <v>29</v>
      </c>
      <c r="F86" s="85" t="s">
        <v>36</v>
      </c>
      <c r="G86" s="85" t="s">
        <v>33</v>
      </c>
      <c r="H86" s="85">
        <v>0</v>
      </c>
      <c r="I86" s="85">
        <f t="shared" si="4"/>
        <v>1</v>
      </c>
      <c r="J86" s="85" t="s">
        <v>31</v>
      </c>
      <c r="K86" s="85" t="s">
        <v>31</v>
      </c>
      <c r="L86" s="85" t="s">
        <v>31</v>
      </c>
      <c r="M86" s="85" t="s">
        <v>31</v>
      </c>
      <c r="N86" s="85" t="s">
        <v>548</v>
      </c>
    </row>
    <row r="87" spans="1:14">
      <c r="A87" s="98" t="s">
        <v>549</v>
      </c>
      <c r="B87" s="105">
        <v>1</v>
      </c>
      <c r="C87" s="85" t="s">
        <v>18</v>
      </c>
      <c r="D87" s="85" t="s">
        <v>2</v>
      </c>
      <c r="E87" s="85" t="s">
        <v>29</v>
      </c>
      <c r="F87" s="85" t="s">
        <v>36</v>
      </c>
      <c r="G87" s="85" t="s">
        <v>33</v>
      </c>
      <c r="H87" s="85">
        <v>0</v>
      </c>
      <c r="I87" s="85">
        <f t="shared" si="4"/>
        <v>1</v>
      </c>
      <c r="J87" s="85" t="s">
        <v>31</v>
      </c>
      <c r="K87" s="85" t="s">
        <v>31</v>
      </c>
      <c r="L87" s="85" t="s">
        <v>31</v>
      </c>
      <c r="M87" s="85" t="s">
        <v>31</v>
      </c>
      <c r="N87" s="85" t="s">
        <v>550</v>
      </c>
    </row>
    <row r="88" spans="1:14" ht="15.75">
      <c r="A88" s="87" t="s">
        <v>5</v>
      </c>
      <c r="B88" s="87" t="s">
        <v>537</v>
      </c>
      <c r="C88" s="88"/>
      <c r="D88" s="90"/>
      <c r="E88" s="90"/>
      <c r="F88" s="90"/>
      <c r="G88" s="90"/>
      <c r="H88" s="90"/>
      <c r="I88" s="90"/>
      <c r="J88" s="90"/>
      <c r="K88" s="90"/>
      <c r="L88" s="90"/>
      <c r="M88" s="90"/>
      <c r="N88" s="90"/>
    </row>
    <row r="89" spans="1:14">
      <c r="A89" s="85" t="s">
        <v>7</v>
      </c>
      <c r="B89" s="85" t="s">
        <v>468</v>
      </c>
      <c r="C89" s="85"/>
      <c r="D89" s="85"/>
      <c r="E89" s="85"/>
      <c r="F89" s="85"/>
      <c r="G89" s="85"/>
      <c r="H89" s="85"/>
      <c r="I89" s="85"/>
      <c r="J89" s="85"/>
      <c r="K89" s="85"/>
      <c r="L89" s="85"/>
      <c r="M89" s="85"/>
      <c r="N89" s="85"/>
    </row>
    <row r="90" spans="1:14">
      <c r="A90" s="85" t="s">
        <v>9</v>
      </c>
      <c r="B90" s="85" t="s">
        <v>551</v>
      </c>
      <c r="C90" s="85"/>
      <c r="D90" s="85"/>
      <c r="E90" s="85"/>
      <c r="F90" s="85"/>
      <c r="G90" s="85"/>
      <c r="H90" s="85"/>
      <c r="I90" s="85"/>
      <c r="J90" s="85"/>
      <c r="K90" s="85"/>
      <c r="L90" s="85"/>
      <c r="M90" s="85"/>
      <c r="N90" s="85"/>
    </row>
    <row r="91" spans="1:14">
      <c r="A91" s="85" t="s">
        <v>11</v>
      </c>
      <c r="B91" s="85" t="s">
        <v>552</v>
      </c>
      <c r="C91" s="85"/>
      <c r="D91" s="85"/>
      <c r="E91" s="85"/>
      <c r="F91" s="85"/>
      <c r="G91" s="85"/>
      <c r="H91" s="85"/>
      <c r="I91" s="85"/>
      <c r="J91" s="85"/>
      <c r="K91" s="85"/>
      <c r="L91" s="85"/>
      <c r="M91" s="85"/>
      <c r="N91" s="85"/>
    </row>
    <row r="92" spans="1:14">
      <c r="A92" s="85" t="s">
        <v>13</v>
      </c>
      <c r="B92" s="85" t="s">
        <v>36</v>
      </c>
      <c r="C92" s="85"/>
      <c r="D92" s="85"/>
      <c r="E92" s="85"/>
      <c r="F92" s="85"/>
      <c r="G92" s="85"/>
      <c r="H92" s="85"/>
      <c r="I92" s="85"/>
      <c r="J92" s="85"/>
      <c r="K92" s="85"/>
      <c r="L92" s="85"/>
      <c r="M92" s="85"/>
      <c r="N92" s="85"/>
    </row>
    <row r="93" spans="1:14">
      <c r="A93" s="85" t="s">
        <v>15</v>
      </c>
      <c r="B93" s="98">
        <v>1</v>
      </c>
      <c r="C93" s="85"/>
      <c r="D93" s="85"/>
      <c r="E93" s="85"/>
      <c r="F93" s="85"/>
      <c r="G93" s="85"/>
      <c r="H93" s="85"/>
      <c r="I93" s="85"/>
      <c r="J93" s="85"/>
      <c r="K93" s="85"/>
      <c r="L93" s="85"/>
      <c r="M93" s="85"/>
      <c r="N93" s="85"/>
    </row>
    <row r="94" spans="1:14">
      <c r="A94" s="85" t="s">
        <v>16</v>
      </c>
      <c r="B94" s="85" t="s">
        <v>17</v>
      </c>
      <c r="C94" s="85"/>
      <c r="D94" s="85"/>
      <c r="E94" s="85"/>
      <c r="F94" s="85"/>
      <c r="G94" s="85"/>
      <c r="H94" s="85"/>
      <c r="I94" s="85"/>
      <c r="J94" s="85"/>
      <c r="K94" s="85"/>
      <c r="L94" s="85"/>
      <c r="M94" s="85"/>
      <c r="N94" s="85"/>
    </row>
    <row r="95" spans="1:14">
      <c r="A95" s="85" t="s">
        <v>18</v>
      </c>
      <c r="B95" s="85" t="s">
        <v>18</v>
      </c>
      <c r="C95" s="85"/>
      <c r="D95" s="85"/>
      <c r="E95" s="85"/>
      <c r="F95" s="85"/>
      <c r="G95" s="85"/>
      <c r="H95" s="85"/>
      <c r="I95" s="85"/>
      <c r="J95" s="85"/>
      <c r="K95" s="85"/>
      <c r="L95" s="85"/>
      <c r="M95" s="85"/>
      <c r="N95" s="85"/>
    </row>
    <row r="96" spans="1:14" ht="15.75">
      <c r="A96" s="84" t="s">
        <v>19</v>
      </c>
    </row>
    <row r="97" spans="1:14" ht="15.75">
      <c r="A97" s="84" t="s">
        <v>20</v>
      </c>
      <c r="B97" s="84" t="s">
        <v>21</v>
      </c>
      <c r="C97" s="84" t="s">
        <v>18</v>
      </c>
      <c r="D97" s="84" t="s">
        <v>22</v>
      </c>
      <c r="E97" s="84" t="s">
        <v>7</v>
      </c>
      <c r="F97" s="84" t="s">
        <v>13</v>
      </c>
      <c r="G97" s="84" t="s">
        <v>16</v>
      </c>
      <c r="H97" s="84" t="s">
        <v>23</v>
      </c>
      <c r="I97" s="84" t="s">
        <v>24</v>
      </c>
      <c r="J97" s="84" t="s">
        <v>25</v>
      </c>
      <c r="K97" s="84" t="s">
        <v>26</v>
      </c>
      <c r="L97" s="84" t="s">
        <v>27</v>
      </c>
      <c r="M97" s="84" t="s">
        <v>28</v>
      </c>
      <c r="N97" s="84" t="s">
        <v>477</v>
      </c>
    </row>
    <row r="98" spans="1:14">
      <c r="A98" s="85" t="str">
        <f>B88</f>
        <v>terminals</v>
      </c>
      <c r="B98" s="85">
        <f>B93</f>
        <v>1</v>
      </c>
      <c r="C98" s="85" t="str">
        <f>B95</f>
        <v>unit</v>
      </c>
      <c r="D98" s="85" t="s">
        <v>2</v>
      </c>
      <c r="E98" s="85" t="s">
        <v>29</v>
      </c>
      <c r="F98" s="85" t="str">
        <f>B92</f>
        <v>RER</v>
      </c>
      <c r="G98" s="85" t="s">
        <v>30</v>
      </c>
      <c r="H98" s="85">
        <v>0</v>
      </c>
      <c r="I98" s="85">
        <f>B98</f>
        <v>1</v>
      </c>
      <c r="J98" s="85" t="s">
        <v>31</v>
      </c>
      <c r="K98" s="85" t="s">
        <v>31</v>
      </c>
      <c r="L98" s="85" t="s">
        <v>31</v>
      </c>
      <c r="M98" s="85" t="s">
        <v>31</v>
      </c>
      <c r="N98" s="85"/>
    </row>
    <row r="99" spans="1:14">
      <c r="A99" s="98" t="s">
        <v>516</v>
      </c>
      <c r="B99" s="105">
        <v>44863</v>
      </c>
      <c r="C99" s="85" t="s">
        <v>412</v>
      </c>
      <c r="D99" s="85" t="s">
        <v>43</v>
      </c>
      <c r="E99" s="85" t="s">
        <v>517</v>
      </c>
      <c r="F99" s="85" t="s">
        <v>29</v>
      </c>
      <c r="G99" s="85" t="s">
        <v>45</v>
      </c>
      <c r="H99" s="85">
        <v>0</v>
      </c>
      <c r="I99" s="85">
        <v>49625</v>
      </c>
      <c r="J99" s="85" t="s">
        <v>31</v>
      </c>
      <c r="K99" s="85" t="s">
        <v>31</v>
      </c>
      <c r="L99" s="85" t="s">
        <v>31</v>
      </c>
      <c r="M99" s="85" t="s">
        <v>31</v>
      </c>
      <c r="N99" s="85" t="s">
        <v>518</v>
      </c>
    </row>
    <row r="100" spans="1:14">
      <c r="A100" s="98" t="s">
        <v>519</v>
      </c>
      <c r="B100" s="105">
        <f>B99*100</f>
        <v>4486300</v>
      </c>
      <c r="C100" s="85" t="s">
        <v>520</v>
      </c>
      <c r="D100" s="85" t="s">
        <v>43</v>
      </c>
      <c r="E100" s="85" t="s">
        <v>517</v>
      </c>
      <c r="F100" s="85" t="s">
        <v>29</v>
      </c>
      <c r="G100" s="85" t="s">
        <v>45</v>
      </c>
      <c r="H100" s="85">
        <v>0</v>
      </c>
      <c r="I100" s="85">
        <v>4962500</v>
      </c>
      <c r="J100" s="85" t="s">
        <v>31</v>
      </c>
      <c r="K100" s="85" t="s">
        <v>31</v>
      </c>
      <c r="L100" s="85" t="s">
        <v>31</v>
      </c>
      <c r="M100" s="85" t="s">
        <v>31</v>
      </c>
      <c r="N100" s="85" t="s">
        <v>521</v>
      </c>
    </row>
    <row r="101" spans="1:14" s="85" customFormat="1" ht="12.75">
      <c r="A101" s="98" t="s">
        <v>522</v>
      </c>
      <c r="B101" s="105">
        <f>B99*0.7</f>
        <v>31404.1</v>
      </c>
      <c r="C101" s="85" t="s">
        <v>412</v>
      </c>
      <c r="D101" s="85" t="s">
        <v>40</v>
      </c>
      <c r="E101" s="85" t="s">
        <v>29</v>
      </c>
      <c r="F101" s="85" t="s">
        <v>86</v>
      </c>
      <c r="G101" s="85" t="s">
        <v>33</v>
      </c>
      <c r="H101" s="85">
        <v>0</v>
      </c>
      <c r="I101" s="85">
        <f t="shared" ref="I101:I102" si="5">B101</f>
        <v>31404.1</v>
      </c>
      <c r="J101" s="85" t="s">
        <v>31</v>
      </c>
      <c r="K101" s="85" t="s">
        <v>31</v>
      </c>
      <c r="L101" s="85" t="s">
        <v>31</v>
      </c>
      <c r="M101" s="85" t="s">
        <v>31</v>
      </c>
      <c r="N101" s="85" t="s">
        <v>523</v>
      </c>
    </row>
    <row r="102" spans="1:14" s="85" customFormat="1" ht="12.75">
      <c r="A102" s="109" t="s">
        <v>524</v>
      </c>
      <c r="B102" s="105">
        <f>B99*0.3*5*2.5*P7</f>
        <v>504759.22592259228</v>
      </c>
      <c r="C102" s="85" t="s">
        <v>50</v>
      </c>
      <c r="D102" s="103" t="s">
        <v>40</v>
      </c>
      <c r="E102" s="85" t="s">
        <v>29</v>
      </c>
      <c r="F102" s="85" t="s">
        <v>86</v>
      </c>
      <c r="G102" s="85" t="s">
        <v>33</v>
      </c>
      <c r="H102" s="85">
        <v>0</v>
      </c>
      <c r="I102" s="85">
        <f t="shared" si="5"/>
        <v>504759.22592259228</v>
      </c>
      <c r="J102" s="85" t="s">
        <v>31</v>
      </c>
      <c r="K102" s="85" t="s">
        <v>31</v>
      </c>
      <c r="L102" s="85" t="s">
        <v>31</v>
      </c>
      <c r="M102" s="85" t="s">
        <v>31</v>
      </c>
      <c r="N102" s="85" t="s">
        <v>525</v>
      </c>
    </row>
    <row r="103" spans="1:14" ht="15.75">
      <c r="A103" s="87" t="s">
        <v>5</v>
      </c>
      <c r="B103" s="87" t="s">
        <v>539</v>
      </c>
      <c r="C103" s="88"/>
      <c r="D103" s="90"/>
      <c r="E103" s="90"/>
      <c r="F103" s="90"/>
      <c r="G103" s="90"/>
      <c r="H103" s="90"/>
      <c r="I103" s="90"/>
      <c r="J103" s="90"/>
      <c r="K103" s="90"/>
      <c r="L103" s="90"/>
      <c r="M103" s="90"/>
      <c r="N103" s="90"/>
    </row>
    <row r="104" spans="1:14">
      <c r="A104" s="85" t="s">
        <v>7</v>
      </c>
      <c r="B104" s="85" t="s">
        <v>468</v>
      </c>
      <c r="C104" s="85"/>
      <c r="D104" s="85"/>
      <c r="E104" s="85"/>
      <c r="F104" s="85"/>
      <c r="G104" s="85"/>
      <c r="H104" s="85"/>
      <c r="I104" s="85"/>
      <c r="J104" s="85"/>
      <c r="K104" s="85"/>
      <c r="L104" s="85"/>
      <c r="M104" s="85"/>
      <c r="N104" s="85"/>
    </row>
    <row r="105" spans="1:14">
      <c r="A105" s="85" t="s">
        <v>9</v>
      </c>
      <c r="B105" s="85" t="s">
        <v>553</v>
      </c>
      <c r="C105" s="85"/>
      <c r="D105" s="85"/>
      <c r="E105" s="85"/>
      <c r="F105" s="85"/>
      <c r="G105" s="85"/>
      <c r="H105" s="85"/>
      <c r="I105" s="85"/>
      <c r="J105" s="85"/>
      <c r="K105" s="85"/>
      <c r="L105" s="85"/>
      <c r="M105" s="85"/>
      <c r="N105" s="85"/>
    </row>
    <row r="106" spans="1:14">
      <c r="A106" s="85" t="s">
        <v>11</v>
      </c>
      <c r="B106" s="85" t="s">
        <v>554</v>
      </c>
      <c r="C106" s="85"/>
      <c r="D106" s="85"/>
      <c r="E106" s="85"/>
      <c r="F106" s="85"/>
      <c r="G106" s="85"/>
      <c r="H106" s="85"/>
      <c r="I106" s="85"/>
      <c r="J106" s="85"/>
      <c r="K106" s="85"/>
      <c r="L106" s="85"/>
      <c r="M106" s="85"/>
      <c r="N106" s="85"/>
    </row>
    <row r="107" spans="1:14">
      <c r="A107" s="85" t="s">
        <v>13</v>
      </c>
      <c r="B107" s="85" t="s">
        <v>36</v>
      </c>
      <c r="C107" s="85"/>
      <c r="D107" s="85"/>
      <c r="E107" s="85"/>
      <c r="F107" s="85"/>
      <c r="G107" s="85"/>
      <c r="H107" s="85"/>
      <c r="I107" s="85"/>
      <c r="J107" s="85"/>
      <c r="K107" s="85"/>
      <c r="L107" s="85"/>
      <c r="M107" s="85"/>
      <c r="N107" s="85"/>
    </row>
    <row r="108" spans="1:14">
      <c r="A108" s="85" t="s">
        <v>15</v>
      </c>
      <c r="B108" s="98">
        <v>1</v>
      </c>
      <c r="C108" s="85"/>
      <c r="D108" s="85"/>
      <c r="E108" s="85"/>
      <c r="F108" s="85"/>
      <c r="G108" s="85"/>
      <c r="H108" s="85"/>
      <c r="I108" s="85"/>
      <c r="J108" s="85"/>
      <c r="K108" s="85"/>
      <c r="L108" s="85"/>
      <c r="M108" s="85"/>
      <c r="N108" s="85"/>
    </row>
    <row r="109" spans="1:14">
      <c r="A109" s="85" t="s">
        <v>16</v>
      </c>
      <c r="B109" s="85" t="s">
        <v>17</v>
      </c>
      <c r="C109" s="85"/>
      <c r="D109" s="85"/>
      <c r="E109" s="85"/>
      <c r="F109" s="85"/>
      <c r="G109" s="85"/>
      <c r="H109" s="85"/>
      <c r="I109" s="85"/>
      <c r="J109" s="85"/>
      <c r="K109" s="85"/>
      <c r="L109" s="85"/>
      <c r="M109" s="85"/>
      <c r="N109" s="85"/>
    </row>
    <row r="110" spans="1:14">
      <c r="A110" s="85" t="s">
        <v>18</v>
      </c>
      <c r="B110" s="85" t="s">
        <v>18</v>
      </c>
      <c r="C110" s="85"/>
      <c r="D110" s="85"/>
      <c r="E110" s="85"/>
      <c r="F110" s="85"/>
      <c r="G110" s="85"/>
      <c r="H110" s="85"/>
      <c r="I110" s="85"/>
      <c r="J110" s="85"/>
      <c r="K110" s="85"/>
      <c r="L110" s="85"/>
      <c r="M110" s="85"/>
      <c r="N110" s="85"/>
    </row>
    <row r="111" spans="1:14" ht="15.75">
      <c r="A111" s="84" t="s">
        <v>19</v>
      </c>
    </row>
    <row r="112" spans="1:14" ht="15.75">
      <c r="A112" s="84" t="s">
        <v>20</v>
      </c>
      <c r="B112" s="84" t="s">
        <v>21</v>
      </c>
      <c r="C112" s="84" t="s">
        <v>18</v>
      </c>
      <c r="D112" s="84" t="s">
        <v>22</v>
      </c>
      <c r="E112" s="84" t="s">
        <v>7</v>
      </c>
      <c r="F112" s="84" t="s">
        <v>13</v>
      </c>
      <c r="G112" s="84" t="s">
        <v>16</v>
      </c>
      <c r="H112" s="84" t="s">
        <v>23</v>
      </c>
      <c r="I112" s="84" t="s">
        <v>24</v>
      </c>
      <c r="J112" s="84" t="s">
        <v>25</v>
      </c>
      <c r="K112" s="84" t="s">
        <v>26</v>
      </c>
      <c r="L112" s="84" t="s">
        <v>27</v>
      </c>
      <c r="M112" s="84" t="s">
        <v>28</v>
      </c>
      <c r="N112" s="84" t="s">
        <v>477</v>
      </c>
    </row>
    <row r="113" spans="1:14">
      <c r="A113" s="85" t="str">
        <f>B103</f>
        <v>hangars</v>
      </c>
      <c r="B113" s="85">
        <f>B108</f>
        <v>1</v>
      </c>
      <c r="C113" s="85" t="str">
        <f>B110</f>
        <v>unit</v>
      </c>
      <c r="D113" s="85" t="s">
        <v>2</v>
      </c>
      <c r="E113" s="85" t="s">
        <v>29</v>
      </c>
      <c r="F113" s="85" t="str">
        <f>B107</f>
        <v>RER</v>
      </c>
      <c r="G113" s="85" t="s">
        <v>30</v>
      </c>
      <c r="H113" s="85">
        <v>0</v>
      </c>
      <c r="I113" s="85">
        <f>B113</f>
        <v>1</v>
      </c>
      <c r="J113" s="85" t="s">
        <v>31</v>
      </c>
      <c r="K113" s="85" t="s">
        <v>31</v>
      </c>
      <c r="L113" s="85" t="s">
        <v>31</v>
      </c>
      <c r="M113" s="85" t="s">
        <v>31</v>
      </c>
      <c r="N113" s="85"/>
    </row>
    <row r="114" spans="1:14">
      <c r="A114" s="98" t="s">
        <v>516</v>
      </c>
      <c r="B114" s="105">
        <v>9369</v>
      </c>
      <c r="C114" s="85" t="s">
        <v>412</v>
      </c>
      <c r="D114" s="85" t="s">
        <v>43</v>
      </c>
      <c r="E114" s="85" t="s">
        <v>517</v>
      </c>
      <c r="F114" s="85" t="s">
        <v>29</v>
      </c>
      <c r="G114" s="85" t="s">
        <v>45</v>
      </c>
      <c r="H114" s="85">
        <v>0</v>
      </c>
      <c r="I114" s="85">
        <v>49625</v>
      </c>
      <c r="J114" s="85" t="s">
        <v>31</v>
      </c>
      <c r="K114" s="85" t="s">
        <v>31</v>
      </c>
      <c r="L114" s="85" t="s">
        <v>31</v>
      </c>
      <c r="M114" s="85" t="s">
        <v>31</v>
      </c>
      <c r="N114" s="85" t="s">
        <v>518</v>
      </c>
    </row>
    <row r="115" spans="1:14">
      <c r="A115" s="98" t="s">
        <v>519</v>
      </c>
      <c r="B115" s="105">
        <f>B114*100</f>
        <v>936900</v>
      </c>
      <c r="C115" s="85" t="s">
        <v>520</v>
      </c>
      <c r="D115" s="85" t="s">
        <v>43</v>
      </c>
      <c r="E115" s="85" t="s">
        <v>517</v>
      </c>
      <c r="F115" s="85" t="s">
        <v>29</v>
      </c>
      <c r="G115" s="85" t="s">
        <v>45</v>
      </c>
      <c r="H115" s="85">
        <v>0</v>
      </c>
      <c r="I115" s="85">
        <v>4962500</v>
      </c>
      <c r="J115" s="85" t="s">
        <v>31</v>
      </c>
      <c r="K115" s="85" t="s">
        <v>31</v>
      </c>
      <c r="L115" s="85" t="s">
        <v>31</v>
      </c>
      <c r="M115" s="85" t="s">
        <v>31</v>
      </c>
      <c r="N115" s="85" t="s">
        <v>521</v>
      </c>
    </row>
    <row r="116" spans="1:14" s="85" customFormat="1" ht="12.75">
      <c r="A116" s="98" t="s">
        <v>522</v>
      </c>
      <c r="B116" s="105">
        <f>B114*0.7</f>
        <v>6558.2999999999993</v>
      </c>
      <c r="C116" s="85" t="s">
        <v>412</v>
      </c>
      <c r="D116" s="85" t="s">
        <v>40</v>
      </c>
      <c r="E116" s="85" t="s">
        <v>29</v>
      </c>
      <c r="F116" s="85" t="s">
        <v>86</v>
      </c>
      <c r="G116" s="85" t="s">
        <v>33</v>
      </c>
      <c r="H116" s="85">
        <v>0</v>
      </c>
      <c r="I116" s="85">
        <f t="shared" ref="I116:I117" si="6">B116</f>
        <v>6558.2999999999993</v>
      </c>
      <c r="J116" s="85" t="s">
        <v>31</v>
      </c>
      <c r="K116" s="85" t="s">
        <v>31</v>
      </c>
      <c r="L116" s="85" t="s">
        <v>31</v>
      </c>
      <c r="M116" s="85" t="s">
        <v>31</v>
      </c>
      <c r="N116" s="85" t="s">
        <v>555</v>
      </c>
    </row>
    <row r="117" spans="1:14" s="85" customFormat="1" ht="12.75">
      <c r="A117" s="109" t="s">
        <v>524</v>
      </c>
      <c r="B117" s="105">
        <f>B114*0.3*5*2.5*P7</f>
        <v>105411.79117911791</v>
      </c>
      <c r="C117" s="85" t="s">
        <v>50</v>
      </c>
      <c r="D117" s="103" t="s">
        <v>40</v>
      </c>
      <c r="E117" s="85" t="s">
        <v>29</v>
      </c>
      <c r="F117" s="85" t="s">
        <v>86</v>
      </c>
      <c r="G117" s="85" t="s">
        <v>33</v>
      </c>
      <c r="H117" s="85">
        <v>0</v>
      </c>
      <c r="I117" s="85">
        <f t="shared" si="6"/>
        <v>105411.79117911791</v>
      </c>
      <c r="J117" s="85" t="s">
        <v>31</v>
      </c>
      <c r="K117" s="85" t="s">
        <v>31</v>
      </c>
      <c r="L117" s="85" t="s">
        <v>31</v>
      </c>
      <c r="M117" s="85" t="s">
        <v>31</v>
      </c>
      <c r="N117" s="85" t="s">
        <v>525</v>
      </c>
    </row>
    <row r="118" spans="1:14" ht="15.75">
      <c r="A118" s="87" t="s">
        <v>5</v>
      </c>
      <c r="B118" s="87" t="s">
        <v>541</v>
      </c>
      <c r="C118" s="88"/>
      <c r="D118" s="90"/>
      <c r="E118" s="90"/>
      <c r="F118" s="90"/>
      <c r="G118" s="90"/>
      <c r="H118" s="90"/>
      <c r="I118" s="90"/>
      <c r="J118" s="90"/>
      <c r="K118" s="90"/>
      <c r="L118" s="90"/>
      <c r="M118" s="90"/>
      <c r="N118" s="90"/>
    </row>
    <row r="119" spans="1:14">
      <c r="A119" s="85" t="s">
        <v>7</v>
      </c>
      <c r="B119" s="85" t="s">
        <v>468</v>
      </c>
      <c r="C119" s="85"/>
      <c r="D119" s="85"/>
      <c r="E119" s="85"/>
      <c r="F119" s="85"/>
      <c r="G119" s="85"/>
      <c r="H119" s="85"/>
      <c r="I119" s="85"/>
      <c r="J119" s="85"/>
      <c r="K119" s="85"/>
      <c r="L119" s="85"/>
      <c r="M119" s="85"/>
      <c r="N119" s="85"/>
    </row>
    <row r="120" spans="1:14">
      <c r="A120" s="85" t="s">
        <v>9</v>
      </c>
      <c r="B120" s="85" t="s">
        <v>556</v>
      </c>
      <c r="C120" s="85"/>
      <c r="D120" s="85"/>
      <c r="E120" s="85"/>
      <c r="F120" s="85"/>
      <c r="G120" s="85"/>
      <c r="H120" s="85"/>
      <c r="I120" s="85"/>
      <c r="J120" s="85"/>
      <c r="K120" s="85"/>
      <c r="L120" s="85"/>
      <c r="M120" s="85"/>
      <c r="N120" s="85"/>
    </row>
    <row r="121" spans="1:14">
      <c r="A121" s="85" t="s">
        <v>11</v>
      </c>
      <c r="B121" s="85" t="s">
        <v>557</v>
      </c>
      <c r="C121" s="85"/>
      <c r="D121" s="85"/>
      <c r="E121" s="85"/>
      <c r="F121" s="85"/>
      <c r="G121" s="85"/>
      <c r="H121" s="85"/>
      <c r="I121" s="85"/>
      <c r="J121" s="85"/>
      <c r="K121" s="85"/>
      <c r="L121" s="85"/>
      <c r="M121" s="85"/>
      <c r="N121" s="85"/>
    </row>
    <row r="122" spans="1:14">
      <c r="A122" s="85" t="s">
        <v>13</v>
      </c>
      <c r="B122" s="85" t="s">
        <v>36</v>
      </c>
      <c r="C122" s="85"/>
      <c r="D122" s="85"/>
      <c r="E122" s="85"/>
      <c r="F122" s="85"/>
      <c r="G122" s="85"/>
      <c r="H122" s="85"/>
      <c r="I122" s="85"/>
      <c r="J122" s="85"/>
      <c r="K122" s="85"/>
      <c r="L122" s="85"/>
      <c r="M122" s="85"/>
      <c r="N122" s="85"/>
    </row>
    <row r="123" spans="1:14">
      <c r="A123" s="85" t="s">
        <v>15</v>
      </c>
      <c r="B123" s="98">
        <v>1</v>
      </c>
      <c r="C123" s="85"/>
      <c r="D123" s="85"/>
      <c r="E123" s="85"/>
      <c r="F123" s="85"/>
      <c r="G123" s="85"/>
      <c r="H123" s="85"/>
      <c r="I123" s="85"/>
      <c r="J123" s="85"/>
      <c r="K123" s="85"/>
      <c r="L123" s="85"/>
      <c r="M123" s="85"/>
      <c r="N123" s="85"/>
    </row>
    <row r="124" spans="1:14">
      <c r="A124" s="85" t="s">
        <v>16</v>
      </c>
      <c r="B124" s="85" t="s">
        <v>17</v>
      </c>
      <c r="C124" s="85"/>
      <c r="D124" s="85"/>
      <c r="E124" s="85"/>
      <c r="F124" s="85"/>
      <c r="G124" s="85"/>
      <c r="H124" s="85"/>
      <c r="I124" s="85"/>
      <c r="J124" s="85"/>
      <c r="K124" s="85"/>
      <c r="L124" s="85"/>
      <c r="M124" s="85"/>
      <c r="N124" s="85"/>
    </row>
    <row r="125" spans="1:14">
      <c r="A125" s="85" t="s">
        <v>18</v>
      </c>
      <c r="B125" s="85" t="s">
        <v>18</v>
      </c>
      <c r="C125" s="85"/>
      <c r="D125" s="85"/>
      <c r="E125" s="85"/>
      <c r="F125" s="85"/>
      <c r="G125" s="85"/>
      <c r="H125" s="85"/>
      <c r="I125" s="85"/>
      <c r="J125" s="85"/>
      <c r="K125" s="85"/>
      <c r="L125" s="85"/>
      <c r="M125" s="85"/>
      <c r="N125" s="85"/>
    </row>
    <row r="126" spans="1:14" ht="15.75">
      <c r="A126" s="84" t="s">
        <v>19</v>
      </c>
    </row>
    <row r="127" spans="1:14" ht="15.75">
      <c r="A127" s="84" t="s">
        <v>20</v>
      </c>
      <c r="B127" s="84" t="s">
        <v>21</v>
      </c>
      <c r="C127" s="84" t="s">
        <v>18</v>
      </c>
      <c r="D127" s="84" t="s">
        <v>22</v>
      </c>
      <c r="E127" s="84" t="s">
        <v>7</v>
      </c>
      <c r="F127" s="84" t="s">
        <v>13</v>
      </c>
      <c r="G127" s="84" t="s">
        <v>16</v>
      </c>
      <c r="H127" s="84" t="s">
        <v>23</v>
      </c>
      <c r="I127" s="84" t="s">
        <v>24</v>
      </c>
      <c r="J127" s="84" t="s">
        <v>25</v>
      </c>
      <c r="K127" s="84" t="s">
        <v>26</v>
      </c>
      <c r="L127" s="84" t="s">
        <v>27</v>
      </c>
      <c r="M127" s="84" t="s">
        <v>28</v>
      </c>
      <c r="N127" s="84" t="s">
        <v>477</v>
      </c>
    </row>
    <row r="128" spans="1:14">
      <c r="A128" s="85" t="str">
        <f>B118</f>
        <v>helipad</v>
      </c>
      <c r="B128" s="85">
        <f>B123</f>
        <v>1</v>
      </c>
      <c r="C128" s="85" t="str">
        <f>B125</f>
        <v>unit</v>
      </c>
      <c r="D128" s="85" t="s">
        <v>2</v>
      </c>
      <c r="E128" s="85" t="s">
        <v>29</v>
      </c>
      <c r="F128" s="85" t="str">
        <f>B122</f>
        <v>RER</v>
      </c>
      <c r="G128" s="85" t="s">
        <v>30</v>
      </c>
      <c r="H128" s="85">
        <v>0</v>
      </c>
      <c r="I128" s="85">
        <f>B128</f>
        <v>1</v>
      </c>
      <c r="J128" s="85" t="s">
        <v>31</v>
      </c>
      <c r="K128" s="85" t="s">
        <v>31</v>
      </c>
      <c r="L128" s="85" t="s">
        <v>31</v>
      </c>
      <c r="M128" s="85" t="s">
        <v>31</v>
      </c>
      <c r="N128" s="85"/>
    </row>
    <row r="129" spans="1:14">
      <c r="A129" s="98" t="s">
        <v>516</v>
      </c>
      <c r="B129" s="105">
        <v>100</v>
      </c>
      <c r="C129" s="85" t="s">
        <v>412</v>
      </c>
      <c r="D129" s="85" t="s">
        <v>43</v>
      </c>
      <c r="E129" s="85" t="s">
        <v>517</v>
      </c>
      <c r="F129" s="85" t="s">
        <v>29</v>
      </c>
      <c r="G129" s="85" t="s">
        <v>45</v>
      </c>
      <c r="H129" s="85">
        <v>0</v>
      </c>
      <c r="I129" s="85">
        <v>49625</v>
      </c>
      <c r="J129" s="85" t="s">
        <v>31</v>
      </c>
      <c r="K129" s="85" t="s">
        <v>31</v>
      </c>
      <c r="L129" s="85" t="s">
        <v>31</v>
      </c>
      <c r="M129" s="85" t="s">
        <v>31</v>
      </c>
      <c r="N129" s="85" t="s">
        <v>518</v>
      </c>
    </row>
    <row r="130" spans="1:14">
      <c r="A130" s="98" t="s">
        <v>519</v>
      </c>
      <c r="B130" s="105">
        <f>B129*100</f>
        <v>10000</v>
      </c>
      <c r="C130" s="85" t="s">
        <v>520</v>
      </c>
      <c r="D130" s="85" t="s">
        <v>43</v>
      </c>
      <c r="E130" s="85" t="s">
        <v>517</v>
      </c>
      <c r="F130" s="85" t="s">
        <v>29</v>
      </c>
      <c r="G130" s="85" t="s">
        <v>45</v>
      </c>
      <c r="H130" s="85">
        <v>0</v>
      </c>
      <c r="I130" s="85">
        <v>4962500</v>
      </c>
      <c r="J130" s="85" t="s">
        <v>31</v>
      </c>
      <c r="K130" s="85" t="s">
        <v>31</v>
      </c>
      <c r="L130" s="85" t="s">
        <v>31</v>
      </c>
      <c r="M130" s="85" t="s">
        <v>31</v>
      </c>
      <c r="N130" s="85" t="s">
        <v>521</v>
      </c>
    </row>
    <row r="131" spans="1:14" s="85" customFormat="1" ht="12.75">
      <c r="A131" s="110" t="s">
        <v>530</v>
      </c>
      <c r="B131" s="105">
        <f>B129*0.5*P7</f>
        <v>150.01500150015002</v>
      </c>
      <c r="C131" s="85" t="s">
        <v>50</v>
      </c>
      <c r="D131" s="85" t="s">
        <v>40</v>
      </c>
      <c r="E131" s="85" t="s">
        <v>29</v>
      </c>
      <c r="F131" s="85" t="s">
        <v>117</v>
      </c>
      <c r="G131" s="85" t="s">
        <v>33</v>
      </c>
      <c r="H131" s="85">
        <v>0</v>
      </c>
      <c r="I131" s="85">
        <f t="shared" ref="I131" si="7">B131</f>
        <v>150.01500150015002</v>
      </c>
      <c r="J131" s="85" t="s">
        <v>31</v>
      </c>
      <c r="K131" s="85" t="s">
        <v>31</v>
      </c>
      <c r="L131" s="85" t="s">
        <v>31</v>
      </c>
      <c r="M131" s="85" t="s">
        <v>31</v>
      </c>
      <c r="N131" s="85" t="s">
        <v>558</v>
      </c>
    </row>
    <row r="132" spans="1:14" ht="15.75">
      <c r="A132" s="87" t="s">
        <v>5</v>
      </c>
      <c r="B132" s="87" t="s">
        <v>543</v>
      </c>
      <c r="C132" s="88"/>
      <c r="D132" s="90"/>
      <c r="E132" s="90"/>
      <c r="F132" s="90"/>
      <c r="G132" s="90"/>
      <c r="H132" s="90"/>
      <c r="I132" s="90"/>
      <c r="J132" s="90"/>
      <c r="K132" s="90"/>
      <c r="L132" s="90"/>
      <c r="M132" s="90"/>
      <c r="N132" s="90"/>
    </row>
    <row r="133" spans="1:14">
      <c r="A133" s="85" t="s">
        <v>7</v>
      </c>
      <c r="B133" s="85" t="s">
        <v>468</v>
      </c>
      <c r="C133" s="85"/>
      <c r="D133" s="85"/>
      <c r="E133" s="85"/>
      <c r="F133" s="85"/>
      <c r="G133" s="85"/>
      <c r="H133" s="85"/>
      <c r="I133" s="85"/>
      <c r="J133" s="85"/>
      <c r="K133" s="85"/>
      <c r="L133" s="85"/>
      <c r="M133" s="85"/>
      <c r="N133" s="85"/>
    </row>
    <row r="134" spans="1:14">
      <c r="A134" s="85" t="s">
        <v>9</v>
      </c>
      <c r="B134" s="85" t="s">
        <v>559</v>
      </c>
      <c r="C134" s="85"/>
      <c r="D134" s="85"/>
      <c r="E134" s="85"/>
      <c r="F134" s="85"/>
      <c r="G134" s="85"/>
      <c r="H134" s="85"/>
      <c r="I134" s="85"/>
      <c r="J134" s="85"/>
      <c r="K134" s="85"/>
      <c r="L134" s="85"/>
      <c r="M134" s="85"/>
      <c r="N134" s="85"/>
    </row>
    <row r="135" spans="1:14">
      <c r="A135" s="85" t="s">
        <v>11</v>
      </c>
      <c r="B135" s="85" t="s">
        <v>560</v>
      </c>
      <c r="C135" s="85"/>
      <c r="D135" s="85"/>
      <c r="E135" s="85"/>
      <c r="F135" s="85"/>
      <c r="G135" s="85"/>
      <c r="H135" s="85"/>
      <c r="I135" s="85"/>
      <c r="J135" s="85"/>
      <c r="K135" s="85"/>
      <c r="L135" s="85"/>
      <c r="M135" s="85"/>
      <c r="N135" s="85"/>
    </row>
    <row r="136" spans="1:14">
      <c r="A136" s="85" t="s">
        <v>13</v>
      </c>
      <c r="B136" s="85" t="s">
        <v>36</v>
      </c>
      <c r="C136" s="85"/>
      <c r="D136" s="85"/>
      <c r="E136" s="85"/>
      <c r="F136" s="85"/>
      <c r="G136" s="85"/>
      <c r="H136" s="85"/>
      <c r="I136" s="85"/>
      <c r="J136" s="85"/>
      <c r="K136" s="85"/>
      <c r="L136" s="85"/>
      <c r="M136" s="85"/>
      <c r="N136" s="85"/>
    </row>
    <row r="137" spans="1:14">
      <c r="A137" s="85" t="s">
        <v>15</v>
      </c>
      <c r="B137" s="98">
        <v>1</v>
      </c>
      <c r="C137" s="85"/>
      <c r="D137" s="85"/>
      <c r="E137" s="85"/>
      <c r="F137" s="85"/>
      <c r="G137" s="85"/>
      <c r="H137" s="85"/>
      <c r="I137" s="85"/>
      <c r="J137" s="85"/>
      <c r="K137" s="85"/>
      <c r="L137" s="85"/>
      <c r="M137" s="85"/>
      <c r="N137" s="85"/>
    </row>
    <row r="138" spans="1:14">
      <c r="A138" s="85" t="s">
        <v>16</v>
      </c>
      <c r="B138" s="85" t="s">
        <v>17</v>
      </c>
      <c r="C138" s="85"/>
      <c r="D138" s="85"/>
      <c r="E138" s="85"/>
      <c r="F138" s="85"/>
      <c r="G138" s="85"/>
      <c r="H138" s="85"/>
      <c r="I138" s="85"/>
      <c r="J138" s="85"/>
      <c r="K138" s="85"/>
      <c r="L138" s="85"/>
      <c r="M138" s="85"/>
      <c r="N138" s="85"/>
    </row>
    <row r="139" spans="1:14">
      <c r="A139" s="85" t="s">
        <v>18</v>
      </c>
      <c r="B139" s="85" t="s">
        <v>18</v>
      </c>
      <c r="C139" s="85"/>
      <c r="D139" s="85"/>
      <c r="E139" s="85"/>
      <c r="F139" s="85"/>
      <c r="G139" s="85"/>
      <c r="H139" s="85"/>
      <c r="I139" s="85"/>
      <c r="J139" s="85"/>
      <c r="K139" s="85"/>
      <c r="L139" s="85"/>
      <c r="M139" s="85"/>
      <c r="N139" s="85"/>
    </row>
    <row r="140" spans="1:14" ht="15.75">
      <c r="A140" s="84" t="s">
        <v>19</v>
      </c>
    </row>
    <row r="141" spans="1:14" ht="15.75">
      <c r="A141" s="84" t="s">
        <v>20</v>
      </c>
      <c r="B141" s="84" t="s">
        <v>21</v>
      </c>
      <c r="C141" s="84" t="s">
        <v>18</v>
      </c>
      <c r="D141" s="84" t="s">
        <v>22</v>
      </c>
      <c r="E141" s="84" t="s">
        <v>7</v>
      </c>
      <c r="F141" s="84" t="s">
        <v>13</v>
      </c>
      <c r="G141" s="84" t="s">
        <v>16</v>
      </c>
      <c r="H141" s="84" t="s">
        <v>23</v>
      </c>
      <c r="I141" s="84" t="s">
        <v>24</v>
      </c>
      <c r="J141" s="84" t="s">
        <v>25</v>
      </c>
      <c r="K141" s="84" t="s">
        <v>26</v>
      </c>
      <c r="L141" s="84" t="s">
        <v>27</v>
      </c>
      <c r="M141" s="84" t="s">
        <v>28</v>
      </c>
      <c r="N141" s="84" t="s">
        <v>477</v>
      </c>
    </row>
    <row r="142" spans="1:14">
      <c r="A142" s="85" t="str">
        <f>B132</f>
        <v>apron</v>
      </c>
      <c r="B142" s="85">
        <f>B137</f>
        <v>1</v>
      </c>
      <c r="C142" s="85" t="str">
        <f>B139</f>
        <v>unit</v>
      </c>
      <c r="D142" s="85" t="s">
        <v>2</v>
      </c>
      <c r="E142" s="85" t="s">
        <v>29</v>
      </c>
      <c r="F142" s="85" t="str">
        <f>B136</f>
        <v>RER</v>
      </c>
      <c r="G142" s="85" t="s">
        <v>30</v>
      </c>
      <c r="H142" s="85">
        <v>0</v>
      </c>
      <c r="I142" s="85">
        <f>B142</f>
        <v>1</v>
      </c>
      <c r="J142" s="85" t="s">
        <v>31</v>
      </c>
      <c r="K142" s="85" t="s">
        <v>31</v>
      </c>
      <c r="L142" s="85" t="s">
        <v>31</v>
      </c>
      <c r="M142" s="85" t="s">
        <v>31</v>
      </c>
      <c r="N142" s="85"/>
    </row>
    <row r="143" spans="1:14" s="85" customFormat="1" ht="12.75">
      <c r="A143" s="98" t="s">
        <v>528</v>
      </c>
      <c r="B143" s="85">
        <v>98000</v>
      </c>
      <c r="C143" s="85" t="s">
        <v>412</v>
      </c>
      <c r="D143" s="85" t="s">
        <v>43</v>
      </c>
      <c r="E143" s="85" t="s">
        <v>517</v>
      </c>
      <c r="F143" s="85" t="s">
        <v>29</v>
      </c>
      <c r="G143" s="85" t="s">
        <v>45</v>
      </c>
      <c r="H143" s="85">
        <v>0</v>
      </c>
      <c r="I143" s="85">
        <f>B143</f>
        <v>98000</v>
      </c>
      <c r="J143" s="85" t="s">
        <v>31</v>
      </c>
      <c r="K143" s="85" t="s">
        <v>31</v>
      </c>
      <c r="L143" s="85" t="s">
        <v>31</v>
      </c>
      <c r="M143" s="85" t="s">
        <v>31</v>
      </c>
      <c r="N143" s="85" t="s">
        <v>518</v>
      </c>
    </row>
    <row r="144" spans="1:14" s="85" customFormat="1" ht="12.75">
      <c r="A144" s="85" t="s">
        <v>529</v>
      </c>
      <c r="B144" s="85">
        <f>100*B143</f>
        <v>9800000</v>
      </c>
      <c r="C144" s="85" t="s">
        <v>520</v>
      </c>
      <c r="D144" s="85" t="s">
        <v>43</v>
      </c>
      <c r="E144" s="85" t="s">
        <v>517</v>
      </c>
      <c r="F144" s="85" t="s">
        <v>29</v>
      </c>
      <c r="G144" s="85" t="s">
        <v>45</v>
      </c>
      <c r="H144" s="85">
        <v>0</v>
      </c>
      <c r="I144" s="85">
        <f>B144</f>
        <v>9800000</v>
      </c>
      <c r="J144" s="85" t="s">
        <v>31</v>
      </c>
      <c r="K144" s="85" t="s">
        <v>31</v>
      </c>
      <c r="L144" s="85" t="s">
        <v>31</v>
      </c>
      <c r="M144" s="85" t="s">
        <v>31</v>
      </c>
      <c r="N144" s="85" t="s">
        <v>521</v>
      </c>
    </row>
    <row r="145" spans="1:14" s="85" customFormat="1" ht="12.75">
      <c r="A145" s="110" t="s">
        <v>561</v>
      </c>
      <c r="B145" s="105">
        <f>B143*0.22*P7</f>
        <v>64686.468646864683</v>
      </c>
      <c r="C145" s="85" t="s">
        <v>50</v>
      </c>
      <c r="D145" s="85" t="s">
        <v>40</v>
      </c>
      <c r="E145" s="85" t="s">
        <v>29</v>
      </c>
      <c r="F145" s="85" t="s">
        <v>86</v>
      </c>
      <c r="G145" s="85" t="s">
        <v>33</v>
      </c>
      <c r="H145" s="85">
        <v>0</v>
      </c>
      <c r="I145" s="85">
        <f t="shared" ref="I145:I150" si="8">B145</f>
        <v>64686.468646864683</v>
      </c>
      <c r="J145" s="85" t="s">
        <v>31</v>
      </c>
      <c r="K145" s="85" t="s">
        <v>31</v>
      </c>
      <c r="L145" s="85" t="s">
        <v>31</v>
      </c>
      <c r="M145" s="85" t="s">
        <v>31</v>
      </c>
      <c r="N145" s="85" t="s">
        <v>562</v>
      </c>
    </row>
    <row r="146" spans="1:14" s="85" customFormat="1" ht="12.75">
      <c r="A146" s="109" t="s">
        <v>249</v>
      </c>
      <c r="B146" s="85">
        <f>1.8*B143*P7</f>
        <v>529252.92529252928</v>
      </c>
      <c r="C146" s="85" t="s">
        <v>39</v>
      </c>
      <c r="D146" s="85" t="s">
        <v>40</v>
      </c>
      <c r="E146" s="85" t="s">
        <v>29</v>
      </c>
      <c r="F146" s="85" t="s">
        <v>86</v>
      </c>
      <c r="G146" s="85" t="s">
        <v>33</v>
      </c>
      <c r="H146" s="85">
        <v>0</v>
      </c>
      <c r="I146" s="85">
        <f t="shared" si="8"/>
        <v>529252.92529252928</v>
      </c>
      <c r="J146" s="85" t="s">
        <v>31</v>
      </c>
      <c r="K146" s="85" t="s">
        <v>31</v>
      </c>
      <c r="L146" s="85" t="s">
        <v>31</v>
      </c>
      <c r="M146" s="85" t="s">
        <v>31</v>
      </c>
      <c r="N146" s="85" t="s">
        <v>563</v>
      </c>
    </row>
    <row r="147" spans="1:14" s="85" customFormat="1" ht="12.75">
      <c r="A147" s="85" t="s">
        <v>564</v>
      </c>
      <c r="B147" s="85">
        <f>0.4*1600*B143</f>
        <v>62720000</v>
      </c>
      <c r="C147" s="85" t="s">
        <v>39</v>
      </c>
      <c r="D147" s="85" t="s">
        <v>40</v>
      </c>
      <c r="E147" s="85" t="s">
        <v>29</v>
      </c>
      <c r="F147" s="85" t="s">
        <v>565</v>
      </c>
      <c r="G147" s="85" t="s">
        <v>33</v>
      </c>
      <c r="H147" s="85">
        <v>0</v>
      </c>
      <c r="I147" s="85">
        <f t="shared" si="8"/>
        <v>62720000</v>
      </c>
      <c r="J147" s="85" t="s">
        <v>31</v>
      </c>
      <c r="K147" s="85" t="s">
        <v>31</v>
      </c>
      <c r="L147" s="85" t="s">
        <v>31</v>
      </c>
      <c r="M147" s="85" t="s">
        <v>31</v>
      </c>
      <c r="N147" s="85" t="s">
        <v>566</v>
      </c>
    </row>
    <row r="148" spans="1:14" s="85" customFormat="1" ht="12.75">
      <c r="A148" s="85" t="s">
        <v>567</v>
      </c>
      <c r="B148" s="85">
        <f>0.747*B143</f>
        <v>73206</v>
      </c>
      <c r="C148" s="85" t="s">
        <v>50</v>
      </c>
      <c r="D148" s="85" t="s">
        <v>40</v>
      </c>
      <c r="E148" s="85" t="s">
        <v>29</v>
      </c>
      <c r="F148" s="85" t="s">
        <v>36</v>
      </c>
      <c r="G148" s="85" t="s">
        <v>33</v>
      </c>
      <c r="H148" s="85">
        <v>0</v>
      </c>
      <c r="I148" s="85">
        <f t="shared" si="8"/>
        <v>73206</v>
      </c>
      <c r="J148" s="85" t="s">
        <v>31</v>
      </c>
      <c r="K148" s="85" t="s">
        <v>31</v>
      </c>
      <c r="L148" s="85" t="s">
        <v>31</v>
      </c>
      <c r="M148" s="85" t="s">
        <v>31</v>
      </c>
      <c r="N148" s="85" t="s">
        <v>568</v>
      </c>
    </row>
    <row r="149" spans="1:14" s="85" customFormat="1" ht="12.75">
      <c r="A149" s="85" t="s">
        <v>97</v>
      </c>
      <c r="B149" s="85">
        <f>35.7*B143</f>
        <v>3498600.0000000005</v>
      </c>
      <c r="C149" s="85" t="s">
        <v>98</v>
      </c>
      <c r="D149" s="85" t="s">
        <v>40</v>
      </c>
      <c r="E149" s="85" t="s">
        <v>29</v>
      </c>
      <c r="F149" s="85" t="s">
        <v>36</v>
      </c>
      <c r="G149" s="85" t="s">
        <v>33</v>
      </c>
      <c r="H149" s="85">
        <v>0</v>
      </c>
      <c r="I149" s="85">
        <f t="shared" si="8"/>
        <v>3498600.0000000005</v>
      </c>
      <c r="J149" s="85" t="s">
        <v>31</v>
      </c>
      <c r="K149" s="85" t="s">
        <v>31</v>
      </c>
      <c r="L149" s="85" t="s">
        <v>31</v>
      </c>
      <c r="M149" s="85" t="s">
        <v>31</v>
      </c>
      <c r="N149" s="85" t="s">
        <v>569</v>
      </c>
    </row>
    <row r="150" spans="1:14" s="85" customFormat="1" ht="12.75">
      <c r="A150" s="85" t="s">
        <v>570</v>
      </c>
      <c r="B150" s="85">
        <f>250.5*B143</f>
        <v>24549000</v>
      </c>
      <c r="C150" s="85" t="s">
        <v>124</v>
      </c>
      <c r="D150" s="85" t="s">
        <v>40</v>
      </c>
      <c r="E150" s="85" t="s">
        <v>29</v>
      </c>
      <c r="F150" s="85" t="s">
        <v>86</v>
      </c>
      <c r="G150" s="85" t="s">
        <v>33</v>
      </c>
      <c r="H150" s="85">
        <v>0</v>
      </c>
      <c r="I150" s="85">
        <f t="shared" si="8"/>
        <v>24549000</v>
      </c>
      <c r="J150" s="85" t="s">
        <v>31</v>
      </c>
      <c r="K150" s="85" t="s">
        <v>31</v>
      </c>
      <c r="L150" s="85" t="s">
        <v>31</v>
      </c>
      <c r="M150" s="85" t="s">
        <v>31</v>
      </c>
      <c r="N150" s="85" t="s">
        <v>571</v>
      </c>
    </row>
    <row r="151" spans="1:14" s="85" customFormat="1" ht="15.75">
      <c r="A151" s="87" t="s">
        <v>5</v>
      </c>
      <c r="B151" s="87" t="s">
        <v>545</v>
      </c>
      <c r="C151" s="88"/>
      <c r="D151" s="90"/>
      <c r="E151" s="90"/>
      <c r="F151" s="90"/>
      <c r="G151" s="90"/>
      <c r="H151" s="90"/>
      <c r="I151" s="90"/>
      <c r="J151" s="90"/>
      <c r="K151" s="90"/>
      <c r="L151" s="90"/>
      <c r="M151" s="90"/>
      <c r="N151" s="90"/>
    </row>
    <row r="152" spans="1:14" s="85" customFormat="1" ht="12.75">
      <c r="A152" s="85" t="s">
        <v>7</v>
      </c>
      <c r="B152" s="85" t="s">
        <v>468</v>
      </c>
    </row>
    <row r="153" spans="1:14" s="85" customFormat="1" ht="12.75">
      <c r="A153" s="85" t="s">
        <v>9</v>
      </c>
      <c r="B153" s="85" t="s">
        <v>572</v>
      </c>
    </row>
    <row r="154" spans="1:14" s="85" customFormat="1" ht="12.75">
      <c r="A154" s="85" t="s">
        <v>11</v>
      </c>
      <c r="B154" s="85" t="s">
        <v>573</v>
      </c>
    </row>
    <row r="155" spans="1:14" s="85" customFormat="1" ht="12.75">
      <c r="A155" s="85" t="s">
        <v>13</v>
      </c>
      <c r="B155" s="85" t="s">
        <v>36</v>
      </c>
    </row>
    <row r="156" spans="1:14" s="85" customFormat="1" ht="12.75">
      <c r="A156" s="85" t="s">
        <v>15</v>
      </c>
      <c r="B156" s="98">
        <v>1</v>
      </c>
    </row>
    <row r="157" spans="1:14" s="85" customFormat="1" ht="12.75">
      <c r="A157" s="85" t="s">
        <v>16</v>
      </c>
      <c r="B157" s="85" t="s">
        <v>17</v>
      </c>
    </row>
    <row r="158" spans="1:14" s="85" customFormat="1" ht="12.75">
      <c r="A158" s="85" t="s">
        <v>18</v>
      </c>
      <c r="B158" s="85" t="s">
        <v>18</v>
      </c>
    </row>
    <row r="159" spans="1:14" ht="15.75">
      <c r="A159" s="84" t="s">
        <v>19</v>
      </c>
    </row>
    <row r="160" spans="1:14" ht="15.75">
      <c r="A160" s="84" t="s">
        <v>20</v>
      </c>
      <c r="B160" s="84" t="s">
        <v>21</v>
      </c>
      <c r="C160" s="84" t="s">
        <v>18</v>
      </c>
      <c r="D160" s="84" t="s">
        <v>22</v>
      </c>
      <c r="E160" s="84" t="s">
        <v>7</v>
      </c>
      <c r="F160" s="84" t="s">
        <v>13</v>
      </c>
      <c r="G160" s="84" t="s">
        <v>16</v>
      </c>
      <c r="H160" s="84" t="s">
        <v>23</v>
      </c>
      <c r="I160" s="84" t="s">
        <v>24</v>
      </c>
      <c r="J160" s="84" t="s">
        <v>25</v>
      </c>
      <c r="K160" s="84" t="s">
        <v>26</v>
      </c>
      <c r="L160" s="84" t="s">
        <v>27</v>
      </c>
      <c r="M160" s="84" t="s">
        <v>28</v>
      </c>
      <c r="N160" s="84" t="s">
        <v>477</v>
      </c>
    </row>
    <row r="161" spans="1:14">
      <c r="A161" s="85" t="str">
        <f>B151</f>
        <v>taxiway</v>
      </c>
      <c r="B161" s="85">
        <f>B156</f>
        <v>1</v>
      </c>
      <c r="C161" s="85" t="str">
        <f>B158</f>
        <v>unit</v>
      </c>
      <c r="D161" s="85" t="s">
        <v>2</v>
      </c>
      <c r="E161" s="85" t="s">
        <v>29</v>
      </c>
      <c r="F161" s="85" t="str">
        <f>B155</f>
        <v>RER</v>
      </c>
      <c r="G161" s="85" t="s">
        <v>30</v>
      </c>
      <c r="H161" s="85">
        <v>0</v>
      </c>
      <c r="I161" s="85">
        <f>B161</f>
        <v>1</v>
      </c>
      <c r="J161" s="85" t="s">
        <v>31</v>
      </c>
      <c r="K161" s="85" t="s">
        <v>31</v>
      </c>
      <c r="L161" s="85" t="s">
        <v>31</v>
      </c>
      <c r="M161" s="85" t="s">
        <v>31</v>
      </c>
      <c r="N161" s="85"/>
    </row>
    <row r="162" spans="1:14">
      <c r="A162" s="98" t="s">
        <v>528</v>
      </c>
      <c r="B162" s="85">
        <v>78720</v>
      </c>
      <c r="C162" s="85" t="s">
        <v>412</v>
      </c>
      <c r="D162" s="85" t="s">
        <v>98</v>
      </c>
      <c r="E162" s="85" t="s">
        <v>517</v>
      </c>
      <c r="F162" s="85" t="s">
        <v>29</v>
      </c>
      <c r="G162" s="85" t="s">
        <v>45</v>
      </c>
      <c r="H162" s="85">
        <v>0</v>
      </c>
      <c r="I162" s="85">
        <f>B162</f>
        <v>78720</v>
      </c>
      <c r="J162" s="85" t="s">
        <v>31</v>
      </c>
      <c r="K162" s="85" t="s">
        <v>31</v>
      </c>
      <c r="L162" s="85" t="s">
        <v>31</v>
      </c>
      <c r="M162" s="85" t="s">
        <v>31</v>
      </c>
      <c r="N162" s="85" t="s">
        <v>518</v>
      </c>
    </row>
    <row r="163" spans="1:14">
      <c r="A163" s="85" t="s">
        <v>529</v>
      </c>
      <c r="B163" s="85">
        <f>100*B162</f>
        <v>7872000</v>
      </c>
      <c r="C163" s="85" t="s">
        <v>520</v>
      </c>
      <c r="D163" s="85" t="s">
        <v>43</v>
      </c>
      <c r="E163" s="85" t="s">
        <v>517</v>
      </c>
      <c r="F163" s="85" t="s">
        <v>29</v>
      </c>
      <c r="G163" s="85" t="s">
        <v>45</v>
      </c>
      <c r="H163" s="85">
        <v>0</v>
      </c>
      <c r="I163" s="85">
        <f>B163</f>
        <v>7872000</v>
      </c>
      <c r="J163" s="85" t="s">
        <v>31</v>
      </c>
      <c r="K163" s="85" t="s">
        <v>31</v>
      </c>
      <c r="L163" s="85" t="s">
        <v>31</v>
      </c>
      <c r="M163" s="85" t="s">
        <v>31</v>
      </c>
      <c r="N163" s="85" t="s">
        <v>521</v>
      </c>
    </row>
    <row r="164" spans="1:14">
      <c r="A164" s="110" t="s">
        <v>561</v>
      </c>
      <c r="B164" s="105">
        <f>B162*0.22*P7</f>
        <v>51960.396039603962</v>
      </c>
      <c r="C164" s="85" t="s">
        <v>50</v>
      </c>
      <c r="D164" s="85" t="s">
        <v>40</v>
      </c>
      <c r="E164" s="85" t="s">
        <v>29</v>
      </c>
      <c r="F164" s="85" t="s">
        <v>86</v>
      </c>
      <c r="G164" s="85" t="s">
        <v>33</v>
      </c>
      <c r="H164" s="85">
        <v>0</v>
      </c>
      <c r="I164" s="85">
        <f t="shared" ref="I164:I169" si="9">B164</f>
        <v>51960.396039603962</v>
      </c>
      <c r="J164" s="85" t="s">
        <v>31</v>
      </c>
      <c r="K164" s="85" t="s">
        <v>31</v>
      </c>
      <c r="L164" s="85" t="s">
        <v>31</v>
      </c>
      <c r="M164" s="85" t="s">
        <v>31</v>
      </c>
      <c r="N164" s="85" t="s">
        <v>562</v>
      </c>
    </row>
    <row r="165" spans="1:14">
      <c r="A165" s="109" t="s">
        <v>249</v>
      </c>
      <c r="B165" s="85">
        <f>1.8*B162*P7</f>
        <v>425130.51305130514</v>
      </c>
      <c r="C165" s="85" t="s">
        <v>39</v>
      </c>
      <c r="D165" s="85" t="s">
        <v>40</v>
      </c>
      <c r="E165" s="85" t="s">
        <v>29</v>
      </c>
      <c r="F165" s="85" t="s">
        <v>86</v>
      </c>
      <c r="G165" s="85" t="s">
        <v>33</v>
      </c>
      <c r="H165" s="85">
        <v>0</v>
      </c>
      <c r="I165" s="85">
        <f t="shared" si="9"/>
        <v>425130.51305130514</v>
      </c>
      <c r="J165" s="85" t="s">
        <v>31</v>
      </c>
      <c r="K165" s="85" t="s">
        <v>31</v>
      </c>
      <c r="L165" s="85" t="s">
        <v>31</v>
      </c>
      <c r="M165" s="85" t="s">
        <v>31</v>
      </c>
      <c r="N165" s="85" t="s">
        <v>574</v>
      </c>
    </row>
    <row r="166" spans="1:14">
      <c r="A166" s="85" t="s">
        <v>564</v>
      </c>
      <c r="B166" s="85">
        <f>0.4*1600*B162</f>
        <v>50380800</v>
      </c>
      <c r="C166" s="85" t="s">
        <v>39</v>
      </c>
      <c r="D166" s="85" t="s">
        <v>40</v>
      </c>
      <c r="E166" s="85" t="s">
        <v>29</v>
      </c>
      <c r="F166" s="85" t="s">
        <v>565</v>
      </c>
      <c r="G166" s="85" t="s">
        <v>33</v>
      </c>
      <c r="H166" s="85">
        <v>0</v>
      </c>
      <c r="I166" s="85">
        <f t="shared" si="9"/>
        <v>50380800</v>
      </c>
      <c r="J166" s="85" t="s">
        <v>31</v>
      </c>
      <c r="K166" s="85" t="s">
        <v>31</v>
      </c>
      <c r="L166" s="85" t="s">
        <v>31</v>
      </c>
      <c r="M166" s="85" t="s">
        <v>31</v>
      </c>
      <c r="N166" s="85" t="s">
        <v>566</v>
      </c>
    </row>
    <row r="167" spans="1:14">
      <c r="A167" s="85" t="s">
        <v>567</v>
      </c>
      <c r="B167" s="85">
        <f>0.747*B162</f>
        <v>58803.839999999997</v>
      </c>
      <c r="C167" s="85" t="s">
        <v>50</v>
      </c>
      <c r="D167" s="85" t="s">
        <v>40</v>
      </c>
      <c r="E167" s="85" t="s">
        <v>29</v>
      </c>
      <c r="F167" s="85" t="s">
        <v>36</v>
      </c>
      <c r="G167" s="85" t="s">
        <v>33</v>
      </c>
      <c r="H167" s="85">
        <v>0</v>
      </c>
      <c r="I167" s="85">
        <f t="shared" si="9"/>
        <v>58803.839999999997</v>
      </c>
      <c r="J167" s="85" t="s">
        <v>31</v>
      </c>
      <c r="K167" s="85" t="s">
        <v>31</v>
      </c>
      <c r="L167" s="85" t="s">
        <v>31</v>
      </c>
      <c r="M167" s="85" t="s">
        <v>31</v>
      </c>
      <c r="N167" s="85" t="s">
        <v>568</v>
      </c>
    </row>
    <row r="168" spans="1:14" s="85" customFormat="1" ht="12.75">
      <c r="A168" s="85" t="s">
        <v>97</v>
      </c>
      <c r="B168" s="85">
        <f>35.7*B162</f>
        <v>2810304</v>
      </c>
      <c r="C168" s="85" t="s">
        <v>98</v>
      </c>
      <c r="D168" s="85" t="s">
        <v>40</v>
      </c>
      <c r="E168" s="85" t="s">
        <v>29</v>
      </c>
      <c r="F168" s="85" t="s">
        <v>36</v>
      </c>
      <c r="G168" s="85" t="s">
        <v>33</v>
      </c>
      <c r="H168" s="85">
        <v>0</v>
      </c>
      <c r="I168" s="85">
        <f t="shared" si="9"/>
        <v>2810304</v>
      </c>
      <c r="J168" s="85" t="s">
        <v>31</v>
      </c>
      <c r="K168" s="85" t="s">
        <v>31</v>
      </c>
      <c r="L168" s="85" t="s">
        <v>31</v>
      </c>
      <c r="M168" s="85" t="s">
        <v>31</v>
      </c>
      <c r="N168" s="85" t="s">
        <v>569</v>
      </c>
    </row>
    <row r="169" spans="1:14" s="85" customFormat="1" ht="12.75">
      <c r="A169" s="85" t="s">
        <v>570</v>
      </c>
      <c r="B169" s="85">
        <f>250.5*B162</f>
        <v>19719360</v>
      </c>
      <c r="C169" s="85" t="s">
        <v>124</v>
      </c>
      <c r="D169" s="85" t="s">
        <v>40</v>
      </c>
      <c r="E169" s="85" t="s">
        <v>29</v>
      </c>
      <c r="F169" s="85" t="s">
        <v>86</v>
      </c>
      <c r="G169" s="85" t="s">
        <v>33</v>
      </c>
      <c r="H169" s="85">
        <v>0</v>
      </c>
      <c r="I169" s="85">
        <f t="shared" si="9"/>
        <v>19719360</v>
      </c>
      <c r="J169" s="85" t="s">
        <v>31</v>
      </c>
      <c r="K169" s="85" t="s">
        <v>31</v>
      </c>
      <c r="L169" s="85" t="s">
        <v>31</v>
      </c>
      <c r="M169" s="85" t="s">
        <v>31</v>
      </c>
      <c r="N169" s="85" t="s">
        <v>571</v>
      </c>
    </row>
    <row r="170" spans="1:14" s="85" customFormat="1" ht="15.75">
      <c r="A170" s="87" t="s">
        <v>5</v>
      </c>
      <c r="B170" s="87" t="s">
        <v>547</v>
      </c>
      <c r="C170" s="88"/>
      <c r="D170" s="90"/>
      <c r="E170" s="90"/>
      <c r="F170" s="90"/>
      <c r="G170" s="90"/>
      <c r="H170" s="90"/>
      <c r="I170" s="90"/>
      <c r="J170" s="90"/>
      <c r="K170" s="90"/>
      <c r="L170" s="90"/>
      <c r="M170" s="90"/>
      <c r="N170" s="90"/>
    </row>
    <row r="171" spans="1:14" s="85" customFormat="1" ht="12.75">
      <c r="A171" s="85" t="s">
        <v>7</v>
      </c>
      <c r="B171" s="85" t="s">
        <v>468</v>
      </c>
    </row>
    <row r="172" spans="1:14" s="85" customFormat="1" ht="12.75">
      <c r="A172" s="85" t="s">
        <v>9</v>
      </c>
      <c r="B172" s="85" t="s">
        <v>575</v>
      </c>
    </row>
    <row r="173" spans="1:14" s="85" customFormat="1" ht="12.75">
      <c r="A173" s="85" t="s">
        <v>11</v>
      </c>
      <c r="B173" s="85" t="s">
        <v>576</v>
      </c>
    </row>
    <row r="174" spans="1:14" s="85" customFormat="1" ht="12.75">
      <c r="A174" s="85" t="s">
        <v>13</v>
      </c>
      <c r="B174" s="85" t="s">
        <v>36</v>
      </c>
    </row>
    <row r="175" spans="1:14" s="85" customFormat="1" ht="12.75">
      <c r="A175" s="85" t="s">
        <v>15</v>
      </c>
      <c r="B175" s="98">
        <v>1</v>
      </c>
    </row>
    <row r="176" spans="1:14" s="85" customFormat="1" ht="12.75">
      <c r="A176" s="85" t="s">
        <v>16</v>
      </c>
      <c r="B176" s="85" t="s">
        <v>17</v>
      </c>
    </row>
    <row r="177" spans="1:14" s="85" customFormat="1" ht="12.75">
      <c r="A177" s="85" t="s">
        <v>18</v>
      </c>
      <c r="B177" s="85" t="s">
        <v>18</v>
      </c>
    </row>
    <row r="178" spans="1:14" ht="15.75">
      <c r="A178" s="84" t="s">
        <v>19</v>
      </c>
    </row>
    <row r="179" spans="1:14" ht="15.75">
      <c r="A179" s="84" t="s">
        <v>20</v>
      </c>
      <c r="B179" s="84" t="s">
        <v>21</v>
      </c>
      <c r="C179" s="84" t="s">
        <v>18</v>
      </c>
      <c r="D179" s="84" t="s">
        <v>22</v>
      </c>
      <c r="E179" s="84" t="s">
        <v>7</v>
      </c>
      <c r="F179" s="84" t="s">
        <v>13</v>
      </c>
      <c r="G179" s="84" t="s">
        <v>16</v>
      </c>
      <c r="H179" s="84" t="s">
        <v>23</v>
      </c>
      <c r="I179" s="84" t="s">
        <v>24</v>
      </c>
      <c r="J179" s="84" t="s">
        <v>25</v>
      </c>
      <c r="K179" s="84" t="s">
        <v>26</v>
      </c>
      <c r="L179" s="84" t="s">
        <v>27</v>
      </c>
      <c r="M179" s="84" t="s">
        <v>28</v>
      </c>
      <c r="N179" s="84" t="s">
        <v>477</v>
      </c>
    </row>
    <row r="180" spans="1:14">
      <c r="A180" s="85" t="str">
        <f>B170</f>
        <v>runway</v>
      </c>
      <c r="B180" s="85">
        <f>B175</f>
        <v>1</v>
      </c>
      <c r="C180" s="85" t="str">
        <f>B177</f>
        <v>unit</v>
      </c>
      <c r="D180" s="85" t="s">
        <v>2</v>
      </c>
      <c r="E180" s="85" t="s">
        <v>29</v>
      </c>
      <c r="F180" s="85" t="str">
        <f>B174</f>
        <v>RER</v>
      </c>
      <c r="G180" s="85" t="s">
        <v>30</v>
      </c>
      <c r="H180" s="85">
        <v>0</v>
      </c>
      <c r="I180" s="85">
        <f>B180</f>
        <v>1</v>
      </c>
      <c r="J180" s="85" t="s">
        <v>31</v>
      </c>
      <c r="K180" s="85" t="s">
        <v>31</v>
      </c>
      <c r="L180" s="85" t="s">
        <v>31</v>
      </c>
      <c r="M180" s="85" t="s">
        <v>31</v>
      </c>
      <c r="N180" s="85"/>
    </row>
    <row r="181" spans="1:14">
      <c r="A181" s="98" t="s">
        <v>528</v>
      </c>
      <c r="B181" s="85">
        <v>99000</v>
      </c>
      <c r="C181" s="85" t="s">
        <v>412</v>
      </c>
      <c r="D181" s="85" t="s">
        <v>43</v>
      </c>
      <c r="E181" s="85" t="s">
        <v>517</v>
      </c>
      <c r="F181" s="85" t="s">
        <v>29</v>
      </c>
      <c r="G181" s="85" t="s">
        <v>45</v>
      </c>
      <c r="H181" s="85">
        <v>0</v>
      </c>
      <c r="I181" s="85">
        <f>B181</f>
        <v>99000</v>
      </c>
      <c r="J181" s="85" t="s">
        <v>31</v>
      </c>
      <c r="K181" s="85" t="s">
        <v>31</v>
      </c>
      <c r="L181" s="85" t="s">
        <v>31</v>
      </c>
      <c r="M181" s="85" t="s">
        <v>31</v>
      </c>
      <c r="N181" s="85" t="s">
        <v>518</v>
      </c>
    </row>
    <row r="182" spans="1:14">
      <c r="A182" s="85" t="s">
        <v>529</v>
      </c>
      <c r="B182" s="85">
        <f>100*B181</f>
        <v>9900000</v>
      </c>
      <c r="C182" s="85" t="s">
        <v>520</v>
      </c>
      <c r="D182" s="85" t="s">
        <v>43</v>
      </c>
      <c r="E182" s="85" t="s">
        <v>517</v>
      </c>
      <c r="F182" s="85" t="s">
        <v>29</v>
      </c>
      <c r="G182" s="85" t="s">
        <v>45</v>
      </c>
      <c r="H182" s="85">
        <v>0</v>
      </c>
      <c r="I182" s="85">
        <f>B182</f>
        <v>9900000</v>
      </c>
      <c r="J182" s="85" t="s">
        <v>31</v>
      </c>
      <c r="K182" s="85" t="s">
        <v>31</v>
      </c>
      <c r="L182" s="85" t="s">
        <v>31</v>
      </c>
      <c r="M182" s="85" t="s">
        <v>31</v>
      </c>
      <c r="N182" s="85" t="s">
        <v>521</v>
      </c>
    </row>
    <row r="183" spans="1:14">
      <c r="A183" s="110" t="s">
        <v>561</v>
      </c>
      <c r="B183" s="105">
        <f>B181*0.22*P7</f>
        <v>65346.534653465344</v>
      </c>
      <c r="C183" s="85" t="s">
        <v>50</v>
      </c>
      <c r="D183" s="85" t="s">
        <v>40</v>
      </c>
      <c r="E183" s="85" t="s">
        <v>29</v>
      </c>
      <c r="F183" s="85" t="s">
        <v>86</v>
      </c>
      <c r="G183" s="85" t="s">
        <v>33</v>
      </c>
      <c r="H183" s="85">
        <v>0</v>
      </c>
      <c r="I183" s="85">
        <f t="shared" ref="I183:I188" si="10">B183</f>
        <v>65346.534653465344</v>
      </c>
      <c r="J183" s="85" t="s">
        <v>31</v>
      </c>
      <c r="K183" s="85" t="s">
        <v>31</v>
      </c>
      <c r="L183" s="85" t="s">
        <v>31</v>
      </c>
      <c r="M183" s="85" t="s">
        <v>31</v>
      </c>
      <c r="N183" s="85" t="s">
        <v>562</v>
      </c>
    </row>
    <row r="184" spans="1:14">
      <c r="A184" s="109" t="s">
        <v>249</v>
      </c>
      <c r="B184" s="85">
        <f>1.8*B181*P7</f>
        <v>534653.46534653462</v>
      </c>
      <c r="C184" s="85" t="s">
        <v>39</v>
      </c>
      <c r="D184" s="85" t="s">
        <v>40</v>
      </c>
      <c r="E184" s="85" t="s">
        <v>29</v>
      </c>
      <c r="F184" s="85" t="s">
        <v>86</v>
      </c>
      <c r="G184" s="85" t="s">
        <v>33</v>
      </c>
      <c r="H184" s="85">
        <v>0</v>
      </c>
      <c r="I184" s="85">
        <f t="shared" si="10"/>
        <v>534653.46534653462</v>
      </c>
      <c r="J184" s="85" t="s">
        <v>31</v>
      </c>
      <c r="K184" s="85" t="s">
        <v>31</v>
      </c>
      <c r="L184" s="85" t="s">
        <v>31</v>
      </c>
      <c r="M184" s="85" t="s">
        <v>31</v>
      </c>
      <c r="N184" s="85" t="s">
        <v>574</v>
      </c>
    </row>
    <row r="185" spans="1:14">
      <c r="A185" s="85" t="s">
        <v>564</v>
      </c>
      <c r="B185" s="85">
        <f>0.4*1600*B181</f>
        <v>63360000</v>
      </c>
      <c r="C185" s="85" t="s">
        <v>39</v>
      </c>
      <c r="D185" s="85" t="s">
        <v>40</v>
      </c>
      <c r="E185" s="85" t="s">
        <v>29</v>
      </c>
      <c r="F185" s="85" t="s">
        <v>565</v>
      </c>
      <c r="G185" s="85" t="s">
        <v>33</v>
      </c>
      <c r="H185" s="85">
        <v>0</v>
      </c>
      <c r="I185" s="85">
        <f t="shared" si="10"/>
        <v>63360000</v>
      </c>
      <c r="J185" s="85" t="s">
        <v>31</v>
      </c>
      <c r="K185" s="85" t="s">
        <v>31</v>
      </c>
      <c r="L185" s="85" t="s">
        <v>31</v>
      </c>
      <c r="M185" s="85" t="s">
        <v>31</v>
      </c>
      <c r="N185" s="85" t="s">
        <v>566</v>
      </c>
    </row>
    <row r="186" spans="1:14">
      <c r="A186" s="85" t="s">
        <v>567</v>
      </c>
      <c r="B186" s="85">
        <f>0.747*B181</f>
        <v>73953</v>
      </c>
      <c r="C186" s="85" t="s">
        <v>50</v>
      </c>
      <c r="D186" s="85" t="s">
        <v>40</v>
      </c>
      <c r="E186" s="85" t="s">
        <v>29</v>
      </c>
      <c r="F186" s="85" t="s">
        <v>36</v>
      </c>
      <c r="G186" s="85" t="s">
        <v>33</v>
      </c>
      <c r="H186" s="85">
        <v>0</v>
      </c>
      <c r="I186" s="85">
        <f t="shared" si="10"/>
        <v>73953</v>
      </c>
      <c r="J186" s="85" t="s">
        <v>31</v>
      </c>
      <c r="K186" s="85" t="s">
        <v>31</v>
      </c>
      <c r="L186" s="85" t="s">
        <v>31</v>
      </c>
      <c r="M186" s="85" t="s">
        <v>31</v>
      </c>
      <c r="N186" s="85" t="s">
        <v>568</v>
      </c>
    </row>
    <row r="187" spans="1:14" s="85" customFormat="1" ht="12.75">
      <c r="A187" s="85" t="s">
        <v>97</v>
      </c>
      <c r="B187" s="85">
        <f>35.7*B181</f>
        <v>3534300.0000000005</v>
      </c>
      <c r="C187" s="85" t="s">
        <v>98</v>
      </c>
      <c r="D187" s="85" t="s">
        <v>40</v>
      </c>
      <c r="E187" s="85" t="s">
        <v>29</v>
      </c>
      <c r="F187" s="85" t="s">
        <v>36</v>
      </c>
      <c r="G187" s="85" t="s">
        <v>33</v>
      </c>
      <c r="H187" s="85">
        <v>0</v>
      </c>
      <c r="I187" s="85">
        <f t="shared" si="10"/>
        <v>3534300.0000000005</v>
      </c>
      <c r="J187" s="85" t="s">
        <v>31</v>
      </c>
      <c r="K187" s="85" t="s">
        <v>31</v>
      </c>
      <c r="L187" s="85" t="s">
        <v>31</v>
      </c>
      <c r="M187" s="85" t="s">
        <v>31</v>
      </c>
      <c r="N187" s="85" t="s">
        <v>569</v>
      </c>
    </row>
    <row r="188" spans="1:14" s="85" customFormat="1" ht="12.75">
      <c r="A188" s="85" t="s">
        <v>570</v>
      </c>
      <c r="B188" s="85">
        <f>250.5*B181</f>
        <v>24799500</v>
      </c>
      <c r="C188" s="85" t="s">
        <v>124</v>
      </c>
      <c r="D188" s="85" t="s">
        <v>40</v>
      </c>
      <c r="E188" s="85" t="s">
        <v>29</v>
      </c>
      <c r="F188" s="85" t="s">
        <v>86</v>
      </c>
      <c r="G188" s="85" t="s">
        <v>33</v>
      </c>
      <c r="H188" s="85">
        <v>0</v>
      </c>
      <c r="I188" s="85">
        <f t="shared" si="10"/>
        <v>24799500</v>
      </c>
      <c r="J188" s="85" t="s">
        <v>31</v>
      </c>
      <c r="K188" s="85" t="s">
        <v>31</v>
      </c>
      <c r="L188" s="85" t="s">
        <v>31</v>
      </c>
      <c r="M188" s="85" t="s">
        <v>31</v>
      </c>
      <c r="N188" s="85" t="s">
        <v>571</v>
      </c>
    </row>
    <row r="189" spans="1:14" ht="15.75">
      <c r="A189" s="87" t="s">
        <v>5</v>
      </c>
      <c r="B189" s="87" t="s">
        <v>549</v>
      </c>
      <c r="C189" s="88"/>
      <c r="D189" s="90"/>
      <c r="E189" s="90"/>
      <c r="F189" s="90"/>
      <c r="G189" s="90"/>
      <c r="H189" s="90"/>
      <c r="I189" s="90"/>
      <c r="J189" s="90"/>
      <c r="K189" s="90"/>
      <c r="L189" s="90"/>
      <c r="M189" s="90"/>
      <c r="N189" s="90"/>
    </row>
    <row r="190" spans="1:14" s="85" customFormat="1" ht="12.75">
      <c r="A190" s="85" t="s">
        <v>7</v>
      </c>
      <c r="B190" s="85" t="s">
        <v>468</v>
      </c>
    </row>
    <row r="191" spans="1:14" s="85" customFormat="1" ht="12.75">
      <c r="A191" s="85" t="s">
        <v>9</v>
      </c>
      <c r="B191" s="85" t="s">
        <v>577</v>
      </c>
    </row>
    <row r="192" spans="1:14" s="85" customFormat="1" ht="12.75">
      <c r="A192" s="85" t="s">
        <v>11</v>
      </c>
      <c r="B192" s="85" t="s">
        <v>578</v>
      </c>
    </row>
    <row r="193" spans="1:14" s="85" customFormat="1" ht="12.75">
      <c r="A193" s="85" t="s">
        <v>13</v>
      </c>
      <c r="B193" s="85" t="s">
        <v>36</v>
      </c>
    </row>
    <row r="194" spans="1:14" s="85" customFormat="1" ht="12.75">
      <c r="A194" s="85" t="s">
        <v>15</v>
      </c>
      <c r="B194" s="98">
        <v>1</v>
      </c>
    </row>
    <row r="195" spans="1:14" s="85" customFormat="1" ht="12.75">
      <c r="A195" s="85" t="s">
        <v>16</v>
      </c>
      <c r="B195" s="85" t="s">
        <v>17</v>
      </c>
    </row>
    <row r="196" spans="1:14" s="85" customFormat="1" ht="12.75">
      <c r="A196" s="85" t="s">
        <v>18</v>
      </c>
      <c r="B196" s="85" t="s">
        <v>18</v>
      </c>
    </row>
    <row r="197" spans="1:14" ht="15.75">
      <c r="A197" s="84" t="s">
        <v>19</v>
      </c>
    </row>
    <row r="198" spans="1:14" ht="15.75">
      <c r="A198" s="84" t="s">
        <v>20</v>
      </c>
      <c r="B198" s="84" t="s">
        <v>21</v>
      </c>
      <c r="C198" s="84" t="s">
        <v>18</v>
      </c>
      <c r="D198" s="84" t="s">
        <v>22</v>
      </c>
      <c r="E198" s="84" t="s">
        <v>7</v>
      </c>
      <c r="F198" s="84" t="s">
        <v>13</v>
      </c>
      <c r="G198" s="84" t="s">
        <v>16</v>
      </c>
      <c r="H198" s="84" t="s">
        <v>23</v>
      </c>
      <c r="I198" s="84" t="s">
        <v>24</v>
      </c>
      <c r="J198" s="84" t="s">
        <v>25</v>
      </c>
      <c r="K198" s="84" t="s">
        <v>26</v>
      </c>
      <c r="L198" s="84" t="s">
        <v>27</v>
      </c>
      <c r="M198" s="84" t="s">
        <v>28</v>
      </c>
      <c r="N198" s="84" t="s">
        <v>477</v>
      </c>
    </row>
    <row r="199" spans="1:14" s="85" customFormat="1" ht="12.75">
      <c r="A199" s="85" t="str">
        <f>B189</f>
        <v>airside green areas</v>
      </c>
      <c r="B199" s="85">
        <f>B194</f>
        <v>1</v>
      </c>
      <c r="C199" s="85" t="str">
        <f>B196</f>
        <v>unit</v>
      </c>
      <c r="D199" s="85" t="s">
        <v>2</v>
      </c>
      <c r="E199" s="85" t="s">
        <v>29</v>
      </c>
      <c r="F199" s="85" t="str">
        <f>B193</f>
        <v>RER</v>
      </c>
      <c r="G199" s="85" t="s">
        <v>30</v>
      </c>
      <c r="H199" s="85">
        <v>0</v>
      </c>
      <c r="I199" s="85">
        <f>B199</f>
        <v>1</v>
      </c>
      <c r="J199" s="85" t="s">
        <v>31</v>
      </c>
      <c r="K199" s="85" t="s">
        <v>31</v>
      </c>
      <c r="L199" s="85" t="s">
        <v>31</v>
      </c>
      <c r="M199" s="85" t="s">
        <v>31</v>
      </c>
    </row>
    <row r="200" spans="1:14" s="85" customFormat="1" ht="12.75">
      <c r="A200" s="98" t="s">
        <v>534</v>
      </c>
      <c r="B200" s="105">
        <v>1403948</v>
      </c>
      <c r="C200" s="85" t="s">
        <v>412</v>
      </c>
      <c r="D200" s="85" t="s">
        <v>43</v>
      </c>
      <c r="E200" s="85" t="s">
        <v>517</v>
      </c>
      <c r="F200" s="85" t="s">
        <v>29</v>
      </c>
      <c r="G200" s="85" t="s">
        <v>45</v>
      </c>
      <c r="H200" s="85">
        <v>0</v>
      </c>
      <c r="I200" s="85">
        <f t="shared" ref="I200" si="11">B200</f>
        <v>1403948</v>
      </c>
      <c r="J200" s="85" t="s">
        <v>31</v>
      </c>
      <c r="K200" s="85" t="s">
        <v>31</v>
      </c>
      <c r="L200" s="85" t="s">
        <v>31</v>
      </c>
      <c r="M200" s="85" t="s">
        <v>31</v>
      </c>
      <c r="N200" s="85" t="s">
        <v>518</v>
      </c>
    </row>
    <row r="201" spans="1:14">
      <c r="A201" s="90"/>
      <c r="B201" s="90"/>
      <c r="C201" s="90"/>
      <c r="D201" s="90"/>
      <c r="E201" s="90"/>
      <c r="F201" s="90"/>
      <c r="G201" s="90"/>
      <c r="H201" s="90"/>
      <c r="I201" s="90"/>
      <c r="J201" s="90"/>
      <c r="K201" s="90"/>
      <c r="L201" s="90"/>
      <c r="M201" s="90"/>
      <c r="N201" s="90"/>
    </row>
  </sheetData>
  <mergeCells count="1">
    <mergeCell ref="O3:P3"/>
  </mergeCells>
  <pageMargins left="0.7" right="0.7" top="0.75" bottom="0.75" header="0.3" footer="0.3"/>
  <pageSetup paperSize="9" orientation="portrai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F0757D-83C0-432D-910A-48638C96C84D}">
  <dimension ref="A1:Q54"/>
  <sheetViews>
    <sheetView topLeftCell="A3" workbookViewId="0">
      <selection activeCell="B7" sqref="B7"/>
    </sheetView>
  </sheetViews>
  <sheetFormatPr defaultColWidth="8.85546875" defaultRowHeight="15"/>
  <cols>
    <col min="1" max="1" width="33" style="81" customWidth="1"/>
    <col min="2" max="2" width="20.28515625" style="81" customWidth="1"/>
    <col min="3" max="3" width="10.7109375" style="81" customWidth="1"/>
    <col min="4" max="4" width="33.85546875" style="81" customWidth="1"/>
    <col min="5" max="7" width="12.5703125" style="81" customWidth="1"/>
    <col min="8" max="8" width="17.7109375" style="81" customWidth="1"/>
    <col min="9" max="9" width="13" style="81" customWidth="1"/>
    <col min="10" max="14" width="12" style="81" customWidth="1"/>
    <col min="15" max="15" width="17.7109375" style="81" customWidth="1"/>
    <col min="16" max="16" width="10.42578125" style="81" customWidth="1"/>
    <col min="17" max="16384" width="8.85546875" style="81"/>
  </cols>
  <sheetData>
    <row r="1" spans="1:17">
      <c r="A1" s="81" t="s">
        <v>0</v>
      </c>
      <c r="B1" s="81">
        <v>13</v>
      </c>
      <c r="C1" s="82"/>
    </row>
    <row r="2" spans="1:17" ht="15.75">
      <c r="A2" s="87" t="s">
        <v>5</v>
      </c>
      <c r="B2" s="87" t="s">
        <v>490</v>
      </c>
      <c r="C2" s="88"/>
      <c r="D2" s="90"/>
      <c r="E2" s="90"/>
      <c r="F2" s="90"/>
      <c r="G2" s="90"/>
      <c r="H2" s="90"/>
      <c r="I2" s="90"/>
      <c r="J2" s="90"/>
      <c r="K2" s="90"/>
      <c r="L2" s="90"/>
      <c r="M2" s="90"/>
      <c r="N2" s="90"/>
    </row>
    <row r="3" spans="1:17">
      <c r="A3" s="85" t="s">
        <v>7</v>
      </c>
      <c r="B3" s="85" t="s">
        <v>468</v>
      </c>
      <c r="C3" s="85"/>
      <c r="D3" s="85"/>
      <c r="E3" s="85"/>
      <c r="F3" s="85"/>
      <c r="G3" s="85"/>
      <c r="H3" s="85"/>
      <c r="I3" s="85"/>
      <c r="J3" s="85"/>
      <c r="K3" s="85"/>
      <c r="L3" s="85"/>
      <c r="M3" s="85"/>
      <c r="N3" s="85"/>
      <c r="O3" s="135" t="s">
        <v>469</v>
      </c>
      <c r="P3" s="136"/>
      <c r="Q3" s="137"/>
    </row>
    <row r="4" spans="1:17">
      <c r="A4" s="85" t="s">
        <v>9</v>
      </c>
      <c r="B4" s="85" t="s">
        <v>579</v>
      </c>
      <c r="C4" s="85"/>
      <c r="D4" s="85"/>
      <c r="E4" s="85"/>
      <c r="F4" s="85"/>
      <c r="G4" s="85"/>
      <c r="H4" s="85"/>
      <c r="I4" s="85"/>
      <c r="J4" s="85"/>
      <c r="K4" s="85"/>
      <c r="L4" s="85"/>
      <c r="M4" s="85"/>
      <c r="N4" s="85"/>
      <c r="O4" s="91" t="s">
        <v>471</v>
      </c>
      <c r="P4" s="92" t="s">
        <v>472</v>
      </c>
      <c r="Q4" s="93" t="s">
        <v>473</v>
      </c>
    </row>
    <row r="5" spans="1:17">
      <c r="A5" s="85" t="s">
        <v>11</v>
      </c>
      <c r="B5" s="85" t="s">
        <v>580</v>
      </c>
      <c r="C5" s="85"/>
      <c r="D5" s="85"/>
      <c r="E5" s="85"/>
      <c r="F5" s="85"/>
      <c r="G5" s="85"/>
      <c r="H5" s="85"/>
      <c r="I5" s="85"/>
      <c r="J5" s="85"/>
      <c r="K5" s="85"/>
      <c r="L5" s="85"/>
      <c r="M5" s="85"/>
      <c r="N5" s="85"/>
      <c r="O5" s="95" t="s">
        <v>501</v>
      </c>
      <c r="P5" s="96">
        <v>100</v>
      </c>
      <c r="Q5" s="97">
        <f>P5/P5</f>
        <v>1</v>
      </c>
    </row>
    <row r="6" spans="1:17">
      <c r="A6" s="85" t="s">
        <v>13</v>
      </c>
      <c r="B6" s="85" t="s">
        <v>36</v>
      </c>
      <c r="C6" s="85"/>
      <c r="D6" s="85"/>
      <c r="E6" s="85"/>
      <c r="F6" s="85"/>
      <c r="G6" s="85"/>
      <c r="H6" s="85"/>
      <c r="I6" s="85"/>
      <c r="J6" s="85"/>
      <c r="K6" s="85"/>
      <c r="L6" s="85"/>
      <c r="M6" s="85"/>
      <c r="N6" s="85"/>
      <c r="O6" s="95" t="s">
        <v>543</v>
      </c>
      <c r="P6" s="96">
        <v>33.33</v>
      </c>
      <c r="Q6" s="97">
        <f>P5/P6</f>
        <v>3.0003000300030003</v>
      </c>
    </row>
    <row r="7" spans="1:17">
      <c r="A7" s="85" t="s">
        <v>15</v>
      </c>
      <c r="B7" s="98">
        <v>1</v>
      </c>
      <c r="C7" s="85"/>
      <c r="D7" s="85"/>
      <c r="E7" s="85"/>
      <c r="F7" s="85"/>
      <c r="G7" s="85"/>
      <c r="H7" s="85"/>
      <c r="I7" s="85"/>
      <c r="J7" s="85"/>
      <c r="K7" s="85"/>
      <c r="L7" s="85"/>
      <c r="M7" s="85"/>
      <c r="N7" s="85"/>
      <c r="O7" s="95" t="s">
        <v>545</v>
      </c>
      <c r="P7" s="96">
        <v>33.33</v>
      </c>
      <c r="Q7" s="97">
        <f>P5/P7</f>
        <v>3.0003000300030003</v>
      </c>
    </row>
    <row r="8" spans="1:17">
      <c r="A8" s="85" t="s">
        <v>16</v>
      </c>
      <c r="B8" s="85" t="s">
        <v>17</v>
      </c>
      <c r="C8" s="85"/>
      <c r="D8" s="85"/>
      <c r="E8" s="85"/>
      <c r="F8" s="85"/>
      <c r="G8" s="85"/>
      <c r="H8" s="85"/>
      <c r="I8" s="85"/>
      <c r="J8" s="85"/>
      <c r="K8" s="85"/>
      <c r="L8" s="85"/>
      <c r="M8" s="85"/>
      <c r="N8" s="85"/>
      <c r="O8" s="99" t="s">
        <v>547</v>
      </c>
      <c r="P8" s="100">
        <v>33.33</v>
      </c>
      <c r="Q8" s="101">
        <f>P5/P8</f>
        <v>3.0003000300030003</v>
      </c>
    </row>
    <row r="9" spans="1:17">
      <c r="A9" s="85" t="s">
        <v>18</v>
      </c>
      <c r="B9" s="85" t="s">
        <v>18</v>
      </c>
      <c r="C9" s="85"/>
      <c r="D9" s="85"/>
      <c r="E9" s="85"/>
      <c r="F9" s="85"/>
      <c r="G9" s="85"/>
      <c r="H9" s="85"/>
      <c r="I9" s="85"/>
      <c r="J9" s="85"/>
      <c r="K9" s="85"/>
      <c r="L9" s="85"/>
      <c r="M9" s="85"/>
      <c r="N9" s="85"/>
      <c r="O9" s="98"/>
      <c r="P9" s="85"/>
    </row>
    <row r="10" spans="1:17" ht="15.75">
      <c r="A10" s="84" t="s">
        <v>19</v>
      </c>
      <c r="O10" s="85"/>
      <c r="P10" s="85"/>
    </row>
    <row r="11" spans="1:17" ht="15.75">
      <c r="A11" s="84" t="s">
        <v>20</v>
      </c>
      <c r="B11" s="84" t="s">
        <v>21</v>
      </c>
      <c r="C11" s="84" t="s">
        <v>18</v>
      </c>
      <c r="D11" s="84" t="s">
        <v>22</v>
      </c>
      <c r="E11" s="84" t="s">
        <v>7</v>
      </c>
      <c r="F11" s="84" t="s">
        <v>13</v>
      </c>
      <c r="G11" s="84" t="s">
        <v>16</v>
      </c>
      <c r="H11" s="84" t="s">
        <v>23</v>
      </c>
      <c r="I11" s="84" t="s">
        <v>24</v>
      </c>
      <c r="J11" s="84" t="s">
        <v>25</v>
      </c>
      <c r="K11" s="84" t="s">
        <v>26</v>
      </c>
      <c r="L11" s="84" t="s">
        <v>27</v>
      </c>
      <c r="M11" s="84" t="s">
        <v>28</v>
      </c>
      <c r="N11" s="84" t="s">
        <v>477</v>
      </c>
    </row>
    <row r="12" spans="1:17">
      <c r="A12" s="85" t="str">
        <f>B2</f>
        <v>airport decommission</v>
      </c>
      <c r="B12" s="85">
        <f>B7</f>
        <v>1</v>
      </c>
      <c r="C12" s="85" t="str">
        <f>B9</f>
        <v>unit</v>
      </c>
      <c r="D12" s="85" t="s">
        <v>2</v>
      </c>
      <c r="E12" s="85" t="s">
        <v>29</v>
      </c>
      <c r="F12" s="85" t="str">
        <f>B6</f>
        <v>RER</v>
      </c>
      <c r="G12" s="85" t="s">
        <v>30</v>
      </c>
      <c r="H12" s="85">
        <v>0</v>
      </c>
      <c r="I12" s="85">
        <f>B12</f>
        <v>1</v>
      </c>
      <c r="J12" s="85"/>
      <c r="K12" s="85"/>
      <c r="L12" s="85"/>
      <c r="M12" s="85"/>
      <c r="N12" s="85"/>
      <c r="O12" s="85"/>
      <c r="P12" s="85"/>
    </row>
    <row r="13" spans="1:17">
      <c r="A13" s="85" t="s">
        <v>581</v>
      </c>
      <c r="B13" s="103">
        <f>1*Q6</f>
        <v>3.0003000300030003</v>
      </c>
      <c r="C13" s="85" t="s">
        <v>18</v>
      </c>
      <c r="D13" s="85" t="s">
        <v>2</v>
      </c>
      <c r="E13" s="85" t="s">
        <v>29</v>
      </c>
      <c r="F13" s="85" t="s">
        <v>36</v>
      </c>
      <c r="G13" s="85" t="s">
        <v>33</v>
      </c>
      <c r="H13" s="85">
        <v>0</v>
      </c>
      <c r="I13" s="85">
        <f>B13</f>
        <v>3.0003000300030003</v>
      </c>
      <c r="J13" s="85" t="s">
        <v>31</v>
      </c>
      <c r="K13" s="85" t="s">
        <v>31</v>
      </c>
      <c r="L13" s="85" t="s">
        <v>31</v>
      </c>
      <c r="M13" s="85" t="s">
        <v>31</v>
      </c>
      <c r="N13" s="85"/>
      <c r="O13" s="85"/>
      <c r="P13" s="85"/>
    </row>
    <row r="14" spans="1:17">
      <c r="A14" s="85" t="s">
        <v>582</v>
      </c>
      <c r="B14" s="103">
        <f t="shared" ref="B14:B15" si="0">1*Q7</f>
        <v>3.0003000300030003</v>
      </c>
      <c r="C14" s="85" t="s">
        <v>18</v>
      </c>
      <c r="D14" s="85" t="s">
        <v>2</v>
      </c>
      <c r="E14" s="85" t="s">
        <v>29</v>
      </c>
      <c r="F14" s="85" t="s">
        <v>36</v>
      </c>
      <c r="G14" s="85" t="s">
        <v>33</v>
      </c>
      <c r="H14" s="85">
        <v>0</v>
      </c>
      <c r="I14" s="85">
        <f t="shared" ref="I14:I15" si="1">B14</f>
        <v>3.0003000300030003</v>
      </c>
      <c r="J14" s="85" t="s">
        <v>31</v>
      </c>
      <c r="K14" s="85" t="s">
        <v>31</v>
      </c>
      <c r="L14" s="85" t="s">
        <v>31</v>
      </c>
      <c r="M14" s="85" t="s">
        <v>31</v>
      </c>
      <c r="N14" s="85"/>
      <c r="O14" s="85"/>
      <c r="P14" s="85"/>
    </row>
    <row r="15" spans="1:17">
      <c r="A15" s="85" t="s">
        <v>583</v>
      </c>
      <c r="B15" s="103">
        <f t="shared" si="0"/>
        <v>3.0003000300030003</v>
      </c>
      <c r="C15" s="85" t="s">
        <v>18</v>
      </c>
      <c r="D15" s="85" t="s">
        <v>2</v>
      </c>
      <c r="E15" s="85" t="s">
        <v>29</v>
      </c>
      <c r="F15" s="85" t="s">
        <v>36</v>
      </c>
      <c r="G15" s="85" t="s">
        <v>33</v>
      </c>
      <c r="H15" s="85">
        <v>0</v>
      </c>
      <c r="I15" s="85">
        <f t="shared" si="1"/>
        <v>3.0003000300030003</v>
      </c>
      <c r="J15" s="85" t="s">
        <v>31</v>
      </c>
      <c r="K15" s="85" t="s">
        <v>31</v>
      </c>
      <c r="L15" s="85" t="s">
        <v>31</v>
      </c>
      <c r="M15" s="85" t="s">
        <v>31</v>
      </c>
      <c r="N15" s="85"/>
      <c r="O15" s="85"/>
      <c r="P15" s="85"/>
    </row>
    <row r="16" spans="1:17" ht="15.75">
      <c r="A16" s="87" t="s">
        <v>5</v>
      </c>
      <c r="B16" s="87" t="s">
        <v>581</v>
      </c>
      <c r="C16" s="88"/>
      <c r="D16" s="90"/>
      <c r="E16" s="90"/>
      <c r="F16" s="90"/>
      <c r="G16" s="90"/>
      <c r="H16" s="90"/>
      <c r="I16" s="90"/>
      <c r="J16" s="90"/>
      <c r="K16" s="90"/>
      <c r="L16" s="90"/>
      <c r="M16" s="90"/>
      <c r="N16" s="90"/>
      <c r="O16" s="85"/>
      <c r="P16" s="85"/>
    </row>
    <row r="17" spans="1:16">
      <c r="A17" s="85" t="s">
        <v>7</v>
      </c>
      <c r="B17" s="85" t="s">
        <v>468</v>
      </c>
      <c r="C17" s="85"/>
      <c r="D17" s="85"/>
      <c r="E17" s="85"/>
      <c r="F17" s="85"/>
      <c r="G17" s="85"/>
      <c r="H17" s="85"/>
      <c r="I17" s="85"/>
      <c r="J17" s="85"/>
      <c r="K17" s="85"/>
      <c r="L17" s="85"/>
      <c r="M17" s="85"/>
      <c r="N17" s="85"/>
      <c r="O17" s="111" t="s">
        <v>584</v>
      </c>
      <c r="P17" s="85"/>
    </row>
    <row r="18" spans="1:16">
      <c r="A18" s="85" t="s">
        <v>9</v>
      </c>
      <c r="B18" s="85" t="s">
        <v>585</v>
      </c>
      <c r="C18" s="85"/>
      <c r="D18" s="85"/>
      <c r="E18" s="85"/>
      <c r="F18" s="85"/>
      <c r="G18" s="85"/>
      <c r="H18" s="85"/>
      <c r="I18" s="85"/>
      <c r="J18" s="85"/>
      <c r="K18" s="85"/>
      <c r="L18" s="85"/>
      <c r="M18" s="85"/>
      <c r="N18" s="85"/>
      <c r="O18" s="112">
        <v>98000</v>
      </c>
      <c r="P18" s="85"/>
    </row>
    <row r="19" spans="1:16">
      <c r="A19" s="85" t="s">
        <v>11</v>
      </c>
      <c r="B19" s="85" t="s">
        <v>586</v>
      </c>
      <c r="C19" s="85"/>
      <c r="D19" s="85"/>
      <c r="E19" s="85"/>
      <c r="F19" s="85"/>
      <c r="G19" s="85"/>
      <c r="H19" s="85"/>
      <c r="I19" s="85"/>
      <c r="J19" s="85"/>
      <c r="K19" s="85"/>
      <c r="L19" s="85"/>
      <c r="M19" s="85"/>
      <c r="N19" s="85"/>
      <c r="O19" s="85"/>
      <c r="P19" s="85"/>
    </row>
    <row r="20" spans="1:16">
      <c r="A20" s="85" t="s">
        <v>13</v>
      </c>
      <c r="B20" s="85" t="s">
        <v>36</v>
      </c>
      <c r="C20" s="85"/>
      <c r="D20" s="85"/>
      <c r="E20" s="85"/>
      <c r="F20" s="85"/>
      <c r="G20" s="85"/>
      <c r="H20" s="85"/>
      <c r="I20" s="85"/>
      <c r="J20" s="85"/>
      <c r="K20" s="85"/>
      <c r="L20" s="85"/>
      <c r="M20" s="85"/>
      <c r="N20" s="85"/>
      <c r="O20" s="85"/>
      <c r="P20" s="85"/>
    </row>
    <row r="21" spans="1:16">
      <c r="A21" s="85" t="s">
        <v>15</v>
      </c>
      <c r="B21" s="98">
        <v>1</v>
      </c>
      <c r="C21" s="85"/>
      <c r="D21" s="85"/>
      <c r="E21" s="85"/>
      <c r="F21" s="85"/>
      <c r="G21" s="85"/>
      <c r="H21" s="85"/>
      <c r="I21" s="85"/>
      <c r="J21" s="85"/>
      <c r="K21" s="85"/>
      <c r="L21" s="85"/>
      <c r="M21" s="85"/>
      <c r="N21" s="85"/>
    </row>
    <row r="22" spans="1:16">
      <c r="A22" s="85" t="s">
        <v>16</v>
      </c>
      <c r="B22" s="85" t="s">
        <v>17</v>
      </c>
      <c r="C22" s="85"/>
      <c r="D22" s="85"/>
      <c r="E22" s="85"/>
      <c r="F22" s="85"/>
      <c r="G22" s="85"/>
      <c r="H22" s="85"/>
      <c r="I22" s="85"/>
      <c r="J22" s="85"/>
      <c r="K22" s="85"/>
      <c r="L22" s="85"/>
      <c r="M22" s="85"/>
      <c r="N22" s="85"/>
    </row>
    <row r="23" spans="1:16">
      <c r="A23" s="85" t="s">
        <v>18</v>
      </c>
      <c r="B23" s="85" t="s">
        <v>18</v>
      </c>
      <c r="C23" s="85"/>
      <c r="D23" s="85"/>
      <c r="E23" s="85"/>
      <c r="F23" s="85"/>
      <c r="G23" s="85"/>
      <c r="H23" s="85"/>
      <c r="I23" s="85"/>
      <c r="J23" s="85"/>
      <c r="K23" s="85"/>
      <c r="L23" s="85"/>
      <c r="M23" s="85"/>
      <c r="N23" s="85"/>
    </row>
    <row r="24" spans="1:16" ht="15.75">
      <c r="A24" s="84" t="s">
        <v>19</v>
      </c>
    </row>
    <row r="25" spans="1:16" ht="15.75">
      <c r="A25" s="84" t="s">
        <v>20</v>
      </c>
      <c r="B25" s="84" t="s">
        <v>21</v>
      </c>
      <c r="C25" s="84" t="s">
        <v>18</v>
      </c>
      <c r="D25" s="84" t="s">
        <v>22</v>
      </c>
      <c r="E25" s="84" t="s">
        <v>7</v>
      </c>
      <c r="F25" s="84" t="s">
        <v>13</v>
      </c>
      <c r="G25" s="84" t="s">
        <v>16</v>
      </c>
      <c r="H25" s="84" t="s">
        <v>23</v>
      </c>
      <c r="I25" s="84" t="s">
        <v>24</v>
      </c>
      <c r="J25" s="84" t="s">
        <v>25</v>
      </c>
      <c r="K25" s="84" t="s">
        <v>26</v>
      </c>
      <c r="L25" s="84" t="s">
        <v>27</v>
      </c>
      <c r="M25" s="84" t="s">
        <v>28</v>
      </c>
      <c r="N25" s="84" t="s">
        <v>477</v>
      </c>
    </row>
    <row r="26" spans="1:16">
      <c r="A26" s="85" t="str">
        <f>B16</f>
        <v>apron disposal</v>
      </c>
      <c r="B26" s="85">
        <f>B21</f>
        <v>1</v>
      </c>
      <c r="C26" s="85" t="str">
        <f>B23</f>
        <v>unit</v>
      </c>
      <c r="D26" s="85" t="s">
        <v>2</v>
      </c>
      <c r="E26" s="85" t="s">
        <v>29</v>
      </c>
      <c r="F26" s="85" t="str">
        <f>B20</f>
        <v>RER</v>
      </c>
      <c r="G26" s="85" t="s">
        <v>30</v>
      </c>
      <c r="H26" s="85">
        <v>0</v>
      </c>
      <c r="I26" s="85">
        <f>B26</f>
        <v>1</v>
      </c>
      <c r="J26" s="85"/>
      <c r="K26" s="85"/>
      <c r="L26" s="85"/>
      <c r="M26" s="85"/>
      <c r="N26" s="85"/>
    </row>
    <row r="27" spans="1:16">
      <c r="A27" s="85" t="s">
        <v>567</v>
      </c>
      <c r="B27" s="85">
        <f>O18*0.21</f>
        <v>20580</v>
      </c>
      <c r="C27" s="85" t="s">
        <v>50</v>
      </c>
      <c r="D27" s="85" t="s">
        <v>40</v>
      </c>
      <c r="E27" s="85" t="s">
        <v>29</v>
      </c>
      <c r="F27" s="85" t="s">
        <v>36</v>
      </c>
      <c r="G27" s="85" t="s">
        <v>33</v>
      </c>
      <c r="H27" s="85">
        <v>0</v>
      </c>
      <c r="I27" s="85">
        <f t="shared" ref="I27" si="2">B27</f>
        <v>20580</v>
      </c>
      <c r="J27" s="85" t="s">
        <v>31</v>
      </c>
      <c r="K27" s="85" t="s">
        <v>31</v>
      </c>
      <c r="L27" s="85" t="s">
        <v>31</v>
      </c>
      <c r="M27" s="85" t="s">
        <v>31</v>
      </c>
      <c r="N27" s="85" t="s">
        <v>587</v>
      </c>
    </row>
    <row r="28" spans="1:16" s="85" customFormat="1" ht="12.75">
      <c r="A28" s="85" t="s">
        <v>588</v>
      </c>
      <c r="B28" s="85">
        <f>O18*2195.45*(1+0.02)</f>
        <v>219457181.99999997</v>
      </c>
      <c r="C28" s="85" t="s">
        <v>39</v>
      </c>
      <c r="D28" s="85" t="s">
        <v>40</v>
      </c>
      <c r="E28" s="85" t="s">
        <v>29</v>
      </c>
      <c r="F28" s="85" t="s">
        <v>565</v>
      </c>
      <c r="G28" s="85" t="s">
        <v>33</v>
      </c>
      <c r="H28" s="85">
        <v>0</v>
      </c>
      <c r="I28" s="105">
        <f>ABS(B28)</f>
        <v>219457181.99999997</v>
      </c>
      <c r="J28" s="85" t="s">
        <v>31</v>
      </c>
      <c r="K28" s="85" t="s">
        <v>31</v>
      </c>
      <c r="L28" s="85" t="s">
        <v>31</v>
      </c>
      <c r="M28" s="85" t="s">
        <v>31</v>
      </c>
      <c r="N28" s="85" t="s">
        <v>589</v>
      </c>
    </row>
    <row r="29" spans="1:16" ht="15.75">
      <c r="A29" s="87" t="s">
        <v>5</v>
      </c>
      <c r="B29" s="87" t="s">
        <v>582</v>
      </c>
      <c r="C29" s="88"/>
      <c r="D29" s="90"/>
      <c r="E29" s="90"/>
      <c r="F29" s="90"/>
      <c r="G29" s="90"/>
      <c r="H29" s="90"/>
      <c r="I29" s="90"/>
      <c r="J29" s="90"/>
      <c r="K29" s="90"/>
      <c r="L29" s="90"/>
      <c r="M29" s="90"/>
      <c r="N29" s="90"/>
      <c r="O29" s="85"/>
      <c r="P29" s="85"/>
    </row>
    <row r="30" spans="1:16">
      <c r="A30" s="85" t="s">
        <v>7</v>
      </c>
      <c r="B30" s="85" t="s">
        <v>468</v>
      </c>
      <c r="C30" s="85"/>
      <c r="D30" s="85"/>
      <c r="E30" s="85"/>
      <c r="F30" s="85"/>
      <c r="G30" s="85"/>
      <c r="H30" s="85"/>
      <c r="I30" s="85"/>
      <c r="J30" s="85"/>
      <c r="K30" s="85"/>
      <c r="L30" s="85"/>
      <c r="M30" s="85"/>
      <c r="N30" s="85"/>
      <c r="O30" s="111" t="s">
        <v>590</v>
      </c>
      <c r="P30" s="85"/>
    </row>
    <row r="31" spans="1:16">
      <c r="A31" s="85" t="s">
        <v>9</v>
      </c>
      <c r="B31" s="85" t="s">
        <v>591</v>
      </c>
      <c r="C31" s="85"/>
      <c r="D31" s="85"/>
      <c r="E31" s="85"/>
      <c r="F31" s="85"/>
      <c r="G31" s="85"/>
      <c r="H31" s="85"/>
      <c r="I31" s="85"/>
      <c r="J31" s="85"/>
      <c r="K31" s="85"/>
      <c r="L31" s="85"/>
      <c r="M31" s="85"/>
      <c r="N31" s="85"/>
      <c r="O31" s="112">
        <v>78720</v>
      </c>
      <c r="P31" s="85"/>
    </row>
    <row r="32" spans="1:16">
      <c r="A32" s="85" t="s">
        <v>11</v>
      </c>
      <c r="B32" s="85" t="s">
        <v>586</v>
      </c>
      <c r="C32" s="85"/>
      <c r="D32" s="85"/>
      <c r="E32" s="85"/>
      <c r="F32" s="85"/>
      <c r="G32" s="85"/>
      <c r="H32" s="85"/>
      <c r="I32" s="85"/>
      <c r="J32" s="85"/>
      <c r="K32" s="85"/>
      <c r="L32" s="85"/>
      <c r="M32" s="85"/>
      <c r="N32" s="85"/>
      <c r="O32" s="85"/>
      <c r="P32" s="85"/>
    </row>
    <row r="33" spans="1:16">
      <c r="A33" s="85" t="s">
        <v>13</v>
      </c>
      <c r="B33" s="85" t="s">
        <v>36</v>
      </c>
      <c r="C33" s="85"/>
      <c r="D33" s="85"/>
      <c r="E33" s="85"/>
      <c r="F33" s="85"/>
      <c r="G33" s="85"/>
      <c r="H33" s="85"/>
      <c r="I33" s="85"/>
      <c r="J33" s="85"/>
      <c r="K33" s="85"/>
      <c r="L33" s="85"/>
      <c r="M33" s="85"/>
      <c r="N33" s="85"/>
      <c r="O33" s="85"/>
      <c r="P33" s="85"/>
    </row>
    <row r="34" spans="1:16">
      <c r="A34" s="85" t="s">
        <v>15</v>
      </c>
      <c r="B34" s="98">
        <v>1</v>
      </c>
      <c r="C34" s="85"/>
      <c r="D34" s="85"/>
      <c r="E34" s="85"/>
      <c r="F34" s="85"/>
      <c r="G34" s="85"/>
      <c r="H34" s="85"/>
      <c r="I34" s="85"/>
      <c r="J34" s="85"/>
      <c r="K34" s="85"/>
      <c r="L34" s="85"/>
      <c r="M34" s="85"/>
      <c r="N34" s="85"/>
    </row>
    <row r="35" spans="1:16">
      <c r="A35" s="85" t="s">
        <v>16</v>
      </c>
      <c r="B35" s="85" t="s">
        <v>17</v>
      </c>
      <c r="C35" s="85"/>
      <c r="D35" s="85"/>
      <c r="E35" s="85"/>
      <c r="F35" s="85"/>
      <c r="G35" s="85"/>
      <c r="H35" s="85"/>
      <c r="I35" s="85"/>
      <c r="J35" s="85"/>
      <c r="K35" s="85"/>
      <c r="L35" s="85"/>
      <c r="M35" s="85"/>
      <c r="N35" s="85"/>
    </row>
    <row r="36" spans="1:16">
      <c r="A36" s="85" t="s">
        <v>18</v>
      </c>
      <c r="B36" s="85" t="s">
        <v>18</v>
      </c>
      <c r="C36" s="85"/>
      <c r="D36" s="85"/>
      <c r="E36" s="85"/>
      <c r="F36" s="85"/>
      <c r="G36" s="85"/>
      <c r="H36" s="85"/>
      <c r="I36" s="85"/>
      <c r="J36" s="85"/>
      <c r="K36" s="85"/>
      <c r="L36" s="85"/>
      <c r="M36" s="85"/>
      <c r="N36" s="85"/>
    </row>
    <row r="37" spans="1:16" ht="15.75">
      <c r="A37" s="84" t="s">
        <v>19</v>
      </c>
    </row>
    <row r="38" spans="1:16" ht="15.75">
      <c r="A38" s="84" t="s">
        <v>20</v>
      </c>
      <c r="B38" s="84" t="s">
        <v>21</v>
      </c>
      <c r="C38" s="84" t="s">
        <v>18</v>
      </c>
      <c r="D38" s="84" t="s">
        <v>22</v>
      </c>
      <c r="E38" s="84" t="s">
        <v>7</v>
      </c>
      <c r="F38" s="84" t="s">
        <v>13</v>
      </c>
      <c r="G38" s="84" t="s">
        <v>16</v>
      </c>
      <c r="H38" s="84" t="s">
        <v>23</v>
      </c>
      <c r="I38" s="84" t="s">
        <v>24</v>
      </c>
      <c r="J38" s="84" t="s">
        <v>25</v>
      </c>
      <c r="K38" s="84" t="s">
        <v>26</v>
      </c>
      <c r="L38" s="84" t="s">
        <v>27</v>
      </c>
      <c r="M38" s="84" t="s">
        <v>28</v>
      </c>
      <c r="N38" s="84" t="s">
        <v>477</v>
      </c>
    </row>
    <row r="39" spans="1:16">
      <c r="A39" s="85" t="str">
        <f>B29</f>
        <v>taxiway disposal</v>
      </c>
      <c r="B39" s="85">
        <f>B34</f>
        <v>1</v>
      </c>
      <c r="C39" s="85" t="str">
        <f>B36</f>
        <v>unit</v>
      </c>
      <c r="D39" s="85" t="s">
        <v>2</v>
      </c>
      <c r="E39" s="85" t="s">
        <v>29</v>
      </c>
      <c r="F39" s="85" t="str">
        <f>B33</f>
        <v>RER</v>
      </c>
      <c r="G39" s="85" t="s">
        <v>30</v>
      </c>
      <c r="H39" s="85">
        <v>0</v>
      </c>
      <c r="I39" s="85">
        <f>B39</f>
        <v>1</v>
      </c>
      <c r="J39" s="85"/>
      <c r="K39" s="85"/>
      <c r="L39" s="85"/>
      <c r="M39" s="85"/>
      <c r="N39" s="85"/>
    </row>
    <row r="40" spans="1:16">
      <c r="A40" s="85" t="s">
        <v>567</v>
      </c>
      <c r="B40" s="85">
        <f>O31*0.21</f>
        <v>16531.2</v>
      </c>
      <c r="C40" s="85" t="s">
        <v>50</v>
      </c>
      <c r="D40" s="85" t="s">
        <v>40</v>
      </c>
      <c r="E40" s="85" t="s">
        <v>29</v>
      </c>
      <c r="F40" s="85" t="s">
        <v>36</v>
      </c>
      <c r="G40" s="85" t="s">
        <v>33</v>
      </c>
      <c r="H40" s="85">
        <v>0</v>
      </c>
      <c r="I40" s="85">
        <f t="shared" ref="I40" si="3">B40</f>
        <v>16531.2</v>
      </c>
      <c r="J40" s="85" t="s">
        <v>31</v>
      </c>
      <c r="K40" s="85" t="s">
        <v>31</v>
      </c>
      <c r="L40" s="85" t="s">
        <v>31</v>
      </c>
      <c r="M40" s="85" t="s">
        <v>31</v>
      </c>
      <c r="N40" s="85" t="s">
        <v>587</v>
      </c>
    </row>
    <row r="41" spans="1:16" s="85" customFormat="1" ht="12.75">
      <c r="A41" s="85" t="s">
        <v>588</v>
      </c>
      <c r="B41" s="85">
        <f>O31*2195.45*(1+0.02)</f>
        <v>176282340.47999999</v>
      </c>
      <c r="C41" s="85" t="s">
        <v>39</v>
      </c>
      <c r="D41" s="85" t="s">
        <v>40</v>
      </c>
      <c r="E41" s="85" t="s">
        <v>29</v>
      </c>
      <c r="F41" s="85" t="s">
        <v>565</v>
      </c>
      <c r="G41" s="85" t="s">
        <v>33</v>
      </c>
      <c r="H41" s="85">
        <v>0</v>
      </c>
      <c r="I41" s="105">
        <f>ABS(B41)</f>
        <v>176282340.47999999</v>
      </c>
      <c r="J41" s="85" t="s">
        <v>31</v>
      </c>
      <c r="K41" s="85" t="s">
        <v>31</v>
      </c>
      <c r="L41" s="85" t="s">
        <v>31</v>
      </c>
      <c r="M41" s="85" t="s">
        <v>31</v>
      </c>
      <c r="N41" s="85" t="s">
        <v>589</v>
      </c>
    </row>
    <row r="42" spans="1:16" ht="15.75">
      <c r="A42" s="87" t="s">
        <v>5</v>
      </c>
      <c r="B42" s="87" t="s">
        <v>583</v>
      </c>
      <c r="C42" s="88"/>
      <c r="D42" s="90"/>
      <c r="E42" s="90"/>
      <c r="F42" s="90"/>
      <c r="G42" s="90"/>
      <c r="H42" s="90"/>
      <c r="I42" s="90"/>
      <c r="J42" s="90"/>
      <c r="K42" s="90"/>
      <c r="L42" s="90"/>
      <c r="M42" s="90"/>
      <c r="N42" s="90"/>
      <c r="O42" s="85"/>
    </row>
    <row r="43" spans="1:16">
      <c r="A43" s="85" t="s">
        <v>7</v>
      </c>
      <c r="B43" s="85" t="s">
        <v>468</v>
      </c>
      <c r="C43" s="85"/>
      <c r="D43" s="85"/>
      <c r="E43" s="85"/>
      <c r="F43" s="85"/>
      <c r="G43" s="85"/>
      <c r="H43" s="85"/>
      <c r="I43" s="85"/>
      <c r="J43" s="85"/>
      <c r="K43" s="85"/>
      <c r="L43" s="85"/>
      <c r="M43" s="85"/>
      <c r="N43" s="85"/>
      <c r="O43" s="111" t="s">
        <v>592</v>
      </c>
    </row>
    <row r="44" spans="1:16">
      <c r="A44" s="85" t="s">
        <v>9</v>
      </c>
      <c r="B44" s="85" t="s">
        <v>593</v>
      </c>
      <c r="C44" s="85"/>
      <c r="D44" s="85"/>
      <c r="E44" s="85"/>
      <c r="F44" s="85"/>
      <c r="G44" s="85"/>
      <c r="H44" s="85"/>
      <c r="I44" s="85"/>
      <c r="J44" s="85"/>
      <c r="K44" s="85"/>
      <c r="L44" s="85"/>
      <c r="M44" s="85"/>
      <c r="N44" s="85"/>
      <c r="O44" s="112">
        <v>99000</v>
      </c>
    </row>
    <row r="45" spans="1:16">
      <c r="A45" s="85" t="s">
        <v>11</v>
      </c>
      <c r="B45" s="85" t="s">
        <v>586</v>
      </c>
      <c r="C45" s="85"/>
      <c r="D45" s="85"/>
      <c r="E45" s="85"/>
      <c r="F45" s="85"/>
      <c r="G45" s="85"/>
      <c r="H45" s="85"/>
      <c r="I45" s="85"/>
      <c r="J45" s="85"/>
      <c r="K45" s="85"/>
      <c r="L45" s="85"/>
      <c r="M45" s="85"/>
      <c r="N45" s="85"/>
      <c r="O45" s="85"/>
    </row>
    <row r="46" spans="1:16">
      <c r="A46" s="85" t="s">
        <v>13</v>
      </c>
      <c r="B46" s="85" t="s">
        <v>36</v>
      </c>
      <c r="C46" s="85"/>
      <c r="D46" s="85"/>
      <c r="E46" s="85"/>
      <c r="F46" s="85"/>
      <c r="G46" s="85"/>
      <c r="H46" s="85"/>
      <c r="I46" s="85"/>
      <c r="J46" s="85"/>
      <c r="K46" s="85"/>
      <c r="L46" s="85"/>
      <c r="M46" s="85"/>
      <c r="N46" s="85"/>
      <c r="O46" s="85"/>
    </row>
    <row r="47" spans="1:16">
      <c r="A47" s="85" t="s">
        <v>15</v>
      </c>
      <c r="B47" s="98">
        <v>1</v>
      </c>
      <c r="C47" s="85"/>
      <c r="D47" s="85"/>
      <c r="E47" s="85"/>
      <c r="F47" s="85"/>
      <c r="G47" s="85"/>
      <c r="H47" s="85"/>
      <c r="I47" s="85"/>
      <c r="J47" s="85"/>
      <c r="K47" s="85"/>
      <c r="L47" s="85"/>
      <c r="M47" s="85"/>
      <c r="N47" s="85"/>
    </row>
    <row r="48" spans="1:16">
      <c r="A48" s="85" t="s">
        <v>16</v>
      </c>
      <c r="B48" s="85" t="s">
        <v>17</v>
      </c>
      <c r="C48" s="85"/>
      <c r="D48" s="85"/>
      <c r="E48" s="85"/>
      <c r="F48" s="85"/>
      <c r="G48" s="85"/>
      <c r="H48" s="85"/>
      <c r="I48" s="85"/>
      <c r="J48" s="85"/>
      <c r="K48" s="85"/>
      <c r="L48" s="85"/>
      <c r="M48" s="85"/>
      <c r="N48" s="85"/>
    </row>
    <row r="49" spans="1:15">
      <c r="A49" s="85" t="s">
        <v>18</v>
      </c>
      <c r="B49" s="85" t="s">
        <v>18</v>
      </c>
      <c r="C49" s="85"/>
      <c r="D49" s="85"/>
      <c r="E49" s="85"/>
      <c r="F49" s="85"/>
      <c r="G49" s="85"/>
      <c r="H49" s="85"/>
      <c r="I49" s="85"/>
      <c r="J49" s="85"/>
      <c r="K49" s="85"/>
      <c r="L49" s="85"/>
      <c r="M49" s="85"/>
      <c r="N49" s="85"/>
    </row>
    <row r="50" spans="1:15" ht="15.75">
      <c r="A50" s="84" t="s">
        <v>19</v>
      </c>
    </row>
    <row r="51" spans="1:15" ht="15.75">
      <c r="A51" s="84" t="s">
        <v>20</v>
      </c>
      <c r="B51" s="84" t="s">
        <v>21</v>
      </c>
      <c r="C51" s="84" t="s">
        <v>18</v>
      </c>
      <c r="D51" s="84" t="s">
        <v>22</v>
      </c>
      <c r="E51" s="84" t="s">
        <v>7</v>
      </c>
      <c r="F51" s="84" t="s">
        <v>13</v>
      </c>
      <c r="G51" s="84" t="s">
        <v>16</v>
      </c>
      <c r="H51" s="84" t="s">
        <v>23</v>
      </c>
      <c r="I51" s="84" t="s">
        <v>24</v>
      </c>
      <c r="J51" s="84" t="s">
        <v>25</v>
      </c>
      <c r="K51" s="84" t="s">
        <v>26</v>
      </c>
      <c r="L51" s="84" t="s">
        <v>27</v>
      </c>
      <c r="M51" s="84" t="s">
        <v>28</v>
      </c>
      <c r="N51" s="84" t="s">
        <v>477</v>
      </c>
    </row>
    <row r="52" spans="1:15">
      <c r="A52" s="85" t="str">
        <f>B42</f>
        <v>runway disposal</v>
      </c>
      <c r="B52" s="85">
        <f>B47</f>
        <v>1</v>
      </c>
      <c r="C52" s="85" t="str">
        <f>B49</f>
        <v>unit</v>
      </c>
      <c r="D52" s="85" t="s">
        <v>2</v>
      </c>
      <c r="E52" s="85" t="s">
        <v>29</v>
      </c>
      <c r="F52" s="85" t="str">
        <f>B46</f>
        <v>RER</v>
      </c>
      <c r="G52" s="85" t="s">
        <v>30</v>
      </c>
      <c r="H52" s="85">
        <v>0</v>
      </c>
      <c r="I52" s="85">
        <f>B52</f>
        <v>1</v>
      </c>
      <c r="J52" s="85"/>
      <c r="K52" s="85"/>
      <c r="L52" s="85"/>
      <c r="M52" s="85"/>
      <c r="N52" s="85"/>
    </row>
    <row r="53" spans="1:15">
      <c r="A53" s="85" t="s">
        <v>567</v>
      </c>
      <c r="B53" s="85">
        <f>O44*0.21</f>
        <v>20790</v>
      </c>
      <c r="C53" s="85" t="s">
        <v>50</v>
      </c>
      <c r="D53" s="85" t="s">
        <v>40</v>
      </c>
      <c r="E53" s="85" t="s">
        <v>29</v>
      </c>
      <c r="F53" s="85" t="s">
        <v>36</v>
      </c>
      <c r="G53" s="85" t="s">
        <v>33</v>
      </c>
      <c r="H53" s="85">
        <v>0</v>
      </c>
      <c r="I53" s="85">
        <f t="shared" ref="I53" si="4">B53</f>
        <v>20790</v>
      </c>
      <c r="J53" s="85" t="s">
        <v>31</v>
      </c>
      <c r="K53" s="85" t="s">
        <v>31</v>
      </c>
      <c r="L53" s="85" t="s">
        <v>31</v>
      </c>
      <c r="M53" s="85" t="s">
        <v>31</v>
      </c>
      <c r="N53" s="85" t="s">
        <v>587</v>
      </c>
    </row>
    <row r="54" spans="1:15">
      <c r="A54" s="85" t="s">
        <v>588</v>
      </c>
      <c r="B54" s="85">
        <f>O44*2195.45*(1+0.02)</f>
        <v>221696540.99999997</v>
      </c>
      <c r="C54" s="85" t="s">
        <v>39</v>
      </c>
      <c r="D54" s="85" t="s">
        <v>40</v>
      </c>
      <c r="E54" s="85" t="s">
        <v>29</v>
      </c>
      <c r="F54" s="85" t="s">
        <v>565</v>
      </c>
      <c r="G54" s="85" t="s">
        <v>33</v>
      </c>
      <c r="H54" s="85">
        <v>0</v>
      </c>
      <c r="I54" s="105">
        <f>ABS(B54)</f>
        <v>221696540.99999997</v>
      </c>
      <c r="J54" s="85" t="s">
        <v>31</v>
      </c>
      <c r="K54" s="85" t="s">
        <v>31</v>
      </c>
      <c r="L54" s="85" t="s">
        <v>31</v>
      </c>
      <c r="M54" s="85" t="s">
        <v>31</v>
      </c>
      <c r="N54" s="85" t="s">
        <v>589</v>
      </c>
      <c r="O54" s="85"/>
    </row>
  </sheetData>
  <mergeCells count="1">
    <mergeCell ref="O3:Q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7D8BD6-26FE-43DF-A37A-41D27A665163}">
  <dimension ref="A1:R16"/>
  <sheetViews>
    <sheetView zoomScale="83" zoomScaleNormal="85" workbookViewId="0">
      <pane xSplit="1" topLeftCell="B1" activePane="topRight" state="frozen"/>
      <selection pane="topRight" activeCell="E12" sqref="E12"/>
    </sheetView>
  </sheetViews>
  <sheetFormatPr defaultRowHeight="15"/>
  <cols>
    <col min="1" max="1" width="50.42578125" customWidth="1"/>
    <col min="2" max="2" width="35" customWidth="1"/>
    <col min="3" max="3" width="8" bestFit="1" customWidth="1"/>
    <col min="4" max="4" width="8" customWidth="1"/>
    <col min="5" max="5" width="17.7109375" bestFit="1" customWidth="1"/>
    <col min="6" max="6" width="9.5703125" bestFit="1" customWidth="1"/>
    <col min="7" max="7" width="7.7109375" bestFit="1" customWidth="1"/>
    <col min="8" max="8" width="12.140625" bestFit="1" customWidth="1"/>
    <col min="14" max="14" width="9.85546875" bestFit="1" customWidth="1"/>
    <col min="20" max="20" width="17.85546875" bestFit="1" customWidth="1"/>
  </cols>
  <sheetData>
    <row r="1" spans="1:18" ht="15.75" thickBot="1">
      <c r="A1" t="s">
        <v>0</v>
      </c>
      <c r="B1" s="113">
        <v>14</v>
      </c>
      <c r="C1" s="114" t="s">
        <v>64</v>
      </c>
      <c r="D1" s="114"/>
    </row>
    <row r="2" spans="1:18">
      <c r="A2" s="115" t="s">
        <v>5</v>
      </c>
      <c r="B2" s="116" t="s">
        <v>59</v>
      </c>
      <c r="C2" s="117"/>
      <c r="D2" s="117"/>
      <c r="E2" s="117"/>
      <c r="F2" s="117"/>
      <c r="G2" s="117"/>
      <c r="H2" s="117"/>
      <c r="I2" s="117"/>
      <c r="J2" s="117"/>
      <c r="K2" s="117"/>
      <c r="L2" s="117"/>
      <c r="M2" s="117"/>
      <c r="N2" s="118"/>
      <c r="R2" s="123" t="s">
        <v>65</v>
      </c>
    </row>
    <row r="3" spans="1:18">
      <c r="A3" s="119" t="s">
        <v>7</v>
      </c>
      <c r="B3" t="s">
        <v>66</v>
      </c>
      <c r="N3" s="120"/>
      <c r="R3" s="123" t="s">
        <v>67</v>
      </c>
    </row>
    <row r="4" spans="1:18">
      <c r="A4" s="119" t="s">
        <v>9</v>
      </c>
      <c r="B4" t="s">
        <v>68</v>
      </c>
      <c r="N4" s="120"/>
    </row>
    <row r="5" spans="1:18">
      <c r="A5" s="119" t="s">
        <v>11</v>
      </c>
      <c r="B5" t="s">
        <v>69</v>
      </c>
      <c r="N5" s="120"/>
      <c r="R5" s="123" t="s">
        <v>70</v>
      </c>
    </row>
    <row r="6" spans="1:18">
      <c r="A6" s="119" t="s">
        <v>13</v>
      </c>
      <c r="B6" t="s">
        <v>60</v>
      </c>
      <c r="N6" s="120"/>
      <c r="R6" s="123" t="s">
        <v>71</v>
      </c>
    </row>
    <row r="7" spans="1:18">
      <c r="A7" s="119" t="s">
        <v>15</v>
      </c>
      <c r="B7">
        <v>1</v>
      </c>
      <c r="N7" s="120"/>
      <c r="R7" s="123" t="s">
        <v>72</v>
      </c>
    </row>
    <row r="8" spans="1:18">
      <c r="A8" s="119" t="s">
        <v>16</v>
      </c>
      <c r="B8" t="s">
        <v>17</v>
      </c>
      <c r="N8" s="120"/>
    </row>
    <row r="9" spans="1:18">
      <c r="A9" s="119" t="s">
        <v>18</v>
      </c>
      <c r="B9" t="s">
        <v>39</v>
      </c>
      <c r="N9" s="120"/>
    </row>
    <row r="10" spans="1:18">
      <c r="A10" s="121" t="s">
        <v>19</v>
      </c>
      <c r="N10" s="120"/>
    </row>
    <row r="11" spans="1:18">
      <c r="A11" s="121" t="s">
        <v>20</v>
      </c>
      <c r="B11" s="68" t="s">
        <v>21</v>
      </c>
      <c r="C11" s="68" t="s">
        <v>18</v>
      </c>
      <c r="D11" s="68" t="s">
        <v>73</v>
      </c>
      <c r="E11" s="68" t="s">
        <v>22</v>
      </c>
      <c r="F11" s="68" t="s">
        <v>7</v>
      </c>
      <c r="G11" s="68" t="s">
        <v>13</v>
      </c>
      <c r="H11" s="68" t="s">
        <v>16</v>
      </c>
      <c r="I11" s="68" t="s">
        <v>23</v>
      </c>
      <c r="J11" s="68" t="s">
        <v>24</v>
      </c>
      <c r="K11" s="68" t="s">
        <v>25</v>
      </c>
      <c r="L11" s="68" t="s">
        <v>26</v>
      </c>
      <c r="M11" s="68" t="s">
        <v>27</v>
      </c>
      <c r="N11" s="122" t="s">
        <v>28</v>
      </c>
    </row>
    <row r="12" spans="1:18">
      <c r="A12" s="119" t="str">
        <f>B2</f>
        <v>SAF production, biodiesel proxy</v>
      </c>
      <c r="B12">
        <v>1</v>
      </c>
      <c r="C12" t="s">
        <v>39</v>
      </c>
      <c r="E12" t="s">
        <v>2</v>
      </c>
      <c r="F12" t="s">
        <v>29</v>
      </c>
      <c r="G12" t="s">
        <v>60</v>
      </c>
      <c r="H12" t="s">
        <v>30</v>
      </c>
      <c r="I12">
        <v>1</v>
      </c>
      <c r="J12" t="s">
        <v>31</v>
      </c>
      <c r="K12" t="s">
        <v>31</v>
      </c>
      <c r="L12" t="s">
        <v>31</v>
      </c>
      <c r="M12" t="s">
        <v>31</v>
      </c>
      <c r="N12" t="s">
        <v>31</v>
      </c>
    </row>
    <row r="13" spans="1:18">
      <c r="A13" s="123" t="s">
        <v>74</v>
      </c>
      <c r="B13">
        <v>1</v>
      </c>
      <c r="C13" t="s">
        <v>39</v>
      </c>
      <c r="D13" s="123" t="s">
        <v>71</v>
      </c>
      <c r="E13" s="69" t="s">
        <v>40</v>
      </c>
      <c r="F13" t="s">
        <v>29</v>
      </c>
      <c r="G13" t="s">
        <v>75</v>
      </c>
      <c r="H13" t="s">
        <v>33</v>
      </c>
      <c r="I13">
        <v>0</v>
      </c>
      <c r="J13" t="s">
        <v>31</v>
      </c>
      <c r="K13" t="s">
        <v>31</v>
      </c>
      <c r="L13" t="s">
        <v>31</v>
      </c>
      <c r="M13" t="s">
        <v>31</v>
      </c>
      <c r="N13" t="s">
        <v>31</v>
      </c>
    </row>
    <row r="14" spans="1:18">
      <c r="A14" s="119" t="s">
        <v>48</v>
      </c>
      <c r="B14">
        <v>-3.1</v>
      </c>
      <c r="C14" t="s">
        <v>39</v>
      </c>
      <c r="E14" t="s">
        <v>43</v>
      </c>
      <c r="F14" t="s">
        <v>44</v>
      </c>
      <c r="G14" t="s">
        <v>29</v>
      </c>
      <c r="H14" t="s">
        <v>45</v>
      </c>
      <c r="I14">
        <v>0</v>
      </c>
      <c r="J14" t="s">
        <v>31</v>
      </c>
      <c r="K14" t="s">
        <v>31</v>
      </c>
      <c r="L14" t="s">
        <v>31</v>
      </c>
      <c r="M14" t="s">
        <v>31</v>
      </c>
      <c r="N14" t="s">
        <v>31</v>
      </c>
      <c r="O14" t="s">
        <v>76</v>
      </c>
    </row>
    <row r="15" spans="1:18">
      <c r="A15" s="119"/>
    </row>
    <row r="16" spans="1:18">
      <c r="D16" s="123"/>
      <c r="E16" s="69"/>
    </row>
  </sheetData>
  <pageMargins left="0.7" right="0.7" top="0.75" bottom="0.75" header="0.3" footer="0.3"/>
  <pageSetup orientation="portrait" horizontalDpi="1200" verticalDpi="12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C3E6C9-A4B4-436E-B661-7B9E3421BE4E}">
  <dimension ref="A1:M18"/>
  <sheetViews>
    <sheetView workbookViewId="0">
      <selection activeCell="A13" sqref="A13"/>
    </sheetView>
  </sheetViews>
  <sheetFormatPr defaultRowHeight="15"/>
  <cols>
    <col min="1" max="1" width="41.42578125" bestFit="1" customWidth="1"/>
    <col min="2" max="2" width="40.7109375" bestFit="1" customWidth="1"/>
    <col min="3" max="3" width="5" bestFit="1" customWidth="1"/>
    <col min="4" max="4" width="14.5703125" bestFit="1" customWidth="1"/>
    <col min="5" max="5" width="11" bestFit="1" customWidth="1"/>
    <col min="6" max="6" width="9" bestFit="1" customWidth="1"/>
    <col min="7" max="7" width="13.42578125" bestFit="1" customWidth="1"/>
    <col min="8" max="8" width="17.7109375" bestFit="1" customWidth="1"/>
    <col min="9" max="9" width="3.85546875" bestFit="1" customWidth="1"/>
    <col min="10" max="13" width="10.85546875" bestFit="1" customWidth="1"/>
  </cols>
  <sheetData>
    <row r="1" spans="1:13">
      <c r="A1" t="s">
        <v>0</v>
      </c>
      <c r="B1">
        <v>13</v>
      </c>
    </row>
    <row r="2" spans="1:13" ht="15.75">
      <c r="A2" s="1" t="s">
        <v>5</v>
      </c>
      <c r="B2" s="2" t="s">
        <v>32</v>
      </c>
      <c r="C2" s="3"/>
      <c r="D2" s="11"/>
      <c r="E2" s="11"/>
      <c r="F2" s="11"/>
      <c r="G2" s="11"/>
      <c r="H2" s="11"/>
      <c r="I2" s="11"/>
      <c r="J2" s="11"/>
      <c r="K2" s="11"/>
      <c r="L2" s="11"/>
      <c r="M2" s="11"/>
    </row>
    <row r="3" spans="1:13">
      <c r="A3" s="12" t="s">
        <v>7</v>
      </c>
      <c r="B3" s="13" t="s">
        <v>77</v>
      </c>
      <c r="C3" s="4"/>
      <c r="D3" s="13"/>
      <c r="E3" s="13"/>
      <c r="F3" s="13"/>
      <c r="G3" s="13"/>
      <c r="H3" s="13"/>
      <c r="I3" s="13"/>
      <c r="J3" s="13"/>
      <c r="K3" s="13"/>
      <c r="L3" s="13"/>
      <c r="M3" s="13"/>
    </row>
    <row r="4" spans="1:13">
      <c r="A4" s="12" t="s">
        <v>9</v>
      </c>
      <c r="B4" s="13" t="s">
        <v>78</v>
      </c>
      <c r="C4" s="4"/>
      <c r="D4" s="13"/>
      <c r="E4" s="13"/>
      <c r="F4" s="13"/>
      <c r="G4" s="13"/>
      <c r="H4" s="13"/>
      <c r="I4" s="13"/>
      <c r="J4" s="13"/>
      <c r="K4" s="13"/>
      <c r="L4" s="13"/>
      <c r="M4" s="13"/>
    </row>
    <row r="5" spans="1:13" ht="60">
      <c r="A5" s="12" t="s">
        <v>11</v>
      </c>
      <c r="B5" s="14" t="s">
        <v>79</v>
      </c>
      <c r="C5" s="13"/>
      <c r="D5" s="13"/>
      <c r="E5" s="13"/>
      <c r="F5" s="13"/>
      <c r="G5" s="13"/>
      <c r="H5" s="13"/>
      <c r="I5" s="13"/>
      <c r="J5" s="13"/>
      <c r="K5" s="13"/>
      <c r="L5" s="13"/>
      <c r="M5" s="13"/>
    </row>
    <row r="6" spans="1:13">
      <c r="A6" s="12" t="s">
        <v>13</v>
      </c>
      <c r="B6" s="13" t="s">
        <v>14</v>
      </c>
      <c r="C6" s="13"/>
      <c r="D6" s="13"/>
      <c r="E6" s="13"/>
      <c r="F6" s="13"/>
      <c r="G6" s="13"/>
      <c r="H6" s="13"/>
      <c r="I6" s="13"/>
      <c r="J6" s="13"/>
      <c r="K6" s="13"/>
      <c r="L6" s="13"/>
      <c r="M6" s="13"/>
    </row>
    <row r="7" spans="1:13">
      <c r="A7" s="12" t="s">
        <v>15</v>
      </c>
      <c r="B7" s="13">
        <v>1</v>
      </c>
      <c r="C7" s="13"/>
      <c r="D7" s="13"/>
      <c r="E7" s="13"/>
      <c r="F7" s="13"/>
      <c r="G7" s="13"/>
      <c r="H7" s="13"/>
      <c r="I7" s="13"/>
      <c r="J7" s="13"/>
      <c r="K7" s="13"/>
      <c r="L7" s="13"/>
      <c r="M7" s="13"/>
    </row>
    <row r="8" spans="1:13">
      <c r="A8" s="12" t="s">
        <v>16</v>
      </c>
      <c r="B8" s="13" t="s">
        <v>17</v>
      </c>
      <c r="C8" s="13"/>
      <c r="D8" s="13"/>
      <c r="E8" s="13"/>
      <c r="F8" s="13"/>
      <c r="G8" s="13"/>
      <c r="H8" s="13"/>
      <c r="I8" s="13"/>
      <c r="J8" s="13"/>
      <c r="K8" s="13"/>
      <c r="L8" s="13"/>
      <c r="M8" s="13"/>
    </row>
    <row r="9" spans="1:13">
      <c r="A9" s="12" t="s">
        <v>18</v>
      </c>
      <c r="B9" s="13" t="s">
        <v>18</v>
      </c>
      <c r="C9" s="13"/>
      <c r="D9" s="13"/>
      <c r="E9" s="13"/>
      <c r="F9" s="13"/>
      <c r="G9" s="13"/>
      <c r="H9" s="13"/>
      <c r="I9" s="13"/>
      <c r="J9" s="13"/>
      <c r="K9" s="13"/>
      <c r="L9" s="13"/>
      <c r="M9" s="13"/>
    </row>
    <row r="10" spans="1:13" ht="15.75">
      <c r="A10" s="5" t="s">
        <v>19</v>
      </c>
      <c r="B10" s="13"/>
      <c r="C10" s="13"/>
      <c r="D10" s="13"/>
      <c r="E10" s="13"/>
      <c r="F10" s="13"/>
      <c r="G10" s="13"/>
      <c r="H10" s="13"/>
      <c r="I10" s="13"/>
      <c r="J10" s="13"/>
      <c r="K10" s="13"/>
      <c r="L10" s="13"/>
      <c r="M10" s="13"/>
    </row>
    <row r="11" spans="1:13" ht="15.75">
      <c r="A11" s="5" t="s">
        <v>20</v>
      </c>
      <c r="B11" s="6" t="s">
        <v>21</v>
      </c>
      <c r="C11" s="6" t="s">
        <v>18</v>
      </c>
      <c r="D11" s="6" t="s">
        <v>22</v>
      </c>
      <c r="E11" s="6" t="s">
        <v>7</v>
      </c>
      <c r="F11" s="6" t="s">
        <v>13</v>
      </c>
      <c r="G11" s="6" t="s">
        <v>16</v>
      </c>
      <c r="H11" s="6" t="s">
        <v>23</v>
      </c>
      <c r="I11" s="6" t="s">
        <v>24</v>
      </c>
      <c r="J11" s="6" t="s">
        <v>25</v>
      </c>
      <c r="K11" s="6" t="s">
        <v>26</v>
      </c>
      <c r="L11" s="6" t="s">
        <v>27</v>
      </c>
      <c r="M11" s="6" t="s">
        <v>28</v>
      </c>
    </row>
    <row r="12" spans="1:13" ht="15.75">
      <c r="A12" s="7" t="s">
        <v>32</v>
      </c>
      <c r="B12" s="13">
        <v>1</v>
      </c>
      <c r="C12" s="13" t="s">
        <v>18</v>
      </c>
      <c r="D12" s="8" t="s">
        <v>2</v>
      </c>
      <c r="E12" s="13" t="s">
        <v>29</v>
      </c>
      <c r="F12" s="13" t="s">
        <v>14</v>
      </c>
      <c r="G12" s="13" t="s">
        <v>30</v>
      </c>
      <c r="H12" s="13">
        <v>1</v>
      </c>
      <c r="I12" s="13">
        <v>1</v>
      </c>
      <c r="J12" s="13" t="s">
        <v>31</v>
      </c>
      <c r="K12" s="13" t="s">
        <v>31</v>
      </c>
      <c r="L12" s="13" t="s">
        <v>31</v>
      </c>
      <c r="M12" s="13" t="s">
        <v>31</v>
      </c>
    </row>
    <row r="13" spans="1:13" ht="15.75">
      <c r="A13" s="7" t="s">
        <v>80</v>
      </c>
      <c r="B13" s="13">
        <v>1</v>
      </c>
      <c r="C13" s="13" t="s">
        <v>18</v>
      </c>
      <c r="D13" s="8" t="s">
        <v>2</v>
      </c>
      <c r="E13" s="13" t="s">
        <v>29</v>
      </c>
      <c r="F13" s="13" t="s">
        <v>14</v>
      </c>
      <c r="G13" s="13" t="s">
        <v>33</v>
      </c>
      <c r="H13" s="13">
        <v>2</v>
      </c>
      <c r="I13" s="13">
        <f>LN(B13)</f>
        <v>0</v>
      </c>
      <c r="J13" s="13">
        <v>0.4147288270665544</v>
      </c>
      <c r="K13" s="13" t="s">
        <v>31</v>
      </c>
      <c r="L13" s="13" t="s">
        <v>31</v>
      </c>
      <c r="M13" s="13" t="s">
        <v>31</v>
      </c>
    </row>
    <row r="14" spans="1:13" ht="15.75">
      <c r="A14" s="7" t="s">
        <v>81</v>
      </c>
      <c r="B14" s="13">
        <v>1</v>
      </c>
      <c r="C14" s="13" t="s">
        <v>18</v>
      </c>
      <c r="D14" s="8" t="s">
        <v>2</v>
      </c>
      <c r="E14" s="13" t="s">
        <v>29</v>
      </c>
      <c r="F14" s="13" t="s">
        <v>14</v>
      </c>
      <c r="G14" s="13" t="s">
        <v>33</v>
      </c>
      <c r="H14" s="13">
        <v>2</v>
      </c>
      <c r="I14" s="13">
        <f t="shared" ref="I14:I18" si="0">LN(B14)</f>
        <v>0</v>
      </c>
      <c r="J14" s="13">
        <v>0.4147288270665544</v>
      </c>
      <c r="K14" s="13" t="s">
        <v>31</v>
      </c>
      <c r="L14" s="13" t="s">
        <v>31</v>
      </c>
      <c r="M14" s="13" t="s">
        <v>31</v>
      </c>
    </row>
    <row r="15" spans="1:13" ht="15.75">
      <c r="A15" s="7" t="s">
        <v>82</v>
      </c>
      <c r="B15" s="13">
        <v>1</v>
      </c>
      <c r="C15" s="13" t="s">
        <v>18</v>
      </c>
      <c r="D15" s="8" t="s">
        <v>2</v>
      </c>
      <c r="E15" s="13" t="s">
        <v>29</v>
      </c>
      <c r="F15" s="13" t="s">
        <v>14</v>
      </c>
      <c r="G15" s="13" t="s">
        <v>33</v>
      </c>
      <c r="H15" s="13">
        <v>2</v>
      </c>
      <c r="I15" s="13">
        <f t="shared" si="0"/>
        <v>0</v>
      </c>
      <c r="J15" s="13">
        <v>0.4147288270665544</v>
      </c>
      <c r="K15" s="13" t="s">
        <v>31</v>
      </c>
      <c r="L15" s="13" t="s">
        <v>31</v>
      </c>
      <c r="M15" s="13" t="s">
        <v>31</v>
      </c>
    </row>
    <row r="16" spans="1:13" ht="15.75">
      <c r="A16" s="7" t="s">
        <v>83</v>
      </c>
      <c r="B16" s="13">
        <v>1</v>
      </c>
      <c r="C16" s="13" t="s">
        <v>18</v>
      </c>
      <c r="D16" s="8" t="s">
        <v>2</v>
      </c>
      <c r="E16" s="13" t="s">
        <v>29</v>
      </c>
      <c r="F16" s="13" t="s">
        <v>14</v>
      </c>
      <c r="G16" s="13" t="s">
        <v>33</v>
      </c>
      <c r="H16" s="13">
        <v>2</v>
      </c>
      <c r="I16" s="13">
        <f t="shared" si="0"/>
        <v>0</v>
      </c>
      <c r="J16" s="13">
        <v>0.4147288270665544</v>
      </c>
      <c r="K16" s="13" t="s">
        <v>31</v>
      </c>
      <c r="L16" s="13" t="s">
        <v>31</v>
      </c>
      <c r="M16" s="13" t="s">
        <v>31</v>
      </c>
    </row>
    <row r="17" spans="1:13" ht="15.75">
      <c r="A17" s="7" t="s">
        <v>84</v>
      </c>
      <c r="B17" s="13">
        <v>1</v>
      </c>
      <c r="C17" s="13" t="s">
        <v>18</v>
      </c>
      <c r="D17" s="8" t="s">
        <v>2</v>
      </c>
      <c r="E17" s="13" t="s">
        <v>29</v>
      </c>
      <c r="F17" s="13" t="s">
        <v>14</v>
      </c>
      <c r="G17" s="13" t="s">
        <v>33</v>
      </c>
      <c r="H17" s="13">
        <v>2</v>
      </c>
      <c r="I17" s="13">
        <f t="shared" si="0"/>
        <v>0</v>
      </c>
      <c r="J17" s="13">
        <v>0.4147288270665544</v>
      </c>
      <c r="K17" s="13" t="s">
        <v>31</v>
      </c>
      <c r="L17" s="13" t="s">
        <v>31</v>
      </c>
      <c r="M17" s="13" t="s">
        <v>31</v>
      </c>
    </row>
    <row r="18" spans="1:13" ht="15.75">
      <c r="A18" s="13" t="s">
        <v>85</v>
      </c>
      <c r="B18" s="13">
        <v>1</v>
      </c>
      <c r="C18" s="13" t="s">
        <v>18</v>
      </c>
      <c r="D18" s="8" t="s">
        <v>2</v>
      </c>
      <c r="E18" s="13" t="s">
        <v>29</v>
      </c>
      <c r="F18" s="13" t="s">
        <v>86</v>
      </c>
      <c r="G18" s="13" t="s">
        <v>33</v>
      </c>
      <c r="H18" s="13">
        <v>0</v>
      </c>
      <c r="I18" s="13">
        <f t="shared" si="0"/>
        <v>0</v>
      </c>
      <c r="J18" s="13" t="s">
        <v>31</v>
      </c>
      <c r="K18" s="13" t="s">
        <v>31</v>
      </c>
      <c r="L18" s="13" t="s">
        <v>31</v>
      </c>
      <c r="M18" s="13" t="s">
        <v>31</v>
      </c>
    </row>
  </sheetData>
  <pageMargins left="0.7" right="0.7" top="0.75" bottom="0.75" header="0.3" footer="0.3"/>
  <pageSetup paperSize="9" orientation="portrait"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021C12-6459-4021-BAB5-6146CACE2232}">
  <dimension ref="A1:P14"/>
  <sheetViews>
    <sheetView zoomScale="85" zoomScaleNormal="85" workbookViewId="0">
      <selection activeCell="F12" sqref="F12"/>
    </sheetView>
  </sheetViews>
  <sheetFormatPr defaultRowHeight="15"/>
  <cols>
    <col min="1" max="1" width="57.28515625" bestFit="1" customWidth="1"/>
    <col min="5" max="5" width="13.42578125" bestFit="1" customWidth="1"/>
    <col min="6" max="6" width="39.140625" bestFit="1" customWidth="1"/>
  </cols>
  <sheetData>
    <row r="1" spans="1:16" s="22" customFormat="1">
      <c r="A1" s="22" t="s">
        <v>0</v>
      </c>
      <c r="B1" s="22">
        <v>14</v>
      </c>
    </row>
    <row r="2" spans="1:16" s="67" customFormat="1" ht="15.75">
      <c r="A2" s="124" t="s">
        <v>5</v>
      </c>
      <c r="B2" s="124" t="s">
        <v>85</v>
      </c>
      <c r="C2" s="124"/>
      <c r="D2" s="66"/>
      <c r="E2" s="125"/>
      <c r="F2" s="125"/>
      <c r="G2" s="125"/>
      <c r="H2" s="125"/>
      <c r="I2" s="125"/>
      <c r="J2" s="125"/>
      <c r="K2" s="125"/>
      <c r="L2" s="125"/>
      <c r="M2" s="125"/>
      <c r="N2" s="125"/>
      <c r="O2" s="125"/>
      <c r="P2" s="125"/>
    </row>
    <row r="3" spans="1:16">
      <c r="A3" s="69" t="s">
        <v>7</v>
      </c>
      <c r="B3" s="69" t="s">
        <v>87</v>
      </c>
      <c r="C3" s="69"/>
      <c r="D3" s="69"/>
      <c r="E3" s="69"/>
      <c r="F3" s="69"/>
      <c r="G3" s="69"/>
      <c r="H3" s="69"/>
      <c r="I3" s="69"/>
      <c r="J3" s="69"/>
      <c r="K3" s="69"/>
      <c r="L3" s="69"/>
      <c r="M3" s="69"/>
      <c r="N3" s="69"/>
      <c r="O3" s="69"/>
      <c r="P3" s="69"/>
    </row>
    <row r="4" spans="1:16">
      <c r="A4" s="69" t="s">
        <v>9</v>
      </c>
      <c r="B4" s="126" t="s">
        <v>88</v>
      </c>
      <c r="C4" s="69"/>
      <c r="D4" s="69"/>
      <c r="E4" s="69"/>
      <c r="F4" s="69"/>
      <c r="G4" s="69"/>
      <c r="H4" s="69"/>
      <c r="I4" s="69"/>
      <c r="J4" s="69"/>
      <c r="K4" s="69"/>
      <c r="L4" s="69"/>
      <c r="M4" s="69"/>
      <c r="N4" s="69"/>
      <c r="O4" s="69"/>
      <c r="P4" s="69"/>
    </row>
    <row r="5" spans="1:16">
      <c r="A5" s="69" t="s">
        <v>11</v>
      </c>
      <c r="B5" s="69" t="s">
        <v>89</v>
      </c>
      <c r="C5" s="69"/>
      <c r="D5" s="69"/>
      <c r="E5" s="69"/>
      <c r="F5" s="69"/>
      <c r="G5" s="69"/>
      <c r="H5" s="69"/>
      <c r="I5" s="69"/>
      <c r="J5" s="69"/>
      <c r="K5" s="69"/>
      <c r="L5" s="69"/>
      <c r="M5" s="69"/>
      <c r="N5" s="69"/>
      <c r="O5" s="69"/>
      <c r="P5" s="69"/>
    </row>
    <row r="6" spans="1:16">
      <c r="A6" s="69" t="s">
        <v>13</v>
      </c>
      <c r="B6" s="69" t="s">
        <v>86</v>
      </c>
      <c r="C6" s="69"/>
      <c r="D6" s="69"/>
      <c r="E6" s="69"/>
      <c r="F6" s="69"/>
      <c r="G6" s="69"/>
      <c r="H6" s="69"/>
      <c r="I6" s="69"/>
      <c r="J6" s="69"/>
      <c r="K6" s="69"/>
      <c r="L6" s="69"/>
      <c r="M6" s="69"/>
      <c r="N6" s="69"/>
      <c r="O6" s="69"/>
      <c r="P6" s="69"/>
    </row>
    <row r="7" spans="1:16">
      <c r="A7" s="69" t="s">
        <v>15</v>
      </c>
      <c r="B7" s="69">
        <v>1</v>
      </c>
      <c r="C7" s="69"/>
      <c r="D7" s="69"/>
      <c r="E7" s="69"/>
      <c r="F7" s="69"/>
      <c r="G7" s="69"/>
      <c r="H7" s="69"/>
      <c r="I7" s="69"/>
      <c r="J7" s="69"/>
      <c r="K7" s="69"/>
      <c r="L7" s="69"/>
      <c r="M7" s="69"/>
      <c r="N7" s="69"/>
      <c r="O7" s="69"/>
      <c r="P7" s="69"/>
    </row>
    <row r="8" spans="1:16">
      <c r="A8" s="69" t="s">
        <v>16</v>
      </c>
      <c r="B8" s="69" t="s">
        <v>17</v>
      </c>
      <c r="C8" s="69"/>
      <c r="D8" s="69"/>
      <c r="E8" s="69"/>
      <c r="F8" s="69"/>
      <c r="G8" s="69"/>
      <c r="H8" s="69"/>
      <c r="I8" s="69"/>
      <c r="J8" s="69"/>
      <c r="K8" s="69"/>
      <c r="L8" s="69"/>
      <c r="M8" s="69"/>
      <c r="N8" s="69"/>
      <c r="O8" s="69"/>
      <c r="P8" s="69"/>
    </row>
    <row r="9" spans="1:16" ht="15.75">
      <c r="A9" s="69" t="s">
        <v>18</v>
      </c>
      <c r="B9" s="127" t="s">
        <v>18</v>
      </c>
      <c r="C9" s="69"/>
      <c r="D9" s="69"/>
      <c r="E9" s="69" t="s">
        <v>90</v>
      </c>
      <c r="F9" s="69"/>
      <c r="G9" s="69"/>
      <c r="H9" s="69"/>
      <c r="I9" s="69"/>
      <c r="J9" s="69"/>
      <c r="K9" s="69"/>
      <c r="L9" s="69"/>
      <c r="M9" s="69"/>
      <c r="N9" s="69"/>
      <c r="O9" s="69"/>
      <c r="P9" s="69"/>
    </row>
    <row r="10" spans="1:16" ht="15.75">
      <c r="A10" s="128" t="s">
        <v>19</v>
      </c>
      <c r="B10" s="69"/>
      <c r="C10" s="69"/>
      <c r="D10" s="69"/>
      <c r="E10" s="69"/>
      <c r="F10" s="69"/>
      <c r="G10" s="69"/>
      <c r="H10" s="69"/>
      <c r="I10" s="69"/>
      <c r="J10" s="69"/>
      <c r="K10" s="69"/>
      <c r="L10" s="69"/>
      <c r="M10" s="69"/>
      <c r="N10" s="69"/>
      <c r="O10" s="69"/>
      <c r="P10" s="69"/>
    </row>
    <row r="11" spans="1:16" ht="15.75">
      <c r="A11" s="128" t="s">
        <v>20</v>
      </c>
      <c r="B11" s="128" t="s">
        <v>21</v>
      </c>
      <c r="C11" s="128" t="s">
        <v>73</v>
      </c>
      <c r="D11" s="128" t="s">
        <v>18</v>
      </c>
      <c r="E11" s="128" t="s">
        <v>22</v>
      </c>
      <c r="F11" s="128" t="s">
        <v>7</v>
      </c>
      <c r="G11" s="128" t="s">
        <v>13</v>
      </c>
      <c r="H11" s="128" t="s">
        <v>16</v>
      </c>
      <c r="I11" s="128" t="s">
        <v>23</v>
      </c>
      <c r="J11" s="128" t="s">
        <v>24</v>
      </c>
      <c r="K11" s="128" t="s">
        <v>25</v>
      </c>
      <c r="L11" s="128" t="s">
        <v>26</v>
      </c>
      <c r="M11" s="128" t="s">
        <v>27</v>
      </c>
      <c r="N11" s="128" t="s">
        <v>28</v>
      </c>
      <c r="O11" s="128" t="s">
        <v>11</v>
      </c>
      <c r="P11" s="128" t="s">
        <v>91</v>
      </c>
    </row>
    <row r="12" spans="1:16" ht="15.75">
      <c r="A12" s="127" t="str">
        <f>B2</f>
        <v>Decommissioning of aircraft, conventional, Short-Term</v>
      </c>
      <c r="B12" s="127">
        <v>1</v>
      </c>
      <c r="C12" s="127"/>
      <c r="D12" s="127" t="s">
        <v>18</v>
      </c>
      <c r="E12" s="69" t="s">
        <v>2</v>
      </c>
      <c r="F12" s="69" t="s">
        <v>87</v>
      </c>
      <c r="G12" s="127" t="s">
        <v>86</v>
      </c>
      <c r="H12" s="69" t="s">
        <v>30</v>
      </c>
      <c r="I12" s="69">
        <v>0</v>
      </c>
      <c r="J12" s="127" t="s">
        <v>31</v>
      </c>
      <c r="K12" s="127" t="s">
        <v>31</v>
      </c>
      <c r="L12" s="127" t="s">
        <v>31</v>
      </c>
      <c r="M12" s="127" t="s">
        <v>31</v>
      </c>
      <c r="N12" s="127" t="s">
        <v>31</v>
      </c>
      <c r="O12" s="127"/>
      <c r="P12" s="69"/>
    </row>
    <row r="13" spans="1:16">
      <c r="A13" t="str">
        <f>'powerplant EoL LCI'!A125</f>
        <v>treatment of powerplant, conventional, Short-Term</v>
      </c>
      <c r="B13">
        <f>'powerplant EoL LCI'!B125</f>
        <v>1</v>
      </c>
      <c r="D13" t="str">
        <f>'powerplant EoL LCI'!D125</f>
        <v>unit</v>
      </c>
      <c r="E13" t="str">
        <f>'powerplant EoL LCI'!E125</f>
        <v>GENESIS_2030_conventional_NDC</v>
      </c>
      <c r="F13" t="str">
        <f>'powerplant EoL LCI'!F125</f>
        <v>powerplant EoL, conventional, Short-Term</v>
      </c>
      <c r="G13" t="str">
        <f>'powerplant EoL LCI'!G125</f>
        <v>GLO</v>
      </c>
      <c r="H13" t="s">
        <v>33</v>
      </c>
      <c r="I13">
        <f>'powerplant EoL LCI'!I125</f>
        <v>0</v>
      </c>
      <c r="J13" t="str">
        <f>'powerplant EoL LCI'!J125</f>
        <v>(Unknown)</v>
      </c>
      <c r="K13" t="str">
        <f>'powerplant EoL LCI'!K125</f>
        <v>(Unknown)</v>
      </c>
      <c r="L13" t="str">
        <f>'powerplant EoL LCI'!L125</f>
        <v>(Unknown)</v>
      </c>
      <c r="M13" t="str">
        <f>'powerplant EoL LCI'!M125</f>
        <v>(Unknown)</v>
      </c>
      <c r="N13" t="str">
        <f>'powerplant EoL LCI'!N125</f>
        <v>(Unknown)</v>
      </c>
    </row>
    <row r="14" spans="1:16">
      <c r="A14" t="str">
        <f>'airframe EoL LCI'!A242</f>
        <v>treatment of airframe , conventional, Short-Term</v>
      </c>
      <c r="B14">
        <f>'airframe EoL LCI'!B242</f>
        <v>1</v>
      </c>
      <c r="D14" t="str">
        <f>'airframe EoL LCI'!D242</f>
        <v>unit</v>
      </c>
      <c r="E14" t="str">
        <f>'airframe EoL LCI'!E242</f>
        <v>GENESIS_2030_conventional_NDC</v>
      </c>
      <c r="F14" t="str">
        <f>'airframe EoL LCI'!F242</f>
        <v>airframe EoL, conventional, Short-Term</v>
      </c>
      <c r="G14" t="str">
        <f>'airframe EoL LCI'!G242</f>
        <v>GLO</v>
      </c>
      <c r="H14" t="s">
        <v>33</v>
      </c>
      <c r="I14">
        <f>'airframe EoL LCI'!I242</f>
        <v>0</v>
      </c>
      <c r="J14" t="str">
        <f>'airframe EoL LCI'!J242</f>
        <v>(Unknown)</v>
      </c>
      <c r="K14" t="str">
        <f>'airframe EoL LCI'!K242</f>
        <v>(Unknown)</v>
      </c>
      <c r="L14" t="str">
        <f>'airframe EoL LCI'!L242</f>
        <v>(Unknown)</v>
      </c>
      <c r="M14" t="str">
        <f>'airframe EoL LCI'!M242</f>
        <v>(Unknown)</v>
      </c>
      <c r="N14" t="str">
        <f>'airframe EoL LCI'!N242</f>
        <v>(Unknown)</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E608BC-28FD-4BB3-B58E-1BDE8743E076}">
  <dimension ref="A1:V135"/>
  <sheetViews>
    <sheetView topLeftCell="A102" workbookViewId="0">
      <selection activeCell="A141" sqref="A141"/>
    </sheetView>
  </sheetViews>
  <sheetFormatPr defaultRowHeight="15"/>
  <cols>
    <col min="1" max="1" width="55.28515625" bestFit="1" customWidth="1"/>
    <col min="5" max="5" width="32.7109375" bestFit="1" customWidth="1"/>
    <col min="6" max="6" width="14.85546875" bestFit="1" customWidth="1"/>
  </cols>
  <sheetData>
    <row r="1" spans="1:22">
      <c r="A1" t="s">
        <v>0</v>
      </c>
      <c r="B1">
        <v>14</v>
      </c>
    </row>
    <row r="2" spans="1:22" s="67" customFormat="1" ht="15.75">
      <c r="A2" s="124" t="s">
        <v>5</v>
      </c>
      <c r="B2" s="124" t="s">
        <v>92</v>
      </c>
      <c r="C2" s="124"/>
      <c r="D2" s="66"/>
      <c r="E2" s="125"/>
      <c r="F2" s="125"/>
      <c r="G2" s="125"/>
      <c r="H2" s="125"/>
      <c r="I2" s="125"/>
      <c r="J2" s="125"/>
      <c r="K2" s="125"/>
      <c r="L2" s="125"/>
      <c r="M2" s="125"/>
      <c r="N2" s="125"/>
      <c r="O2" s="125"/>
      <c r="P2" s="125"/>
    </row>
    <row r="3" spans="1:22">
      <c r="A3" s="69" t="s">
        <v>7</v>
      </c>
      <c r="B3" s="69" t="s">
        <v>93</v>
      </c>
      <c r="C3" s="69"/>
      <c r="D3" s="69"/>
      <c r="E3" s="69"/>
      <c r="F3" s="69"/>
      <c r="G3" s="69"/>
      <c r="H3" s="69"/>
      <c r="I3" s="69"/>
      <c r="J3" s="69"/>
      <c r="K3" s="69"/>
      <c r="L3" s="69"/>
      <c r="M3" s="69"/>
      <c r="N3" s="69"/>
      <c r="O3" s="69"/>
      <c r="P3" s="69"/>
    </row>
    <row r="4" spans="1:22">
      <c r="A4" s="69" t="s">
        <v>9</v>
      </c>
      <c r="B4" s="126" t="s">
        <v>94</v>
      </c>
      <c r="C4" s="69"/>
      <c r="D4" s="69"/>
      <c r="E4" s="69"/>
      <c r="F4" s="69"/>
      <c r="G4" s="69"/>
      <c r="H4" s="69"/>
      <c r="I4" s="69"/>
      <c r="J4" s="69"/>
      <c r="K4" s="69"/>
      <c r="L4" s="69"/>
      <c r="M4" s="69"/>
      <c r="N4" s="69"/>
      <c r="O4" s="69"/>
      <c r="P4" s="69"/>
    </row>
    <row r="5" spans="1:22">
      <c r="A5" s="69" t="s">
        <v>11</v>
      </c>
      <c r="B5" s="69" t="s">
        <v>95</v>
      </c>
      <c r="C5" s="69"/>
      <c r="D5" s="69"/>
      <c r="E5" s="69"/>
      <c r="F5" s="69"/>
      <c r="G5" s="69"/>
      <c r="H5" s="69"/>
      <c r="I5" s="69"/>
      <c r="J5" s="69"/>
      <c r="K5" s="69"/>
      <c r="L5" s="69"/>
      <c r="M5" s="69"/>
      <c r="N5" s="69"/>
      <c r="O5" s="69"/>
      <c r="P5" s="69"/>
    </row>
    <row r="6" spans="1:22">
      <c r="A6" s="69" t="s">
        <v>13</v>
      </c>
      <c r="B6" s="69" t="s">
        <v>86</v>
      </c>
      <c r="C6" s="69"/>
      <c r="D6" s="69"/>
      <c r="E6" s="69"/>
      <c r="F6" s="69"/>
      <c r="G6" s="69"/>
      <c r="H6" s="69"/>
      <c r="I6" s="69"/>
      <c r="J6" s="69"/>
      <c r="K6" s="69"/>
      <c r="L6" s="69"/>
      <c r="M6" s="69"/>
      <c r="N6" s="69"/>
      <c r="O6" s="69"/>
      <c r="P6" s="69"/>
    </row>
    <row r="7" spans="1:22">
      <c r="A7" s="69" t="s">
        <v>15</v>
      </c>
      <c r="B7" s="69">
        <v>1</v>
      </c>
      <c r="C7" s="69"/>
      <c r="D7" s="69"/>
      <c r="E7" s="69"/>
      <c r="F7" s="69"/>
      <c r="G7" s="69"/>
      <c r="H7" s="69"/>
      <c r="I7" s="69"/>
      <c r="J7" s="69"/>
      <c r="K7" s="69"/>
      <c r="L7" s="69"/>
      <c r="M7" s="69"/>
      <c r="N7" s="69"/>
      <c r="O7" s="69"/>
      <c r="P7" s="69"/>
    </row>
    <row r="8" spans="1:22">
      <c r="A8" s="69" t="s">
        <v>16</v>
      </c>
      <c r="B8" s="69" t="s">
        <v>17</v>
      </c>
      <c r="C8" s="69"/>
      <c r="D8" s="69"/>
      <c r="E8" s="69"/>
      <c r="F8" s="69"/>
      <c r="G8" s="69"/>
      <c r="H8" s="69"/>
      <c r="I8" s="69"/>
      <c r="J8" s="69"/>
      <c r="K8" s="69"/>
      <c r="L8" s="69"/>
      <c r="M8" s="69"/>
      <c r="N8" s="69"/>
      <c r="O8" s="69"/>
      <c r="P8" s="69"/>
    </row>
    <row r="9" spans="1:22" ht="15.75">
      <c r="A9" s="69" t="s">
        <v>18</v>
      </c>
      <c r="B9" s="127" t="s">
        <v>39</v>
      </c>
      <c r="C9" s="69"/>
      <c r="D9" s="69"/>
      <c r="E9" s="69" t="s">
        <v>90</v>
      </c>
      <c r="F9" s="69"/>
      <c r="G9" s="69"/>
      <c r="H9" s="69"/>
      <c r="I9" s="69"/>
      <c r="J9" s="69"/>
      <c r="K9" s="69"/>
      <c r="L9" s="69"/>
      <c r="M9" s="69"/>
      <c r="N9" s="69"/>
      <c r="O9" s="69"/>
      <c r="P9" s="69"/>
    </row>
    <row r="10" spans="1:22" ht="15.75">
      <c r="A10" s="128" t="s">
        <v>19</v>
      </c>
      <c r="B10" s="69"/>
      <c r="C10" s="69"/>
      <c r="D10" s="69"/>
      <c r="E10" s="69"/>
      <c r="F10" s="69"/>
      <c r="G10" s="69"/>
      <c r="H10" s="69"/>
      <c r="I10" s="69"/>
      <c r="J10" s="69"/>
      <c r="K10" s="69"/>
      <c r="L10" s="69"/>
      <c r="M10" s="69"/>
      <c r="N10" s="69"/>
      <c r="O10" s="69"/>
      <c r="P10" s="69"/>
    </row>
    <row r="11" spans="1:22" ht="15.75">
      <c r="A11" s="128" t="s">
        <v>20</v>
      </c>
      <c r="B11" s="128" t="s">
        <v>21</v>
      </c>
      <c r="C11" s="128" t="s">
        <v>73</v>
      </c>
      <c r="D11" s="128" t="s">
        <v>18</v>
      </c>
      <c r="E11" s="128" t="s">
        <v>22</v>
      </c>
      <c r="F11" s="128" t="s">
        <v>7</v>
      </c>
      <c r="G11" s="128" t="s">
        <v>13</v>
      </c>
      <c r="H11" s="128" t="s">
        <v>16</v>
      </c>
      <c r="I11" s="128" t="s">
        <v>23</v>
      </c>
      <c r="J11" s="128" t="s">
        <v>24</v>
      </c>
      <c r="K11" s="128" t="s">
        <v>25</v>
      </c>
      <c r="L11" s="128" t="s">
        <v>26</v>
      </c>
      <c r="M11" s="128" t="s">
        <v>27</v>
      </c>
      <c r="N11" s="128" t="s">
        <v>28</v>
      </c>
      <c r="O11" s="128" t="s">
        <v>11</v>
      </c>
      <c r="P11" s="128" t="s">
        <v>91</v>
      </c>
    </row>
    <row r="12" spans="1:22" ht="15.75">
      <c r="A12" s="127" t="str">
        <f>B2</f>
        <v>treatment of titanium,powerplant, conventional, Short-Term</v>
      </c>
      <c r="B12" s="127">
        <v>1</v>
      </c>
      <c r="C12" s="127"/>
      <c r="D12" s="127" t="s">
        <v>39</v>
      </c>
      <c r="E12" s="69" t="s">
        <v>2</v>
      </c>
      <c r="F12" s="69" t="s">
        <v>93</v>
      </c>
      <c r="G12" s="127" t="s">
        <v>86</v>
      </c>
      <c r="H12" s="69" t="s">
        <v>30</v>
      </c>
      <c r="I12" s="69">
        <v>0</v>
      </c>
      <c r="J12" s="127" t="s">
        <v>31</v>
      </c>
      <c r="K12" s="127" t="s">
        <v>31</v>
      </c>
      <c r="L12" s="127" t="s">
        <v>31</v>
      </c>
      <c r="M12" s="127" t="s">
        <v>31</v>
      </c>
      <c r="N12" s="127" t="s">
        <v>31</v>
      </c>
      <c r="O12" s="69"/>
      <c r="P12" s="69" t="s">
        <v>96</v>
      </c>
    </row>
    <row r="13" spans="1:22">
      <c r="A13" t="s">
        <v>97</v>
      </c>
      <c r="B13">
        <f>U13</f>
        <v>9.5000076</v>
      </c>
      <c r="D13" t="s">
        <v>98</v>
      </c>
      <c r="E13" t="s">
        <v>40</v>
      </c>
      <c r="F13" s="69" t="s">
        <v>93</v>
      </c>
      <c r="G13" t="s">
        <v>86</v>
      </c>
      <c r="H13" t="s">
        <v>33</v>
      </c>
      <c r="I13">
        <v>2</v>
      </c>
      <c r="J13">
        <v>9.398101209</v>
      </c>
      <c r="K13">
        <v>0.30331501799999999</v>
      </c>
      <c r="L13" t="s">
        <v>31</v>
      </c>
      <c r="M13" t="s">
        <v>31</v>
      </c>
      <c r="N13" t="s">
        <v>31</v>
      </c>
      <c r="O13" t="s">
        <v>99</v>
      </c>
      <c r="P13" t="s">
        <v>100</v>
      </c>
      <c r="Q13" t="s">
        <v>101</v>
      </c>
      <c r="R13" s="22" t="s">
        <v>102</v>
      </c>
      <c r="S13" s="22">
        <f>114*0.6*0.5</f>
        <v>34.199999999999996</v>
      </c>
      <c r="T13" s="22" t="s">
        <v>103</v>
      </c>
      <c r="U13" s="22">
        <f>S13*0.277778</f>
        <v>9.5000076</v>
      </c>
      <c r="V13" s="22" t="s">
        <v>104</v>
      </c>
    </row>
    <row r="14" spans="1:22">
      <c r="A14" t="s">
        <v>105</v>
      </c>
      <c r="B14">
        <f>U14</f>
        <v>0.59530026109660583</v>
      </c>
      <c r="D14" t="s">
        <v>50</v>
      </c>
      <c r="E14" t="s">
        <v>40</v>
      </c>
      <c r="F14" s="69" t="s">
        <v>93</v>
      </c>
      <c r="G14" t="s">
        <v>106</v>
      </c>
      <c r="H14" t="s">
        <v>33</v>
      </c>
      <c r="I14">
        <v>2</v>
      </c>
      <c r="J14">
        <v>6.6281192500000001</v>
      </c>
      <c r="K14">
        <v>0.30331501799999999</v>
      </c>
      <c r="L14" t="s">
        <v>31</v>
      </c>
      <c r="M14" t="s">
        <v>31</v>
      </c>
      <c r="N14" t="s">
        <v>31</v>
      </c>
      <c r="O14" t="s">
        <v>99</v>
      </c>
      <c r="P14" t="s">
        <v>100</v>
      </c>
      <c r="Q14" t="s">
        <v>101</v>
      </c>
      <c r="R14" s="22" t="s">
        <v>107</v>
      </c>
      <c r="S14" s="22">
        <f>114*0.4*0.5</f>
        <v>22.8</v>
      </c>
      <c r="T14" s="22" t="s">
        <v>103</v>
      </c>
      <c r="U14" s="22">
        <f>S14/38.3</f>
        <v>0.59530026109660583</v>
      </c>
      <c r="V14" s="22" t="s">
        <v>108</v>
      </c>
    </row>
    <row r="15" spans="1:22">
      <c r="A15" s="32" t="s">
        <v>109</v>
      </c>
      <c r="B15" s="30">
        <f>S15</f>
        <v>0.5</v>
      </c>
      <c r="C15" s="30"/>
      <c r="D15" s="22" t="s">
        <v>39</v>
      </c>
      <c r="E15" s="22" t="s">
        <v>40</v>
      </c>
      <c r="F15" s="69" t="s">
        <v>93</v>
      </c>
      <c r="G15" s="22" t="s">
        <v>86</v>
      </c>
      <c r="H15" s="22" t="s">
        <v>110</v>
      </c>
      <c r="I15" s="22">
        <v>2</v>
      </c>
      <c r="J15" s="22">
        <f t="shared" ref="J15" si="0">LN(B15)</f>
        <v>-0.69314718055994529</v>
      </c>
      <c r="K15" s="22">
        <v>0.30331501776206199</v>
      </c>
      <c r="L15" s="22" t="s">
        <v>31</v>
      </c>
      <c r="M15" s="22" t="s">
        <v>31</v>
      </c>
      <c r="N15" s="22" t="s">
        <v>31</v>
      </c>
      <c r="O15" s="22" t="s">
        <v>99</v>
      </c>
      <c r="P15" t="s">
        <v>100</v>
      </c>
      <c r="Q15" s="22" t="s">
        <v>101</v>
      </c>
      <c r="R15" s="22"/>
      <c r="S15" s="22">
        <v>0.5</v>
      </c>
      <c r="T15" s="22" t="s">
        <v>111</v>
      </c>
    </row>
    <row r="16" spans="1:22" ht="15.75">
      <c r="A16" t="s">
        <v>112</v>
      </c>
      <c r="B16" s="113">
        <f>-0.5</f>
        <v>-0.5</v>
      </c>
      <c r="D16" t="s">
        <v>39</v>
      </c>
      <c r="E16" s="129" t="s">
        <v>40</v>
      </c>
      <c r="F16" s="69" t="s">
        <v>93</v>
      </c>
      <c r="G16" t="s">
        <v>86</v>
      </c>
      <c r="H16" t="s">
        <v>33</v>
      </c>
      <c r="I16">
        <v>0</v>
      </c>
      <c r="J16" t="s">
        <v>31</v>
      </c>
      <c r="K16" t="s">
        <v>31</v>
      </c>
      <c r="L16" t="s">
        <v>31</v>
      </c>
      <c r="M16" t="s">
        <v>31</v>
      </c>
      <c r="N16" t="s">
        <v>31</v>
      </c>
      <c r="O16" s="17"/>
      <c r="P16" s="69" t="s">
        <v>113</v>
      </c>
    </row>
    <row r="17" spans="1:17" s="67" customFormat="1" ht="15.75">
      <c r="A17" s="124" t="s">
        <v>5</v>
      </c>
      <c r="B17" s="124" t="s">
        <v>114</v>
      </c>
      <c r="C17" s="124"/>
      <c r="D17" s="66"/>
      <c r="E17" s="125"/>
      <c r="F17" s="125"/>
      <c r="G17" s="125"/>
      <c r="H17" s="125"/>
      <c r="I17" s="125"/>
      <c r="J17" s="125"/>
      <c r="K17" s="125"/>
      <c r="L17" s="125"/>
      <c r="M17" s="125"/>
      <c r="N17" s="125"/>
      <c r="O17" s="125"/>
      <c r="P17" s="125"/>
    </row>
    <row r="18" spans="1:17">
      <c r="A18" s="69" t="s">
        <v>7</v>
      </c>
      <c r="B18" s="69" t="s">
        <v>93</v>
      </c>
      <c r="C18" s="69"/>
      <c r="D18" s="69"/>
      <c r="E18" s="69"/>
      <c r="F18" s="69"/>
      <c r="G18" s="69"/>
      <c r="H18" s="69"/>
      <c r="I18" s="69"/>
      <c r="J18" s="69"/>
      <c r="K18" s="69"/>
      <c r="L18" s="69"/>
      <c r="M18" s="69"/>
      <c r="N18" s="69"/>
      <c r="O18" s="69"/>
      <c r="P18" s="69"/>
    </row>
    <row r="19" spans="1:17">
      <c r="A19" s="69" t="s">
        <v>9</v>
      </c>
      <c r="B19" s="126" t="s">
        <v>115</v>
      </c>
      <c r="C19" s="69"/>
      <c r="D19" s="69"/>
      <c r="E19" s="69"/>
      <c r="F19" s="69"/>
      <c r="G19" s="69"/>
      <c r="H19" s="69"/>
      <c r="I19" s="69"/>
      <c r="J19" s="69"/>
      <c r="K19" s="69"/>
      <c r="L19" s="69"/>
      <c r="M19" s="69"/>
      <c r="N19" s="69"/>
      <c r="O19" s="69"/>
      <c r="P19" s="69"/>
    </row>
    <row r="20" spans="1:17">
      <c r="A20" s="69" t="s">
        <v>11</v>
      </c>
      <c r="B20" s="69" t="s">
        <v>95</v>
      </c>
      <c r="C20" s="69"/>
      <c r="D20" s="69"/>
      <c r="E20" s="69"/>
      <c r="F20" s="69"/>
      <c r="G20" s="69"/>
      <c r="H20" s="69"/>
      <c r="I20" s="69"/>
      <c r="J20" s="69"/>
      <c r="K20" s="69"/>
      <c r="L20" s="69"/>
      <c r="M20" s="69"/>
      <c r="N20" s="69"/>
      <c r="O20" s="69"/>
      <c r="P20" s="69"/>
    </row>
    <row r="21" spans="1:17">
      <c r="A21" s="69" t="s">
        <v>13</v>
      </c>
      <c r="B21" s="69" t="s">
        <v>86</v>
      </c>
      <c r="C21" s="69"/>
      <c r="D21" s="69"/>
      <c r="E21" s="69"/>
      <c r="F21" s="69"/>
      <c r="G21" s="69"/>
      <c r="H21" s="69"/>
      <c r="I21" s="69"/>
      <c r="J21" s="69"/>
      <c r="K21" s="69"/>
      <c r="L21" s="69"/>
      <c r="M21" s="69"/>
      <c r="N21" s="69"/>
      <c r="O21" s="69"/>
      <c r="P21" s="69"/>
    </row>
    <row r="22" spans="1:17">
      <c r="A22" s="69" t="s">
        <v>15</v>
      </c>
      <c r="B22" s="69">
        <v>1</v>
      </c>
      <c r="C22" s="69"/>
      <c r="D22" s="69"/>
      <c r="E22" s="69"/>
      <c r="F22" s="69"/>
      <c r="G22" s="69"/>
      <c r="H22" s="69"/>
      <c r="I22" s="69"/>
      <c r="J22" s="69"/>
      <c r="K22" s="69"/>
      <c r="L22" s="69"/>
      <c r="M22" s="69"/>
      <c r="N22" s="69"/>
      <c r="O22" s="69"/>
      <c r="P22" s="69"/>
    </row>
    <row r="23" spans="1:17">
      <c r="A23" s="69" t="s">
        <v>16</v>
      </c>
      <c r="B23" s="69" t="s">
        <v>17</v>
      </c>
      <c r="C23" s="69"/>
      <c r="D23" s="69"/>
      <c r="E23" s="69"/>
      <c r="F23" s="69"/>
      <c r="G23" s="69"/>
      <c r="H23" s="69"/>
      <c r="I23" s="69"/>
      <c r="J23" s="69"/>
      <c r="K23" s="69"/>
      <c r="L23" s="69"/>
      <c r="M23" s="69"/>
      <c r="N23" s="69"/>
      <c r="O23" s="69"/>
      <c r="P23" s="69"/>
    </row>
    <row r="24" spans="1:17" ht="15.75">
      <c r="A24" s="69" t="s">
        <v>18</v>
      </c>
      <c r="B24" s="127" t="s">
        <v>39</v>
      </c>
      <c r="C24" s="69"/>
      <c r="D24" s="69"/>
      <c r="E24" s="69" t="s">
        <v>90</v>
      </c>
      <c r="F24" s="69"/>
      <c r="G24" s="69"/>
      <c r="H24" s="69"/>
      <c r="I24" s="69"/>
      <c r="J24" s="69"/>
      <c r="K24" s="69"/>
      <c r="L24" s="69"/>
      <c r="M24" s="69"/>
      <c r="N24" s="69"/>
      <c r="O24" s="69"/>
      <c r="P24" s="69"/>
    </row>
    <row r="25" spans="1:17" ht="15.75">
      <c r="A25" s="128" t="s">
        <v>19</v>
      </c>
      <c r="B25" s="69"/>
      <c r="C25" s="69"/>
      <c r="D25" s="69"/>
      <c r="E25" s="69"/>
      <c r="F25" s="69"/>
      <c r="G25" s="69"/>
      <c r="H25" s="69"/>
      <c r="I25" s="69"/>
      <c r="J25" s="69"/>
      <c r="K25" s="69"/>
      <c r="L25" s="69"/>
      <c r="M25" s="69"/>
      <c r="N25" s="69"/>
      <c r="O25" s="69"/>
      <c r="P25" s="69"/>
    </row>
    <row r="26" spans="1:17" ht="15.75">
      <c r="A26" s="128" t="s">
        <v>20</v>
      </c>
      <c r="B26" s="128" t="s">
        <v>21</v>
      </c>
      <c r="C26" s="128" t="s">
        <v>73</v>
      </c>
      <c r="D26" s="128" t="s">
        <v>18</v>
      </c>
      <c r="E26" s="128" t="s">
        <v>22</v>
      </c>
      <c r="F26" s="128" t="s">
        <v>7</v>
      </c>
      <c r="G26" s="128" t="s">
        <v>13</v>
      </c>
      <c r="H26" s="128" t="s">
        <v>16</v>
      </c>
      <c r="I26" s="128" t="s">
        <v>23</v>
      </c>
      <c r="J26" s="128" t="s">
        <v>24</v>
      </c>
      <c r="K26" s="128" t="s">
        <v>25</v>
      </c>
      <c r="L26" s="128" t="s">
        <v>26</v>
      </c>
      <c r="M26" s="128" t="s">
        <v>27</v>
      </c>
      <c r="N26" s="128" t="s">
        <v>28</v>
      </c>
      <c r="O26" s="128" t="s">
        <v>11</v>
      </c>
      <c r="P26" s="128" t="s">
        <v>91</v>
      </c>
    </row>
    <row r="27" spans="1:17" ht="15.75">
      <c r="A27" s="127" t="str">
        <f>B17</f>
        <v>treatment of CFRP,powerplant, conventional, Short-Term</v>
      </c>
      <c r="B27" s="127">
        <v>1</v>
      </c>
      <c r="C27" s="127"/>
      <c r="D27" s="127" t="s">
        <v>39</v>
      </c>
      <c r="E27" s="69" t="s">
        <v>2</v>
      </c>
      <c r="F27" s="69" t="s">
        <v>93</v>
      </c>
      <c r="G27" s="127" t="s">
        <v>86</v>
      </c>
      <c r="H27" s="69" t="s">
        <v>30</v>
      </c>
      <c r="I27" s="69">
        <v>0</v>
      </c>
      <c r="J27" s="127" t="s">
        <v>31</v>
      </c>
      <c r="K27" s="127" t="s">
        <v>31</v>
      </c>
      <c r="L27" s="127" t="s">
        <v>31</v>
      </c>
      <c r="M27" s="127" t="s">
        <v>31</v>
      </c>
      <c r="N27" s="127" t="s">
        <v>31</v>
      </c>
      <c r="O27" s="69" t="s">
        <v>96</v>
      </c>
    </row>
    <row r="28" spans="1:17" ht="15.75">
      <c r="A28" s="129" t="s">
        <v>116</v>
      </c>
      <c r="B28">
        <v>-0.5</v>
      </c>
      <c r="D28" t="s">
        <v>39</v>
      </c>
      <c r="E28" s="130" t="s">
        <v>40</v>
      </c>
      <c r="F28" s="69" t="s">
        <v>93</v>
      </c>
      <c r="G28" t="s">
        <v>117</v>
      </c>
      <c r="H28" t="s">
        <v>33</v>
      </c>
      <c r="I28" s="69">
        <v>0</v>
      </c>
      <c r="J28" s="127" t="s">
        <v>31</v>
      </c>
      <c r="K28" s="127" t="s">
        <v>31</v>
      </c>
      <c r="L28" s="127" t="s">
        <v>31</v>
      </c>
      <c r="M28" s="127" t="s">
        <v>31</v>
      </c>
      <c r="N28" s="127" t="s">
        <v>31</v>
      </c>
      <c r="O28" s="69" t="s">
        <v>118</v>
      </c>
      <c r="P28" s="127" t="s">
        <v>119</v>
      </c>
      <c r="Q28" s="127" t="s">
        <v>120</v>
      </c>
    </row>
    <row r="29" spans="1:17" ht="15.75">
      <c r="A29" t="s">
        <v>121</v>
      </c>
      <c r="B29">
        <f>B30*0.277777777</f>
        <v>2.415277771015</v>
      </c>
      <c r="D29" t="s">
        <v>98</v>
      </c>
      <c r="E29" s="130" t="s">
        <v>40</v>
      </c>
      <c r="F29" s="69" t="s">
        <v>93</v>
      </c>
      <c r="G29" t="s">
        <v>86</v>
      </c>
      <c r="H29" s="69" t="s">
        <v>110</v>
      </c>
      <c r="I29" s="69">
        <v>0</v>
      </c>
      <c r="J29" s="127" t="s">
        <v>31</v>
      </c>
      <c r="K29" s="127" t="s">
        <v>31</v>
      </c>
      <c r="L29" s="127" t="s">
        <v>31</v>
      </c>
      <c r="M29" s="127" t="s">
        <v>31</v>
      </c>
      <c r="N29" s="127" t="s">
        <v>31</v>
      </c>
      <c r="O29" t="s">
        <v>122</v>
      </c>
    </row>
    <row r="30" spans="1:17" ht="15.75">
      <c r="A30" t="s">
        <v>123</v>
      </c>
      <c r="B30">
        <f>-B28*0.5*34.78</f>
        <v>8.6950000000000003</v>
      </c>
      <c r="D30" t="s">
        <v>124</v>
      </c>
      <c r="E30" s="130" t="s">
        <v>40</v>
      </c>
      <c r="F30" s="69" t="s">
        <v>93</v>
      </c>
      <c r="G30" t="s">
        <v>86</v>
      </c>
      <c r="H30" s="69" t="s">
        <v>110</v>
      </c>
      <c r="I30" s="69">
        <v>0</v>
      </c>
      <c r="J30" s="127" t="s">
        <v>31</v>
      </c>
      <c r="K30" s="127" t="s">
        <v>31</v>
      </c>
      <c r="L30" s="127" t="s">
        <v>31</v>
      </c>
      <c r="M30" s="127" t="s">
        <v>31</v>
      </c>
      <c r="N30" s="127" t="s">
        <v>31</v>
      </c>
      <c r="O30" t="s">
        <v>125</v>
      </c>
    </row>
    <row r="31" spans="1:17" ht="15.75">
      <c r="A31" s="129" t="s">
        <v>126</v>
      </c>
      <c r="B31">
        <f>B28</f>
        <v>-0.5</v>
      </c>
      <c r="D31" t="s">
        <v>39</v>
      </c>
      <c r="E31" s="130" t="s">
        <v>40</v>
      </c>
      <c r="F31" s="69" t="s">
        <v>93</v>
      </c>
      <c r="G31" t="s">
        <v>117</v>
      </c>
      <c r="H31" s="69" t="s">
        <v>33</v>
      </c>
      <c r="I31" s="69">
        <v>0</v>
      </c>
      <c r="J31" s="127" t="s">
        <v>31</v>
      </c>
      <c r="K31" s="127" t="s">
        <v>31</v>
      </c>
      <c r="L31" s="127" t="s">
        <v>31</v>
      </c>
      <c r="M31" s="127" t="s">
        <v>31</v>
      </c>
      <c r="N31" s="127" t="s">
        <v>31</v>
      </c>
      <c r="O31" s="127" t="s">
        <v>127</v>
      </c>
    </row>
    <row r="32" spans="1:17" s="67" customFormat="1" ht="15.75">
      <c r="A32" s="124" t="s">
        <v>5</v>
      </c>
      <c r="B32" s="124" t="s">
        <v>128</v>
      </c>
      <c r="C32" s="124"/>
      <c r="D32" s="66"/>
      <c r="E32" s="125"/>
      <c r="F32" s="125"/>
      <c r="G32" s="125"/>
      <c r="H32" s="125"/>
      <c r="I32" s="125"/>
      <c r="J32" s="125"/>
      <c r="K32" s="125"/>
      <c r="L32" s="125"/>
      <c r="M32" s="125"/>
      <c r="N32" s="125"/>
      <c r="O32" s="125"/>
      <c r="P32" s="125"/>
    </row>
    <row r="33" spans="1:16">
      <c r="A33" s="69" t="s">
        <v>7</v>
      </c>
      <c r="B33" s="69" t="s">
        <v>93</v>
      </c>
      <c r="C33" s="69"/>
      <c r="D33" s="69"/>
      <c r="E33" s="69"/>
      <c r="F33" s="69"/>
      <c r="G33" s="69"/>
      <c r="H33" s="69"/>
      <c r="I33" s="69"/>
      <c r="J33" s="69"/>
      <c r="K33" s="69"/>
      <c r="L33" s="69"/>
      <c r="M33" s="69"/>
      <c r="N33" s="69"/>
      <c r="O33" s="69"/>
      <c r="P33" s="69"/>
    </row>
    <row r="34" spans="1:16">
      <c r="A34" s="69" t="s">
        <v>9</v>
      </c>
      <c r="B34" s="126" t="s">
        <v>129</v>
      </c>
      <c r="C34" s="69"/>
      <c r="D34" s="69"/>
      <c r="E34" s="69"/>
      <c r="F34" s="69"/>
      <c r="G34" s="69"/>
      <c r="H34" s="69"/>
      <c r="I34" s="69"/>
      <c r="J34" s="69"/>
      <c r="K34" s="69"/>
      <c r="L34" s="69"/>
      <c r="M34" s="69"/>
      <c r="N34" s="69"/>
      <c r="O34" s="69"/>
      <c r="P34" s="69"/>
    </row>
    <row r="35" spans="1:16">
      <c r="A35" s="69" t="s">
        <v>11</v>
      </c>
      <c r="B35" s="69" t="s">
        <v>95</v>
      </c>
      <c r="C35" s="69"/>
      <c r="D35" s="69"/>
      <c r="E35" s="69"/>
      <c r="F35" s="69"/>
      <c r="G35" s="69"/>
      <c r="H35" s="69"/>
      <c r="I35" s="69"/>
      <c r="J35" s="69"/>
      <c r="K35" s="69"/>
      <c r="L35" s="69"/>
      <c r="M35" s="69"/>
      <c r="N35" s="69"/>
      <c r="O35" s="69"/>
      <c r="P35" s="69"/>
    </row>
    <row r="36" spans="1:16">
      <c r="A36" s="69" t="s">
        <v>13</v>
      </c>
      <c r="B36" s="69" t="s">
        <v>86</v>
      </c>
      <c r="C36" s="69"/>
      <c r="D36" s="69"/>
      <c r="E36" s="69"/>
      <c r="F36" s="69"/>
      <c r="G36" s="69"/>
      <c r="H36" s="69"/>
      <c r="I36" s="69"/>
      <c r="J36" s="69"/>
      <c r="K36" s="69"/>
      <c r="L36" s="69"/>
      <c r="M36" s="69"/>
      <c r="N36" s="69"/>
      <c r="O36" s="69"/>
      <c r="P36" s="69"/>
    </row>
    <row r="37" spans="1:16">
      <c r="A37" s="69" t="s">
        <v>15</v>
      </c>
      <c r="B37" s="69">
        <v>1</v>
      </c>
      <c r="C37" s="69"/>
      <c r="D37" s="69"/>
      <c r="E37" s="69"/>
      <c r="F37" s="69"/>
      <c r="G37" s="69"/>
      <c r="H37" s="69"/>
      <c r="I37" s="69"/>
      <c r="J37" s="69"/>
      <c r="K37" s="69"/>
      <c r="L37" s="69"/>
      <c r="M37" s="69"/>
      <c r="N37" s="69"/>
      <c r="O37" s="69"/>
      <c r="P37" s="69"/>
    </row>
    <row r="38" spans="1:16">
      <c r="A38" s="69" t="s">
        <v>16</v>
      </c>
      <c r="B38" s="69" t="s">
        <v>17</v>
      </c>
      <c r="C38" s="69"/>
      <c r="D38" s="69"/>
      <c r="E38" s="69"/>
      <c r="F38" s="69"/>
      <c r="G38" s="69"/>
      <c r="H38" s="69"/>
      <c r="I38" s="69"/>
      <c r="J38" s="69"/>
      <c r="K38" s="69"/>
      <c r="L38" s="69"/>
      <c r="M38" s="69"/>
      <c r="N38" s="69"/>
      <c r="O38" s="69"/>
      <c r="P38" s="69"/>
    </row>
    <row r="39" spans="1:16" ht="15.75">
      <c r="A39" s="69" t="s">
        <v>18</v>
      </c>
      <c r="B39" s="127" t="s">
        <v>39</v>
      </c>
      <c r="C39" s="69"/>
      <c r="D39" s="69"/>
      <c r="E39" s="69" t="s">
        <v>90</v>
      </c>
      <c r="F39" s="69"/>
      <c r="G39" s="69"/>
      <c r="H39" s="69"/>
      <c r="I39" s="69"/>
      <c r="J39" s="69"/>
      <c r="K39" s="69"/>
      <c r="L39" s="69"/>
      <c r="M39" s="69"/>
      <c r="N39" s="69"/>
      <c r="O39" s="69"/>
      <c r="P39" s="69"/>
    </row>
    <row r="40" spans="1:16" ht="15.75">
      <c r="A40" s="128" t="s">
        <v>19</v>
      </c>
      <c r="B40" s="69"/>
      <c r="C40" s="69"/>
      <c r="D40" s="69"/>
      <c r="E40" s="69"/>
      <c r="F40" s="69"/>
      <c r="G40" s="69"/>
      <c r="H40" s="69"/>
      <c r="I40" s="69"/>
      <c r="J40" s="69"/>
      <c r="K40" s="69"/>
      <c r="L40" s="69"/>
      <c r="M40" s="69"/>
      <c r="N40" s="69"/>
      <c r="O40" s="69"/>
      <c r="P40" s="69"/>
    </row>
    <row r="41" spans="1:16" ht="15.75">
      <c r="A41" s="128" t="s">
        <v>20</v>
      </c>
      <c r="B41" s="128" t="s">
        <v>21</v>
      </c>
      <c r="C41" s="128" t="s">
        <v>73</v>
      </c>
      <c r="D41" s="128" t="s">
        <v>18</v>
      </c>
      <c r="E41" s="128" t="s">
        <v>22</v>
      </c>
      <c r="F41" s="128" t="s">
        <v>7</v>
      </c>
      <c r="G41" s="128" t="s">
        <v>13</v>
      </c>
      <c r="H41" s="128" t="s">
        <v>16</v>
      </c>
      <c r="I41" s="128" t="s">
        <v>23</v>
      </c>
      <c r="J41" s="128" t="s">
        <v>24</v>
      </c>
      <c r="K41" s="128" t="s">
        <v>25</v>
      </c>
      <c r="L41" s="128" t="s">
        <v>26</v>
      </c>
      <c r="M41" s="128" t="s">
        <v>27</v>
      </c>
      <c r="N41" s="128" t="s">
        <v>28</v>
      </c>
      <c r="O41" s="128" t="s">
        <v>11</v>
      </c>
      <c r="P41" s="128" t="s">
        <v>91</v>
      </c>
    </row>
    <row r="42" spans="1:16" ht="15.75">
      <c r="A42" s="127" t="str">
        <f>B32</f>
        <v>treatment of aluminium,powerplant, conventional, Short-Term</v>
      </c>
      <c r="B42" s="127">
        <v>1</v>
      </c>
      <c r="C42" s="127"/>
      <c r="D42" s="127" t="s">
        <v>39</v>
      </c>
      <c r="E42" s="69" t="s">
        <v>2</v>
      </c>
      <c r="F42" s="69" t="s">
        <v>93</v>
      </c>
      <c r="G42" s="127" t="s">
        <v>86</v>
      </c>
      <c r="H42" s="69" t="s">
        <v>30</v>
      </c>
      <c r="I42" s="69">
        <v>0</v>
      </c>
      <c r="J42" s="127" t="s">
        <v>31</v>
      </c>
      <c r="K42" s="127" t="s">
        <v>31</v>
      </c>
      <c r="L42" s="127" t="s">
        <v>31</v>
      </c>
      <c r="M42" s="127" t="s">
        <v>31</v>
      </c>
      <c r="N42" s="127" t="s">
        <v>31</v>
      </c>
      <c r="O42" s="69" t="s">
        <v>130</v>
      </c>
    </row>
    <row r="43" spans="1:16" ht="15.75">
      <c r="A43" t="s">
        <v>131</v>
      </c>
      <c r="B43" s="113">
        <v>0.75</v>
      </c>
      <c r="C43" s="127"/>
      <c r="D43" s="127" t="s">
        <v>39</v>
      </c>
      <c r="E43" s="98" t="s">
        <v>40</v>
      </c>
      <c r="F43" s="69" t="s">
        <v>93</v>
      </c>
      <c r="G43" s="127" t="s">
        <v>117</v>
      </c>
      <c r="H43" s="69" t="s">
        <v>33</v>
      </c>
      <c r="I43" s="69">
        <v>0</v>
      </c>
      <c r="J43" s="127" t="s">
        <v>31</v>
      </c>
      <c r="K43" s="127" t="s">
        <v>31</v>
      </c>
      <c r="L43" s="127" t="s">
        <v>31</v>
      </c>
      <c r="M43" s="127" t="s">
        <v>31</v>
      </c>
      <c r="N43" s="127" t="s">
        <v>31</v>
      </c>
      <c r="O43" s="69" t="s">
        <v>132</v>
      </c>
      <c r="P43" s="69"/>
    </row>
    <row r="44" spans="1:16" ht="15.75">
      <c r="A44" t="s">
        <v>133</v>
      </c>
      <c r="B44" s="113">
        <v>0.75</v>
      </c>
      <c r="C44" s="22" t="s">
        <v>134</v>
      </c>
      <c r="D44" t="s">
        <v>39</v>
      </c>
      <c r="E44" s="130" t="s">
        <v>40</v>
      </c>
      <c r="F44" s="69" t="s">
        <v>93</v>
      </c>
      <c r="G44" s="127" t="s">
        <v>117</v>
      </c>
      <c r="H44" s="69" t="s">
        <v>33</v>
      </c>
      <c r="I44" s="69">
        <v>0</v>
      </c>
      <c r="J44" s="127" t="s">
        <v>31</v>
      </c>
      <c r="K44" s="127" t="s">
        <v>31</v>
      </c>
      <c r="L44" s="127" t="s">
        <v>31</v>
      </c>
      <c r="M44" s="127" t="s">
        <v>31</v>
      </c>
      <c r="N44" s="127" t="s">
        <v>31</v>
      </c>
      <c r="O44" s="127" t="s">
        <v>135</v>
      </c>
    </row>
    <row r="45" spans="1:16" ht="15.75">
      <c r="A45" t="s">
        <v>136</v>
      </c>
      <c r="B45" s="113">
        <v>0.75</v>
      </c>
      <c r="D45" t="s">
        <v>39</v>
      </c>
      <c r="E45" s="130" t="s">
        <v>40</v>
      </c>
      <c r="F45" s="69" t="s">
        <v>93</v>
      </c>
      <c r="G45" t="s">
        <v>86</v>
      </c>
      <c r="H45" s="69" t="s">
        <v>110</v>
      </c>
      <c r="I45" s="69">
        <v>0</v>
      </c>
      <c r="J45" s="127" t="s">
        <v>31</v>
      </c>
      <c r="K45" s="127" t="s">
        <v>31</v>
      </c>
      <c r="L45" s="127" t="s">
        <v>31</v>
      </c>
      <c r="M45" s="127" t="s">
        <v>31</v>
      </c>
      <c r="N45" s="127" t="s">
        <v>31</v>
      </c>
      <c r="O45" s="69"/>
    </row>
    <row r="46" spans="1:16" ht="15.75">
      <c r="A46" t="s">
        <v>112</v>
      </c>
      <c r="B46" s="113">
        <f>-0.25</f>
        <v>-0.25</v>
      </c>
      <c r="D46" t="s">
        <v>39</v>
      </c>
      <c r="E46" s="129" t="s">
        <v>40</v>
      </c>
      <c r="F46" s="69" t="s">
        <v>93</v>
      </c>
      <c r="G46" t="s">
        <v>86</v>
      </c>
      <c r="H46" t="s">
        <v>33</v>
      </c>
      <c r="I46">
        <v>0</v>
      </c>
      <c r="J46" t="s">
        <v>31</v>
      </c>
      <c r="K46" t="s">
        <v>31</v>
      </c>
      <c r="L46" t="s">
        <v>31</v>
      </c>
      <c r="M46" t="s">
        <v>31</v>
      </c>
      <c r="N46" t="s">
        <v>31</v>
      </c>
      <c r="O46" s="17"/>
      <c r="P46" s="69"/>
    </row>
    <row r="47" spans="1:16" s="67" customFormat="1" ht="15.75">
      <c r="A47" s="124" t="s">
        <v>5</v>
      </c>
      <c r="B47" s="124" t="s">
        <v>137</v>
      </c>
      <c r="C47" s="124"/>
      <c r="D47" s="66"/>
      <c r="E47" s="125"/>
      <c r="F47" s="125"/>
      <c r="G47" s="125"/>
      <c r="H47" s="125"/>
      <c r="I47" s="125"/>
      <c r="J47" s="125"/>
      <c r="K47" s="125"/>
      <c r="L47" s="125"/>
      <c r="M47" s="125"/>
      <c r="N47" s="125"/>
      <c r="O47" s="125"/>
      <c r="P47" s="125"/>
    </row>
    <row r="48" spans="1:16">
      <c r="A48" s="69" t="s">
        <v>7</v>
      </c>
      <c r="B48" s="69" t="s">
        <v>93</v>
      </c>
      <c r="C48" s="69"/>
      <c r="D48" s="69"/>
      <c r="E48" s="69"/>
      <c r="F48" s="69"/>
      <c r="G48" s="69"/>
      <c r="H48" s="69"/>
      <c r="I48" s="69"/>
      <c r="J48" s="69"/>
      <c r="K48" s="69"/>
      <c r="L48" s="69"/>
      <c r="M48" s="69"/>
      <c r="N48" s="69"/>
      <c r="O48" s="69"/>
      <c r="P48" s="69"/>
    </row>
    <row r="49" spans="1:17">
      <c r="A49" s="69" t="s">
        <v>9</v>
      </c>
      <c r="B49" s="126" t="s">
        <v>138</v>
      </c>
      <c r="C49" s="69"/>
      <c r="D49" s="69"/>
      <c r="E49" s="69"/>
      <c r="F49" s="69"/>
      <c r="G49" s="69"/>
      <c r="H49" s="69"/>
      <c r="I49" s="69"/>
      <c r="J49" s="69"/>
      <c r="K49" s="69"/>
      <c r="L49" s="69"/>
      <c r="M49" s="69"/>
      <c r="N49" s="69"/>
      <c r="O49" s="69"/>
      <c r="P49" s="69"/>
    </row>
    <row r="50" spans="1:17">
      <c r="A50" s="69" t="s">
        <v>11</v>
      </c>
      <c r="B50" s="69" t="s">
        <v>95</v>
      </c>
      <c r="C50" s="69"/>
      <c r="D50" s="69"/>
      <c r="E50" s="69"/>
      <c r="F50" s="69"/>
      <c r="G50" s="69"/>
      <c r="H50" s="69"/>
      <c r="I50" s="69"/>
      <c r="J50" s="69"/>
      <c r="K50" s="69"/>
      <c r="L50" s="69"/>
      <c r="M50" s="69"/>
      <c r="N50" s="69"/>
      <c r="O50" s="69"/>
      <c r="P50" s="69"/>
    </row>
    <row r="51" spans="1:17">
      <c r="A51" s="69" t="s">
        <v>13</v>
      </c>
      <c r="B51" s="69" t="s">
        <v>86</v>
      </c>
      <c r="C51" s="69"/>
      <c r="D51" s="69"/>
      <c r="E51" s="69"/>
      <c r="F51" s="69"/>
      <c r="G51" s="69"/>
      <c r="H51" s="69"/>
      <c r="I51" s="69"/>
      <c r="J51" s="69"/>
      <c r="K51" s="69"/>
      <c r="L51" s="69"/>
      <c r="M51" s="69"/>
      <c r="N51" s="69"/>
      <c r="O51" s="69"/>
      <c r="P51" s="69"/>
    </row>
    <row r="52" spans="1:17">
      <c r="A52" s="69" t="s">
        <v>15</v>
      </c>
      <c r="B52" s="69">
        <v>1</v>
      </c>
      <c r="C52" s="69"/>
      <c r="D52" s="69"/>
      <c r="E52" s="69"/>
      <c r="F52" s="69"/>
      <c r="G52" s="69"/>
      <c r="H52" s="69"/>
      <c r="I52" s="69"/>
      <c r="J52" s="69"/>
      <c r="K52" s="69"/>
      <c r="L52" s="69"/>
      <c r="M52" s="69"/>
      <c r="N52" s="69"/>
      <c r="O52" s="69"/>
      <c r="P52" s="69"/>
    </row>
    <row r="53" spans="1:17">
      <c r="A53" s="69" t="s">
        <v>16</v>
      </c>
      <c r="B53" s="69" t="s">
        <v>17</v>
      </c>
      <c r="C53" s="69"/>
      <c r="D53" s="69"/>
      <c r="E53" s="69"/>
      <c r="F53" s="69"/>
      <c r="G53" s="69"/>
      <c r="H53" s="69"/>
      <c r="I53" s="69"/>
      <c r="J53" s="69"/>
      <c r="K53" s="69"/>
      <c r="L53" s="69"/>
      <c r="M53" s="69"/>
      <c r="N53" s="69"/>
      <c r="O53" s="69"/>
      <c r="P53" s="69"/>
    </row>
    <row r="54" spans="1:17" ht="15.75">
      <c r="A54" s="69" t="s">
        <v>18</v>
      </c>
      <c r="B54" s="127" t="s">
        <v>39</v>
      </c>
      <c r="C54" s="69"/>
      <c r="D54" s="69"/>
      <c r="E54" s="69" t="s">
        <v>90</v>
      </c>
      <c r="F54" s="69"/>
      <c r="G54" s="69"/>
      <c r="H54" s="69"/>
      <c r="I54" s="69"/>
      <c r="J54" s="69"/>
      <c r="K54" s="69"/>
      <c r="L54" s="69"/>
      <c r="M54" s="69"/>
      <c r="N54" s="69"/>
      <c r="O54" s="69"/>
      <c r="P54" s="69"/>
    </row>
    <row r="55" spans="1:17" ht="15.75">
      <c r="A55" s="128" t="s">
        <v>19</v>
      </c>
      <c r="B55" s="69"/>
      <c r="C55" s="69"/>
      <c r="D55" s="69"/>
      <c r="E55" s="69"/>
      <c r="F55" s="69"/>
      <c r="G55" s="69"/>
      <c r="H55" s="69"/>
      <c r="I55" s="69"/>
      <c r="J55" s="69"/>
      <c r="K55" s="69"/>
      <c r="L55" s="69"/>
      <c r="M55" s="69"/>
      <c r="N55" s="69"/>
      <c r="O55" s="69"/>
      <c r="P55" s="69"/>
    </row>
    <row r="56" spans="1:17" ht="15.75">
      <c r="A56" s="128" t="s">
        <v>20</v>
      </c>
      <c r="B56" s="128" t="s">
        <v>21</v>
      </c>
      <c r="C56" s="128" t="s">
        <v>73</v>
      </c>
      <c r="D56" s="128" t="s">
        <v>18</v>
      </c>
      <c r="E56" s="128" t="s">
        <v>22</v>
      </c>
      <c r="F56" s="128" t="s">
        <v>7</v>
      </c>
      <c r="G56" s="128" t="s">
        <v>13</v>
      </c>
      <c r="H56" s="128" t="s">
        <v>16</v>
      </c>
      <c r="I56" s="128" t="s">
        <v>23</v>
      </c>
      <c r="J56" s="128" t="s">
        <v>24</v>
      </c>
      <c r="K56" s="128" t="s">
        <v>25</v>
      </c>
      <c r="L56" s="128" t="s">
        <v>26</v>
      </c>
      <c r="M56" s="128" t="s">
        <v>27</v>
      </c>
      <c r="N56" s="128" t="s">
        <v>28</v>
      </c>
      <c r="O56" s="128" t="s">
        <v>11</v>
      </c>
      <c r="P56" s="128" t="s">
        <v>91</v>
      </c>
    </row>
    <row r="57" spans="1:17" ht="15.75">
      <c r="A57" s="127" t="str">
        <f>B47</f>
        <v>treatment of iron-nickel chromium alloy,powerplant, conventional, Short-Term</v>
      </c>
      <c r="B57" s="127">
        <v>1</v>
      </c>
      <c r="C57" s="127"/>
      <c r="D57" s="127" t="s">
        <v>39</v>
      </c>
      <c r="E57" s="69" t="s">
        <v>2</v>
      </c>
      <c r="F57" s="69" t="s">
        <v>93</v>
      </c>
      <c r="G57" s="127" t="s">
        <v>86</v>
      </c>
      <c r="H57" s="69" t="s">
        <v>30</v>
      </c>
      <c r="I57" s="69">
        <v>0</v>
      </c>
      <c r="J57" s="127" t="s">
        <v>31</v>
      </c>
      <c r="K57" s="127" t="s">
        <v>31</v>
      </c>
      <c r="L57" s="127" t="s">
        <v>31</v>
      </c>
      <c r="M57" s="127" t="s">
        <v>31</v>
      </c>
      <c r="N57" s="127" t="s">
        <v>31</v>
      </c>
      <c r="O57" s="69" t="s">
        <v>130</v>
      </c>
    </row>
    <row r="58" spans="1:17" ht="15.75">
      <c r="A58" t="s">
        <v>139</v>
      </c>
      <c r="B58">
        <v>0.85</v>
      </c>
      <c r="C58" t="s">
        <v>140</v>
      </c>
      <c r="D58" t="s">
        <v>39</v>
      </c>
      <c r="E58" t="s">
        <v>40</v>
      </c>
      <c r="F58" s="69" t="s">
        <v>93</v>
      </c>
      <c r="G58" t="s">
        <v>117</v>
      </c>
      <c r="H58" t="s">
        <v>33</v>
      </c>
      <c r="I58" s="69">
        <v>0</v>
      </c>
      <c r="J58" s="127" t="s">
        <v>31</v>
      </c>
      <c r="K58" s="127" t="s">
        <v>31</v>
      </c>
      <c r="L58" s="127" t="s">
        <v>31</v>
      </c>
      <c r="M58" s="127" t="s">
        <v>31</v>
      </c>
      <c r="N58" s="127" t="s">
        <v>31</v>
      </c>
      <c r="O58" s="69" t="s">
        <v>130</v>
      </c>
      <c r="Q58" t="s">
        <v>101</v>
      </c>
    </row>
    <row r="59" spans="1:17" ht="15.75">
      <c r="A59" t="s">
        <v>141</v>
      </c>
      <c r="B59">
        <v>0.85</v>
      </c>
      <c r="D59" t="s">
        <v>39</v>
      </c>
      <c r="E59" t="s">
        <v>40</v>
      </c>
      <c r="F59" s="69" t="s">
        <v>93</v>
      </c>
      <c r="G59" t="s">
        <v>86</v>
      </c>
      <c r="H59" t="s">
        <v>110</v>
      </c>
      <c r="I59" s="69">
        <v>0</v>
      </c>
      <c r="J59" s="127" t="s">
        <v>31</v>
      </c>
      <c r="K59" s="127" t="s">
        <v>31</v>
      </c>
      <c r="L59" s="127" t="s">
        <v>31</v>
      </c>
      <c r="M59" s="127" t="s">
        <v>31</v>
      </c>
      <c r="N59" s="127" t="s">
        <v>31</v>
      </c>
      <c r="O59" s="69" t="s">
        <v>130</v>
      </c>
      <c r="Q59" t="s">
        <v>101</v>
      </c>
    </row>
    <row r="60" spans="1:17">
      <c r="A60" t="s">
        <v>112</v>
      </c>
      <c r="B60" s="113">
        <f>-0.25</f>
        <v>-0.25</v>
      </c>
      <c r="D60" t="s">
        <v>39</v>
      </c>
      <c r="E60" s="129" t="s">
        <v>40</v>
      </c>
      <c r="F60" s="69" t="s">
        <v>93</v>
      </c>
      <c r="G60" t="s">
        <v>86</v>
      </c>
      <c r="H60" t="s">
        <v>33</v>
      </c>
      <c r="I60">
        <v>0</v>
      </c>
      <c r="J60" t="s">
        <v>31</v>
      </c>
      <c r="K60" t="s">
        <v>31</v>
      </c>
      <c r="L60" t="s">
        <v>31</v>
      </c>
      <c r="M60" t="s">
        <v>31</v>
      </c>
      <c r="N60" t="s">
        <v>31</v>
      </c>
      <c r="O60" s="69" t="s">
        <v>130</v>
      </c>
    </row>
    <row r="61" spans="1:17" s="67" customFormat="1" ht="15.75">
      <c r="A61" s="124" t="s">
        <v>5</v>
      </c>
      <c r="B61" s="124" t="s">
        <v>142</v>
      </c>
      <c r="C61" s="124"/>
      <c r="D61" s="66"/>
      <c r="E61" s="125"/>
      <c r="F61" s="125"/>
      <c r="G61" s="125"/>
      <c r="H61" s="125"/>
      <c r="I61" s="125"/>
      <c r="J61" s="125"/>
      <c r="K61" s="125"/>
      <c r="L61" s="125"/>
      <c r="M61" s="125"/>
      <c r="N61" s="125"/>
      <c r="O61" s="125"/>
      <c r="P61" s="125"/>
    </row>
    <row r="62" spans="1:17">
      <c r="A62" s="69" t="s">
        <v>7</v>
      </c>
      <c r="B62" s="69" t="s">
        <v>93</v>
      </c>
      <c r="C62" s="69"/>
      <c r="D62" s="69"/>
      <c r="E62" s="69"/>
      <c r="F62" s="69"/>
      <c r="G62" s="69"/>
      <c r="H62" s="69"/>
      <c r="I62" s="69"/>
      <c r="J62" s="69"/>
      <c r="K62" s="69"/>
      <c r="L62" s="69"/>
      <c r="M62" s="69"/>
      <c r="N62" s="69"/>
      <c r="O62" s="69"/>
      <c r="P62" s="69"/>
    </row>
    <row r="63" spans="1:17">
      <c r="A63" s="69" t="s">
        <v>9</v>
      </c>
      <c r="B63" s="126" t="s">
        <v>143</v>
      </c>
      <c r="C63" s="69"/>
      <c r="D63" s="69"/>
      <c r="E63" s="69"/>
      <c r="F63" s="69"/>
      <c r="G63" s="69"/>
      <c r="H63" s="69"/>
      <c r="I63" s="69"/>
      <c r="J63" s="69"/>
      <c r="K63" s="69"/>
      <c r="L63" s="69"/>
      <c r="M63" s="69"/>
      <c r="N63" s="69"/>
      <c r="O63" s="69"/>
      <c r="P63" s="69"/>
    </row>
    <row r="64" spans="1:17">
      <c r="A64" s="69" t="s">
        <v>11</v>
      </c>
      <c r="B64" s="69" t="s">
        <v>95</v>
      </c>
      <c r="C64" s="69"/>
      <c r="D64" s="69"/>
      <c r="E64" s="69"/>
      <c r="F64" s="69"/>
      <c r="G64" s="69"/>
      <c r="H64" s="69"/>
      <c r="I64" s="69"/>
      <c r="J64" s="69"/>
      <c r="K64" s="69"/>
      <c r="L64" s="69"/>
      <c r="M64" s="69"/>
      <c r="N64" s="69"/>
      <c r="O64" s="69"/>
      <c r="P64" s="69"/>
    </row>
    <row r="65" spans="1:17">
      <c r="A65" s="69" t="s">
        <v>13</v>
      </c>
      <c r="B65" s="69" t="s">
        <v>86</v>
      </c>
      <c r="C65" s="69"/>
      <c r="D65" s="69"/>
      <c r="E65" s="69"/>
      <c r="F65" s="69"/>
      <c r="G65" s="69"/>
      <c r="H65" s="69"/>
      <c r="I65" s="69"/>
      <c r="J65" s="69"/>
      <c r="K65" s="69"/>
      <c r="L65" s="69"/>
      <c r="M65" s="69"/>
      <c r="N65" s="69"/>
      <c r="O65" s="69"/>
      <c r="P65" s="69"/>
    </row>
    <row r="66" spans="1:17">
      <c r="A66" s="69" t="s">
        <v>15</v>
      </c>
      <c r="B66" s="69">
        <v>1</v>
      </c>
      <c r="C66" s="69"/>
      <c r="D66" s="69"/>
      <c r="E66" s="69"/>
      <c r="F66" s="69"/>
      <c r="G66" s="69"/>
      <c r="H66" s="69"/>
      <c r="I66" s="69"/>
      <c r="J66" s="69"/>
      <c r="K66" s="69"/>
      <c r="L66" s="69"/>
      <c r="M66" s="69"/>
      <c r="N66" s="69"/>
      <c r="O66" s="69"/>
      <c r="P66" s="69"/>
    </row>
    <row r="67" spans="1:17">
      <c r="A67" s="69" t="s">
        <v>16</v>
      </c>
      <c r="B67" s="69" t="s">
        <v>17</v>
      </c>
      <c r="C67" s="69"/>
      <c r="D67" s="69"/>
      <c r="E67" s="69"/>
      <c r="F67" s="69"/>
      <c r="G67" s="69"/>
      <c r="H67" s="69"/>
      <c r="I67" s="69"/>
      <c r="J67" s="69"/>
      <c r="K67" s="69"/>
      <c r="L67" s="69"/>
      <c r="M67" s="69"/>
      <c r="N67" s="69"/>
      <c r="O67" s="69"/>
      <c r="P67" s="69"/>
    </row>
    <row r="68" spans="1:17" ht="15.75">
      <c r="A68" s="69" t="s">
        <v>18</v>
      </c>
      <c r="B68" s="127" t="s">
        <v>39</v>
      </c>
      <c r="C68" s="69"/>
      <c r="D68" s="69"/>
      <c r="E68" s="69" t="s">
        <v>90</v>
      </c>
      <c r="F68" s="69"/>
      <c r="G68" s="69"/>
      <c r="H68" s="69"/>
      <c r="I68" s="69"/>
      <c r="J68" s="69"/>
      <c r="K68" s="69"/>
      <c r="L68" s="69"/>
      <c r="M68" s="69"/>
      <c r="N68" s="69"/>
      <c r="O68" s="69"/>
      <c r="P68" s="69"/>
    </row>
    <row r="69" spans="1:17" ht="15.75">
      <c r="A69" s="128" t="s">
        <v>19</v>
      </c>
      <c r="B69" s="69"/>
      <c r="C69" s="69"/>
      <c r="D69" s="69"/>
      <c r="E69" s="69"/>
      <c r="F69" s="69"/>
      <c r="G69" s="69"/>
      <c r="H69" s="69"/>
      <c r="I69" s="69"/>
      <c r="J69" s="69"/>
      <c r="K69" s="69"/>
      <c r="L69" s="69"/>
      <c r="M69" s="69"/>
      <c r="N69" s="69"/>
      <c r="O69" s="69"/>
      <c r="P69" s="69"/>
    </row>
    <row r="70" spans="1:17" ht="15.75">
      <c r="A70" s="128" t="s">
        <v>20</v>
      </c>
      <c r="B70" s="128" t="s">
        <v>21</v>
      </c>
      <c r="C70" s="128" t="s">
        <v>73</v>
      </c>
      <c r="D70" s="128" t="s">
        <v>18</v>
      </c>
      <c r="E70" s="128" t="s">
        <v>22</v>
      </c>
      <c r="F70" s="128" t="s">
        <v>7</v>
      </c>
      <c r="G70" s="128" t="s">
        <v>13</v>
      </c>
      <c r="H70" s="128" t="s">
        <v>16</v>
      </c>
      <c r="I70" s="128" t="s">
        <v>23</v>
      </c>
      <c r="J70" s="128" t="s">
        <v>24</v>
      </c>
      <c r="K70" s="128" t="s">
        <v>25</v>
      </c>
      <c r="L70" s="128" t="s">
        <v>26</v>
      </c>
      <c r="M70" s="128" t="s">
        <v>27</v>
      </c>
      <c r="N70" s="128" t="s">
        <v>28</v>
      </c>
      <c r="O70" s="128" t="s">
        <v>11</v>
      </c>
      <c r="P70" s="128" t="s">
        <v>91</v>
      </c>
    </row>
    <row r="71" spans="1:17" ht="15.75">
      <c r="A71" s="127" t="str">
        <f>B61</f>
        <v>treatment of nickel,powerplant, conventional, Short-Term</v>
      </c>
      <c r="B71" s="127">
        <v>1</v>
      </c>
      <c r="C71" s="127"/>
      <c r="D71" s="127" t="s">
        <v>39</v>
      </c>
      <c r="E71" s="69" t="s">
        <v>2</v>
      </c>
      <c r="F71" s="69" t="s">
        <v>93</v>
      </c>
      <c r="G71" s="127" t="s">
        <v>86</v>
      </c>
      <c r="H71" s="69" t="s">
        <v>30</v>
      </c>
      <c r="I71" s="69">
        <v>0</v>
      </c>
      <c r="J71" s="127" t="s">
        <v>31</v>
      </c>
      <c r="K71" s="127" t="s">
        <v>31</v>
      </c>
      <c r="L71" s="127" t="s">
        <v>31</v>
      </c>
      <c r="M71" s="127" t="s">
        <v>31</v>
      </c>
      <c r="N71" s="127" t="s">
        <v>31</v>
      </c>
      <c r="O71" s="69" t="s">
        <v>130</v>
      </c>
    </row>
    <row r="72" spans="1:17" ht="15.75">
      <c r="A72" t="s">
        <v>139</v>
      </c>
      <c r="B72">
        <v>0.85</v>
      </c>
      <c r="C72" t="s">
        <v>140</v>
      </c>
      <c r="D72" t="s">
        <v>39</v>
      </c>
      <c r="E72" t="s">
        <v>40</v>
      </c>
      <c r="F72" s="69" t="s">
        <v>93</v>
      </c>
      <c r="G72" t="s">
        <v>117</v>
      </c>
      <c r="H72" t="s">
        <v>33</v>
      </c>
      <c r="I72" s="69">
        <v>0</v>
      </c>
      <c r="J72" s="127" t="s">
        <v>31</v>
      </c>
      <c r="K72" s="127" t="s">
        <v>31</v>
      </c>
      <c r="L72" s="127" t="s">
        <v>31</v>
      </c>
      <c r="M72" s="127" t="s">
        <v>31</v>
      </c>
      <c r="N72" s="127" t="s">
        <v>31</v>
      </c>
      <c r="O72" s="69" t="s">
        <v>130</v>
      </c>
      <c r="Q72" t="s">
        <v>101</v>
      </c>
    </row>
    <row r="73" spans="1:17" ht="15.75">
      <c r="A73" t="s">
        <v>144</v>
      </c>
      <c r="B73">
        <v>0.85</v>
      </c>
      <c r="D73" t="s">
        <v>39</v>
      </c>
      <c r="E73" t="s">
        <v>40</v>
      </c>
      <c r="F73" s="69" t="s">
        <v>93</v>
      </c>
      <c r="G73" t="s">
        <v>86</v>
      </c>
      <c r="H73" t="s">
        <v>110</v>
      </c>
      <c r="I73" s="69">
        <v>0</v>
      </c>
      <c r="J73" s="127" t="s">
        <v>31</v>
      </c>
      <c r="K73" s="127" t="s">
        <v>31</v>
      </c>
      <c r="L73" s="127" t="s">
        <v>31</v>
      </c>
      <c r="M73" s="127" t="s">
        <v>31</v>
      </c>
      <c r="N73" s="127" t="s">
        <v>31</v>
      </c>
      <c r="O73" s="69" t="s">
        <v>130</v>
      </c>
      <c r="Q73" t="s">
        <v>101</v>
      </c>
    </row>
    <row r="74" spans="1:17">
      <c r="A74" t="s">
        <v>112</v>
      </c>
      <c r="B74" s="113">
        <f>-0.25</f>
        <v>-0.25</v>
      </c>
      <c r="D74" t="s">
        <v>39</v>
      </c>
      <c r="E74" s="129" t="s">
        <v>40</v>
      </c>
      <c r="F74" s="69" t="s">
        <v>93</v>
      </c>
      <c r="G74" t="s">
        <v>86</v>
      </c>
      <c r="H74" t="s">
        <v>33</v>
      </c>
      <c r="I74">
        <v>0</v>
      </c>
      <c r="J74" t="s">
        <v>31</v>
      </c>
      <c r="K74" t="s">
        <v>31</v>
      </c>
      <c r="L74" t="s">
        <v>31</v>
      </c>
      <c r="M74" t="s">
        <v>31</v>
      </c>
      <c r="N74" t="s">
        <v>31</v>
      </c>
      <c r="O74" s="69" t="s">
        <v>130</v>
      </c>
    </row>
    <row r="75" spans="1:17" s="67" customFormat="1" ht="15.75">
      <c r="A75" s="124" t="s">
        <v>5</v>
      </c>
      <c r="B75" s="124" t="s">
        <v>145</v>
      </c>
      <c r="C75" s="124"/>
      <c r="D75" s="66"/>
      <c r="E75" s="125"/>
      <c r="F75" s="125"/>
      <c r="G75" s="125"/>
      <c r="H75" s="125"/>
      <c r="I75" s="125"/>
      <c r="J75" s="125"/>
      <c r="K75" s="125"/>
      <c r="L75" s="125"/>
      <c r="M75" s="125"/>
      <c r="N75" s="125"/>
      <c r="O75" s="125"/>
      <c r="P75" s="125"/>
    </row>
    <row r="76" spans="1:17">
      <c r="A76" s="69" t="s">
        <v>7</v>
      </c>
      <c r="B76" s="69" t="s">
        <v>93</v>
      </c>
      <c r="C76" s="69"/>
      <c r="D76" s="69"/>
      <c r="E76" s="69"/>
      <c r="F76" s="69"/>
      <c r="G76" s="69"/>
      <c r="H76" s="69"/>
      <c r="I76" s="69"/>
      <c r="J76" s="69"/>
      <c r="K76" s="69"/>
      <c r="L76" s="69"/>
      <c r="M76" s="69"/>
      <c r="N76" s="69"/>
      <c r="O76" s="69"/>
      <c r="P76" s="69"/>
    </row>
    <row r="77" spans="1:17">
      <c r="A77" s="69" t="s">
        <v>9</v>
      </c>
      <c r="B77" s="126" t="s">
        <v>146</v>
      </c>
      <c r="C77" s="69"/>
      <c r="D77" s="69"/>
      <c r="E77" s="69"/>
      <c r="F77" s="69"/>
      <c r="G77" s="69"/>
      <c r="H77" s="69"/>
      <c r="I77" s="69"/>
      <c r="J77" s="69"/>
      <c r="K77" s="69"/>
      <c r="L77" s="69"/>
      <c r="M77" s="69"/>
      <c r="N77" s="69"/>
      <c r="O77" s="69"/>
      <c r="P77" s="69"/>
    </row>
    <row r="78" spans="1:17">
      <c r="A78" s="69" t="s">
        <v>11</v>
      </c>
      <c r="B78" s="69" t="s">
        <v>95</v>
      </c>
      <c r="C78" s="69"/>
      <c r="D78" s="69"/>
      <c r="E78" s="69"/>
      <c r="F78" s="69"/>
      <c r="G78" s="69"/>
      <c r="H78" s="69"/>
      <c r="I78" s="69"/>
      <c r="J78" s="69"/>
      <c r="K78" s="69"/>
      <c r="L78" s="69"/>
      <c r="M78" s="69"/>
      <c r="N78" s="69"/>
      <c r="O78" s="69"/>
      <c r="P78" s="69"/>
    </row>
    <row r="79" spans="1:17">
      <c r="A79" s="69" t="s">
        <v>13</v>
      </c>
      <c r="B79" s="69" t="s">
        <v>86</v>
      </c>
      <c r="C79" s="69"/>
      <c r="D79" s="69"/>
      <c r="E79" s="69"/>
      <c r="F79" s="69"/>
      <c r="G79" s="69"/>
      <c r="H79" s="69"/>
      <c r="I79" s="69"/>
      <c r="J79" s="69"/>
      <c r="K79" s="69"/>
      <c r="L79" s="69"/>
      <c r="M79" s="69"/>
      <c r="N79" s="69"/>
      <c r="O79" s="69"/>
      <c r="P79" s="69"/>
    </row>
    <row r="80" spans="1:17">
      <c r="A80" s="69" t="s">
        <v>15</v>
      </c>
      <c r="B80" s="69">
        <v>1</v>
      </c>
      <c r="C80" s="69"/>
      <c r="D80" s="69"/>
      <c r="E80" s="69"/>
      <c r="F80" s="69"/>
      <c r="G80" s="69"/>
      <c r="H80" s="69"/>
      <c r="I80" s="69"/>
      <c r="J80" s="69"/>
      <c r="K80" s="69"/>
      <c r="L80" s="69"/>
      <c r="M80" s="69"/>
      <c r="N80" s="69"/>
      <c r="O80" s="69"/>
      <c r="P80" s="69"/>
    </row>
    <row r="81" spans="1:17">
      <c r="A81" s="69" t="s">
        <v>16</v>
      </c>
      <c r="B81" s="69" t="s">
        <v>17</v>
      </c>
      <c r="C81" s="69"/>
      <c r="D81" s="69"/>
      <c r="E81" s="69"/>
      <c r="F81" s="69"/>
      <c r="G81" s="69"/>
      <c r="H81" s="69"/>
      <c r="I81" s="69"/>
      <c r="J81" s="69"/>
      <c r="K81" s="69"/>
      <c r="L81" s="69"/>
      <c r="M81" s="69"/>
      <c r="N81" s="69"/>
      <c r="O81" s="69"/>
      <c r="P81" s="69"/>
    </row>
    <row r="82" spans="1:17" ht="15.75">
      <c r="A82" s="69" t="s">
        <v>18</v>
      </c>
      <c r="B82" s="127" t="s">
        <v>39</v>
      </c>
      <c r="C82" s="69"/>
      <c r="D82" s="69"/>
      <c r="E82" s="69" t="s">
        <v>90</v>
      </c>
      <c r="F82" s="69"/>
      <c r="G82" s="69"/>
      <c r="H82" s="69"/>
      <c r="I82" s="69"/>
      <c r="J82" s="69"/>
      <c r="K82" s="69"/>
      <c r="L82" s="69"/>
      <c r="M82" s="69"/>
      <c r="N82" s="69"/>
      <c r="O82" s="69"/>
      <c r="P82" s="69"/>
    </row>
    <row r="83" spans="1:17" ht="15.75">
      <c r="A83" s="128" t="s">
        <v>19</v>
      </c>
      <c r="B83" s="69"/>
      <c r="C83" s="69"/>
      <c r="D83" s="69"/>
      <c r="E83" s="69"/>
      <c r="F83" s="69"/>
      <c r="G83" s="69"/>
      <c r="H83" s="69"/>
      <c r="I83" s="69"/>
      <c r="J83" s="69"/>
      <c r="K83" s="69"/>
      <c r="L83" s="69"/>
      <c r="M83" s="69"/>
      <c r="N83" s="69"/>
      <c r="O83" s="69"/>
      <c r="P83" s="69"/>
    </row>
    <row r="84" spans="1:17" ht="15.75">
      <c r="A84" s="128" t="s">
        <v>20</v>
      </c>
      <c r="B84" s="128" t="s">
        <v>21</v>
      </c>
      <c r="C84" s="128" t="s">
        <v>73</v>
      </c>
      <c r="D84" s="128" t="s">
        <v>18</v>
      </c>
      <c r="E84" s="128" t="s">
        <v>22</v>
      </c>
      <c r="F84" s="128" t="s">
        <v>7</v>
      </c>
      <c r="G84" s="128" t="s">
        <v>13</v>
      </c>
      <c r="H84" s="128" t="s">
        <v>16</v>
      </c>
      <c r="I84" s="128" t="s">
        <v>23</v>
      </c>
      <c r="J84" s="128" t="s">
        <v>24</v>
      </c>
      <c r="K84" s="128" t="s">
        <v>25</v>
      </c>
      <c r="L84" s="128" t="s">
        <v>26</v>
      </c>
      <c r="M84" s="128" t="s">
        <v>27</v>
      </c>
      <c r="N84" s="128" t="s">
        <v>28</v>
      </c>
      <c r="O84" s="128" t="s">
        <v>11</v>
      </c>
      <c r="P84" s="128" t="s">
        <v>91</v>
      </c>
    </row>
    <row r="85" spans="1:17" ht="15.75">
      <c r="A85" s="127" t="str">
        <f>B75</f>
        <v>treatment of copper,powerplant, conventional, Short-Term</v>
      </c>
      <c r="B85" s="127">
        <v>1</v>
      </c>
      <c r="C85" s="127"/>
      <c r="D85" s="127" t="s">
        <v>39</v>
      </c>
      <c r="E85" s="69" t="s">
        <v>2</v>
      </c>
      <c r="F85" s="69" t="s">
        <v>93</v>
      </c>
      <c r="G85" s="127" t="s">
        <v>86</v>
      </c>
      <c r="H85" s="69" t="s">
        <v>30</v>
      </c>
      <c r="I85" s="69">
        <v>0</v>
      </c>
      <c r="J85" s="127" t="s">
        <v>31</v>
      </c>
      <c r="K85" s="127" t="s">
        <v>31</v>
      </c>
      <c r="L85" s="127" t="s">
        <v>31</v>
      </c>
      <c r="M85" s="127" t="s">
        <v>31</v>
      </c>
      <c r="N85" s="127" t="s">
        <v>31</v>
      </c>
      <c r="O85" s="69" t="s">
        <v>130</v>
      </c>
    </row>
    <row r="86" spans="1:17" ht="15.75">
      <c r="A86" t="s">
        <v>139</v>
      </c>
      <c r="B86">
        <v>0.85</v>
      </c>
      <c r="C86" t="s">
        <v>140</v>
      </c>
      <c r="D86" t="s">
        <v>39</v>
      </c>
      <c r="E86" t="s">
        <v>40</v>
      </c>
      <c r="F86" s="69" t="s">
        <v>93</v>
      </c>
      <c r="G86" t="s">
        <v>117</v>
      </c>
      <c r="H86" t="s">
        <v>33</v>
      </c>
      <c r="I86" s="69">
        <v>0</v>
      </c>
      <c r="J86" s="127" t="s">
        <v>31</v>
      </c>
      <c r="K86" s="127" t="s">
        <v>31</v>
      </c>
      <c r="L86" s="127" t="s">
        <v>31</v>
      </c>
      <c r="M86" s="127" t="s">
        <v>31</v>
      </c>
      <c r="N86" s="127" t="s">
        <v>31</v>
      </c>
      <c r="O86" s="69" t="s">
        <v>130</v>
      </c>
      <c r="Q86" t="s">
        <v>101</v>
      </c>
    </row>
    <row r="87" spans="1:17" ht="15.75">
      <c r="A87" t="s">
        <v>147</v>
      </c>
      <c r="B87">
        <v>0.85</v>
      </c>
      <c r="D87" t="s">
        <v>39</v>
      </c>
      <c r="E87" t="s">
        <v>40</v>
      </c>
      <c r="F87" s="69" t="s">
        <v>93</v>
      </c>
      <c r="G87" t="s">
        <v>86</v>
      </c>
      <c r="H87" t="s">
        <v>110</v>
      </c>
      <c r="I87" s="69">
        <v>0</v>
      </c>
      <c r="J87" s="127" t="s">
        <v>31</v>
      </c>
      <c r="K87" s="127" t="s">
        <v>31</v>
      </c>
      <c r="L87" s="127" t="s">
        <v>31</v>
      </c>
      <c r="M87" s="127" t="s">
        <v>31</v>
      </c>
      <c r="N87" s="127" t="s">
        <v>31</v>
      </c>
      <c r="O87" s="69" t="s">
        <v>130</v>
      </c>
      <c r="Q87" t="s">
        <v>101</v>
      </c>
    </row>
    <row r="88" spans="1:17">
      <c r="A88" t="s">
        <v>112</v>
      </c>
      <c r="B88" s="113">
        <f>-0.25</f>
        <v>-0.25</v>
      </c>
      <c r="D88" t="s">
        <v>39</v>
      </c>
      <c r="E88" s="129" t="s">
        <v>40</v>
      </c>
      <c r="F88" s="69" t="s">
        <v>93</v>
      </c>
      <c r="G88" t="s">
        <v>86</v>
      </c>
      <c r="H88" t="s">
        <v>33</v>
      </c>
      <c r="I88">
        <v>0</v>
      </c>
      <c r="J88" t="s">
        <v>31</v>
      </c>
      <c r="K88" t="s">
        <v>31</v>
      </c>
      <c r="L88" t="s">
        <v>31</v>
      </c>
      <c r="M88" t="s">
        <v>31</v>
      </c>
      <c r="N88" t="s">
        <v>31</v>
      </c>
      <c r="O88" s="69" t="s">
        <v>130</v>
      </c>
    </row>
    <row r="89" spans="1:17" s="67" customFormat="1" ht="15.75">
      <c r="A89" s="124" t="s">
        <v>5</v>
      </c>
      <c r="B89" s="124" t="s">
        <v>148</v>
      </c>
      <c r="C89" s="124"/>
      <c r="D89" s="66"/>
      <c r="E89" s="125"/>
      <c r="F89" s="125"/>
      <c r="G89" s="125"/>
      <c r="H89" s="125"/>
      <c r="I89" s="125"/>
      <c r="J89" s="125"/>
      <c r="K89" s="125"/>
      <c r="L89" s="125"/>
      <c r="M89" s="125"/>
      <c r="N89" s="125"/>
      <c r="O89" s="125"/>
      <c r="P89" s="125"/>
    </row>
    <row r="90" spans="1:17">
      <c r="A90" s="69" t="s">
        <v>7</v>
      </c>
      <c r="B90" s="69" t="s">
        <v>93</v>
      </c>
      <c r="C90" s="69"/>
      <c r="D90" s="69"/>
      <c r="E90" s="69"/>
      <c r="F90" s="69"/>
      <c r="G90" s="69"/>
      <c r="H90" s="69"/>
      <c r="I90" s="69"/>
      <c r="J90" s="69"/>
      <c r="K90" s="69"/>
      <c r="L90" s="69"/>
      <c r="M90" s="69"/>
      <c r="N90" s="69"/>
      <c r="O90" s="69"/>
      <c r="P90" s="69"/>
    </row>
    <row r="91" spans="1:17">
      <c r="A91" s="69" t="s">
        <v>9</v>
      </c>
      <c r="B91" s="126" t="s">
        <v>149</v>
      </c>
      <c r="C91" s="69"/>
      <c r="D91" s="69"/>
      <c r="E91" s="69"/>
      <c r="F91" s="69"/>
      <c r="G91" s="69"/>
      <c r="H91" s="69"/>
      <c r="I91" s="69"/>
      <c r="J91" s="69"/>
      <c r="K91" s="69"/>
      <c r="L91" s="69"/>
      <c r="M91" s="69"/>
      <c r="N91" s="69"/>
      <c r="O91" s="69"/>
      <c r="P91" s="69"/>
    </row>
    <row r="92" spans="1:17">
      <c r="A92" s="69" t="s">
        <v>11</v>
      </c>
      <c r="B92" s="69" t="s">
        <v>95</v>
      </c>
      <c r="C92" s="69"/>
      <c r="D92" s="69"/>
      <c r="E92" s="69"/>
      <c r="F92" s="69"/>
      <c r="G92" s="69"/>
      <c r="H92" s="69"/>
      <c r="I92" s="69"/>
      <c r="J92" s="69"/>
      <c r="K92" s="69"/>
      <c r="L92" s="69"/>
      <c r="M92" s="69"/>
      <c r="N92" s="69"/>
      <c r="O92" s="69"/>
      <c r="P92" s="69"/>
    </row>
    <row r="93" spans="1:17">
      <c r="A93" s="69" t="s">
        <v>13</v>
      </c>
      <c r="B93" s="69" t="s">
        <v>86</v>
      </c>
      <c r="C93" s="69"/>
      <c r="D93" s="69"/>
      <c r="E93" s="69"/>
      <c r="F93" s="69"/>
      <c r="G93" s="69"/>
      <c r="H93" s="69"/>
      <c r="I93" s="69"/>
      <c r="J93" s="69"/>
      <c r="K93" s="69"/>
      <c r="L93" s="69"/>
      <c r="M93" s="69"/>
      <c r="N93" s="69"/>
      <c r="O93" s="69"/>
      <c r="P93" s="69"/>
    </row>
    <row r="94" spans="1:17">
      <c r="A94" s="69" t="s">
        <v>15</v>
      </c>
      <c r="B94" s="69">
        <v>1</v>
      </c>
      <c r="C94" s="69"/>
      <c r="D94" s="69"/>
      <c r="E94" s="69"/>
      <c r="F94" s="69"/>
      <c r="G94" s="69"/>
      <c r="H94" s="69"/>
      <c r="I94" s="69"/>
      <c r="J94" s="69"/>
      <c r="K94" s="69"/>
      <c r="L94" s="69"/>
      <c r="M94" s="69"/>
      <c r="N94" s="69"/>
      <c r="O94" s="69"/>
      <c r="P94" s="69"/>
    </row>
    <row r="95" spans="1:17">
      <c r="A95" s="69" t="s">
        <v>16</v>
      </c>
      <c r="B95" s="69" t="s">
        <v>17</v>
      </c>
      <c r="C95" s="69"/>
      <c r="D95" s="69"/>
      <c r="E95" s="69"/>
      <c r="F95" s="69"/>
      <c r="G95" s="69"/>
      <c r="H95" s="69"/>
      <c r="I95" s="69"/>
      <c r="J95" s="69"/>
      <c r="K95" s="69"/>
      <c r="L95" s="69"/>
      <c r="M95" s="69"/>
      <c r="N95" s="69"/>
      <c r="O95" s="69"/>
      <c r="P95" s="69"/>
    </row>
    <row r="96" spans="1:17" ht="15.75">
      <c r="A96" s="69" t="s">
        <v>18</v>
      </c>
      <c r="B96" s="127" t="s">
        <v>39</v>
      </c>
      <c r="C96" s="69"/>
      <c r="D96" s="69"/>
      <c r="E96" s="69" t="s">
        <v>90</v>
      </c>
      <c r="F96" s="69"/>
      <c r="G96" s="69"/>
      <c r="H96" s="69"/>
      <c r="I96" s="69"/>
      <c r="J96" s="69"/>
      <c r="K96" s="69"/>
      <c r="L96" s="69"/>
      <c r="M96" s="69"/>
      <c r="N96" s="69"/>
      <c r="O96" s="69"/>
      <c r="P96" s="69"/>
    </row>
    <row r="97" spans="1:17" ht="15.75">
      <c r="A97" s="128" t="s">
        <v>19</v>
      </c>
      <c r="B97" s="69"/>
      <c r="C97" s="69"/>
      <c r="D97" s="69"/>
      <c r="E97" s="69"/>
      <c r="F97" s="69"/>
      <c r="G97" s="69"/>
      <c r="H97" s="69"/>
      <c r="I97" s="69"/>
      <c r="J97" s="69"/>
      <c r="K97" s="69"/>
      <c r="L97" s="69"/>
      <c r="M97" s="69"/>
      <c r="N97" s="69"/>
      <c r="O97" s="69"/>
      <c r="P97" s="69"/>
    </row>
    <row r="98" spans="1:17" ht="15.75">
      <c r="A98" s="128" t="s">
        <v>20</v>
      </c>
      <c r="B98" s="128" t="s">
        <v>21</v>
      </c>
      <c r="C98" s="128" t="s">
        <v>73</v>
      </c>
      <c r="D98" s="128" t="s">
        <v>18</v>
      </c>
      <c r="E98" s="128" t="s">
        <v>22</v>
      </c>
      <c r="F98" s="128" t="s">
        <v>7</v>
      </c>
      <c r="G98" s="128" t="s">
        <v>13</v>
      </c>
      <c r="H98" s="128" t="s">
        <v>16</v>
      </c>
      <c r="I98" s="128" t="s">
        <v>23</v>
      </c>
      <c r="J98" s="128" t="s">
        <v>24</v>
      </c>
      <c r="K98" s="128" t="s">
        <v>25</v>
      </c>
      <c r="L98" s="128" t="s">
        <v>26</v>
      </c>
      <c r="M98" s="128" t="s">
        <v>27</v>
      </c>
      <c r="N98" s="128" t="s">
        <v>28</v>
      </c>
      <c r="O98" s="128" t="s">
        <v>11</v>
      </c>
      <c r="P98" s="128" t="s">
        <v>91</v>
      </c>
    </row>
    <row r="99" spans="1:17" ht="15.75">
      <c r="A99" s="127" t="str">
        <f>B89</f>
        <v>treatment of magnesium alloy powerplant, conventional, Short-Term</v>
      </c>
      <c r="B99" s="127">
        <v>1</v>
      </c>
      <c r="C99" s="127"/>
      <c r="D99" s="127" t="s">
        <v>39</v>
      </c>
      <c r="E99" s="69" t="s">
        <v>2</v>
      </c>
      <c r="F99" s="69" t="s">
        <v>93</v>
      </c>
      <c r="G99" s="127" t="s">
        <v>86</v>
      </c>
      <c r="H99" s="69" t="s">
        <v>30</v>
      </c>
      <c r="I99" s="69">
        <v>0</v>
      </c>
      <c r="J99" s="127" t="s">
        <v>31</v>
      </c>
      <c r="K99" s="127" t="s">
        <v>31</v>
      </c>
      <c r="L99" s="127" t="s">
        <v>31</v>
      </c>
      <c r="M99" s="127" t="s">
        <v>31</v>
      </c>
      <c r="N99" s="127" t="s">
        <v>31</v>
      </c>
      <c r="O99" s="69" t="s">
        <v>150</v>
      </c>
    </row>
    <row r="100" spans="1:17">
      <c r="A100" t="s">
        <v>112</v>
      </c>
      <c r="B100" s="113">
        <v>-0.1</v>
      </c>
      <c r="D100" t="s">
        <v>39</v>
      </c>
      <c r="E100" s="129" t="s">
        <v>40</v>
      </c>
      <c r="F100" s="69" t="s">
        <v>93</v>
      </c>
      <c r="G100" t="s">
        <v>86</v>
      </c>
      <c r="H100" t="s">
        <v>33</v>
      </c>
      <c r="I100">
        <v>0</v>
      </c>
      <c r="J100" t="s">
        <v>31</v>
      </c>
      <c r="K100" t="s">
        <v>31</v>
      </c>
      <c r="L100" t="s">
        <v>31</v>
      </c>
      <c r="M100" t="s">
        <v>31</v>
      </c>
      <c r="N100" t="s">
        <v>31</v>
      </c>
      <c r="O100" s="69" t="s">
        <v>151</v>
      </c>
    </row>
    <row r="101" spans="1:17" ht="15.75">
      <c r="A101" t="s">
        <v>139</v>
      </c>
      <c r="B101">
        <f>0.9*0.85</f>
        <v>0.76500000000000001</v>
      </c>
      <c r="C101" t="s">
        <v>140</v>
      </c>
      <c r="D101" t="s">
        <v>39</v>
      </c>
      <c r="E101" t="s">
        <v>40</v>
      </c>
      <c r="F101" s="69" t="s">
        <v>93</v>
      </c>
      <c r="G101" t="s">
        <v>117</v>
      </c>
      <c r="H101" t="s">
        <v>33</v>
      </c>
      <c r="I101" s="69">
        <v>0</v>
      </c>
      <c r="J101" s="127" t="s">
        <v>31</v>
      </c>
      <c r="K101" s="127" t="s">
        <v>31</v>
      </c>
      <c r="L101" s="127" t="s">
        <v>31</v>
      </c>
      <c r="M101" s="127" t="s">
        <v>31</v>
      </c>
      <c r="N101" s="127" t="s">
        <v>31</v>
      </c>
      <c r="O101" s="69" t="s">
        <v>152</v>
      </c>
      <c r="Q101" t="s">
        <v>101</v>
      </c>
    </row>
    <row r="102" spans="1:17">
      <c r="A102" t="s">
        <v>112</v>
      </c>
      <c r="B102" s="113">
        <f>-0.25*0.9</f>
        <v>-0.22500000000000001</v>
      </c>
      <c r="D102" t="s">
        <v>39</v>
      </c>
      <c r="E102" s="129" t="s">
        <v>40</v>
      </c>
      <c r="F102" s="69" t="s">
        <v>93</v>
      </c>
      <c r="G102" t="s">
        <v>86</v>
      </c>
      <c r="H102" t="s">
        <v>33</v>
      </c>
      <c r="I102">
        <v>0</v>
      </c>
      <c r="J102" t="s">
        <v>31</v>
      </c>
      <c r="K102" t="s">
        <v>31</v>
      </c>
      <c r="L102" t="s">
        <v>31</v>
      </c>
      <c r="M102" t="s">
        <v>31</v>
      </c>
      <c r="N102" t="s">
        <v>31</v>
      </c>
      <c r="O102" s="69" t="s">
        <v>153</v>
      </c>
    </row>
    <row r="103" spans="1:17" s="67" customFormat="1" ht="15.75">
      <c r="A103" s="124" t="s">
        <v>5</v>
      </c>
      <c r="B103" s="124" t="s">
        <v>154</v>
      </c>
      <c r="C103" s="124"/>
      <c r="D103" s="66"/>
      <c r="E103" s="125"/>
      <c r="F103" s="125"/>
      <c r="G103" s="125"/>
      <c r="H103" s="125"/>
      <c r="I103" s="125"/>
      <c r="J103" s="125"/>
      <c r="K103" s="125"/>
      <c r="L103" s="125"/>
      <c r="M103" s="125"/>
      <c r="N103" s="125"/>
      <c r="O103" s="125"/>
      <c r="P103" s="125"/>
    </row>
    <row r="104" spans="1:17">
      <c r="A104" s="69" t="s">
        <v>7</v>
      </c>
      <c r="B104" s="69" t="s">
        <v>93</v>
      </c>
      <c r="C104" s="69"/>
      <c r="D104" s="69"/>
      <c r="E104" s="69"/>
      <c r="F104" s="69"/>
      <c r="G104" s="69"/>
      <c r="H104" s="69"/>
      <c r="I104" s="69"/>
      <c r="J104" s="69"/>
      <c r="K104" s="69"/>
      <c r="L104" s="69"/>
      <c r="M104" s="69"/>
      <c r="N104" s="69"/>
      <c r="O104" s="69"/>
      <c r="P104" s="69"/>
    </row>
    <row r="105" spans="1:17">
      <c r="A105" s="69" t="s">
        <v>9</v>
      </c>
      <c r="B105" s="126" t="s">
        <v>155</v>
      </c>
      <c r="C105" s="69"/>
      <c r="D105" s="69"/>
      <c r="E105" s="69"/>
      <c r="F105" s="69"/>
      <c r="G105" s="69"/>
      <c r="H105" s="69"/>
      <c r="I105" s="69"/>
      <c r="J105" s="69"/>
      <c r="K105" s="69"/>
      <c r="L105" s="69"/>
      <c r="M105" s="69"/>
      <c r="N105" s="69"/>
      <c r="O105" s="69"/>
      <c r="P105" s="69"/>
    </row>
    <row r="106" spans="1:17">
      <c r="A106" s="69" t="s">
        <v>11</v>
      </c>
      <c r="B106" s="69" t="s">
        <v>95</v>
      </c>
      <c r="C106" s="69"/>
      <c r="D106" s="69"/>
      <c r="E106" s="69"/>
      <c r="F106" s="69"/>
      <c r="G106" s="69"/>
      <c r="H106" s="69"/>
      <c r="I106" s="69"/>
      <c r="J106" s="69"/>
      <c r="K106" s="69"/>
      <c r="L106" s="69"/>
      <c r="M106" s="69"/>
      <c r="N106" s="69"/>
      <c r="O106" s="69"/>
      <c r="P106" s="69"/>
    </row>
    <row r="107" spans="1:17">
      <c r="A107" s="69" t="s">
        <v>13</v>
      </c>
      <c r="B107" s="69" t="s">
        <v>86</v>
      </c>
      <c r="C107" s="69"/>
      <c r="D107" s="69"/>
      <c r="E107" s="69"/>
      <c r="F107" s="69"/>
      <c r="G107" s="69"/>
      <c r="H107" s="69"/>
      <c r="I107" s="69"/>
      <c r="J107" s="69"/>
      <c r="K107" s="69"/>
      <c r="L107" s="69"/>
      <c r="M107" s="69"/>
      <c r="N107" s="69"/>
      <c r="O107" s="69"/>
      <c r="P107" s="69"/>
    </row>
    <row r="108" spans="1:17">
      <c r="A108" s="69" t="s">
        <v>15</v>
      </c>
      <c r="B108" s="69">
        <v>1</v>
      </c>
      <c r="C108" s="69"/>
      <c r="D108" s="69"/>
      <c r="E108" s="69"/>
      <c r="F108" s="69"/>
      <c r="G108" s="69"/>
      <c r="H108" s="69"/>
      <c r="I108" s="69"/>
      <c r="J108" s="69"/>
      <c r="K108" s="69"/>
      <c r="L108" s="69"/>
      <c r="M108" s="69"/>
      <c r="N108" s="69"/>
      <c r="O108" s="69"/>
      <c r="P108" s="69"/>
    </row>
    <row r="109" spans="1:17">
      <c r="A109" s="69" t="s">
        <v>16</v>
      </c>
      <c r="B109" s="69" t="s">
        <v>17</v>
      </c>
      <c r="C109" s="69"/>
      <c r="D109" s="69"/>
      <c r="E109" s="69"/>
      <c r="F109" s="69"/>
      <c r="G109" s="69"/>
      <c r="H109" s="69"/>
      <c r="I109" s="69"/>
      <c r="J109" s="69"/>
      <c r="K109" s="69"/>
      <c r="L109" s="69"/>
      <c r="M109" s="69"/>
      <c r="N109" s="69"/>
      <c r="O109" s="69"/>
      <c r="P109" s="69"/>
    </row>
    <row r="110" spans="1:17" ht="15.75">
      <c r="A110" s="69" t="s">
        <v>18</v>
      </c>
      <c r="B110" s="127" t="s">
        <v>39</v>
      </c>
      <c r="C110" s="69"/>
      <c r="D110" s="69"/>
      <c r="E110" s="69" t="s">
        <v>90</v>
      </c>
      <c r="F110" s="69"/>
      <c r="G110" s="69"/>
      <c r="H110" s="69"/>
      <c r="I110" s="69"/>
      <c r="J110" s="69"/>
      <c r="K110" s="69"/>
      <c r="L110" s="69"/>
      <c r="M110" s="69"/>
      <c r="N110" s="69"/>
      <c r="O110" s="69"/>
      <c r="P110" s="69"/>
    </row>
    <row r="111" spans="1:17" ht="15.75">
      <c r="A111" s="128" t="s">
        <v>19</v>
      </c>
      <c r="B111" s="69"/>
      <c r="C111" s="69"/>
      <c r="D111" s="69"/>
      <c r="E111" s="69"/>
      <c r="F111" s="69"/>
      <c r="G111" s="69"/>
      <c r="H111" s="69"/>
      <c r="I111" s="69"/>
      <c r="J111" s="69"/>
      <c r="K111" s="69"/>
      <c r="L111" s="69"/>
      <c r="M111" s="69"/>
      <c r="N111" s="69"/>
      <c r="O111" s="69"/>
      <c r="P111" s="69"/>
    </row>
    <row r="112" spans="1:17" ht="15.75">
      <c r="A112" s="128" t="s">
        <v>20</v>
      </c>
      <c r="B112" s="128" t="s">
        <v>21</v>
      </c>
      <c r="C112" s="128" t="s">
        <v>73</v>
      </c>
      <c r="D112" s="128" t="s">
        <v>18</v>
      </c>
      <c r="E112" s="128" t="s">
        <v>22</v>
      </c>
      <c r="F112" s="128" t="s">
        <v>7</v>
      </c>
      <c r="G112" s="128" t="s">
        <v>13</v>
      </c>
      <c r="H112" s="128" t="s">
        <v>16</v>
      </c>
      <c r="I112" s="128" t="s">
        <v>23</v>
      </c>
      <c r="J112" s="128" t="s">
        <v>24</v>
      </c>
      <c r="K112" s="128" t="s">
        <v>25</v>
      </c>
      <c r="L112" s="128" t="s">
        <v>26</v>
      </c>
      <c r="M112" s="128" t="s">
        <v>27</v>
      </c>
      <c r="N112" s="128" t="s">
        <v>28</v>
      </c>
      <c r="O112" s="128" t="s">
        <v>11</v>
      </c>
      <c r="P112" s="128" t="s">
        <v>91</v>
      </c>
    </row>
    <row r="113" spans="1:16" ht="15.75">
      <c r="A113" s="127" t="str">
        <f>B103</f>
        <v>treatment of rubber and cellulose fibre powerplant, conventional, Short-Term</v>
      </c>
      <c r="B113" s="127">
        <v>1</v>
      </c>
      <c r="C113" s="127"/>
      <c r="D113" s="127" t="s">
        <v>39</v>
      </c>
      <c r="E113" s="69" t="s">
        <v>2</v>
      </c>
      <c r="F113" s="69" t="s">
        <v>93</v>
      </c>
      <c r="G113" s="127" t="s">
        <v>86</v>
      </c>
      <c r="H113" s="69" t="s">
        <v>30</v>
      </c>
      <c r="I113" s="69">
        <v>0</v>
      </c>
      <c r="J113" s="127" t="s">
        <v>31</v>
      </c>
      <c r="K113" s="127" t="s">
        <v>31</v>
      </c>
      <c r="L113" s="127" t="s">
        <v>31</v>
      </c>
      <c r="M113" s="127" t="s">
        <v>31</v>
      </c>
      <c r="N113" s="127" t="s">
        <v>31</v>
      </c>
      <c r="O113" s="69" t="s">
        <v>156</v>
      </c>
    </row>
    <row r="114" spans="1:16" ht="15.75">
      <c r="A114" s="129" t="s">
        <v>157</v>
      </c>
      <c r="B114" s="69">
        <f>-1</f>
        <v>-1</v>
      </c>
      <c r="D114" t="s">
        <v>39</v>
      </c>
      <c r="E114" s="130" t="s">
        <v>40</v>
      </c>
      <c r="F114" s="69" t="s">
        <v>93</v>
      </c>
      <c r="G114" t="s">
        <v>117</v>
      </c>
      <c r="H114" t="s">
        <v>33</v>
      </c>
      <c r="I114" s="69">
        <v>0</v>
      </c>
      <c r="J114" s="127" t="s">
        <v>31</v>
      </c>
      <c r="K114" s="127" t="s">
        <v>31</v>
      </c>
      <c r="L114" s="127" t="s">
        <v>31</v>
      </c>
      <c r="M114" s="127" t="s">
        <v>31</v>
      </c>
      <c r="N114" s="127" t="s">
        <v>31</v>
      </c>
      <c r="O114" s="127"/>
    </row>
    <row r="115" spans="1:16" s="134" customFormat="1" ht="15.75">
      <c r="A115" s="131" t="s">
        <v>5</v>
      </c>
      <c r="B115" s="131" t="s">
        <v>158</v>
      </c>
      <c r="C115" s="131"/>
      <c r="D115" s="132"/>
      <c r="E115" s="133"/>
      <c r="F115" s="133"/>
      <c r="G115" s="133"/>
      <c r="H115" s="133"/>
      <c r="I115" s="133"/>
      <c r="J115" s="133"/>
      <c r="K115" s="133"/>
      <c r="L115" s="133"/>
      <c r="M115" s="133"/>
      <c r="N115" s="133"/>
      <c r="O115" s="133"/>
      <c r="P115" s="133"/>
    </row>
    <row r="116" spans="1:16">
      <c r="A116" s="69" t="s">
        <v>7</v>
      </c>
      <c r="B116" s="69" t="s">
        <v>93</v>
      </c>
      <c r="C116" s="69"/>
      <c r="D116" s="69"/>
      <c r="E116" s="69"/>
      <c r="F116" s="69"/>
      <c r="G116" s="69"/>
      <c r="H116" s="69"/>
      <c r="I116" s="69"/>
      <c r="J116" s="69"/>
      <c r="K116" s="69"/>
      <c r="L116" s="69"/>
      <c r="M116" s="69"/>
      <c r="N116" s="69"/>
      <c r="O116" s="69"/>
      <c r="P116" s="69"/>
    </row>
    <row r="117" spans="1:16">
      <c r="A117" s="69" t="s">
        <v>9</v>
      </c>
      <c r="B117" s="126" t="s">
        <v>159</v>
      </c>
      <c r="C117" s="69"/>
      <c r="D117" s="69"/>
      <c r="E117" s="69"/>
      <c r="F117" s="69"/>
      <c r="G117" s="69"/>
      <c r="H117" s="69"/>
      <c r="I117" s="69"/>
      <c r="J117" s="69"/>
      <c r="K117" s="69"/>
      <c r="L117" s="69"/>
      <c r="M117" s="69"/>
      <c r="N117" s="69"/>
      <c r="O117" s="69"/>
      <c r="P117" s="69"/>
    </row>
    <row r="118" spans="1:16">
      <c r="A118" s="69" t="s">
        <v>11</v>
      </c>
      <c r="B118" s="69" t="s">
        <v>95</v>
      </c>
      <c r="C118" s="69"/>
      <c r="D118" s="69"/>
      <c r="E118" s="69"/>
      <c r="F118" s="69"/>
      <c r="G118" s="69"/>
      <c r="H118" s="69"/>
      <c r="I118" s="69"/>
      <c r="J118" s="69"/>
      <c r="K118" s="69"/>
      <c r="L118" s="69"/>
      <c r="M118" s="69"/>
      <c r="N118" s="69"/>
      <c r="O118" s="69"/>
      <c r="P118" s="69"/>
    </row>
    <row r="119" spans="1:16">
      <c r="A119" s="69" t="s">
        <v>13</v>
      </c>
      <c r="B119" s="69" t="s">
        <v>86</v>
      </c>
      <c r="C119" s="69"/>
      <c r="D119" s="69"/>
      <c r="E119" s="69"/>
      <c r="F119" s="69"/>
      <c r="G119" s="69"/>
      <c r="H119" s="69"/>
      <c r="I119" s="69"/>
      <c r="J119" s="69"/>
      <c r="K119" s="69"/>
      <c r="L119" s="69"/>
      <c r="M119" s="69"/>
      <c r="N119" s="69"/>
      <c r="O119" s="69"/>
      <c r="P119" s="69"/>
    </row>
    <row r="120" spans="1:16">
      <c r="A120" s="69" t="s">
        <v>15</v>
      </c>
      <c r="B120" s="69">
        <v>1</v>
      </c>
      <c r="C120" s="69"/>
      <c r="D120" s="69"/>
      <c r="E120" s="69"/>
      <c r="F120" s="69"/>
      <c r="G120" s="69"/>
      <c r="H120" s="69"/>
      <c r="I120" s="69"/>
      <c r="J120" s="69"/>
      <c r="K120" s="69"/>
      <c r="L120" s="69"/>
      <c r="M120" s="69"/>
      <c r="N120" s="69"/>
      <c r="O120" s="69"/>
      <c r="P120" s="69"/>
    </row>
    <row r="121" spans="1:16">
      <c r="A121" s="69" t="s">
        <v>16</v>
      </c>
      <c r="B121" s="69" t="s">
        <v>17</v>
      </c>
      <c r="C121" s="69"/>
      <c r="D121" s="69"/>
      <c r="E121" s="69"/>
      <c r="F121" s="69"/>
      <c r="G121" s="69"/>
      <c r="H121" s="69"/>
      <c r="I121" s="69"/>
      <c r="J121" s="69"/>
      <c r="K121" s="69"/>
      <c r="L121" s="69"/>
      <c r="M121" s="69"/>
      <c r="N121" s="69"/>
      <c r="O121" s="69"/>
      <c r="P121" s="69"/>
    </row>
    <row r="122" spans="1:16" ht="15.75">
      <c r="A122" s="69" t="s">
        <v>18</v>
      </c>
      <c r="B122" s="127" t="s">
        <v>18</v>
      </c>
      <c r="C122" s="69"/>
      <c r="D122" s="69"/>
      <c r="E122" s="69" t="s">
        <v>90</v>
      </c>
      <c r="F122" s="69"/>
      <c r="G122" s="69"/>
      <c r="H122" s="69"/>
      <c r="I122" s="69"/>
      <c r="J122" s="69"/>
      <c r="K122" s="69"/>
      <c r="L122" s="69"/>
      <c r="M122" s="69"/>
      <c r="N122" s="69"/>
      <c r="O122" s="69"/>
      <c r="P122" s="69"/>
    </row>
    <row r="123" spans="1:16" ht="15.75">
      <c r="A123" s="128" t="s">
        <v>19</v>
      </c>
      <c r="B123" s="69"/>
      <c r="C123" s="69"/>
      <c r="D123" s="69"/>
      <c r="E123" s="69"/>
      <c r="F123" s="69"/>
      <c r="G123" s="69"/>
      <c r="H123" s="69"/>
      <c r="I123" s="69"/>
      <c r="J123" s="69"/>
      <c r="K123" s="69"/>
      <c r="L123" s="69"/>
      <c r="M123" s="69"/>
      <c r="N123" s="69"/>
      <c r="O123" s="69"/>
      <c r="P123" s="69"/>
    </row>
    <row r="124" spans="1:16" ht="15.75">
      <c r="A124" s="128" t="s">
        <v>20</v>
      </c>
      <c r="B124" s="128" t="s">
        <v>21</v>
      </c>
      <c r="C124" s="128" t="s">
        <v>73</v>
      </c>
      <c r="D124" s="128" t="s">
        <v>18</v>
      </c>
      <c r="E124" s="128" t="s">
        <v>22</v>
      </c>
      <c r="F124" s="128" t="s">
        <v>7</v>
      </c>
      <c r="G124" s="128" t="s">
        <v>13</v>
      </c>
      <c r="H124" s="128" t="s">
        <v>16</v>
      </c>
      <c r="I124" s="128" t="s">
        <v>23</v>
      </c>
      <c r="J124" s="128" t="s">
        <v>24</v>
      </c>
      <c r="K124" s="128" t="s">
        <v>25</v>
      </c>
      <c r="L124" s="128" t="s">
        <v>26</v>
      </c>
      <c r="M124" s="128" t="s">
        <v>27</v>
      </c>
      <c r="N124" s="128" t="s">
        <v>28</v>
      </c>
      <c r="O124" s="128" t="s">
        <v>11</v>
      </c>
      <c r="P124" s="128" t="s">
        <v>91</v>
      </c>
    </row>
    <row r="125" spans="1:16" ht="15.75">
      <c r="A125" s="127" t="str">
        <f>B115</f>
        <v>treatment of powerplant, conventional, Short-Term</v>
      </c>
      <c r="B125" s="128">
        <v>1</v>
      </c>
      <c r="C125" s="127"/>
      <c r="D125" s="127" t="s">
        <v>18</v>
      </c>
      <c r="E125" s="69" t="s">
        <v>2</v>
      </c>
      <c r="F125" s="69" t="s">
        <v>93</v>
      </c>
      <c r="G125" s="127" t="s">
        <v>86</v>
      </c>
      <c r="H125" s="69" t="s">
        <v>30</v>
      </c>
      <c r="I125" s="69">
        <v>0</v>
      </c>
      <c r="J125" s="127" t="s">
        <v>31</v>
      </c>
      <c r="K125" s="127" t="s">
        <v>31</v>
      </c>
      <c r="L125" s="127" t="s">
        <v>31</v>
      </c>
      <c r="M125" s="127" t="s">
        <v>31</v>
      </c>
      <c r="N125" s="127" t="s">
        <v>31</v>
      </c>
      <c r="O125" s="128"/>
      <c r="P125" s="128"/>
    </row>
    <row r="126" spans="1:16" ht="15.75">
      <c r="A126" t="str">
        <f>B32</f>
        <v>treatment of aluminium,powerplant, conventional, Short-Term</v>
      </c>
      <c r="B126">
        <v>397.60396803999902</v>
      </c>
      <c r="D126" t="s">
        <v>39</v>
      </c>
      <c r="E126" s="69" t="s">
        <v>2</v>
      </c>
      <c r="F126" s="69" t="s">
        <v>93</v>
      </c>
      <c r="G126" s="127" t="s">
        <v>86</v>
      </c>
      <c r="H126" t="s">
        <v>33</v>
      </c>
      <c r="I126" s="69">
        <v>0</v>
      </c>
      <c r="J126" s="127" t="s">
        <v>31</v>
      </c>
      <c r="K126" s="127" t="s">
        <v>31</v>
      </c>
      <c r="L126" s="127" t="s">
        <v>31</v>
      </c>
      <c r="M126" s="127" t="s">
        <v>31</v>
      </c>
      <c r="N126" s="127" t="s">
        <v>31</v>
      </c>
    </row>
    <row r="127" spans="1:16" ht="15.75">
      <c r="A127" t="str">
        <f>'airframe EoL LCI'!A42</f>
        <v>treatment of steel, wing, airframe, conventional, Short-Term</v>
      </c>
      <c r="B127">
        <v>559.9730833000001</v>
      </c>
      <c r="D127" t="s">
        <v>39</v>
      </c>
      <c r="E127" s="69" t="s">
        <v>2</v>
      </c>
      <c r="F127" s="69" t="s">
        <v>93</v>
      </c>
      <c r="G127" s="127" t="s">
        <v>86</v>
      </c>
      <c r="H127" t="s">
        <v>33</v>
      </c>
      <c r="I127" s="69">
        <v>0</v>
      </c>
      <c r="J127" s="127" t="s">
        <v>31</v>
      </c>
      <c r="K127" s="127" t="s">
        <v>31</v>
      </c>
      <c r="L127" s="127" t="s">
        <v>31</v>
      </c>
      <c r="M127" s="127" t="s">
        <v>31</v>
      </c>
      <c r="N127" s="127" t="s">
        <v>31</v>
      </c>
    </row>
    <row r="128" spans="1:16" ht="15.75">
      <c r="A128" t="str">
        <f>B2</f>
        <v>treatment of titanium,powerplant, conventional, Short-Term</v>
      </c>
      <c r="B128">
        <v>106.85919149999995</v>
      </c>
      <c r="D128" t="s">
        <v>39</v>
      </c>
      <c r="E128" s="69" t="s">
        <v>2</v>
      </c>
      <c r="F128" s="69" t="s">
        <v>93</v>
      </c>
      <c r="G128" s="127" t="s">
        <v>86</v>
      </c>
      <c r="H128" t="s">
        <v>33</v>
      </c>
      <c r="I128" s="69">
        <v>0</v>
      </c>
      <c r="J128" s="127" t="s">
        <v>31</v>
      </c>
      <c r="K128" s="127" t="s">
        <v>31</v>
      </c>
      <c r="L128" s="127" t="s">
        <v>31</v>
      </c>
      <c r="M128" s="127" t="s">
        <v>31</v>
      </c>
      <c r="N128" s="127" t="s">
        <v>31</v>
      </c>
    </row>
    <row r="129" spans="1:14" ht="15.75">
      <c r="A129" t="str">
        <f>B47</f>
        <v>treatment of iron-nickel chromium alloy,powerplant, conventional, Short-Term</v>
      </c>
      <c r="B129">
        <v>60.283499999999989</v>
      </c>
      <c r="D129" t="s">
        <v>39</v>
      </c>
      <c r="E129" s="69" t="s">
        <v>2</v>
      </c>
      <c r="F129" s="69" t="s">
        <v>93</v>
      </c>
      <c r="G129" s="127" t="s">
        <v>86</v>
      </c>
      <c r="H129" t="s">
        <v>33</v>
      </c>
      <c r="I129" s="69">
        <v>0</v>
      </c>
      <c r="J129" s="127" t="s">
        <v>31</v>
      </c>
      <c r="K129" s="127" t="s">
        <v>31</v>
      </c>
      <c r="L129" s="127" t="s">
        <v>31</v>
      </c>
      <c r="M129" s="127" t="s">
        <v>31</v>
      </c>
      <c r="N129" s="127" t="s">
        <v>31</v>
      </c>
    </row>
    <row r="130" spans="1:14" ht="15.75">
      <c r="A130" t="str">
        <f>B17</f>
        <v>treatment of CFRP,powerplant, conventional, Short-Term</v>
      </c>
      <c r="B130">
        <v>65.267230369999993</v>
      </c>
      <c r="D130" t="s">
        <v>39</v>
      </c>
      <c r="E130" s="69" t="s">
        <v>2</v>
      </c>
      <c r="F130" s="69" t="s">
        <v>93</v>
      </c>
      <c r="G130" s="127" t="s">
        <v>86</v>
      </c>
      <c r="H130" t="s">
        <v>33</v>
      </c>
      <c r="I130" s="69">
        <v>0</v>
      </c>
      <c r="J130" s="127" t="s">
        <v>31</v>
      </c>
      <c r="K130" s="127" t="s">
        <v>31</v>
      </c>
      <c r="L130" s="127" t="s">
        <v>31</v>
      </c>
      <c r="M130" s="127" t="s">
        <v>31</v>
      </c>
      <c r="N130" s="127" t="s">
        <v>31</v>
      </c>
    </row>
    <row r="131" spans="1:14" ht="15.75">
      <c r="A131" t="str">
        <f>B103</f>
        <v>treatment of rubber and cellulose fibre powerplant, conventional, Short-Term</v>
      </c>
      <c r="B131">
        <v>9.1759999999999877</v>
      </c>
      <c r="D131" t="s">
        <v>39</v>
      </c>
      <c r="E131" s="69" t="s">
        <v>2</v>
      </c>
      <c r="F131" s="69" t="s">
        <v>93</v>
      </c>
      <c r="G131" s="127" t="s">
        <v>86</v>
      </c>
      <c r="H131" t="s">
        <v>33</v>
      </c>
      <c r="I131" s="69">
        <v>0</v>
      </c>
      <c r="J131" s="127" t="s">
        <v>31</v>
      </c>
      <c r="K131" s="127" t="s">
        <v>31</v>
      </c>
      <c r="L131" s="127" t="s">
        <v>31</v>
      </c>
      <c r="M131" s="127" t="s">
        <v>31</v>
      </c>
      <c r="N131" s="127" t="s">
        <v>31</v>
      </c>
    </row>
    <row r="132" spans="1:14" ht="15.75">
      <c r="A132" t="str">
        <f>B75</f>
        <v>treatment of copper,powerplant, conventional, Short-Term</v>
      </c>
      <c r="B132">
        <v>3.7278999999999982</v>
      </c>
      <c r="D132" t="s">
        <v>39</v>
      </c>
      <c r="E132" s="69" t="s">
        <v>2</v>
      </c>
      <c r="F132" s="69" t="s">
        <v>93</v>
      </c>
      <c r="G132" s="127" t="s">
        <v>86</v>
      </c>
      <c r="H132" t="s">
        <v>33</v>
      </c>
      <c r="I132" s="69">
        <v>0</v>
      </c>
      <c r="J132" s="127" t="s">
        <v>31</v>
      </c>
      <c r="K132" s="127" t="s">
        <v>31</v>
      </c>
      <c r="L132" s="127" t="s">
        <v>31</v>
      </c>
      <c r="M132" s="127" t="s">
        <v>31</v>
      </c>
      <c r="N132" s="127" t="s">
        <v>31</v>
      </c>
    </row>
    <row r="133" spans="1:14" ht="15.75">
      <c r="A133" t="str">
        <f>B61</f>
        <v>treatment of nickel,powerplant, conventional, Short-Term</v>
      </c>
      <c r="B133">
        <v>2.0076000000000001</v>
      </c>
      <c r="D133" t="s">
        <v>39</v>
      </c>
      <c r="E133" s="69" t="s">
        <v>2</v>
      </c>
      <c r="F133" s="69" t="s">
        <v>93</v>
      </c>
      <c r="G133" s="127" t="s">
        <v>86</v>
      </c>
      <c r="H133" t="s">
        <v>33</v>
      </c>
      <c r="I133" s="69">
        <v>0</v>
      </c>
      <c r="J133" s="127" t="s">
        <v>31</v>
      </c>
      <c r="K133" s="127" t="s">
        <v>31</v>
      </c>
      <c r="L133" s="127" t="s">
        <v>31</v>
      </c>
      <c r="M133" s="127" t="s">
        <v>31</v>
      </c>
      <c r="N133" s="127" t="s">
        <v>31</v>
      </c>
    </row>
    <row r="134" spans="1:14" ht="15.75">
      <c r="A134" t="str">
        <f>B103</f>
        <v>treatment of rubber and cellulose fibre powerplant, conventional, Short-Term</v>
      </c>
      <c r="B134">
        <v>1.1449999999999996</v>
      </c>
      <c r="D134" t="s">
        <v>39</v>
      </c>
      <c r="E134" s="69" t="s">
        <v>2</v>
      </c>
      <c r="F134" s="69" t="s">
        <v>93</v>
      </c>
      <c r="G134" s="127" t="s">
        <v>86</v>
      </c>
      <c r="H134" t="s">
        <v>33</v>
      </c>
      <c r="I134" s="69">
        <v>0</v>
      </c>
      <c r="J134" s="127" t="s">
        <v>31</v>
      </c>
      <c r="K134" s="127" t="s">
        <v>31</v>
      </c>
      <c r="L134" s="127" t="s">
        <v>31</v>
      </c>
      <c r="M134" s="127" t="s">
        <v>31</v>
      </c>
      <c r="N134" s="127" t="s">
        <v>31</v>
      </c>
    </row>
    <row r="135" spans="1:14" ht="15.75">
      <c r="A135" t="str">
        <f>B89</f>
        <v>treatment of magnesium alloy powerplant, conventional, Short-Term</v>
      </c>
      <c r="B135">
        <v>9.5737091999999997</v>
      </c>
      <c r="D135" t="s">
        <v>39</v>
      </c>
      <c r="E135" s="69" t="s">
        <v>2</v>
      </c>
      <c r="F135" s="69" t="s">
        <v>93</v>
      </c>
      <c r="G135" s="127" t="s">
        <v>86</v>
      </c>
      <c r="H135" t="s">
        <v>33</v>
      </c>
      <c r="I135" s="69">
        <v>0</v>
      </c>
      <c r="J135" s="127" t="s">
        <v>31</v>
      </c>
      <c r="K135" s="127" t="s">
        <v>31</v>
      </c>
      <c r="L135" s="127" t="s">
        <v>31</v>
      </c>
      <c r="M135" s="127" t="s">
        <v>31</v>
      </c>
      <c r="N135" s="127" t="s">
        <v>31</v>
      </c>
    </row>
  </sheetData>
  <pageMargins left="0.7" right="0.7"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8A1C19-950E-4902-8647-A1E25DC78009}">
  <dimension ref="A1:V249"/>
  <sheetViews>
    <sheetView topLeftCell="A7" zoomScale="85" zoomScaleNormal="85" workbookViewId="0">
      <selection activeCell="C21" sqref="C21"/>
    </sheetView>
  </sheetViews>
  <sheetFormatPr defaultRowHeight="15"/>
  <cols>
    <col min="1" max="1" width="79.5703125" bestFit="1" customWidth="1"/>
    <col min="5" max="5" width="32.7109375" bestFit="1" customWidth="1"/>
    <col min="6" max="6" width="30.5703125" bestFit="1" customWidth="1"/>
  </cols>
  <sheetData>
    <row r="1" spans="1:16" ht="17.25" customHeight="1">
      <c r="A1" t="s">
        <v>0</v>
      </c>
      <c r="B1">
        <v>14</v>
      </c>
    </row>
    <row r="2" spans="1:16" s="67" customFormat="1" ht="15.75">
      <c r="A2" s="124" t="s">
        <v>5</v>
      </c>
      <c r="B2" s="124" t="s">
        <v>160</v>
      </c>
      <c r="C2" s="124"/>
      <c r="D2" s="66"/>
      <c r="E2" s="125"/>
      <c r="F2" s="125"/>
      <c r="G2" s="125"/>
      <c r="H2" s="125"/>
      <c r="I2" s="125"/>
      <c r="J2" s="125"/>
      <c r="K2" s="125"/>
      <c r="L2" s="125"/>
      <c r="M2" s="125"/>
      <c r="N2" s="125"/>
      <c r="O2" s="125"/>
      <c r="P2" s="125"/>
    </row>
    <row r="3" spans="1:16">
      <c r="A3" s="69" t="s">
        <v>7</v>
      </c>
      <c r="B3" s="69" t="s">
        <v>93</v>
      </c>
      <c r="C3" s="69"/>
      <c r="D3" s="69"/>
      <c r="E3" s="69"/>
      <c r="F3" s="69"/>
      <c r="G3" s="69"/>
      <c r="H3" s="69"/>
      <c r="I3" s="69"/>
      <c r="J3" s="69"/>
      <c r="K3" s="69"/>
      <c r="L3" s="69"/>
      <c r="M3" s="69"/>
      <c r="N3" s="69"/>
      <c r="O3" s="69"/>
      <c r="P3" s="69"/>
    </row>
    <row r="4" spans="1:16">
      <c r="A4" s="69" t="s">
        <v>9</v>
      </c>
      <c r="B4" s="126" t="s">
        <v>161</v>
      </c>
      <c r="C4" s="69"/>
      <c r="D4" s="69"/>
      <c r="E4" s="69"/>
      <c r="F4" s="69"/>
      <c r="G4" s="69"/>
      <c r="H4" s="69"/>
      <c r="I4" s="69"/>
      <c r="J4" s="69"/>
      <c r="K4" s="69"/>
      <c r="L4" s="69"/>
      <c r="M4" s="69"/>
      <c r="N4" s="69"/>
      <c r="O4" s="69"/>
      <c r="P4" s="69"/>
    </row>
    <row r="5" spans="1:16">
      <c r="A5" s="69" t="s">
        <v>11</v>
      </c>
      <c r="B5" s="69" t="s">
        <v>162</v>
      </c>
      <c r="C5" s="69"/>
      <c r="D5" s="69"/>
      <c r="E5" s="69"/>
      <c r="F5" s="69"/>
      <c r="G5" s="69"/>
      <c r="H5" s="69"/>
      <c r="I5" s="69"/>
      <c r="J5" s="69"/>
      <c r="K5" s="69"/>
      <c r="L5" s="69"/>
      <c r="M5" s="69"/>
      <c r="N5" s="69"/>
      <c r="O5" s="69"/>
      <c r="P5" s="69"/>
    </row>
    <row r="6" spans="1:16">
      <c r="A6" s="69" t="s">
        <v>13</v>
      </c>
      <c r="B6" s="69" t="s">
        <v>86</v>
      </c>
      <c r="C6" s="69"/>
      <c r="D6" s="69"/>
      <c r="E6" s="69"/>
      <c r="F6" s="69"/>
      <c r="G6" s="69"/>
      <c r="H6" s="69"/>
      <c r="I6" s="69"/>
      <c r="J6" s="69"/>
      <c r="K6" s="69"/>
      <c r="L6" s="69"/>
      <c r="M6" s="69"/>
      <c r="N6" s="69"/>
      <c r="O6" s="69"/>
      <c r="P6" s="69"/>
    </row>
    <row r="7" spans="1:16">
      <c r="A7" s="69" t="s">
        <v>15</v>
      </c>
      <c r="B7" s="69">
        <v>1</v>
      </c>
      <c r="C7" s="69"/>
      <c r="D7" s="69"/>
      <c r="E7" s="69"/>
      <c r="F7" s="69"/>
      <c r="G7" s="69"/>
      <c r="H7" s="69"/>
      <c r="I7" s="69"/>
      <c r="J7" s="69"/>
      <c r="K7" s="69"/>
      <c r="L7" s="69"/>
      <c r="M7" s="69"/>
      <c r="N7" s="69"/>
      <c r="O7" s="69"/>
      <c r="P7" s="69"/>
    </row>
    <row r="8" spans="1:16">
      <c r="A8" s="69" t="s">
        <v>16</v>
      </c>
      <c r="B8" s="69" t="s">
        <v>17</v>
      </c>
      <c r="C8" s="69"/>
      <c r="D8" s="69"/>
      <c r="E8" s="69"/>
      <c r="F8" s="69"/>
      <c r="G8" s="69"/>
      <c r="H8" s="69"/>
      <c r="I8" s="69"/>
      <c r="J8" s="69"/>
      <c r="K8" s="69"/>
      <c r="L8" s="69"/>
      <c r="M8" s="69"/>
      <c r="N8" s="69"/>
      <c r="O8" s="69"/>
      <c r="P8" s="69"/>
    </row>
    <row r="9" spans="1:16" ht="15.75">
      <c r="A9" s="69" t="s">
        <v>18</v>
      </c>
      <c r="B9" s="127" t="s">
        <v>39</v>
      </c>
      <c r="C9" s="69"/>
      <c r="D9" s="69"/>
      <c r="E9" s="69" t="s">
        <v>90</v>
      </c>
      <c r="F9" s="69"/>
      <c r="G9" s="69"/>
      <c r="H9" s="69"/>
      <c r="I9" s="69"/>
      <c r="J9" s="69"/>
      <c r="K9" s="69"/>
      <c r="L9" s="69"/>
      <c r="M9" s="69"/>
      <c r="N9" s="69"/>
      <c r="O9" s="69"/>
      <c r="P9" s="69"/>
    </row>
    <row r="10" spans="1:16" ht="15.75">
      <c r="A10" s="128" t="s">
        <v>19</v>
      </c>
      <c r="B10" s="69"/>
      <c r="C10" s="69"/>
      <c r="D10" s="69"/>
      <c r="E10" s="69"/>
      <c r="F10" s="69"/>
      <c r="G10" s="69"/>
      <c r="H10" s="69"/>
      <c r="I10" s="69"/>
      <c r="J10" s="69"/>
      <c r="K10" s="69"/>
      <c r="L10" s="69"/>
      <c r="M10" s="69"/>
      <c r="N10" s="69"/>
      <c r="O10" s="69"/>
      <c r="P10" s="69"/>
    </row>
    <row r="11" spans="1:16" ht="15.75">
      <c r="A11" s="128" t="s">
        <v>20</v>
      </c>
      <c r="B11" s="128" t="s">
        <v>21</v>
      </c>
      <c r="C11" s="128" t="s">
        <v>73</v>
      </c>
      <c r="D11" s="128" t="s">
        <v>18</v>
      </c>
      <c r="E11" s="128" t="s">
        <v>22</v>
      </c>
      <c r="F11" s="128" t="s">
        <v>7</v>
      </c>
      <c r="G11" s="128" t="s">
        <v>13</v>
      </c>
      <c r="H11" s="128" t="s">
        <v>16</v>
      </c>
      <c r="I11" s="128" t="s">
        <v>23</v>
      </c>
      <c r="J11" s="128" t="s">
        <v>24</v>
      </c>
      <c r="K11" s="128" t="s">
        <v>25</v>
      </c>
      <c r="L11" s="128" t="s">
        <v>26</v>
      </c>
      <c r="M11" s="128" t="s">
        <v>27</v>
      </c>
      <c r="N11" s="128" t="s">
        <v>28</v>
      </c>
      <c r="O11" s="128" t="s">
        <v>11</v>
      </c>
      <c r="P11" s="128" t="s">
        <v>91</v>
      </c>
    </row>
    <row r="12" spans="1:16" ht="15.75">
      <c r="A12" s="127" t="str">
        <f>B2</f>
        <v>treatment of aluminium, wing, airframe, conventional, Short-Term</v>
      </c>
      <c r="B12" s="127">
        <v>1</v>
      </c>
      <c r="C12" s="127"/>
      <c r="D12" s="127" t="s">
        <v>39</v>
      </c>
      <c r="E12" s="69" t="s">
        <v>2</v>
      </c>
      <c r="F12" s="69" t="s">
        <v>163</v>
      </c>
      <c r="G12" s="127" t="s">
        <v>86</v>
      </c>
      <c r="H12" s="69" t="s">
        <v>30</v>
      </c>
      <c r="I12" s="69">
        <v>0</v>
      </c>
      <c r="J12" s="127" t="s">
        <v>31</v>
      </c>
      <c r="K12" s="127" t="s">
        <v>31</v>
      </c>
      <c r="L12" s="127" t="s">
        <v>31</v>
      </c>
      <c r="M12" s="127" t="s">
        <v>31</v>
      </c>
      <c r="N12" s="127" t="s">
        <v>31</v>
      </c>
      <c r="O12" s="127" t="s">
        <v>164</v>
      </c>
      <c r="P12" s="69"/>
    </row>
    <row r="13" spans="1:16" ht="15.75">
      <c r="A13" t="s">
        <v>131</v>
      </c>
      <c r="B13" s="113">
        <v>0.7</v>
      </c>
      <c r="C13" s="127"/>
      <c r="D13" s="127" t="s">
        <v>39</v>
      </c>
      <c r="E13" s="98" t="s">
        <v>40</v>
      </c>
      <c r="F13" s="69" t="s">
        <v>163</v>
      </c>
      <c r="G13" s="127" t="s">
        <v>117</v>
      </c>
      <c r="H13" s="69" t="s">
        <v>33</v>
      </c>
      <c r="I13" s="69">
        <v>0</v>
      </c>
      <c r="J13" s="127" t="s">
        <v>31</v>
      </c>
      <c r="K13" s="127" t="s">
        <v>31</v>
      </c>
      <c r="L13" s="127" t="s">
        <v>31</v>
      </c>
      <c r="M13" s="127" t="s">
        <v>31</v>
      </c>
      <c r="N13" s="127" t="s">
        <v>31</v>
      </c>
      <c r="O13" s="69"/>
      <c r="P13" s="69"/>
    </row>
    <row r="14" spans="1:16" ht="15.75">
      <c r="A14" t="s">
        <v>133</v>
      </c>
      <c r="B14" s="113">
        <v>0.7</v>
      </c>
      <c r="C14" s="22" t="s">
        <v>134</v>
      </c>
      <c r="D14" t="s">
        <v>39</v>
      </c>
      <c r="E14" s="130" t="s">
        <v>40</v>
      </c>
      <c r="F14" s="69" t="s">
        <v>163</v>
      </c>
      <c r="G14" t="s">
        <v>117</v>
      </c>
      <c r="H14" s="69" t="s">
        <v>33</v>
      </c>
      <c r="I14" s="69">
        <v>0</v>
      </c>
      <c r="J14" s="127" t="s">
        <v>31</v>
      </c>
      <c r="K14" s="127" t="s">
        <v>31</v>
      </c>
      <c r="L14" s="127" t="s">
        <v>31</v>
      </c>
      <c r="M14" s="127" t="s">
        <v>31</v>
      </c>
      <c r="N14" s="127" t="s">
        <v>31</v>
      </c>
      <c r="O14" s="127" t="s">
        <v>135</v>
      </c>
    </row>
    <row r="15" spans="1:16" ht="15.75">
      <c r="A15" t="s">
        <v>136</v>
      </c>
      <c r="B15" s="113">
        <f>0.7*0.9</f>
        <v>0.63</v>
      </c>
      <c r="D15" t="s">
        <v>39</v>
      </c>
      <c r="E15" s="130" t="s">
        <v>40</v>
      </c>
      <c r="F15" s="69" t="s">
        <v>163</v>
      </c>
      <c r="G15" t="s">
        <v>86</v>
      </c>
      <c r="H15" s="69" t="s">
        <v>110</v>
      </c>
      <c r="I15" s="69">
        <v>0</v>
      </c>
      <c r="J15" s="127" t="s">
        <v>31</v>
      </c>
      <c r="K15" s="127" t="s">
        <v>31</v>
      </c>
      <c r="L15" s="127" t="s">
        <v>31</v>
      </c>
      <c r="M15" s="127" t="s">
        <v>31</v>
      </c>
      <c r="N15" s="127" t="s">
        <v>31</v>
      </c>
      <c r="O15" s="69"/>
      <c r="P15" s="127" t="s">
        <v>165</v>
      </c>
    </row>
    <row r="16" spans="1:16" ht="15.75">
      <c r="A16" t="s">
        <v>112</v>
      </c>
      <c r="B16" s="113">
        <f>-(1-B15)</f>
        <v>-0.37</v>
      </c>
      <c r="D16" t="s">
        <v>39</v>
      </c>
      <c r="E16" s="129" t="s">
        <v>40</v>
      </c>
      <c r="F16" s="69" t="s">
        <v>163</v>
      </c>
      <c r="G16" t="s">
        <v>86</v>
      </c>
      <c r="H16" t="s">
        <v>33</v>
      </c>
      <c r="I16">
        <v>0</v>
      </c>
      <c r="J16" t="s">
        <v>31</v>
      </c>
      <c r="K16" t="s">
        <v>31</v>
      </c>
      <c r="L16" t="s">
        <v>31</v>
      </c>
      <c r="M16" t="s">
        <v>31</v>
      </c>
      <c r="N16" t="s">
        <v>31</v>
      </c>
      <c r="O16" s="17"/>
      <c r="P16" s="69"/>
    </row>
    <row r="17" spans="1:16" s="67" customFormat="1" ht="15.75">
      <c r="A17" s="124" t="s">
        <v>5</v>
      </c>
      <c r="B17" s="124" t="s">
        <v>166</v>
      </c>
      <c r="C17" s="124"/>
      <c r="D17" s="66"/>
      <c r="E17" s="125"/>
      <c r="F17" s="125"/>
      <c r="G17" s="125"/>
      <c r="H17" s="125"/>
      <c r="I17" s="125"/>
      <c r="J17" s="125"/>
      <c r="K17" s="125"/>
      <c r="L17" s="125"/>
      <c r="M17" s="125"/>
      <c r="N17" s="125"/>
      <c r="O17" s="125"/>
      <c r="P17" s="125"/>
    </row>
    <row r="18" spans="1:16">
      <c r="A18" s="69" t="s">
        <v>7</v>
      </c>
      <c r="B18" s="69" t="s">
        <v>93</v>
      </c>
      <c r="C18" s="69"/>
      <c r="D18" s="69"/>
      <c r="E18" s="69"/>
      <c r="F18" s="69"/>
      <c r="G18" s="69"/>
      <c r="H18" s="69"/>
      <c r="I18" s="69"/>
      <c r="J18" s="69"/>
      <c r="K18" s="69"/>
      <c r="L18" s="69"/>
      <c r="M18" s="69"/>
      <c r="N18" s="69"/>
      <c r="O18" s="69"/>
      <c r="P18" s="69"/>
    </row>
    <row r="19" spans="1:16">
      <c r="A19" s="69" t="s">
        <v>9</v>
      </c>
      <c r="B19" s="126" t="s">
        <v>167</v>
      </c>
      <c r="C19" s="69"/>
      <c r="D19" s="69"/>
      <c r="E19" s="69"/>
      <c r="F19" s="69"/>
      <c r="G19" s="69"/>
      <c r="H19" s="69"/>
      <c r="I19" s="69"/>
      <c r="J19" s="69"/>
      <c r="K19" s="69"/>
      <c r="L19" s="69"/>
      <c r="M19" s="69"/>
      <c r="N19" s="69"/>
      <c r="O19" s="69"/>
      <c r="P19" s="69"/>
    </row>
    <row r="20" spans="1:16">
      <c r="A20" s="69" t="s">
        <v>11</v>
      </c>
      <c r="B20" s="69" t="s">
        <v>162</v>
      </c>
      <c r="C20" s="69"/>
      <c r="D20" s="69"/>
      <c r="E20" s="69"/>
      <c r="F20" s="69"/>
      <c r="G20" s="69"/>
      <c r="H20" s="69"/>
      <c r="I20" s="69"/>
      <c r="J20" s="69"/>
      <c r="K20" s="69"/>
      <c r="L20" s="69"/>
      <c r="M20" s="69"/>
      <c r="N20" s="69"/>
      <c r="O20" s="69"/>
      <c r="P20" s="69"/>
    </row>
    <row r="21" spans="1:16">
      <c r="A21" s="69" t="s">
        <v>13</v>
      </c>
      <c r="B21" s="69" t="s">
        <v>86</v>
      </c>
      <c r="C21" s="69"/>
      <c r="D21" s="69"/>
      <c r="E21" s="69"/>
      <c r="F21" s="69"/>
      <c r="G21" s="69"/>
      <c r="H21" s="69"/>
      <c r="I21" s="69"/>
      <c r="J21" s="69"/>
      <c r="K21" s="69"/>
      <c r="L21" s="69"/>
      <c r="M21" s="69"/>
      <c r="N21" s="69"/>
      <c r="O21" s="69"/>
      <c r="P21" s="69"/>
    </row>
    <row r="22" spans="1:16">
      <c r="A22" s="69" t="s">
        <v>15</v>
      </c>
      <c r="B22" s="69">
        <v>1</v>
      </c>
      <c r="C22" s="69"/>
      <c r="D22" s="69"/>
      <c r="E22" s="69"/>
      <c r="F22" s="69"/>
      <c r="G22" s="69"/>
      <c r="H22" s="69"/>
      <c r="I22" s="69"/>
      <c r="J22" s="69"/>
      <c r="K22" s="69"/>
      <c r="L22" s="69"/>
      <c r="M22" s="69"/>
      <c r="N22" s="69"/>
      <c r="O22" s="69"/>
      <c r="P22" s="69"/>
    </row>
    <row r="23" spans="1:16">
      <c r="A23" s="69" t="s">
        <v>16</v>
      </c>
      <c r="B23" s="69" t="s">
        <v>17</v>
      </c>
      <c r="C23" s="69"/>
      <c r="D23" s="69"/>
      <c r="E23" s="69"/>
      <c r="F23" s="69"/>
      <c r="G23" s="69"/>
      <c r="H23" s="69"/>
      <c r="I23" s="69"/>
      <c r="J23" s="69"/>
      <c r="K23" s="69"/>
      <c r="L23" s="69"/>
      <c r="M23" s="69"/>
      <c r="N23" s="69"/>
      <c r="O23" s="69"/>
      <c r="P23" s="69"/>
    </row>
    <row r="24" spans="1:16" ht="15.75">
      <c r="A24" s="69" t="s">
        <v>18</v>
      </c>
      <c r="B24" s="127" t="s">
        <v>39</v>
      </c>
      <c r="C24" s="69"/>
      <c r="D24" s="69"/>
      <c r="E24" s="69" t="s">
        <v>90</v>
      </c>
      <c r="F24" s="69"/>
      <c r="G24" s="69"/>
      <c r="H24" s="69"/>
      <c r="I24" s="69"/>
      <c r="J24" s="69"/>
      <c r="K24" s="69"/>
      <c r="L24" s="69"/>
      <c r="M24" s="69"/>
      <c r="N24" s="69"/>
      <c r="O24" s="69"/>
      <c r="P24" s="69"/>
    </row>
    <row r="25" spans="1:16" ht="15.75">
      <c r="A25" s="128" t="s">
        <v>19</v>
      </c>
      <c r="B25" s="69"/>
      <c r="C25" s="69"/>
      <c r="D25" s="69"/>
      <c r="E25" s="69"/>
      <c r="F25" s="69"/>
      <c r="G25" s="69"/>
      <c r="H25" s="69"/>
      <c r="I25" s="69"/>
      <c r="J25" s="69"/>
      <c r="K25" s="69"/>
      <c r="L25" s="69"/>
      <c r="M25" s="69"/>
      <c r="N25" s="69"/>
      <c r="O25" s="69"/>
      <c r="P25" s="69"/>
    </row>
    <row r="26" spans="1:16" ht="15.75">
      <c r="A26" s="128" t="s">
        <v>20</v>
      </c>
      <c r="B26" s="128" t="s">
        <v>21</v>
      </c>
      <c r="C26" s="128" t="s">
        <v>73</v>
      </c>
      <c r="D26" s="128" t="s">
        <v>18</v>
      </c>
      <c r="E26" s="128" t="s">
        <v>22</v>
      </c>
      <c r="F26" s="128" t="s">
        <v>7</v>
      </c>
      <c r="G26" s="128" t="s">
        <v>13</v>
      </c>
      <c r="H26" s="128" t="s">
        <v>16</v>
      </c>
      <c r="I26" s="128" t="s">
        <v>23</v>
      </c>
      <c r="J26" s="128" t="s">
        <v>24</v>
      </c>
      <c r="K26" s="128" t="s">
        <v>25</v>
      </c>
      <c r="L26" s="128" t="s">
        <v>26</v>
      </c>
      <c r="M26" s="128" t="s">
        <v>27</v>
      </c>
      <c r="N26" s="128" t="s">
        <v>28</v>
      </c>
      <c r="O26" s="128" t="s">
        <v>11</v>
      </c>
      <c r="P26" s="128" t="s">
        <v>91</v>
      </c>
    </row>
    <row r="27" spans="1:16" ht="15.75">
      <c r="A27" s="127" t="str">
        <f>B17</f>
        <v>treatment of CFRP, wing, airframe, conventional, Short-Term</v>
      </c>
      <c r="B27" s="127">
        <v>1</v>
      </c>
      <c r="C27" s="127"/>
      <c r="D27" s="127" t="s">
        <v>39</v>
      </c>
      <c r="E27" s="69" t="s">
        <v>2</v>
      </c>
      <c r="F27" s="69" t="s">
        <v>163</v>
      </c>
      <c r="G27" s="127" t="s">
        <v>86</v>
      </c>
      <c r="H27" s="69" t="s">
        <v>30</v>
      </c>
      <c r="I27" s="69">
        <v>0</v>
      </c>
      <c r="J27" s="127" t="s">
        <v>31</v>
      </c>
      <c r="K27" s="127" t="s">
        <v>31</v>
      </c>
      <c r="L27" s="127" t="s">
        <v>31</v>
      </c>
      <c r="M27" s="127" t="s">
        <v>31</v>
      </c>
      <c r="N27" s="127" t="s">
        <v>31</v>
      </c>
      <c r="O27" s="127" t="s">
        <v>168</v>
      </c>
      <c r="P27" s="69"/>
    </row>
    <row r="28" spans="1:16" ht="15.75">
      <c r="A28" s="129" t="s">
        <v>116</v>
      </c>
      <c r="B28">
        <v>-0.5</v>
      </c>
      <c r="D28" t="s">
        <v>39</v>
      </c>
      <c r="E28" s="130" t="s">
        <v>40</v>
      </c>
      <c r="F28" s="69" t="s">
        <v>163</v>
      </c>
      <c r="G28" t="s">
        <v>117</v>
      </c>
      <c r="H28" t="s">
        <v>33</v>
      </c>
      <c r="I28" s="69">
        <v>0</v>
      </c>
      <c r="J28" s="127" t="s">
        <v>31</v>
      </c>
      <c r="K28" s="127" t="s">
        <v>31</v>
      </c>
      <c r="L28" s="127" t="s">
        <v>31</v>
      </c>
      <c r="M28" s="127" t="s">
        <v>31</v>
      </c>
      <c r="N28" s="127" t="s">
        <v>31</v>
      </c>
      <c r="O28" s="127" t="s">
        <v>119</v>
      </c>
      <c r="P28" s="127" t="s">
        <v>120</v>
      </c>
    </row>
    <row r="29" spans="1:16" ht="15.75">
      <c r="A29" t="s">
        <v>121</v>
      </c>
      <c r="B29">
        <f>B30*0.277777777</f>
        <v>2.415277771015</v>
      </c>
      <c r="D29" t="s">
        <v>98</v>
      </c>
      <c r="E29" s="130" t="s">
        <v>40</v>
      </c>
      <c r="F29" s="69" t="s">
        <v>163</v>
      </c>
      <c r="G29" t="s">
        <v>86</v>
      </c>
      <c r="H29" s="69" t="s">
        <v>110</v>
      </c>
      <c r="I29" s="69">
        <v>0</v>
      </c>
      <c r="J29" s="127" t="s">
        <v>31</v>
      </c>
      <c r="K29" s="127" t="s">
        <v>31</v>
      </c>
      <c r="L29" s="127" t="s">
        <v>31</v>
      </c>
      <c r="M29" s="127" t="s">
        <v>31</v>
      </c>
      <c r="N29" s="127" t="s">
        <v>31</v>
      </c>
      <c r="O29" t="s">
        <v>122</v>
      </c>
    </row>
    <row r="30" spans="1:16" ht="15.75">
      <c r="A30" t="s">
        <v>123</v>
      </c>
      <c r="B30">
        <f>-B28*0.5*34.78</f>
        <v>8.6950000000000003</v>
      </c>
      <c r="D30" t="s">
        <v>124</v>
      </c>
      <c r="E30" s="130" t="s">
        <v>40</v>
      </c>
      <c r="F30" s="69" t="s">
        <v>163</v>
      </c>
      <c r="G30" t="s">
        <v>86</v>
      </c>
      <c r="H30" s="69" t="s">
        <v>110</v>
      </c>
      <c r="I30" s="69">
        <v>0</v>
      </c>
      <c r="J30" s="127" t="s">
        <v>31</v>
      </c>
      <c r="K30" s="127" t="s">
        <v>31</v>
      </c>
      <c r="L30" s="127" t="s">
        <v>31</v>
      </c>
      <c r="M30" s="127" t="s">
        <v>31</v>
      </c>
      <c r="N30" s="127" t="s">
        <v>31</v>
      </c>
      <c r="O30" t="s">
        <v>169</v>
      </c>
    </row>
    <row r="31" spans="1:16" ht="15.75">
      <c r="A31" s="129" t="s">
        <v>126</v>
      </c>
      <c r="B31">
        <v>-0.5</v>
      </c>
      <c r="D31" t="s">
        <v>39</v>
      </c>
      <c r="E31" s="130" t="s">
        <v>40</v>
      </c>
      <c r="F31" s="69" t="s">
        <v>163</v>
      </c>
      <c r="G31" t="s">
        <v>117</v>
      </c>
      <c r="H31" s="69" t="s">
        <v>33</v>
      </c>
      <c r="I31" s="69">
        <v>0</v>
      </c>
      <c r="J31" s="127" t="s">
        <v>31</v>
      </c>
      <c r="K31" s="127" t="s">
        <v>31</v>
      </c>
      <c r="L31" s="127" t="s">
        <v>31</v>
      </c>
      <c r="M31" s="127" t="s">
        <v>31</v>
      </c>
      <c r="N31" s="127" t="s">
        <v>31</v>
      </c>
      <c r="O31" s="127" t="s">
        <v>127</v>
      </c>
    </row>
    <row r="32" spans="1:16" s="67" customFormat="1" ht="15.75">
      <c r="A32" s="124" t="s">
        <v>5</v>
      </c>
      <c r="B32" s="124" t="s">
        <v>170</v>
      </c>
      <c r="C32" s="124"/>
      <c r="D32" s="66"/>
      <c r="E32" s="125"/>
      <c r="F32" s="125"/>
      <c r="G32" s="125"/>
      <c r="H32" s="125"/>
      <c r="I32" s="125"/>
      <c r="J32" s="125"/>
      <c r="K32" s="125"/>
      <c r="L32" s="125"/>
      <c r="M32" s="125"/>
      <c r="N32" s="125"/>
      <c r="O32" s="125"/>
      <c r="P32" s="125"/>
    </row>
    <row r="33" spans="1:16">
      <c r="A33" s="69" t="s">
        <v>7</v>
      </c>
      <c r="B33" s="69" t="s">
        <v>93</v>
      </c>
      <c r="C33" s="69"/>
      <c r="D33" s="69"/>
      <c r="E33" s="69"/>
      <c r="F33" s="69"/>
      <c r="G33" s="69"/>
      <c r="H33" s="69"/>
      <c r="I33" s="69"/>
      <c r="J33" s="69"/>
      <c r="K33" s="69"/>
      <c r="L33" s="69"/>
      <c r="M33" s="69"/>
      <c r="N33" s="69"/>
      <c r="O33" s="69"/>
      <c r="P33" s="69"/>
    </row>
    <row r="34" spans="1:16">
      <c r="A34" s="69" t="s">
        <v>9</v>
      </c>
      <c r="B34" s="126" t="s">
        <v>171</v>
      </c>
      <c r="C34" s="69"/>
      <c r="D34" s="69"/>
      <c r="E34" s="69"/>
      <c r="F34" s="69"/>
      <c r="G34" s="69"/>
      <c r="H34" s="69"/>
      <c r="I34" s="69"/>
      <c r="J34" s="69"/>
      <c r="K34" s="69"/>
      <c r="L34" s="69"/>
      <c r="M34" s="69"/>
      <c r="N34" s="69"/>
      <c r="O34" s="69"/>
      <c r="P34" s="69"/>
    </row>
    <row r="35" spans="1:16">
      <c r="A35" s="69" t="s">
        <v>11</v>
      </c>
      <c r="B35" s="69" t="s">
        <v>162</v>
      </c>
      <c r="C35" s="69"/>
      <c r="D35" s="69"/>
      <c r="E35" s="69"/>
      <c r="F35" s="69"/>
      <c r="G35" s="69"/>
      <c r="H35" s="69"/>
      <c r="I35" s="69"/>
      <c r="J35" s="69"/>
      <c r="K35" s="69"/>
      <c r="L35" s="69"/>
      <c r="M35" s="69"/>
      <c r="N35" s="69"/>
      <c r="O35" s="69"/>
      <c r="P35" s="69"/>
    </row>
    <row r="36" spans="1:16">
      <c r="A36" s="69" t="s">
        <v>13</v>
      </c>
      <c r="B36" s="69" t="s">
        <v>86</v>
      </c>
      <c r="C36" s="69"/>
      <c r="D36" s="69"/>
      <c r="E36" s="69"/>
      <c r="F36" s="69"/>
      <c r="G36" s="69"/>
      <c r="H36" s="69"/>
      <c r="I36" s="69"/>
      <c r="J36" s="69"/>
      <c r="K36" s="69"/>
      <c r="L36" s="69"/>
      <c r="M36" s="69"/>
      <c r="N36" s="69"/>
      <c r="O36" s="69"/>
      <c r="P36" s="69"/>
    </row>
    <row r="37" spans="1:16">
      <c r="A37" s="69" t="s">
        <v>15</v>
      </c>
      <c r="B37" s="69">
        <v>1</v>
      </c>
      <c r="C37" s="69"/>
      <c r="D37" s="69"/>
      <c r="E37" s="69"/>
      <c r="F37" s="69"/>
      <c r="G37" s="69"/>
      <c r="H37" s="69"/>
      <c r="I37" s="69"/>
      <c r="J37" s="69"/>
      <c r="K37" s="69"/>
      <c r="L37" s="69"/>
      <c r="M37" s="69"/>
      <c r="N37" s="69"/>
      <c r="O37" s="69"/>
      <c r="P37" s="69"/>
    </row>
    <row r="38" spans="1:16">
      <c r="A38" s="69" t="s">
        <v>16</v>
      </c>
      <c r="B38" s="69" t="s">
        <v>17</v>
      </c>
      <c r="C38" s="69"/>
      <c r="D38" s="69"/>
      <c r="E38" s="69"/>
      <c r="F38" s="69"/>
      <c r="G38" s="69"/>
      <c r="H38" s="69"/>
      <c r="I38" s="69"/>
      <c r="J38" s="69"/>
      <c r="K38" s="69"/>
      <c r="L38" s="69"/>
      <c r="M38" s="69"/>
      <c r="N38" s="69"/>
      <c r="O38" s="69"/>
      <c r="P38" s="69"/>
    </row>
    <row r="39" spans="1:16" ht="15.75">
      <c r="A39" s="69" t="s">
        <v>18</v>
      </c>
      <c r="B39" s="127" t="s">
        <v>39</v>
      </c>
      <c r="C39" s="69"/>
      <c r="D39" s="69"/>
      <c r="E39" s="69" t="s">
        <v>90</v>
      </c>
      <c r="F39" s="69"/>
      <c r="G39" s="69"/>
      <c r="H39" s="69"/>
      <c r="I39" s="69"/>
      <c r="J39" s="69"/>
      <c r="K39" s="69"/>
      <c r="L39" s="69"/>
      <c r="M39" s="69"/>
      <c r="N39" s="69"/>
      <c r="O39" s="69"/>
      <c r="P39" s="69"/>
    </row>
    <row r="40" spans="1:16" ht="15.75">
      <c r="A40" s="128" t="s">
        <v>19</v>
      </c>
      <c r="B40" s="69"/>
      <c r="C40" s="69"/>
      <c r="D40" s="69"/>
      <c r="E40" s="69"/>
      <c r="F40" s="69"/>
      <c r="G40" s="69"/>
      <c r="H40" s="69"/>
      <c r="I40" s="69"/>
      <c r="J40" s="69"/>
      <c r="K40" s="69"/>
      <c r="L40" s="69"/>
      <c r="M40" s="69"/>
      <c r="N40" s="69"/>
      <c r="O40" s="69"/>
      <c r="P40" s="69"/>
    </row>
    <row r="41" spans="1:16" ht="15.75">
      <c r="A41" s="128" t="s">
        <v>20</v>
      </c>
      <c r="B41" s="128" t="s">
        <v>21</v>
      </c>
      <c r="C41" s="128" t="s">
        <v>73</v>
      </c>
      <c r="D41" s="128" t="s">
        <v>18</v>
      </c>
      <c r="E41" s="128" t="s">
        <v>22</v>
      </c>
      <c r="F41" s="128" t="s">
        <v>7</v>
      </c>
      <c r="G41" s="128" t="s">
        <v>13</v>
      </c>
      <c r="H41" s="128" t="s">
        <v>16</v>
      </c>
      <c r="I41" s="128" t="s">
        <v>23</v>
      </c>
      <c r="J41" s="128" t="s">
        <v>24</v>
      </c>
      <c r="K41" s="128" t="s">
        <v>25</v>
      </c>
      <c r="L41" s="128" t="s">
        <v>26</v>
      </c>
      <c r="M41" s="128" t="s">
        <v>27</v>
      </c>
      <c r="N41" s="128" t="s">
        <v>28</v>
      </c>
      <c r="O41" s="128" t="s">
        <v>11</v>
      </c>
      <c r="P41" s="128" t="s">
        <v>91</v>
      </c>
    </row>
    <row r="42" spans="1:16" ht="15.75">
      <c r="A42" s="127" t="str">
        <f>B32</f>
        <v>treatment of steel, wing, airframe, conventional, Short-Term</v>
      </c>
      <c r="B42" s="127">
        <v>1</v>
      </c>
      <c r="C42" s="127"/>
      <c r="D42" s="127" t="s">
        <v>39</v>
      </c>
      <c r="E42" s="69" t="s">
        <v>2</v>
      </c>
      <c r="F42" s="69" t="s">
        <v>163</v>
      </c>
      <c r="G42" s="127" t="s">
        <v>86</v>
      </c>
      <c r="H42" s="69" t="s">
        <v>30</v>
      </c>
      <c r="I42" s="69">
        <v>0</v>
      </c>
      <c r="J42" s="127" t="s">
        <v>31</v>
      </c>
      <c r="K42" s="127" t="s">
        <v>31</v>
      </c>
      <c r="L42" s="127" t="s">
        <v>31</v>
      </c>
      <c r="M42" s="127" t="s">
        <v>31</v>
      </c>
      <c r="N42" s="127" t="s">
        <v>31</v>
      </c>
      <c r="O42" s="127" t="s">
        <v>172</v>
      </c>
      <c r="P42" s="69"/>
    </row>
    <row r="43" spans="1:16" ht="15.75">
      <c r="A43" t="s">
        <v>173</v>
      </c>
      <c r="B43" s="113">
        <v>-0.75</v>
      </c>
      <c r="C43" s="127"/>
      <c r="D43" s="127" t="s">
        <v>39</v>
      </c>
      <c r="E43" s="129" t="s">
        <v>40</v>
      </c>
      <c r="F43" s="69" t="s">
        <v>163</v>
      </c>
      <c r="G43" s="127" t="s">
        <v>117</v>
      </c>
      <c r="H43" s="69" t="s">
        <v>33</v>
      </c>
      <c r="I43" s="69">
        <v>0</v>
      </c>
      <c r="J43" s="127" t="s">
        <v>31</v>
      </c>
      <c r="K43" s="127" t="s">
        <v>31</v>
      </c>
      <c r="L43" s="127" t="s">
        <v>31</v>
      </c>
      <c r="M43" s="127" t="s">
        <v>31</v>
      </c>
      <c r="N43" s="127" t="s">
        <v>31</v>
      </c>
      <c r="O43" s="69"/>
      <c r="P43" s="69"/>
    </row>
    <row r="44" spans="1:16" ht="15.75">
      <c r="A44" t="s">
        <v>174</v>
      </c>
      <c r="B44" s="113">
        <f>0.9*B43</f>
        <v>-0.67500000000000004</v>
      </c>
      <c r="C44" s="127"/>
      <c r="D44" s="127" t="s">
        <v>39</v>
      </c>
      <c r="E44" s="129" t="s">
        <v>40</v>
      </c>
      <c r="F44" s="69" t="s">
        <v>163</v>
      </c>
      <c r="G44" s="127" t="s">
        <v>86</v>
      </c>
      <c r="H44" s="69" t="s">
        <v>110</v>
      </c>
      <c r="I44" s="69">
        <v>0</v>
      </c>
      <c r="J44" s="127" t="s">
        <v>31</v>
      </c>
      <c r="K44" s="127" t="s">
        <v>31</v>
      </c>
      <c r="L44" s="127" t="s">
        <v>31</v>
      </c>
      <c r="M44" s="127" t="s">
        <v>31</v>
      </c>
      <c r="N44" s="127" t="s">
        <v>31</v>
      </c>
      <c r="O44" s="69"/>
      <c r="P44" s="69" t="s">
        <v>175</v>
      </c>
    </row>
    <row r="45" spans="1:16" ht="16.5" customHeight="1">
      <c r="A45" t="s">
        <v>112</v>
      </c>
      <c r="B45" s="113">
        <f>-(1-B44)</f>
        <v>-1.675</v>
      </c>
      <c r="D45" t="s">
        <v>39</v>
      </c>
      <c r="E45" s="129" t="s">
        <v>40</v>
      </c>
      <c r="F45" s="69" t="s">
        <v>163</v>
      </c>
      <c r="G45" t="s">
        <v>86</v>
      </c>
      <c r="H45" t="s">
        <v>33</v>
      </c>
      <c r="I45">
        <v>0</v>
      </c>
      <c r="J45" t="s">
        <v>31</v>
      </c>
      <c r="K45" t="s">
        <v>31</v>
      </c>
      <c r="L45" t="s">
        <v>31</v>
      </c>
      <c r="M45" t="s">
        <v>31</v>
      </c>
      <c r="N45" t="s">
        <v>31</v>
      </c>
      <c r="O45" s="17"/>
      <c r="P45" s="69" t="s">
        <v>176</v>
      </c>
    </row>
    <row r="46" spans="1:16" s="67" customFormat="1" ht="15.75">
      <c r="A46" s="124" t="s">
        <v>5</v>
      </c>
      <c r="B46" s="124" t="s">
        <v>177</v>
      </c>
      <c r="C46" s="124"/>
      <c r="D46" s="66"/>
      <c r="E46" s="125"/>
      <c r="F46" s="125"/>
      <c r="G46" s="125"/>
      <c r="H46" s="125"/>
      <c r="I46" s="125"/>
      <c r="J46" s="125"/>
      <c r="K46" s="125"/>
      <c r="L46" s="125"/>
      <c r="M46" s="125"/>
      <c r="N46" s="125"/>
      <c r="O46" s="125"/>
      <c r="P46" s="125"/>
    </row>
    <row r="47" spans="1:16">
      <c r="A47" s="69" t="s">
        <v>7</v>
      </c>
      <c r="B47" s="69" t="s">
        <v>93</v>
      </c>
      <c r="C47" s="69"/>
      <c r="D47" s="69"/>
      <c r="E47" s="69"/>
      <c r="F47" s="69"/>
      <c r="G47" s="69"/>
      <c r="H47" s="69"/>
      <c r="I47" s="69"/>
      <c r="J47" s="69"/>
      <c r="K47" s="69"/>
      <c r="L47" s="69"/>
      <c r="M47" s="69"/>
      <c r="N47" s="69"/>
      <c r="O47" s="69"/>
      <c r="P47" s="69"/>
    </row>
    <row r="48" spans="1:16">
      <c r="A48" s="69" t="s">
        <v>9</v>
      </c>
      <c r="B48" s="126" t="s">
        <v>178</v>
      </c>
      <c r="C48" s="69"/>
      <c r="D48" s="69"/>
      <c r="E48" s="69"/>
      <c r="F48" s="69"/>
      <c r="G48" s="69"/>
      <c r="H48" s="69"/>
      <c r="I48" s="69"/>
      <c r="J48" s="69"/>
      <c r="K48" s="69"/>
      <c r="L48" s="69"/>
      <c r="M48" s="69"/>
      <c r="N48" s="69"/>
      <c r="O48" s="69"/>
      <c r="P48" s="69"/>
    </row>
    <row r="49" spans="1:22">
      <c r="A49" s="69" t="s">
        <v>11</v>
      </c>
      <c r="B49" s="69" t="s">
        <v>162</v>
      </c>
      <c r="C49" s="69"/>
      <c r="D49" s="69"/>
      <c r="E49" s="69"/>
      <c r="F49" s="69"/>
      <c r="G49" s="69"/>
      <c r="H49" s="69"/>
      <c r="I49" s="69"/>
      <c r="J49" s="69"/>
      <c r="K49" s="69"/>
      <c r="L49" s="69"/>
      <c r="M49" s="69"/>
      <c r="N49" s="69"/>
      <c r="O49" s="69"/>
      <c r="P49" s="69"/>
    </row>
    <row r="50" spans="1:22">
      <c r="A50" s="69" t="s">
        <v>13</v>
      </c>
      <c r="B50" s="69" t="s">
        <v>86</v>
      </c>
      <c r="C50" s="69"/>
      <c r="D50" s="69"/>
      <c r="E50" s="69"/>
      <c r="F50" s="69"/>
      <c r="G50" s="69"/>
      <c r="H50" s="69"/>
      <c r="I50" s="69"/>
      <c r="J50" s="69"/>
      <c r="K50" s="69"/>
      <c r="L50" s="69"/>
      <c r="M50" s="69"/>
      <c r="N50" s="69"/>
      <c r="O50" s="69"/>
      <c r="P50" s="69"/>
    </row>
    <row r="51" spans="1:22">
      <c r="A51" s="69" t="s">
        <v>15</v>
      </c>
      <c r="B51" s="69">
        <v>1</v>
      </c>
      <c r="C51" s="69"/>
      <c r="D51" s="69"/>
      <c r="E51" s="69"/>
      <c r="F51" s="69"/>
      <c r="G51" s="69"/>
      <c r="H51" s="69"/>
      <c r="I51" s="69"/>
      <c r="J51" s="69"/>
      <c r="K51" s="69"/>
      <c r="L51" s="69"/>
      <c r="M51" s="69"/>
      <c r="N51" s="69"/>
      <c r="O51" s="69"/>
      <c r="P51" s="69"/>
    </row>
    <row r="52" spans="1:22">
      <c r="A52" s="69" t="s">
        <v>16</v>
      </c>
      <c r="B52" s="69" t="s">
        <v>17</v>
      </c>
      <c r="C52" s="69"/>
      <c r="D52" s="69"/>
      <c r="E52" s="69"/>
      <c r="F52" s="69"/>
      <c r="G52" s="69"/>
      <c r="H52" s="69"/>
      <c r="I52" s="69"/>
      <c r="J52" s="69"/>
      <c r="K52" s="69"/>
      <c r="L52" s="69"/>
      <c r="M52" s="69"/>
      <c r="N52" s="69"/>
      <c r="O52" s="69"/>
      <c r="P52" s="69"/>
    </row>
    <row r="53" spans="1:22" ht="15.75">
      <c r="A53" s="69" t="s">
        <v>18</v>
      </c>
      <c r="B53" s="127" t="s">
        <v>39</v>
      </c>
      <c r="C53" s="69"/>
      <c r="D53" s="69"/>
      <c r="E53" s="69" t="s">
        <v>90</v>
      </c>
      <c r="F53" s="69"/>
      <c r="G53" s="69"/>
      <c r="H53" s="69"/>
      <c r="I53" s="69"/>
      <c r="J53" s="69"/>
      <c r="K53" s="69"/>
      <c r="L53" s="69"/>
      <c r="M53" s="69"/>
      <c r="N53" s="69"/>
      <c r="O53" s="69"/>
      <c r="P53" s="69"/>
    </row>
    <row r="54" spans="1:22" ht="15.75">
      <c r="A54" s="128" t="s">
        <v>19</v>
      </c>
      <c r="B54" s="69"/>
      <c r="C54" s="69"/>
      <c r="D54" s="69"/>
      <c r="E54" s="69"/>
      <c r="F54" s="69"/>
      <c r="G54" s="69"/>
      <c r="H54" s="69"/>
      <c r="I54" s="69"/>
      <c r="J54" s="69"/>
      <c r="K54" s="69"/>
      <c r="L54" s="69"/>
      <c r="M54" s="69"/>
      <c r="N54" s="69"/>
      <c r="O54" s="69"/>
      <c r="P54" s="69"/>
    </row>
    <row r="55" spans="1:22" ht="15.75">
      <c r="A55" s="128" t="s">
        <v>20</v>
      </c>
      <c r="B55" s="128" t="s">
        <v>21</v>
      </c>
      <c r="C55" s="128" t="s">
        <v>73</v>
      </c>
      <c r="D55" s="128" t="s">
        <v>18</v>
      </c>
      <c r="E55" s="128" t="s">
        <v>22</v>
      </c>
      <c r="F55" s="128" t="s">
        <v>7</v>
      </c>
      <c r="G55" s="128" t="s">
        <v>13</v>
      </c>
      <c r="H55" s="128" t="s">
        <v>16</v>
      </c>
      <c r="I55" s="128" t="s">
        <v>23</v>
      </c>
      <c r="J55" s="128" t="s">
        <v>24</v>
      </c>
      <c r="K55" s="128" t="s">
        <v>25</v>
      </c>
      <c r="L55" s="128" t="s">
        <v>26</v>
      </c>
      <c r="M55" s="128" t="s">
        <v>27</v>
      </c>
      <c r="N55" s="128" t="s">
        <v>28</v>
      </c>
      <c r="O55" s="128" t="s">
        <v>11</v>
      </c>
      <c r="P55" s="128" t="s">
        <v>91</v>
      </c>
    </row>
    <row r="56" spans="1:22" ht="15.75">
      <c r="A56" s="127" t="str">
        <f>B46</f>
        <v>treatment of titanium, wing, airframe, conventional, Short-Term</v>
      </c>
      <c r="B56" s="127">
        <v>1</v>
      </c>
      <c r="C56" s="127"/>
      <c r="D56" s="127" t="s">
        <v>39</v>
      </c>
      <c r="E56" s="69" t="s">
        <v>2</v>
      </c>
      <c r="F56" s="69" t="s">
        <v>163</v>
      </c>
      <c r="G56" s="127" t="s">
        <v>86</v>
      </c>
      <c r="H56" s="69" t="s">
        <v>30</v>
      </c>
      <c r="I56" s="69">
        <v>0</v>
      </c>
      <c r="J56" s="127" t="s">
        <v>31</v>
      </c>
      <c r="K56" s="127" t="s">
        <v>31</v>
      </c>
      <c r="L56" s="127" t="s">
        <v>31</v>
      </c>
      <c r="M56" s="127" t="s">
        <v>31</v>
      </c>
      <c r="N56" s="127" t="s">
        <v>31</v>
      </c>
      <c r="O56" s="127" t="s">
        <v>172</v>
      </c>
      <c r="P56" s="69"/>
    </row>
    <row r="57" spans="1:22">
      <c r="A57" t="s">
        <v>97</v>
      </c>
      <c r="B57">
        <f>U57</f>
        <v>9.5000076</v>
      </c>
      <c r="D57" t="s">
        <v>98</v>
      </c>
      <c r="E57" t="s">
        <v>40</v>
      </c>
      <c r="F57" s="69" t="s">
        <v>163</v>
      </c>
      <c r="G57" t="s">
        <v>86</v>
      </c>
      <c r="H57" t="s">
        <v>33</v>
      </c>
      <c r="I57">
        <v>2</v>
      </c>
      <c r="J57">
        <v>9.398101209</v>
      </c>
      <c r="K57">
        <v>0.30331501799999999</v>
      </c>
      <c r="L57" t="s">
        <v>31</v>
      </c>
      <c r="M57" t="s">
        <v>31</v>
      </c>
      <c r="N57" t="s">
        <v>31</v>
      </c>
      <c r="O57" t="s">
        <v>99</v>
      </c>
      <c r="P57" t="s">
        <v>100</v>
      </c>
      <c r="Q57" s="22" t="s">
        <v>179</v>
      </c>
      <c r="S57" s="22">
        <f>114*0.6*0.5</f>
        <v>34.199999999999996</v>
      </c>
      <c r="T57" s="22" t="s">
        <v>103</v>
      </c>
      <c r="U57" s="22">
        <f>S57*0.277778</f>
        <v>9.5000076</v>
      </c>
      <c r="V57" s="22" t="s">
        <v>104</v>
      </c>
    </row>
    <row r="58" spans="1:22">
      <c r="A58" t="s">
        <v>105</v>
      </c>
      <c r="B58">
        <f>U58</f>
        <v>0.59530026109660583</v>
      </c>
      <c r="D58" t="s">
        <v>50</v>
      </c>
      <c r="E58" t="s">
        <v>40</v>
      </c>
      <c r="F58" s="69" t="s">
        <v>163</v>
      </c>
      <c r="G58" t="s">
        <v>106</v>
      </c>
      <c r="H58" t="s">
        <v>33</v>
      </c>
      <c r="I58">
        <v>2</v>
      </c>
      <c r="J58">
        <v>6.6281192500000001</v>
      </c>
      <c r="K58">
        <v>0.30331501799999999</v>
      </c>
      <c r="L58" t="s">
        <v>31</v>
      </c>
      <c r="M58" t="s">
        <v>31</v>
      </c>
      <c r="N58" t="s">
        <v>31</v>
      </c>
      <c r="O58" t="s">
        <v>99</v>
      </c>
      <c r="P58" t="s">
        <v>100</v>
      </c>
      <c r="Q58" s="22" t="s">
        <v>180</v>
      </c>
      <c r="S58" s="22">
        <f>114*0.4*0.5</f>
        <v>22.8</v>
      </c>
      <c r="T58" s="22" t="s">
        <v>103</v>
      </c>
      <c r="U58" s="22">
        <f>S58/38.3</f>
        <v>0.59530026109660583</v>
      </c>
      <c r="V58" s="22" t="s">
        <v>108</v>
      </c>
    </row>
    <row r="59" spans="1:22">
      <c r="A59" s="32" t="s">
        <v>109</v>
      </c>
      <c r="B59" s="30">
        <f>S59</f>
        <v>0.5</v>
      </c>
      <c r="C59" s="30"/>
      <c r="D59" s="22" t="s">
        <v>39</v>
      </c>
      <c r="E59" s="22" t="s">
        <v>40</v>
      </c>
      <c r="F59" s="69" t="s">
        <v>163</v>
      </c>
      <c r="G59" s="22" t="s">
        <v>86</v>
      </c>
      <c r="H59" s="22" t="s">
        <v>110</v>
      </c>
      <c r="I59" s="22">
        <v>2</v>
      </c>
      <c r="J59" s="22">
        <f t="shared" ref="J59" si="0">LN(B59)</f>
        <v>-0.69314718055994529</v>
      </c>
      <c r="K59" s="22">
        <v>0.30331501776206199</v>
      </c>
      <c r="L59" s="22" t="s">
        <v>31</v>
      </c>
      <c r="M59" s="22" t="s">
        <v>31</v>
      </c>
      <c r="N59" s="22" t="s">
        <v>31</v>
      </c>
      <c r="O59" s="22" t="s">
        <v>99</v>
      </c>
      <c r="P59" t="s">
        <v>100</v>
      </c>
      <c r="Q59" s="22"/>
      <c r="R59" s="22"/>
      <c r="S59" s="22">
        <v>0.5</v>
      </c>
      <c r="T59" s="22" t="s">
        <v>111</v>
      </c>
    </row>
    <row r="60" spans="1:22" ht="15.75">
      <c r="A60" t="s">
        <v>112</v>
      </c>
      <c r="B60" s="113">
        <f>-0.5</f>
        <v>-0.5</v>
      </c>
      <c r="D60" t="s">
        <v>39</v>
      </c>
      <c r="E60" s="129" t="s">
        <v>40</v>
      </c>
      <c r="F60" s="69" t="s">
        <v>163</v>
      </c>
      <c r="G60" t="s">
        <v>86</v>
      </c>
      <c r="H60" t="s">
        <v>33</v>
      </c>
      <c r="I60">
        <v>0</v>
      </c>
      <c r="J60" t="s">
        <v>31</v>
      </c>
      <c r="K60" t="s">
        <v>31</v>
      </c>
      <c r="L60" t="s">
        <v>31</v>
      </c>
      <c r="M60" t="s">
        <v>31</v>
      </c>
      <c r="N60" t="s">
        <v>31</v>
      </c>
      <c r="O60" s="17"/>
      <c r="P60" s="69" t="s">
        <v>113</v>
      </c>
    </row>
    <row r="61" spans="1:22" s="67" customFormat="1" ht="15.75">
      <c r="A61" s="124" t="s">
        <v>5</v>
      </c>
      <c r="B61" s="124" t="s">
        <v>181</v>
      </c>
      <c r="C61" s="124"/>
      <c r="D61" s="66"/>
      <c r="E61" s="125"/>
      <c r="F61" s="125"/>
      <c r="G61" s="125"/>
      <c r="H61" s="125"/>
      <c r="I61" s="125"/>
      <c r="J61" s="125"/>
      <c r="K61" s="125"/>
      <c r="L61" s="125"/>
      <c r="M61" s="125"/>
      <c r="N61" s="125"/>
      <c r="O61" s="125"/>
      <c r="P61" s="125"/>
    </row>
    <row r="62" spans="1:22">
      <c r="A62" s="69" t="s">
        <v>7</v>
      </c>
      <c r="B62" s="69" t="s">
        <v>93</v>
      </c>
      <c r="C62" s="69"/>
      <c r="D62" s="69"/>
      <c r="E62" s="69"/>
      <c r="F62" s="69"/>
      <c r="G62" s="69"/>
      <c r="H62" s="69"/>
      <c r="I62" s="69"/>
      <c r="J62" s="69"/>
      <c r="K62" s="69"/>
      <c r="L62" s="69"/>
      <c r="M62" s="69"/>
      <c r="N62" s="69"/>
      <c r="O62" s="69"/>
      <c r="P62" s="69"/>
    </row>
    <row r="63" spans="1:22">
      <c r="A63" s="69" t="s">
        <v>9</v>
      </c>
      <c r="B63" s="126" t="s">
        <v>182</v>
      </c>
      <c r="C63" s="69"/>
      <c r="D63" s="69"/>
      <c r="E63" s="69"/>
      <c r="F63" s="69"/>
      <c r="G63" s="69"/>
      <c r="H63" s="69"/>
      <c r="I63" s="69"/>
      <c r="J63" s="69"/>
      <c r="K63" s="69"/>
      <c r="L63" s="69"/>
      <c r="M63" s="69"/>
      <c r="N63" s="69"/>
      <c r="O63" s="69"/>
      <c r="P63" s="69"/>
    </row>
    <row r="64" spans="1:22">
      <c r="A64" s="69" t="s">
        <v>11</v>
      </c>
      <c r="B64" s="69" t="s">
        <v>162</v>
      </c>
      <c r="C64" s="69"/>
      <c r="D64" s="69"/>
      <c r="E64" s="69"/>
      <c r="F64" s="69"/>
      <c r="G64" s="69"/>
      <c r="H64" s="69"/>
      <c r="I64" s="69"/>
      <c r="J64" s="69"/>
      <c r="K64" s="69"/>
      <c r="L64" s="69"/>
      <c r="M64" s="69"/>
      <c r="N64" s="69"/>
      <c r="O64" s="69"/>
      <c r="P64" s="69"/>
    </row>
    <row r="65" spans="1:16">
      <c r="A65" s="69" t="s">
        <v>13</v>
      </c>
      <c r="B65" s="69" t="s">
        <v>86</v>
      </c>
      <c r="C65" s="69"/>
      <c r="D65" s="69"/>
      <c r="E65" s="69"/>
      <c r="F65" s="69"/>
      <c r="G65" s="69"/>
      <c r="H65" s="69"/>
      <c r="I65" s="69"/>
      <c r="J65" s="69"/>
      <c r="K65" s="69"/>
      <c r="L65" s="69"/>
      <c r="M65" s="69"/>
      <c r="N65" s="69"/>
      <c r="O65" s="69"/>
      <c r="P65" s="69"/>
    </row>
    <row r="66" spans="1:16">
      <c r="A66" s="69" t="s">
        <v>15</v>
      </c>
      <c r="B66" s="69">
        <v>1</v>
      </c>
      <c r="C66" s="69"/>
      <c r="D66" s="69"/>
      <c r="E66" s="69"/>
      <c r="F66" s="69"/>
      <c r="G66" s="69"/>
      <c r="H66" s="69"/>
      <c r="I66" s="69"/>
      <c r="J66" s="69"/>
      <c r="K66" s="69"/>
      <c r="L66" s="69"/>
      <c r="M66" s="69"/>
      <c r="N66" s="69"/>
      <c r="O66" s="69"/>
      <c r="P66" s="69"/>
    </row>
    <row r="67" spans="1:16">
      <c r="A67" s="69" t="s">
        <v>16</v>
      </c>
      <c r="B67" s="69" t="s">
        <v>17</v>
      </c>
      <c r="C67" s="69"/>
      <c r="D67" s="69"/>
      <c r="E67" s="69"/>
      <c r="F67" s="69"/>
      <c r="G67" s="69"/>
      <c r="H67" s="69"/>
      <c r="I67" s="69"/>
      <c r="J67" s="69"/>
      <c r="K67" s="69"/>
      <c r="L67" s="69"/>
      <c r="M67" s="69"/>
      <c r="N67" s="69"/>
      <c r="O67" s="69"/>
      <c r="P67" s="69"/>
    </row>
    <row r="68" spans="1:16" ht="15.75">
      <c r="A68" s="69" t="s">
        <v>18</v>
      </c>
      <c r="B68" s="127" t="s">
        <v>39</v>
      </c>
      <c r="C68" s="69"/>
      <c r="D68" s="69"/>
      <c r="E68" s="69" t="s">
        <v>90</v>
      </c>
      <c r="F68" s="69"/>
      <c r="G68" s="69"/>
      <c r="H68" s="69"/>
      <c r="I68" s="69"/>
      <c r="J68" s="69"/>
      <c r="K68" s="69"/>
      <c r="L68" s="69"/>
      <c r="M68" s="69"/>
      <c r="N68" s="69"/>
      <c r="O68" s="69"/>
      <c r="P68" s="69"/>
    </row>
    <row r="69" spans="1:16" ht="15.75">
      <c r="A69" s="128" t="s">
        <v>19</v>
      </c>
      <c r="B69" s="69"/>
      <c r="C69" s="69"/>
      <c r="D69" s="69"/>
      <c r="E69" s="69"/>
      <c r="F69" s="69"/>
      <c r="G69" s="69"/>
      <c r="H69" s="69"/>
      <c r="I69" s="69"/>
      <c r="J69" s="69"/>
      <c r="K69" s="69"/>
      <c r="L69" s="69"/>
      <c r="M69" s="69"/>
      <c r="N69" s="69"/>
      <c r="O69" s="69"/>
      <c r="P69" s="69"/>
    </row>
    <row r="70" spans="1:16" ht="15.75">
      <c r="A70" s="128" t="s">
        <v>20</v>
      </c>
      <c r="B70" s="128" t="s">
        <v>21</v>
      </c>
      <c r="C70" s="128" t="s">
        <v>73</v>
      </c>
      <c r="D70" s="128" t="s">
        <v>18</v>
      </c>
      <c r="E70" s="128" t="s">
        <v>22</v>
      </c>
      <c r="F70" s="128" t="s">
        <v>7</v>
      </c>
      <c r="G70" s="128" t="s">
        <v>13</v>
      </c>
      <c r="H70" s="128" t="s">
        <v>16</v>
      </c>
      <c r="I70" s="128" t="s">
        <v>23</v>
      </c>
      <c r="J70" s="128" t="s">
        <v>24</v>
      </c>
      <c r="K70" s="128" t="s">
        <v>25</v>
      </c>
      <c r="L70" s="128" t="s">
        <v>26</v>
      </c>
      <c r="M70" s="128" t="s">
        <v>27</v>
      </c>
      <c r="N70" s="128" t="s">
        <v>28</v>
      </c>
      <c r="O70" s="128" t="s">
        <v>11</v>
      </c>
      <c r="P70" s="128" t="s">
        <v>91</v>
      </c>
    </row>
    <row r="71" spans="1:16" ht="15.75">
      <c r="A71" s="127" t="str">
        <f>B61</f>
        <v>treatment of aluminium, tail, airframe, conventional, Short-Term</v>
      </c>
      <c r="B71" s="127">
        <v>1</v>
      </c>
      <c r="C71" s="127"/>
      <c r="D71" s="127" t="s">
        <v>39</v>
      </c>
      <c r="E71" s="69" t="s">
        <v>2</v>
      </c>
      <c r="F71" s="69" t="s">
        <v>163</v>
      </c>
      <c r="G71" s="127" t="s">
        <v>86</v>
      </c>
      <c r="H71" s="69" t="s">
        <v>30</v>
      </c>
      <c r="I71" s="69">
        <v>0</v>
      </c>
      <c r="J71" s="127" t="s">
        <v>31</v>
      </c>
      <c r="K71" s="127" t="s">
        <v>31</v>
      </c>
      <c r="L71" s="127" t="s">
        <v>31</v>
      </c>
      <c r="M71" s="127" t="s">
        <v>31</v>
      </c>
      <c r="N71" s="127" t="s">
        <v>31</v>
      </c>
      <c r="O71" s="127" t="s">
        <v>183</v>
      </c>
      <c r="P71" s="69"/>
    </row>
    <row r="72" spans="1:16" ht="15.75">
      <c r="A72" t="s">
        <v>131</v>
      </c>
      <c r="B72" s="113">
        <v>0.64</v>
      </c>
      <c r="C72" s="127"/>
      <c r="D72" s="127" t="s">
        <v>39</v>
      </c>
      <c r="E72" s="98" t="s">
        <v>40</v>
      </c>
      <c r="F72" s="69" t="s">
        <v>163</v>
      </c>
      <c r="G72" s="127" t="s">
        <v>117</v>
      </c>
      <c r="H72" s="69" t="s">
        <v>33</v>
      </c>
      <c r="I72" s="69">
        <v>0</v>
      </c>
      <c r="J72" s="127" t="s">
        <v>31</v>
      </c>
      <c r="K72" s="127" t="s">
        <v>31</v>
      </c>
      <c r="L72" s="127" t="s">
        <v>31</v>
      </c>
      <c r="M72" s="127" t="s">
        <v>31</v>
      </c>
      <c r="N72" s="127" t="s">
        <v>31</v>
      </c>
      <c r="O72" s="69"/>
      <c r="P72" s="69"/>
    </row>
    <row r="73" spans="1:16" ht="15.75">
      <c r="A73" t="s">
        <v>133</v>
      </c>
      <c r="B73" s="113">
        <v>0.64</v>
      </c>
      <c r="C73" s="22" t="s">
        <v>134</v>
      </c>
      <c r="D73" t="s">
        <v>39</v>
      </c>
      <c r="E73" s="130" t="s">
        <v>40</v>
      </c>
      <c r="F73" s="69" t="s">
        <v>163</v>
      </c>
      <c r="G73" s="127" t="s">
        <v>117</v>
      </c>
      <c r="H73" s="69" t="s">
        <v>33</v>
      </c>
      <c r="I73" s="69">
        <v>0</v>
      </c>
      <c r="J73" s="127" t="s">
        <v>31</v>
      </c>
      <c r="K73" s="127" t="s">
        <v>31</v>
      </c>
      <c r="L73" s="127" t="s">
        <v>31</v>
      </c>
      <c r="M73" s="127" t="s">
        <v>31</v>
      </c>
      <c r="N73" s="127" t="s">
        <v>31</v>
      </c>
      <c r="O73" s="127" t="s">
        <v>135</v>
      </c>
    </row>
    <row r="74" spans="1:16" ht="15.75">
      <c r="A74" t="s">
        <v>136</v>
      </c>
      <c r="B74" s="113">
        <f>B73*0.9</f>
        <v>0.57600000000000007</v>
      </c>
      <c r="D74" t="s">
        <v>39</v>
      </c>
      <c r="E74" s="130" t="s">
        <v>40</v>
      </c>
      <c r="F74" s="69" t="s">
        <v>163</v>
      </c>
      <c r="G74" t="s">
        <v>86</v>
      </c>
      <c r="H74" s="69" t="s">
        <v>110</v>
      </c>
      <c r="I74" s="69">
        <v>0</v>
      </c>
      <c r="J74" s="127" t="s">
        <v>31</v>
      </c>
      <c r="K74" s="127" t="s">
        <v>31</v>
      </c>
      <c r="L74" s="127" t="s">
        <v>31</v>
      </c>
      <c r="M74" s="127" t="s">
        <v>31</v>
      </c>
      <c r="N74" s="127" t="s">
        <v>31</v>
      </c>
      <c r="O74" s="69"/>
      <c r="P74" s="127" t="s">
        <v>165</v>
      </c>
    </row>
    <row r="75" spans="1:16" ht="15.75">
      <c r="A75" t="s">
        <v>112</v>
      </c>
      <c r="B75" s="113">
        <f>-(1-B74)</f>
        <v>-0.42399999999999993</v>
      </c>
      <c r="D75" t="s">
        <v>39</v>
      </c>
      <c r="E75" s="129" t="s">
        <v>40</v>
      </c>
      <c r="F75" s="69" t="s">
        <v>163</v>
      </c>
      <c r="G75" t="s">
        <v>86</v>
      </c>
      <c r="H75" t="s">
        <v>33</v>
      </c>
      <c r="I75">
        <v>0</v>
      </c>
      <c r="J75" t="s">
        <v>31</v>
      </c>
      <c r="K75" t="s">
        <v>31</v>
      </c>
      <c r="L75" t="s">
        <v>31</v>
      </c>
      <c r="M75" t="s">
        <v>31</v>
      </c>
      <c r="N75" t="s">
        <v>31</v>
      </c>
      <c r="O75" s="17"/>
      <c r="P75" s="69"/>
    </row>
    <row r="76" spans="1:16" s="67" customFormat="1" ht="15.75">
      <c r="A76" s="124" t="s">
        <v>5</v>
      </c>
      <c r="B76" s="124" t="s">
        <v>184</v>
      </c>
      <c r="C76" s="124"/>
      <c r="D76" s="66"/>
      <c r="E76" s="125"/>
      <c r="F76" s="125"/>
      <c r="G76" s="125"/>
      <c r="H76" s="125"/>
      <c r="I76" s="125"/>
      <c r="J76" s="125"/>
      <c r="K76" s="125"/>
      <c r="L76" s="125"/>
      <c r="M76" s="125"/>
      <c r="N76" s="125"/>
      <c r="O76" s="125"/>
      <c r="P76" s="125"/>
    </row>
    <row r="77" spans="1:16">
      <c r="A77" s="69" t="s">
        <v>7</v>
      </c>
      <c r="B77" s="69" t="s">
        <v>93</v>
      </c>
      <c r="C77" s="69"/>
      <c r="D77" s="69"/>
      <c r="E77" s="69"/>
      <c r="F77" s="69"/>
      <c r="G77" s="69"/>
      <c r="H77" s="69"/>
      <c r="I77" s="69"/>
      <c r="J77" s="69"/>
      <c r="K77" s="69"/>
      <c r="L77" s="69"/>
      <c r="M77" s="69"/>
      <c r="N77" s="69"/>
      <c r="O77" s="69"/>
      <c r="P77" s="69"/>
    </row>
    <row r="78" spans="1:16">
      <c r="A78" s="69" t="s">
        <v>9</v>
      </c>
      <c r="B78" s="126" t="s">
        <v>185</v>
      </c>
      <c r="C78" s="69"/>
      <c r="D78" s="69"/>
      <c r="E78" s="69"/>
      <c r="F78" s="69"/>
      <c r="G78" s="69"/>
      <c r="H78" s="69"/>
      <c r="I78" s="69"/>
      <c r="J78" s="69"/>
      <c r="K78" s="69"/>
      <c r="L78" s="69"/>
      <c r="M78" s="69"/>
      <c r="N78" s="69"/>
      <c r="O78" s="69"/>
      <c r="P78" s="69"/>
    </row>
    <row r="79" spans="1:16">
      <c r="A79" s="69" t="s">
        <v>11</v>
      </c>
      <c r="B79" s="69" t="s">
        <v>186</v>
      </c>
      <c r="C79" s="69"/>
      <c r="D79" s="69"/>
      <c r="E79" s="69"/>
      <c r="F79" s="69"/>
      <c r="G79" s="69"/>
      <c r="H79" s="69"/>
      <c r="I79" s="69"/>
      <c r="J79" s="69"/>
      <c r="K79" s="69"/>
      <c r="L79" s="69"/>
      <c r="M79" s="69"/>
      <c r="N79" s="69"/>
      <c r="O79" s="69"/>
      <c r="P79" s="69"/>
    </row>
    <row r="80" spans="1:16">
      <c r="A80" s="69" t="s">
        <v>13</v>
      </c>
      <c r="B80" s="69" t="s">
        <v>86</v>
      </c>
      <c r="C80" s="69"/>
      <c r="D80" s="69"/>
      <c r="E80" s="69"/>
      <c r="F80" s="69"/>
      <c r="G80" s="69"/>
      <c r="H80" s="69"/>
      <c r="I80" s="69"/>
      <c r="J80" s="69"/>
      <c r="K80" s="69"/>
      <c r="L80" s="69"/>
      <c r="M80" s="69"/>
      <c r="N80" s="69"/>
      <c r="O80" s="69"/>
      <c r="P80" s="69"/>
    </row>
    <row r="81" spans="1:16">
      <c r="A81" s="69" t="s">
        <v>15</v>
      </c>
      <c r="B81" s="69">
        <v>1</v>
      </c>
      <c r="C81" s="69"/>
      <c r="D81" s="69"/>
      <c r="E81" s="69"/>
      <c r="F81" s="69"/>
      <c r="G81" s="69"/>
      <c r="H81" s="69"/>
      <c r="I81" s="69"/>
      <c r="J81" s="69"/>
      <c r="K81" s="69"/>
      <c r="L81" s="69"/>
      <c r="M81" s="69"/>
      <c r="N81" s="69"/>
      <c r="O81" s="69"/>
      <c r="P81" s="69"/>
    </row>
    <row r="82" spans="1:16">
      <c r="A82" s="69" t="s">
        <v>16</v>
      </c>
      <c r="B82" s="69" t="s">
        <v>17</v>
      </c>
      <c r="C82" s="69"/>
      <c r="D82" s="69"/>
      <c r="E82" s="69"/>
      <c r="F82" s="69"/>
      <c r="G82" s="69"/>
      <c r="H82" s="69"/>
      <c r="I82" s="69"/>
      <c r="J82" s="69"/>
      <c r="K82" s="69"/>
      <c r="L82" s="69"/>
      <c r="M82" s="69"/>
      <c r="N82" s="69"/>
      <c r="O82" s="69"/>
      <c r="P82" s="69"/>
    </row>
    <row r="83" spans="1:16" ht="15.75">
      <c r="A83" s="69" t="s">
        <v>18</v>
      </c>
      <c r="B83" s="127" t="s">
        <v>39</v>
      </c>
      <c r="C83" s="69"/>
      <c r="D83" s="69"/>
      <c r="E83" s="69" t="s">
        <v>90</v>
      </c>
      <c r="F83" s="69"/>
      <c r="G83" s="69"/>
      <c r="H83" s="69"/>
      <c r="I83" s="69"/>
      <c r="J83" s="69"/>
      <c r="K83" s="69"/>
      <c r="L83" s="69"/>
      <c r="M83" s="69"/>
      <c r="N83" s="69"/>
      <c r="O83" s="69"/>
      <c r="P83" s="69"/>
    </row>
    <row r="84" spans="1:16" ht="15.75">
      <c r="A84" s="128" t="s">
        <v>19</v>
      </c>
      <c r="B84" s="69"/>
      <c r="C84" s="69"/>
      <c r="D84" s="69"/>
      <c r="E84" s="69"/>
      <c r="F84" s="69"/>
      <c r="G84" s="69"/>
      <c r="H84" s="69"/>
      <c r="I84" s="69"/>
      <c r="J84" s="69"/>
      <c r="K84" s="69"/>
      <c r="L84" s="69"/>
      <c r="M84" s="69"/>
      <c r="N84" s="69"/>
      <c r="O84" s="69"/>
      <c r="P84" s="69"/>
    </row>
    <row r="85" spans="1:16" ht="15.75">
      <c r="A85" s="128" t="s">
        <v>20</v>
      </c>
      <c r="B85" s="128" t="s">
        <v>21</v>
      </c>
      <c r="C85" s="128" t="s">
        <v>73</v>
      </c>
      <c r="D85" s="128" t="s">
        <v>18</v>
      </c>
      <c r="E85" s="128" t="s">
        <v>22</v>
      </c>
      <c r="F85" s="128" t="s">
        <v>7</v>
      </c>
      <c r="G85" s="128" t="s">
        <v>13</v>
      </c>
      <c r="H85" s="128" t="s">
        <v>16</v>
      </c>
      <c r="I85" s="128" t="s">
        <v>23</v>
      </c>
      <c r="J85" s="128" t="s">
        <v>24</v>
      </c>
      <c r="K85" s="128" t="s">
        <v>25</v>
      </c>
      <c r="L85" s="128" t="s">
        <v>26</v>
      </c>
      <c r="M85" s="128" t="s">
        <v>27</v>
      </c>
      <c r="N85" s="128" t="s">
        <v>28</v>
      </c>
      <c r="O85" s="128" t="s">
        <v>11</v>
      </c>
      <c r="P85" s="128" t="s">
        <v>91</v>
      </c>
    </row>
    <row r="86" spans="1:16" ht="15.75">
      <c r="A86" s="127" t="str">
        <f>B76</f>
        <v>treatment of composites, tail, airframe, conventional, Short-Term</v>
      </c>
      <c r="B86" s="127">
        <v>1</v>
      </c>
      <c r="C86" s="127"/>
      <c r="D86" s="127" t="s">
        <v>39</v>
      </c>
      <c r="E86" s="69" t="s">
        <v>2</v>
      </c>
      <c r="F86" s="69" t="s">
        <v>163</v>
      </c>
      <c r="G86" s="127" t="s">
        <v>86</v>
      </c>
      <c r="H86" s="69" t="s">
        <v>30</v>
      </c>
      <c r="I86" s="69">
        <v>0</v>
      </c>
      <c r="J86" s="127" t="s">
        <v>31</v>
      </c>
      <c r="K86" s="127" t="s">
        <v>31</v>
      </c>
      <c r="L86" s="127" t="s">
        <v>31</v>
      </c>
      <c r="M86" s="127" t="s">
        <v>31</v>
      </c>
      <c r="N86" s="127" t="s">
        <v>31</v>
      </c>
      <c r="O86" s="127" t="s">
        <v>187</v>
      </c>
      <c r="P86" s="69"/>
    </row>
    <row r="87" spans="1:16" ht="15.75">
      <c r="A87" s="129" t="s">
        <v>116</v>
      </c>
      <c r="B87">
        <v>-0.5</v>
      </c>
      <c r="D87" t="s">
        <v>39</v>
      </c>
      <c r="E87" s="130" t="s">
        <v>40</v>
      </c>
      <c r="F87" s="69" t="s">
        <v>163</v>
      </c>
      <c r="G87" t="s">
        <v>117</v>
      </c>
      <c r="H87" t="s">
        <v>33</v>
      </c>
      <c r="I87" s="69">
        <v>0</v>
      </c>
      <c r="J87" s="127" t="s">
        <v>31</v>
      </c>
      <c r="K87" s="127" t="s">
        <v>31</v>
      </c>
      <c r="L87" s="127" t="s">
        <v>31</v>
      </c>
      <c r="M87" s="127" t="s">
        <v>31</v>
      </c>
      <c r="N87" s="127" t="s">
        <v>31</v>
      </c>
      <c r="O87" s="127" t="s">
        <v>119</v>
      </c>
      <c r="P87" s="127" t="s">
        <v>120</v>
      </c>
    </row>
    <row r="88" spans="1:16" ht="15.75">
      <c r="A88" t="s">
        <v>121</v>
      </c>
      <c r="B88">
        <f>B89*0.277777777</f>
        <v>2.415277771015</v>
      </c>
      <c r="D88" t="s">
        <v>98</v>
      </c>
      <c r="E88" s="130" t="s">
        <v>40</v>
      </c>
      <c r="F88" s="69" t="s">
        <v>163</v>
      </c>
      <c r="G88" t="s">
        <v>86</v>
      </c>
      <c r="H88" s="69" t="s">
        <v>110</v>
      </c>
      <c r="I88" s="69">
        <v>0</v>
      </c>
      <c r="J88" s="127" t="s">
        <v>31</v>
      </c>
      <c r="K88" s="127" t="s">
        <v>31</v>
      </c>
      <c r="L88" s="127" t="s">
        <v>31</v>
      </c>
      <c r="M88" s="127" t="s">
        <v>31</v>
      </c>
      <c r="N88" s="127" t="s">
        <v>31</v>
      </c>
      <c r="O88" t="s">
        <v>122</v>
      </c>
    </row>
    <row r="89" spans="1:16" ht="15.75">
      <c r="A89" t="s">
        <v>123</v>
      </c>
      <c r="B89">
        <f>-B87*0.5*34.78</f>
        <v>8.6950000000000003</v>
      </c>
      <c r="D89" t="s">
        <v>124</v>
      </c>
      <c r="E89" s="130" t="s">
        <v>40</v>
      </c>
      <c r="F89" s="69" t="s">
        <v>163</v>
      </c>
      <c r="G89" t="s">
        <v>86</v>
      </c>
      <c r="H89" s="69" t="s">
        <v>110</v>
      </c>
      <c r="I89" s="69">
        <v>0</v>
      </c>
      <c r="J89" s="127" t="s">
        <v>31</v>
      </c>
      <c r="K89" s="127" t="s">
        <v>31</v>
      </c>
      <c r="L89" s="127" t="s">
        <v>31</v>
      </c>
      <c r="M89" s="127" t="s">
        <v>31</v>
      </c>
      <c r="N89" s="127" t="s">
        <v>31</v>
      </c>
      <c r="O89" t="s">
        <v>169</v>
      </c>
    </row>
    <row r="90" spans="1:16" ht="15.75">
      <c r="A90" s="129" t="s">
        <v>126</v>
      </c>
      <c r="B90">
        <v>-0.5</v>
      </c>
      <c r="D90" t="s">
        <v>39</v>
      </c>
      <c r="E90" s="130" t="s">
        <v>40</v>
      </c>
      <c r="F90" s="69" t="s">
        <v>163</v>
      </c>
      <c r="G90" t="s">
        <v>117</v>
      </c>
      <c r="H90" s="69" t="s">
        <v>33</v>
      </c>
      <c r="I90" s="69">
        <v>0</v>
      </c>
      <c r="J90" s="127" t="s">
        <v>31</v>
      </c>
      <c r="K90" s="127" t="s">
        <v>31</v>
      </c>
      <c r="L90" s="127" t="s">
        <v>31</v>
      </c>
      <c r="M90" s="127" t="s">
        <v>31</v>
      </c>
      <c r="N90" s="127" t="s">
        <v>31</v>
      </c>
      <c r="O90" s="127"/>
    </row>
    <row r="91" spans="1:16" s="67" customFormat="1" ht="15.75">
      <c r="A91" s="124" t="s">
        <v>5</v>
      </c>
      <c r="B91" s="124" t="s">
        <v>188</v>
      </c>
      <c r="C91" s="124"/>
      <c r="D91" s="66"/>
      <c r="E91" s="125"/>
      <c r="F91" s="125"/>
      <c r="G91" s="125"/>
      <c r="H91" s="125"/>
      <c r="I91" s="125"/>
      <c r="J91" s="125"/>
      <c r="K91" s="125"/>
      <c r="L91" s="125"/>
      <c r="M91" s="125"/>
      <c r="N91" s="125"/>
      <c r="O91" s="125"/>
      <c r="P91" s="125"/>
    </row>
    <row r="92" spans="1:16">
      <c r="A92" s="69" t="s">
        <v>7</v>
      </c>
      <c r="B92" s="69" t="s">
        <v>93</v>
      </c>
      <c r="C92" s="69"/>
      <c r="D92" s="69"/>
      <c r="E92" s="69"/>
      <c r="F92" s="69"/>
      <c r="G92" s="69"/>
      <c r="H92" s="69"/>
      <c r="I92" s="69"/>
      <c r="J92" s="69"/>
      <c r="K92" s="69"/>
      <c r="L92" s="69"/>
      <c r="M92" s="69"/>
      <c r="N92" s="69"/>
      <c r="O92" s="69"/>
      <c r="P92" s="69"/>
    </row>
    <row r="93" spans="1:16">
      <c r="A93" s="69" t="s">
        <v>9</v>
      </c>
      <c r="B93" s="126" t="s">
        <v>189</v>
      </c>
      <c r="C93" s="69"/>
      <c r="D93" s="69"/>
      <c r="E93" s="69"/>
      <c r="F93" s="69"/>
      <c r="G93" s="69"/>
      <c r="H93" s="69"/>
      <c r="I93" s="69"/>
      <c r="J93" s="69"/>
      <c r="K93" s="69"/>
      <c r="L93" s="69"/>
      <c r="M93" s="69"/>
      <c r="N93" s="69"/>
      <c r="O93" s="69"/>
      <c r="P93" s="69"/>
    </row>
    <row r="94" spans="1:16">
      <c r="A94" s="69" t="s">
        <v>11</v>
      </c>
      <c r="B94" s="69" t="s">
        <v>162</v>
      </c>
      <c r="C94" s="69"/>
      <c r="D94" s="69"/>
      <c r="E94" s="69"/>
      <c r="F94" s="69"/>
      <c r="G94" s="69"/>
      <c r="H94" s="69"/>
      <c r="I94" s="69"/>
      <c r="J94" s="69"/>
      <c r="K94" s="69"/>
      <c r="L94" s="69"/>
      <c r="M94" s="69"/>
      <c r="N94" s="69"/>
      <c r="O94" s="69"/>
      <c r="P94" s="69"/>
    </row>
    <row r="95" spans="1:16">
      <c r="A95" s="69" t="s">
        <v>13</v>
      </c>
      <c r="B95" s="69" t="s">
        <v>86</v>
      </c>
      <c r="C95" s="69"/>
      <c r="D95" s="69"/>
      <c r="E95" s="69"/>
      <c r="F95" s="69"/>
      <c r="G95" s="69"/>
      <c r="H95" s="69"/>
      <c r="I95" s="69"/>
      <c r="J95" s="69"/>
      <c r="K95" s="69"/>
      <c r="L95" s="69"/>
      <c r="M95" s="69"/>
      <c r="N95" s="69"/>
      <c r="O95" s="69"/>
      <c r="P95" s="69"/>
    </row>
    <row r="96" spans="1:16">
      <c r="A96" s="69" t="s">
        <v>15</v>
      </c>
      <c r="B96" s="69">
        <v>1</v>
      </c>
      <c r="C96" s="69"/>
      <c r="D96" s="69"/>
      <c r="E96" s="69"/>
      <c r="F96" s="69"/>
      <c r="G96" s="69"/>
      <c r="H96" s="69"/>
      <c r="I96" s="69"/>
      <c r="J96" s="69"/>
      <c r="K96" s="69"/>
      <c r="L96" s="69"/>
      <c r="M96" s="69"/>
      <c r="N96" s="69"/>
      <c r="O96" s="69"/>
      <c r="P96" s="69"/>
    </row>
    <row r="97" spans="1:16">
      <c r="A97" s="69" t="s">
        <v>16</v>
      </c>
      <c r="B97" s="69" t="s">
        <v>17</v>
      </c>
      <c r="C97" s="69"/>
      <c r="D97" s="69"/>
      <c r="E97" s="69"/>
      <c r="F97" s="69"/>
      <c r="G97" s="69"/>
      <c r="H97" s="69"/>
      <c r="I97" s="69"/>
      <c r="J97" s="69"/>
      <c r="K97" s="69"/>
      <c r="L97" s="69"/>
      <c r="M97" s="69"/>
      <c r="N97" s="69"/>
      <c r="O97" s="69"/>
      <c r="P97" s="69"/>
    </row>
    <row r="98" spans="1:16" ht="15.75">
      <c r="A98" s="69" t="s">
        <v>18</v>
      </c>
      <c r="B98" s="127" t="s">
        <v>39</v>
      </c>
      <c r="C98" s="69"/>
      <c r="D98" s="69"/>
      <c r="E98" s="69" t="s">
        <v>90</v>
      </c>
      <c r="F98" s="69"/>
      <c r="G98" s="69"/>
      <c r="H98" s="69"/>
      <c r="I98" s="69"/>
      <c r="J98" s="69"/>
      <c r="K98" s="69"/>
      <c r="L98" s="69"/>
      <c r="M98" s="69"/>
      <c r="N98" s="69"/>
      <c r="O98" s="69"/>
      <c r="P98" s="69"/>
    </row>
    <row r="99" spans="1:16" ht="15.75">
      <c r="A99" s="128" t="s">
        <v>19</v>
      </c>
      <c r="B99" s="69"/>
      <c r="C99" s="69"/>
      <c r="D99" s="69"/>
      <c r="E99" s="69"/>
      <c r="F99" s="69"/>
      <c r="G99" s="69"/>
      <c r="H99" s="69"/>
      <c r="I99" s="69"/>
      <c r="J99" s="69"/>
      <c r="K99" s="69"/>
      <c r="L99" s="69"/>
      <c r="M99" s="69"/>
      <c r="N99" s="69"/>
      <c r="O99" s="69"/>
      <c r="P99" s="69"/>
    </row>
    <row r="100" spans="1:16" ht="15.75">
      <c r="A100" s="128" t="s">
        <v>20</v>
      </c>
      <c r="B100" s="128" t="s">
        <v>21</v>
      </c>
      <c r="C100" s="128" t="s">
        <v>73</v>
      </c>
      <c r="D100" s="128" t="s">
        <v>18</v>
      </c>
      <c r="E100" s="128" t="s">
        <v>22</v>
      </c>
      <c r="F100" s="128" t="s">
        <v>7</v>
      </c>
      <c r="G100" s="128" t="s">
        <v>13</v>
      </c>
      <c r="H100" s="128" t="s">
        <v>16</v>
      </c>
      <c r="I100" s="128" t="s">
        <v>23</v>
      </c>
      <c r="J100" s="128" t="s">
        <v>24</v>
      </c>
      <c r="K100" s="128" t="s">
        <v>25</v>
      </c>
      <c r="L100" s="128" t="s">
        <v>26</v>
      </c>
      <c r="M100" s="128" t="s">
        <v>27</v>
      </c>
      <c r="N100" s="128" t="s">
        <v>28</v>
      </c>
      <c r="O100" s="128" t="s">
        <v>11</v>
      </c>
      <c r="P100" s="128" t="s">
        <v>91</v>
      </c>
    </row>
    <row r="101" spans="1:16" ht="15.75">
      <c r="A101" s="127" t="str">
        <f>B91</f>
        <v>treatment of aluminium, fuselage, airframe, conventional, Short-Term</v>
      </c>
      <c r="B101" s="127">
        <v>1</v>
      </c>
      <c r="C101" s="127"/>
      <c r="D101" s="127" t="s">
        <v>39</v>
      </c>
      <c r="E101" s="69" t="s">
        <v>2</v>
      </c>
      <c r="F101" s="69" t="s">
        <v>163</v>
      </c>
      <c r="G101" s="127" t="s">
        <v>86</v>
      </c>
      <c r="H101" s="69" t="s">
        <v>30</v>
      </c>
      <c r="I101" s="69">
        <v>0</v>
      </c>
      <c r="J101" s="127" t="s">
        <v>31</v>
      </c>
      <c r="K101" s="127" t="s">
        <v>31</v>
      </c>
      <c r="L101" s="127" t="s">
        <v>31</v>
      </c>
      <c r="M101" s="127" t="s">
        <v>31</v>
      </c>
      <c r="N101" s="127" t="s">
        <v>31</v>
      </c>
      <c r="O101" s="127" t="s">
        <v>190</v>
      </c>
      <c r="P101" s="69"/>
    </row>
    <row r="102" spans="1:16" ht="15.75">
      <c r="A102" t="s">
        <v>131</v>
      </c>
      <c r="B102" s="113">
        <v>0.85</v>
      </c>
      <c r="C102" s="127"/>
      <c r="D102" s="127" t="s">
        <v>39</v>
      </c>
      <c r="E102" s="98" t="s">
        <v>40</v>
      </c>
      <c r="F102" s="69" t="s">
        <v>163</v>
      </c>
      <c r="G102" s="127" t="s">
        <v>117</v>
      </c>
      <c r="H102" s="69" t="s">
        <v>33</v>
      </c>
      <c r="I102" s="69">
        <v>0</v>
      </c>
      <c r="J102" s="127" t="s">
        <v>31</v>
      </c>
      <c r="K102" s="127" t="s">
        <v>31</v>
      </c>
      <c r="L102" s="127" t="s">
        <v>31</v>
      </c>
      <c r="M102" s="127" t="s">
        <v>31</v>
      </c>
      <c r="N102" s="127" t="s">
        <v>31</v>
      </c>
      <c r="O102" s="69"/>
      <c r="P102" s="69"/>
    </row>
    <row r="103" spans="1:16" ht="15.75">
      <c r="A103" t="s">
        <v>133</v>
      </c>
      <c r="B103" s="113">
        <v>0.85</v>
      </c>
      <c r="C103" s="22" t="s">
        <v>134</v>
      </c>
      <c r="D103" t="s">
        <v>39</v>
      </c>
      <c r="E103" s="130" t="s">
        <v>40</v>
      </c>
      <c r="F103" s="69" t="s">
        <v>163</v>
      </c>
      <c r="G103" s="127" t="s">
        <v>117</v>
      </c>
      <c r="H103" s="69" t="s">
        <v>33</v>
      </c>
      <c r="I103" s="69">
        <v>0</v>
      </c>
      <c r="J103" s="127" t="s">
        <v>31</v>
      </c>
      <c r="K103" s="127" t="s">
        <v>31</v>
      </c>
      <c r="L103" s="127" t="s">
        <v>31</v>
      </c>
      <c r="M103" s="127" t="s">
        <v>31</v>
      </c>
      <c r="N103" s="127" t="s">
        <v>31</v>
      </c>
      <c r="O103" s="127" t="s">
        <v>135</v>
      </c>
    </row>
    <row r="104" spans="1:16" ht="15.75">
      <c r="A104" t="s">
        <v>136</v>
      </c>
      <c r="B104" s="113">
        <f>B103*0.9</f>
        <v>0.76500000000000001</v>
      </c>
      <c r="D104" t="s">
        <v>39</v>
      </c>
      <c r="E104" s="130" t="s">
        <v>40</v>
      </c>
      <c r="F104" s="69" t="s">
        <v>163</v>
      </c>
      <c r="G104" t="s">
        <v>86</v>
      </c>
      <c r="H104" s="69" t="s">
        <v>110</v>
      </c>
      <c r="I104" s="69">
        <v>0</v>
      </c>
      <c r="J104" s="127" t="s">
        <v>31</v>
      </c>
      <c r="K104" s="127" t="s">
        <v>31</v>
      </c>
      <c r="L104" s="127" t="s">
        <v>31</v>
      </c>
      <c r="M104" s="127" t="s">
        <v>31</v>
      </c>
      <c r="N104" s="127" t="s">
        <v>31</v>
      </c>
      <c r="O104" s="69"/>
      <c r="P104" s="127" t="s">
        <v>165</v>
      </c>
    </row>
    <row r="105" spans="1:16" ht="15.75">
      <c r="A105" t="s">
        <v>112</v>
      </c>
      <c r="B105" s="113">
        <f>-(1-B104)</f>
        <v>-0.23499999999999999</v>
      </c>
      <c r="D105" t="s">
        <v>39</v>
      </c>
      <c r="E105" s="129" t="s">
        <v>40</v>
      </c>
      <c r="F105" s="69" t="s">
        <v>163</v>
      </c>
      <c r="G105" t="s">
        <v>86</v>
      </c>
      <c r="H105" t="s">
        <v>33</v>
      </c>
      <c r="I105">
        <v>0</v>
      </c>
      <c r="J105" t="s">
        <v>31</v>
      </c>
      <c r="K105" t="s">
        <v>31</v>
      </c>
      <c r="L105" t="s">
        <v>31</v>
      </c>
      <c r="M105" t="s">
        <v>31</v>
      </c>
      <c r="N105" t="s">
        <v>31</v>
      </c>
      <c r="O105" s="17"/>
      <c r="P105" s="69"/>
    </row>
    <row r="106" spans="1:16" s="67" customFormat="1" ht="15.75">
      <c r="A106" s="124" t="s">
        <v>5</v>
      </c>
      <c r="B106" s="124" t="s">
        <v>191</v>
      </c>
      <c r="C106" s="124"/>
      <c r="D106" s="66"/>
      <c r="E106" s="125"/>
      <c r="F106" s="125"/>
      <c r="G106" s="125"/>
      <c r="H106" s="125"/>
      <c r="I106" s="125"/>
      <c r="J106" s="125"/>
      <c r="K106" s="125"/>
      <c r="L106" s="125"/>
      <c r="M106" s="125"/>
      <c r="N106" s="125"/>
      <c r="O106" s="125"/>
      <c r="P106" s="125"/>
    </row>
    <row r="107" spans="1:16">
      <c r="A107" s="69" t="s">
        <v>7</v>
      </c>
      <c r="B107" s="69" t="s">
        <v>93</v>
      </c>
      <c r="C107" s="69"/>
      <c r="D107" s="69"/>
      <c r="E107" s="69"/>
      <c r="F107" s="69"/>
      <c r="G107" s="69"/>
      <c r="H107" s="69"/>
      <c r="I107" s="69"/>
      <c r="J107" s="69"/>
      <c r="K107" s="69"/>
      <c r="L107" s="69"/>
      <c r="M107" s="69"/>
      <c r="N107" s="69"/>
      <c r="O107" s="69"/>
      <c r="P107" s="69"/>
    </row>
    <row r="108" spans="1:16">
      <c r="A108" s="69" t="s">
        <v>9</v>
      </c>
      <c r="B108" s="126" t="s">
        <v>192</v>
      </c>
      <c r="C108" s="69"/>
      <c r="D108" s="69"/>
      <c r="E108" s="69"/>
      <c r="F108" s="69"/>
      <c r="G108" s="69"/>
      <c r="H108" s="69"/>
      <c r="I108" s="69"/>
      <c r="J108" s="69"/>
      <c r="K108" s="69"/>
      <c r="L108" s="69"/>
      <c r="M108" s="69"/>
      <c r="N108" s="69"/>
      <c r="O108" s="69"/>
      <c r="P108" s="69"/>
    </row>
    <row r="109" spans="1:16">
      <c r="A109" s="69" t="s">
        <v>11</v>
      </c>
      <c r="B109" s="69" t="s">
        <v>162</v>
      </c>
      <c r="C109" s="69"/>
      <c r="D109" s="69"/>
      <c r="E109" s="69"/>
      <c r="F109" s="69"/>
      <c r="G109" s="69"/>
      <c r="H109" s="69"/>
      <c r="I109" s="69"/>
      <c r="J109" s="69"/>
      <c r="K109" s="69"/>
      <c r="L109" s="69"/>
      <c r="M109" s="69"/>
      <c r="N109" s="69"/>
      <c r="O109" s="69"/>
      <c r="P109" s="69"/>
    </row>
    <row r="110" spans="1:16">
      <c r="A110" s="69" t="s">
        <v>13</v>
      </c>
      <c r="B110" s="69" t="s">
        <v>86</v>
      </c>
      <c r="C110" s="69"/>
      <c r="D110" s="69"/>
      <c r="E110" s="69"/>
      <c r="F110" s="69"/>
      <c r="G110" s="69"/>
      <c r="H110" s="69"/>
      <c r="I110" s="69"/>
      <c r="J110" s="69"/>
      <c r="K110" s="69"/>
      <c r="L110" s="69"/>
      <c r="M110" s="69"/>
      <c r="N110" s="69"/>
      <c r="O110" s="69"/>
      <c r="P110" s="69"/>
    </row>
    <row r="111" spans="1:16">
      <c r="A111" s="69" t="s">
        <v>15</v>
      </c>
      <c r="B111" s="69">
        <v>1</v>
      </c>
      <c r="C111" s="69"/>
      <c r="D111" s="69"/>
      <c r="E111" s="69"/>
      <c r="F111" s="69"/>
      <c r="G111" s="69"/>
      <c r="H111" s="69"/>
      <c r="I111" s="69"/>
      <c r="J111" s="69"/>
      <c r="K111" s="69"/>
      <c r="L111" s="69"/>
      <c r="M111" s="69"/>
      <c r="N111" s="69"/>
      <c r="O111" s="69"/>
      <c r="P111" s="69"/>
    </row>
    <row r="112" spans="1:16">
      <c r="A112" s="69" t="s">
        <v>16</v>
      </c>
      <c r="B112" s="69" t="s">
        <v>17</v>
      </c>
      <c r="C112" s="69"/>
      <c r="D112" s="69"/>
      <c r="E112" s="69"/>
      <c r="F112" s="69"/>
      <c r="G112" s="69"/>
      <c r="H112" s="69"/>
      <c r="I112" s="69"/>
      <c r="J112" s="69"/>
      <c r="K112" s="69"/>
      <c r="L112" s="69"/>
      <c r="M112" s="69"/>
      <c r="N112" s="69"/>
      <c r="O112" s="69"/>
      <c r="P112" s="69"/>
    </row>
    <row r="113" spans="1:16" ht="15.75">
      <c r="A113" s="69" t="s">
        <v>18</v>
      </c>
      <c r="B113" s="127" t="s">
        <v>39</v>
      </c>
      <c r="C113" s="69"/>
      <c r="D113" s="69"/>
      <c r="E113" s="69" t="s">
        <v>90</v>
      </c>
      <c r="F113" s="69"/>
      <c r="G113" s="69"/>
      <c r="H113" s="69"/>
      <c r="I113" s="69"/>
      <c r="J113" s="69"/>
      <c r="K113" s="69"/>
      <c r="L113" s="69"/>
      <c r="M113" s="69"/>
      <c r="N113" s="69"/>
      <c r="O113" s="69"/>
      <c r="P113" s="69"/>
    </row>
    <row r="114" spans="1:16" ht="15.75">
      <c r="A114" s="128" t="s">
        <v>19</v>
      </c>
      <c r="B114" s="69"/>
      <c r="C114" s="69"/>
      <c r="D114" s="69"/>
      <c r="E114" s="69"/>
      <c r="F114" s="69"/>
      <c r="G114" s="69"/>
      <c r="H114" s="69"/>
      <c r="I114" s="69"/>
      <c r="J114" s="69"/>
      <c r="K114" s="69"/>
      <c r="L114" s="69"/>
      <c r="M114" s="69"/>
      <c r="N114" s="69"/>
      <c r="O114" s="69"/>
      <c r="P114" s="69"/>
    </row>
    <row r="115" spans="1:16" ht="15.75">
      <c r="A115" s="128" t="s">
        <v>20</v>
      </c>
      <c r="B115" s="128" t="s">
        <v>21</v>
      </c>
      <c r="C115" s="128" t="s">
        <v>73</v>
      </c>
      <c r="D115" s="128" t="s">
        <v>18</v>
      </c>
      <c r="E115" s="128" t="s">
        <v>22</v>
      </c>
      <c r="F115" s="128" t="s">
        <v>7</v>
      </c>
      <c r="G115" s="128" t="s">
        <v>13</v>
      </c>
      <c r="H115" s="128" t="s">
        <v>16</v>
      </c>
      <c r="I115" s="128" t="s">
        <v>23</v>
      </c>
      <c r="J115" s="128" t="s">
        <v>24</v>
      </c>
      <c r="K115" s="128" t="s">
        <v>25</v>
      </c>
      <c r="L115" s="128" t="s">
        <v>26</v>
      </c>
      <c r="M115" s="128" t="s">
        <v>27</v>
      </c>
      <c r="N115" s="128" t="s">
        <v>28</v>
      </c>
      <c r="O115" s="128" t="s">
        <v>11</v>
      </c>
      <c r="P115" s="128" t="s">
        <v>91</v>
      </c>
    </row>
    <row r="116" spans="1:16" ht="15.75">
      <c r="A116" s="127" t="str">
        <f>B106</f>
        <v>treatment of composites, fuselage, airframe, conventional, Short-Term</v>
      </c>
      <c r="B116" s="127">
        <v>1</v>
      </c>
      <c r="C116" s="127"/>
      <c r="D116" s="127" t="s">
        <v>39</v>
      </c>
      <c r="E116" s="69" t="s">
        <v>2</v>
      </c>
      <c r="F116" s="69" t="s">
        <v>163</v>
      </c>
      <c r="G116" s="127" t="s">
        <v>86</v>
      </c>
      <c r="H116" s="69" t="s">
        <v>30</v>
      </c>
      <c r="I116" s="69">
        <v>0</v>
      </c>
      <c r="J116" s="127" t="s">
        <v>31</v>
      </c>
      <c r="K116" s="127" t="s">
        <v>31</v>
      </c>
      <c r="L116" s="127" t="s">
        <v>31</v>
      </c>
      <c r="M116" s="127" t="s">
        <v>31</v>
      </c>
      <c r="N116" s="127" t="s">
        <v>31</v>
      </c>
      <c r="O116" s="127" t="s">
        <v>193</v>
      </c>
      <c r="P116" s="69"/>
    </row>
    <row r="117" spans="1:16" ht="15.75">
      <c r="A117" s="129" t="s">
        <v>116</v>
      </c>
      <c r="B117">
        <v>-0.5</v>
      </c>
      <c r="D117" t="s">
        <v>39</v>
      </c>
      <c r="E117" s="130" t="s">
        <v>40</v>
      </c>
      <c r="F117" s="69" t="s">
        <v>163</v>
      </c>
      <c r="G117" t="s">
        <v>117</v>
      </c>
      <c r="H117" t="s">
        <v>33</v>
      </c>
      <c r="I117" s="69">
        <v>0</v>
      </c>
      <c r="J117" s="127" t="s">
        <v>31</v>
      </c>
      <c r="K117" s="127" t="s">
        <v>31</v>
      </c>
      <c r="L117" s="127" t="s">
        <v>31</v>
      </c>
      <c r="M117" s="127" t="s">
        <v>31</v>
      </c>
      <c r="N117" s="127" t="s">
        <v>31</v>
      </c>
      <c r="O117" s="127" t="s">
        <v>119</v>
      </c>
      <c r="P117" s="127" t="s">
        <v>120</v>
      </c>
    </row>
    <row r="118" spans="1:16" ht="15.75">
      <c r="A118" t="s">
        <v>121</v>
      </c>
      <c r="B118">
        <f>B119*0.277777777</f>
        <v>2.415277771015</v>
      </c>
      <c r="D118" t="s">
        <v>98</v>
      </c>
      <c r="E118" s="130" t="s">
        <v>40</v>
      </c>
      <c r="F118" s="69" t="s">
        <v>163</v>
      </c>
      <c r="G118" t="s">
        <v>86</v>
      </c>
      <c r="H118" s="69" t="s">
        <v>110</v>
      </c>
      <c r="I118" s="69">
        <v>0</v>
      </c>
      <c r="J118" s="127" t="s">
        <v>31</v>
      </c>
      <c r="K118" s="127" t="s">
        <v>31</v>
      </c>
      <c r="L118" s="127" t="s">
        <v>31</v>
      </c>
      <c r="M118" s="127" t="s">
        <v>31</v>
      </c>
      <c r="N118" s="127" t="s">
        <v>31</v>
      </c>
      <c r="O118" t="s">
        <v>122</v>
      </c>
    </row>
    <row r="119" spans="1:16" ht="15.75">
      <c r="A119" t="s">
        <v>123</v>
      </c>
      <c r="B119">
        <f>-B117*0.5*34.78</f>
        <v>8.6950000000000003</v>
      </c>
      <c r="D119" t="s">
        <v>124</v>
      </c>
      <c r="E119" s="130" t="s">
        <v>40</v>
      </c>
      <c r="F119" s="69" t="s">
        <v>163</v>
      </c>
      <c r="G119" t="s">
        <v>86</v>
      </c>
      <c r="H119" s="69" t="s">
        <v>110</v>
      </c>
      <c r="I119" s="69">
        <v>0</v>
      </c>
      <c r="J119" s="127" t="s">
        <v>31</v>
      </c>
      <c r="K119" s="127" t="s">
        <v>31</v>
      </c>
      <c r="L119" s="127" t="s">
        <v>31</v>
      </c>
      <c r="M119" s="127" t="s">
        <v>31</v>
      </c>
      <c r="N119" s="127" t="s">
        <v>31</v>
      </c>
      <c r="O119" t="s">
        <v>169</v>
      </c>
    </row>
    <row r="120" spans="1:16" ht="15.75">
      <c r="A120" s="129" t="s">
        <v>126</v>
      </c>
      <c r="B120">
        <v>-0.5</v>
      </c>
      <c r="D120" t="s">
        <v>39</v>
      </c>
      <c r="E120" s="130" t="s">
        <v>40</v>
      </c>
      <c r="F120" s="69" t="s">
        <v>163</v>
      </c>
      <c r="G120" t="s">
        <v>117</v>
      </c>
      <c r="H120" s="69" t="s">
        <v>33</v>
      </c>
      <c r="I120" s="69">
        <v>0</v>
      </c>
      <c r="J120" s="127" t="s">
        <v>31</v>
      </c>
      <c r="K120" s="127" t="s">
        <v>31</v>
      </c>
      <c r="L120" s="127" t="s">
        <v>31</v>
      </c>
      <c r="M120" s="127" t="s">
        <v>31</v>
      </c>
      <c r="N120" s="127" t="s">
        <v>31</v>
      </c>
      <c r="O120" s="127"/>
    </row>
    <row r="121" spans="1:16" s="67" customFormat="1" ht="15.75">
      <c r="A121" s="124" t="s">
        <v>5</v>
      </c>
      <c r="B121" s="124" t="s">
        <v>194</v>
      </c>
      <c r="C121" s="124"/>
      <c r="D121" s="66"/>
      <c r="E121" s="125"/>
      <c r="F121" s="125"/>
      <c r="G121" s="125"/>
      <c r="H121" s="125"/>
      <c r="I121" s="125"/>
      <c r="J121" s="125"/>
      <c r="K121" s="125"/>
      <c r="L121" s="125"/>
      <c r="M121" s="125"/>
      <c r="N121" s="125"/>
      <c r="O121" s="125"/>
      <c r="P121" s="125"/>
    </row>
    <row r="122" spans="1:16">
      <c r="A122" s="69" t="s">
        <v>7</v>
      </c>
      <c r="B122" s="69" t="s">
        <v>93</v>
      </c>
      <c r="C122" s="69"/>
      <c r="D122" s="69"/>
      <c r="E122" s="69"/>
      <c r="F122" s="69"/>
      <c r="G122" s="69"/>
      <c r="H122" s="69"/>
      <c r="I122" s="69"/>
      <c r="J122" s="69"/>
      <c r="K122" s="69"/>
      <c r="L122" s="69"/>
      <c r="M122" s="69"/>
      <c r="N122" s="69"/>
      <c r="O122" s="69"/>
      <c r="P122" s="69"/>
    </row>
    <row r="123" spans="1:16">
      <c r="A123" s="69" t="s">
        <v>9</v>
      </c>
      <c r="B123" s="126" t="s">
        <v>195</v>
      </c>
      <c r="C123" s="69"/>
      <c r="D123" s="69"/>
      <c r="E123" s="69"/>
      <c r="F123" s="69"/>
      <c r="G123" s="69"/>
      <c r="H123" s="69"/>
      <c r="I123" s="69"/>
      <c r="J123" s="69"/>
      <c r="K123" s="69"/>
      <c r="L123" s="69"/>
      <c r="M123" s="69"/>
      <c r="N123" s="69"/>
      <c r="O123" s="69"/>
      <c r="P123" s="69"/>
    </row>
    <row r="124" spans="1:16">
      <c r="A124" s="69" t="s">
        <v>11</v>
      </c>
      <c r="B124" s="69" t="s">
        <v>162</v>
      </c>
      <c r="C124" s="69"/>
      <c r="D124" s="69"/>
      <c r="E124" s="69"/>
      <c r="F124" s="69"/>
      <c r="G124" s="69"/>
      <c r="H124" s="69"/>
      <c r="I124" s="69"/>
      <c r="J124" s="69"/>
      <c r="K124" s="69"/>
      <c r="L124" s="69"/>
      <c r="M124" s="69"/>
      <c r="N124" s="69"/>
      <c r="O124" s="69"/>
      <c r="P124" s="69"/>
    </row>
    <row r="125" spans="1:16">
      <c r="A125" s="69" t="s">
        <v>13</v>
      </c>
      <c r="B125" s="69" t="s">
        <v>86</v>
      </c>
      <c r="C125" s="69"/>
      <c r="D125" s="69"/>
      <c r="E125" s="69"/>
      <c r="F125" s="69"/>
      <c r="G125" s="69"/>
      <c r="H125" s="69"/>
      <c r="I125" s="69"/>
      <c r="J125" s="69"/>
      <c r="K125" s="69"/>
      <c r="L125" s="69"/>
      <c r="M125" s="69"/>
      <c r="N125" s="69"/>
      <c r="O125" s="69"/>
      <c r="P125" s="69"/>
    </row>
    <row r="126" spans="1:16">
      <c r="A126" s="69" t="s">
        <v>15</v>
      </c>
      <c r="B126" s="69">
        <v>1</v>
      </c>
      <c r="C126" s="69"/>
      <c r="D126" s="69"/>
      <c r="E126" s="69"/>
      <c r="F126" s="69"/>
      <c r="G126" s="69"/>
      <c r="H126" s="69"/>
      <c r="I126" s="69"/>
      <c r="J126" s="69"/>
      <c r="K126" s="69"/>
      <c r="L126" s="69"/>
      <c r="M126" s="69"/>
      <c r="N126" s="69"/>
      <c r="O126" s="69"/>
      <c r="P126" s="69"/>
    </row>
    <row r="127" spans="1:16">
      <c r="A127" s="69" t="s">
        <v>16</v>
      </c>
      <c r="B127" s="69" t="s">
        <v>17</v>
      </c>
      <c r="C127" s="69"/>
      <c r="D127" s="69"/>
      <c r="E127" s="69"/>
      <c r="F127" s="69"/>
      <c r="G127" s="69"/>
      <c r="H127" s="69"/>
      <c r="I127" s="69"/>
      <c r="J127" s="69"/>
      <c r="K127" s="69"/>
      <c r="L127" s="69"/>
      <c r="M127" s="69"/>
      <c r="N127" s="69"/>
      <c r="O127" s="69"/>
      <c r="P127" s="69"/>
    </row>
    <row r="128" spans="1:16" ht="15.75">
      <c r="A128" s="69" t="s">
        <v>18</v>
      </c>
      <c r="B128" s="127" t="s">
        <v>39</v>
      </c>
      <c r="C128" s="69"/>
      <c r="D128" s="69"/>
      <c r="E128" s="69" t="s">
        <v>90</v>
      </c>
      <c r="F128" s="69"/>
      <c r="G128" s="69"/>
      <c r="H128" s="69"/>
      <c r="I128" s="69"/>
      <c r="J128" s="69"/>
      <c r="K128" s="69"/>
      <c r="L128" s="69"/>
      <c r="M128" s="69"/>
      <c r="N128" s="69"/>
      <c r="O128" s="69"/>
      <c r="P128" s="69"/>
    </row>
    <row r="129" spans="1:16" ht="15.75">
      <c r="A129" s="128" t="s">
        <v>19</v>
      </c>
      <c r="B129" s="69"/>
      <c r="C129" s="69"/>
      <c r="D129" s="69"/>
      <c r="E129" s="69"/>
      <c r="F129" s="69"/>
      <c r="G129" s="69"/>
      <c r="H129" s="69"/>
      <c r="I129" s="69"/>
      <c r="J129" s="69"/>
      <c r="K129" s="69"/>
      <c r="L129" s="69"/>
      <c r="M129" s="69"/>
      <c r="N129" s="69"/>
      <c r="O129" s="69"/>
      <c r="P129" s="69"/>
    </row>
    <row r="130" spans="1:16" ht="15.75">
      <c r="A130" s="128" t="s">
        <v>20</v>
      </c>
      <c r="B130" s="128" t="s">
        <v>21</v>
      </c>
      <c r="C130" s="128" t="s">
        <v>73</v>
      </c>
      <c r="D130" s="128" t="s">
        <v>18</v>
      </c>
      <c r="E130" s="128" t="s">
        <v>22</v>
      </c>
      <c r="F130" s="128" t="s">
        <v>7</v>
      </c>
      <c r="G130" s="128" t="s">
        <v>13</v>
      </c>
      <c r="H130" s="128" t="s">
        <v>16</v>
      </c>
      <c r="I130" s="128" t="s">
        <v>23</v>
      </c>
      <c r="J130" s="128" t="s">
        <v>24</v>
      </c>
      <c r="K130" s="128" t="s">
        <v>25</v>
      </c>
      <c r="L130" s="128" t="s">
        <v>26</v>
      </c>
      <c r="M130" s="128" t="s">
        <v>27</v>
      </c>
      <c r="N130" s="128" t="s">
        <v>28</v>
      </c>
      <c r="O130" s="128" t="s">
        <v>11</v>
      </c>
      <c r="P130" s="128" t="s">
        <v>91</v>
      </c>
    </row>
    <row r="131" spans="1:16" ht="15.75">
      <c r="A131" s="127" t="str">
        <f>B121</f>
        <v>treatment of steel, fuselage, airframe, conventional, Short-Term</v>
      </c>
      <c r="B131" s="127">
        <v>1</v>
      </c>
      <c r="C131" s="127"/>
      <c r="D131" s="127" t="s">
        <v>39</v>
      </c>
      <c r="E131" s="69" t="s">
        <v>2</v>
      </c>
      <c r="F131" s="69" t="s">
        <v>163</v>
      </c>
      <c r="G131" s="127" t="s">
        <v>86</v>
      </c>
      <c r="H131" s="69" t="s">
        <v>30</v>
      </c>
      <c r="I131" s="69">
        <v>0</v>
      </c>
      <c r="J131" s="127" t="s">
        <v>31</v>
      </c>
      <c r="K131" s="127" t="s">
        <v>31</v>
      </c>
      <c r="L131" s="127" t="s">
        <v>31</v>
      </c>
      <c r="M131" s="127" t="s">
        <v>31</v>
      </c>
      <c r="N131" s="127" t="s">
        <v>31</v>
      </c>
      <c r="O131" s="127" t="s">
        <v>196</v>
      </c>
      <c r="P131" s="69"/>
    </row>
    <row r="132" spans="1:16" ht="15.75">
      <c r="A132" t="s">
        <v>173</v>
      </c>
      <c r="B132" s="113">
        <v>-0.85</v>
      </c>
      <c r="C132" s="127"/>
      <c r="D132" s="127" t="s">
        <v>39</v>
      </c>
      <c r="E132" s="129" t="s">
        <v>40</v>
      </c>
      <c r="F132" s="69" t="s">
        <v>163</v>
      </c>
      <c r="G132" s="127" t="s">
        <v>117</v>
      </c>
      <c r="H132" s="69" t="s">
        <v>33</v>
      </c>
      <c r="I132" s="69">
        <v>0</v>
      </c>
      <c r="J132" s="127" t="s">
        <v>31</v>
      </c>
      <c r="K132" s="127" t="s">
        <v>31</v>
      </c>
      <c r="L132" s="127" t="s">
        <v>31</v>
      </c>
      <c r="M132" s="127" t="s">
        <v>31</v>
      </c>
      <c r="N132" s="127" t="s">
        <v>31</v>
      </c>
      <c r="O132" s="69"/>
      <c r="P132" s="69"/>
    </row>
    <row r="133" spans="1:16" ht="15.75">
      <c r="A133" t="s">
        <v>174</v>
      </c>
      <c r="B133" s="113">
        <f>0.9*B132</f>
        <v>-0.76500000000000001</v>
      </c>
      <c r="C133" s="127"/>
      <c r="D133" s="127" t="s">
        <v>39</v>
      </c>
      <c r="E133" s="129" t="s">
        <v>40</v>
      </c>
      <c r="F133" s="69" t="s">
        <v>163</v>
      </c>
      <c r="G133" s="127" t="s">
        <v>86</v>
      </c>
      <c r="H133" s="69" t="s">
        <v>110</v>
      </c>
      <c r="I133" s="69">
        <v>0</v>
      </c>
      <c r="J133" s="127" t="s">
        <v>31</v>
      </c>
      <c r="K133" s="127" t="s">
        <v>31</v>
      </c>
      <c r="L133" s="127" t="s">
        <v>31</v>
      </c>
      <c r="M133" s="127" t="s">
        <v>31</v>
      </c>
      <c r="N133" s="127" t="s">
        <v>31</v>
      </c>
      <c r="O133" s="69"/>
      <c r="P133" s="69" t="s">
        <v>175</v>
      </c>
    </row>
    <row r="134" spans="1:16" ht="16.5" customHeight="1">
      <c r="A134" t="s">
        <v>112</v>
      </c>
      <c r="B134" s="113">
        <f>-(1-B133)</f>
        <v>-1.7650000000000001</v>
      </c>
      <c r="D134" t="s">
        <v>39</v>
      </c>
      <c r="E134" s="129" t="s">
        <v>40</v>
      </c>
      <c r="F134" s="69" t="s">
        <v>163</v>
      </c>
      <c r="G134" t="s">
        <v>86</v>
      </c>
      <c r="H134" t="s">
        <v>33</v>
      </c>
      <c r="I134">
        <v>0</v>
      </c>
      <c r="J134" t="s">
        <v>31</v>
      </c>
      <c r="K134" t="s">
        <v>31</v>
      </c>
      <c r="L134" t="s">
        <v>31</v>
      </c>
      <c r="M134" t="s">
        <v>31</v>
      </c>
      <c r="N134" t="s">
        <v>31</v>
      </c>
      <c r="O134" s="17"/>
      <c r="P134" s="69" t="s">
        <v>176</v>
      </c>
    </row>
    <row r="135" spans="1:16" s="67" customFormat="1" ht="15.75">
      <c r="A135" s="124" t="s">
        <v>5</v>
      </c>
      <c r="B135" s="124" t="s">
        <v>197</v>
      </c>
      <c r="C135" s="124"/>
      <c r="D135" s="66"/>
      <c r="E135" s="125"/>
      <c r="F135" s="125"/>
      <c r="G135" s="125"/>
      <c r="H135" s="125"/>
      <c r="I135" s="125"/>
      <c r="J135" s="125"/>
      <c r="K135" s="125"/>
      <c r="L135" s="125"/>
      <c r="M135" s="125"/>
      <c r="N135" s="125"/>
      <c r="O135" s="125"/>
      <c r="P135" s="125"/>
    </row>
    <row r="136" spans="1:16">
      <c r="A136" s="69" t="s">
        <v>7</v>
      </c>
      <c r="B136" s="69" t="s">
        <v>93</v>
      </c>
      <c r="C136" s="69"/>
      <c r="D136" s="69"/>
      <c r="E136" s="69"/>
      <c r="F136" s="69"/>
      <c r="G136" s="69"/>
      <c r="H136" s="69"/>
      <c r="I136" s="69"/>
      <c r="J136" s="69"/>
      <c r="K136" s="69"/>
      <c r="L136" s="69"/>
      <c r="M136" s="69"/>
      <c r="N136" s="69"/>
      <c r="O136" s="69"/>
      <c r="P136" s="69"/>
    </row>
    <row r="137" spans="1:16">
      <c r="A137" s="69" t="s">
        <v>9</v>
      </c>
      <c r="B137" s="126" t="s">
        <v>198</v>
      </c>
      <c r="C137" s="69"/>
      <c r="D137" s="69"/>
      <c r="E137" s="69"/>
      <c r="F137" s="69"/>
      <c r="G137" s="69"/>
      <c r="H137" s="69"/>
      <c r="I137" s="69"/>
      <c r="J137" s="69"/>
      <c r="K137" s="69"/>
      <c r="L137" s="69"/>
      <c r="M137" s="69"/>
      <c r="N137" s="69"/>
      <c r="O137" s="69"/>
      <c r="P137" s="69"/>
    </row>
    <row r="138" spans="1:16">
      <c r="A138" s="69" t="s">
        <v>11</v>
      </c>
      <c r="B138" s="69" t="s">
        <v>162</v>
      </c>
      <c r="C138" s="69"/>
      <c r="D138" s="69"/>
      <c r="E138" s="69"/>
      <c r="F138" s="69"/>
      <c r="G138" s="69"/>
      <c r="H138" s="69"/>
      <c r="I138" s="69"/>
      <c r="J138" s="69"/>
      <c r="K138" s="69"/>
      <c r="L138" s="69"/>
      <c r="M138" s="69"/>
      <c r="N138" s="69"/>
      <c r="O138" s="69"/>
      <c r="P138" s="69"/>
    </row>
    <row r="139" spans="1:16">
      <c r="A139" s="69" t="s">
        <v>13</v>
      </c>
      <c r="B139" s="69" t="s">
        <v>86</v>
      </c>
      <c r="C139" s="69"/>
      <c r="D139" s="69"/>
      <c r="E139" s="69"/>
      <c r="F139" s="69"/>
      <c r="G139" s="69"/>
      <c r="H139" s="69"/>
      <c r="I139" s="69"/>
      <c r="J139" s="69"/>
      <c r="K139" s="69"/>
      <c r="L139" s="69"/>
      <c r="M139" s="69"/>
      <c r="N139" s="69"/>
      <c r="O139" s="69"/>
      <c r="P139" s="69"/>
    </row>
    <row r="140" spans="1:16">
      <c r="A140" s="69" t="s">
        <v>15</v>
      </c>
      <c r="B140" s="69">
        <v>1</v>
      </c>
      <c r="C140" s="69"/>
      <c r="D140" s="69"/>
      <c r="E140" s="69"/>
      <c r="F140" s="69"/>
      <c r="G140" s="69"/>
      <c r="H140" s="69"/>
      <c r="I140" s="69"/>
      <c r="J140" s="69"/>
      <c r="K140" s="69"/>
      <c r="L140" s="69"/>
      <c r="M140" s="69"/>
      <c r="N140" s="69"/>
      <c r="O140" s="69"/>
      <c r="P140" s="69"/>
    </row>
    <row r="141" spans="1:16">
      <c r="A141" s="69" t="s">
        <v>16</v>
      </c>
      <c r="B141" s="69" t="s">
        <v>17</v>
      </c>
      <c r="C141" s="69"/>
      <c r="D141" s="69"/>
      <c r="E141" s="69"/>
      <c r="F141" s="69"/>
      <c r="G141" s="69"/>
      <c r="H141" s="69"/>
      <c r="I141" s="69"/>
      <c r="J141" s="69"/>
      <c r="K141" s="69"/>
      <c r="L141" s="69"/>
      <c r="M141" s="69"/>
      <c r="N141" s="69"/>
      <c r="O141" s="69"/>
      <c r="P141" s="69"/>
    </row>
    <row r="142" spans="1:16" ht="15.75">
      <c r="A142" s="69" t="s">
        <v>18</v>
      </c>
      <c r="B142" s="127" t="s">
        <v>39</v>
      </c>
      <c r="C142" s="69"/>
      <c r="D142" s="69"/>
      <c r="E142" s="69" t="s">
        <v>90</v>
      </c>
      <c r="F142" s="69"/>
      <c r="G142" s="69"/>
      <c r="H142" s="69"/>
      <c r="I142" s="69"/>
      <c r="J142" s="69"/>
      <c r="K142" s="69"/>
      <c r="L142" s="69"/>
      <c r="M142" s="69"/>
      <c r="N142" s="69"/>
      <c r="O142" s="69"/>
      <c r="P142" s="69"/>
    </row>
    <row r="143" spans="1:16" ht="15.75">
      <c r="A143" s="128" t="s">
        <v>19</v>
      </c>
      <c r="B143" s="69"/>
      <c r="C143" s="69"/>
      <c r="D143" s="69"/>
      <c r="E143" s="69"/>
      <c r="F143" s="69"/>
      <c r="G143" s="69"/>
      <c r="H143" s="69"/>
      <c r="I143" s="69"/>
      <c r="J143" s="69"/>
      <c r="K143" s="69"/>
      <c r="L143" s="69"/>
      <c r="M143" s="69"/>
      <c r="N143" s="69"/>
      <c r="O143" s="69"/>
      <c r="P143" s="69"/>
    </row>
    <row r="144" spans="1:16" ht="15.75">
      <c r="A144" s="128" t="s">
        <v>20</v>
      </c>
      <c r="B144" s="128" t="s">
        <v>21</v>
      </c>
      <c r="C144" s="128" t="s">
        <v>73</v>
      </c>
      <c r="D144" s="128" t="s">
        <v>18</v>
      </c>
      <c r="E144" s="128" t="s">
        <v>22</v>
      </c>
      <c r="F144" s="128" t="s">
        <v>7</v>
      </c>
      <c r="G144" s="128" t="s">
        <v>13</v>
      </c>
      <c r="H144" s="128" t="s">
        <v>16</v>
      </c>
      <c r="I144" s="128" t="s">
        <v>23</v>
      </c>
      <c r="J144" s="128" t="s">
        <v>24</v>
      </c>
      <c r="K144" s="128" t="s">
        <v>25</v>
      </c>
      <c r="L144" s="128" t="s">
        <v>26</v>
      </c>
      <c r="M144" s="128" t="s">
        <v>27</v>
      </c>
      <c r="N144" s="128" t="s">
        <v>28</v>
      </c>
      <c r="O144" s="128" t="s">
        <v>11</v>
      </c>
      <c r="P144" s="128" t="s">
        <v>91</v>
      </c>
    </row>
    <row r="145" spans="1:22" ht="15.75">
      <c r="A145" s="127" t="str">
        <f>B135</f>
        <v>treatment of titanium, fuselage, airframe, conventional, Short-Term</v>
      </c>
      <c r="B145" s="127">
        <v>1</v>
      </c>
      <c r="C145" s="127"/>
      <c r="D145" s="127" t="s">
        <v>39</v>
      </c>
      <c r="E145" s="69" t="s">
        <v>2</v>
      </c>
      <c r="F145" s="69" t="s">
        <v>163</v>
      </c>
      <c r="G145" s="127" t="s">
        <v>86</v>
      </c>
      <c r="H145" s="69" t="s">
        <v>30</v>
      </c>
      <c r="I145" s="69">
        <v>0</v>
      </c>
      <c r="J145" s="127" t="s">
        <v>31</v>
      </c>
      <c r="K145" s="127" t="s">
        <v>31</v>
      </c>
      <c r="L145" s="127" t="s">
        <v>31</v>
      </c>
      <c r="M145" s="127" t="s">
        <v>31</v>
      </c>
      <c r="N145" s="127" t="s">
        <v>31</v>
      </c>
      <c r="O145" s="127" t="s">
        <v>172</v>
      </c>
      <c r="P145" s="69"/>
    </row>
    <row r="146" spans="1:22">
      <c r="A146" t="s">
        <v>97</v>
      </c>
      <c r="B146">
        <f>U146</f>
        <v>19.0000152</v>
      </c>
      <c r="D146" t="s">
        <v>98</v>
      </c>
      <c r="E146" t="s">
        <v>40</v>
      </c>
      <c r="F146" s="69" t="s">
        <v>163</v>
      </c>
      <c r="G146" t="s">
        <v>86</v>
      </c>
      <c r="H146" t="s">
        <v>33</v>
      </c>
      <c r="I146">
        <v>2</v>
      </c>
      <c r="J146">
        <v>9.398101209</v>
      </c>
      <c r="K146">
        <v>0.30331501799999999</v>
      </c>
      <c r="L146" t="s">
        <v>31</v>
      </c>
      <c r="M146" t="s">
        <v>31</v>
      </c>
      <c r="N146" t="s">
        <v>31</v>
      </c>
      <c r="O146" t="s">
        <v>199</v>
      </c>
      <c r="P146" t="s">
        <v>200</v>
      </c>
      <c r="Q146" s="22" t="s">
        <v>179</v>
      </c>
      <c r="S146" s="22">
        <f>114*0.6</f>
        <v>68.399999999999991</v>
      </c>
      <c r="T146" s="22" t="s">
        <v>103</v>
      </c>
      <c r="U146" s="22">
        <f>S146*0.277778</f>
        <v>19.0000152</v>
      </c>
      <c r="V146" s="22" t="s">
        <v>104</v>
      </c>
    </row>
    <row r="147" spans="1:22">
      <c r="A147" t="s">
        <v>105</v>
      </c>
      <c r="B147">
        <f>U147</f>
        <v>1.1906005221932117</v>
      </c>
      <c r="D147" t="s">
        <v>50</v>
      </c>
      <c r="E147" t="s">
        <v>40</v>
      </c>
      <c r="F147" s="69" t="s">
        <v>163</v>
      </c>
      <c r="G147" t="s">
        <v>106</v>
      </c>
      <c r="H147" t="s">
        <v>33</v>
      </c>
      <c r="I147">
        <v>2</v>
      </c>
      <c r="J147">
        <v>6.6281192500000001</v>
      </c>
      <c r="K147">
        <v>0.30331501799999999</v>
      </c>
      <c r="L147" t="s">
        <v>31</v>
      </c>
      <c r="M147" t="s">
        <v>31</v>
      </c>
      <c r="N147" t="s">
        <v>31</v>
      </c>
      <c r="O147" t="s">
        <v>201</v>
      </c>
      <c r="P147" t="s">
        <v>202</v>
      </c>
      <c r="Q147" s="22" t="s">
        <v>180</v>
      </c>
      <c r="S147" s="22">
        <f>114*0.4</f>
        <v>45.6</v>
      </c>
      <c r="T147" s="22" t="s">
        <v>103</v>
      </c>
      <c r="U147" s="22">
        <f>S147/38.3</f>
        <v>1.1906005221932117</v>
      </c>
      <c r="V147" s="22" t="s">
        <v>108</v>
      </c>
    </row>
    <row r="148" spans="1:22" ht="15.75">
      <c r="A148" t="s">
        <v>112</v>
      </c>
      <c r="B148" s="113">
        <f>-1</f>
        <v>-1</v>
      </c>
      <c r="D148" t="s">
        <v>39</v>
      </c>
      <c r="E148" s="129" t="s">
        <v>40</v>
      </c>
      <c r="F148" s="69" t="s">
        <v>163</v>
      </c>
      <c r="G148" t="s">
        <v>86</v>
      </c>
      <c r="H148" t="s">
        <v>33</v>
      </c>
      <c r="I148">
        <v>0</v>
      </c>
      <c r="J148" t="s">
        <v>31</v>
      </c>
      <c r="K148" t="s">
        <v>31</v>
      </c>
      <c r="L148" t="s">
        <v>31</v>
      </c>
      <c r="M148" t="s">
        <v>31</v>
      </c>
      <c r="N148" t="s">
        <v>31</v>
      </c>
      <c r="O148" s="17"/>
      <c r="P148" s="69" t="s">
        <v>203</v>
      </c>
    </row>
    <row r="149" spans="1:22" s="67" customFormat="1" ht="15.75">
      <c r="A149" s="124" t="s">
        <v>5</v>
      </c>
      <c r="B149" s="124" t="s">
        <v>204</v>
      </c>
      <c r="C149" s="124"/>
      <c r="D149" s="66"/>
      <c r="E149" s="125"/>
      <c r="F149" s="125"/>
      <c r="G149" s="125"/>
      <c r="H149" s="125"/>
      <c r="I149" s="125"/>
      <c r="J149" s="125"/>
      <c r="K149" s="125"/>
      <c r="L149" s="125"/>
      <c r="M149" s="125"/>
      <c r="N149" s="125"/>
      <c r="O149" s="125"/>
      <c r="P149" s="125"/>
    </row>
    <row r="150" spans="1:22">
      <c r="A150" s="69" t="s">
        <v>7</v>
      </c>
      <c r="B150" s="69" t="s">
        <v>93</v>
      </c>
      <c r="C150" s="69"/>
      <c r="D150" s="69"/>
      <c r="E150" s="69"/>
      <c r="F150" s="69"/>
      <c r="G150" s="69"/>
      <c r="H150" s="69"/>
      <c r="I150" s="69"/>
      <c r="J150" s="69"/>
      <c r="K150" s="69"/>
      <c r="L150" s="69"/>
      <c r="M150" s="69"/>
      <c r="N150" s="69"/>
      <c r="O150" s="69"/>
      <c r="P150" s="69"/>
    </row>
    <row r="151" spans="1:22">
      <c r="A151" s="69" t="s">
        <v>9</v>
      </c>
      <c r="B151" s="126" t="s">
        <v>205</v>
      </c>
      <c r="C151" s="69"/>
      <c r="D151" s="69"/>
      <c r="E151" s="69"/>
      <c r="F151" s="69"/>
      <c r="G151" s="69"/>
      <c r="H151" s="69"/>
      <c r="I151" s="69"/>
      <c r="J151" s="69"/>
      <c r="K151" s="69"/>
      <c r="L151" s="69"/>
      <c r="M151" s="69"/>
      <c r="N151" s="69"/>
      <c r="O151" s="69"/>
      <c r="P151" s="69"/>
    </row>
    <row r="152" spans="1:22">
      <c r="A152" s="69" t="s">
        <v>11</v>
      </c>
      <c r="B152" s="69" t="s">
        <v>162</v>
      </c>
      <c r="C152" s="69"/>
      <c r="D152" s="69"/>
      <c r="E152" s="69"/>
      <c r="F152" s="69"/>
      <c r="G152" s="69"/>
      <c r="H152" s="69"/>
      <c r="I152" s="69"/>
      <c r="J152" s="69"/>
      <c r="K152" s="69"/>
      <c r="L152" s="69"/>
      <c r="M152" s="69"/>
      <c r="N152" s="69"/>
      <c r="O152" s="69"/>
      <c r="P152" s="69"/>
    </row>
    <row r="153" spans="1:22">
      <c r="A153" s="69" t="s">
        <v>13</v>
      </c>
      <c r="B153" s="69" t="s">
        <v>86</v>
      </c>
      <c r="C153" s="69"/>
      <c r="D153" s="69"/>
      <c r="E153" s="69"/>
      <c r="F153" s="69"/>
      <c r="G153" s="69"/>
      <c r="H153" s="69"/>
      <c r="I153" s="69"/>
      <c r="J153" s="69"/>
      <c r="K153" s="69"/>
      <c r="L153" s="69"/>
      <c r="M153" s="69"/>
      <c r="N153" s="69"/>
      <c r="O153" s="69"/>
      <c r="P153" s="69"/>
    </row>
    <row r="154" spans="1:22">
      <c r="A154" s="69" t="s">
        <v>15</v>
      </c>
      <c r="B154" s="69">
        <v>1</v>
      </c>
      <c r="C154" s="69"/>
      <c r="D154" s="69"/>
      <c r="E154" s="69"/>
      <c r="F154" s="69"/>
      <c r="G154" s="69"/>
      <c r="H154" s="69"/>
      <c r="I154" s="69"/>
      <c r="J154" s="69"/>
      <c r="K154" s="69"/>
      <c r="L154" s="69"/>
      <c r="M154" s="69"/>
      <c r="N154" s="69"/>
      <c r="O154" s="69"/>
      <c r="P154" s="69"/>
    </row>
    <row r="155" spans="1:22">
      <c r="A155" s="69" t="s">
        <v>16</v>
      </c>
      <c r="B155" s="69" t="s">
        <v>17</v>
      </c>
      <c r="C155" s="69"/>
      <c r="D155" s="69"/>
      <c r="E155" s="69"/>
      <c r="F155" s="69"/>
      <c r="G155" s="69"/>
      <c r="H155" s="69"/>
      <c r="I155" s="69"/>
      <c r="J155" s="69"/>
      <c r="K155" s="69"/>
      <c r="L155" s="69"/>
      <c r="M155" s="69"/>
      <c r="N155" s="69"/>
      <c r="O155" s="69"/>
      <c r="P155" s="69"/>
    </row>
    <row r="156" spans="1:22" ht="15.75">
      <c r="A156" s="69" t="s">
        <v>18</v>
      </c>
      <c r="B156" s="127" t="s">
        <v>39</v>
      </c>
      <c r="C156" s="69"/>
      <c r="D156" s="69"/>
      <c r="E156" s="69" t="s">
        <v>90</v>
      </c>
      <c r="F156" s="69"/>
      <c r="G156" s="69"/>
      <c r="H156" s="69"/>
      <c r="I156" s="69"/>
      <c r="J156" s="69"/>
      <c r="K156" s="69"/>
      <c r="L156" s="69"/>
      <c r="M156" s="69"/>
      <c r="N156" s="69"/>
      <c r="O156" s="69"/>
      <c r="P156" s="69"/>
    </row>
    <row r="157" spans="1:22" ht="15.75">
      <c r="A157" s="128" t="s">
        <v>19</v>
      </c>
      <c r="B157" s="69"/>
      <c r="C157" s="69"/>
      <c r="D157" s="69"/>
      <c r="E157" s="69"/>
      <c r="F157" s="69"/>
      <c r="G157" s="69"/>
      <c r="H157" s="69"/>
      <c r="I157" s="69"/>
      <c r="J157" s="69"/>
      <c r="K157" s="69"/>
      <c r="L157" s="69"/>
      <c r="M157" s="69"/>
      <c r="N157" s="69"/>
      <c r="O157" s="69"/>
      <c r="P157" s="69"/>
    </row>
    <row r="158" spans="1:22" ht="15.75">
      <c r="A158" s="128" t="s">
        <v>20</v>
      </c>
      <c r="B158" s="128" t="s">
        <v>21</v>
      </c>
      <c r="C158" s="128" t="s">
        <v>73</v>
      </c>
      <c r="D158" s="128" t="s">
        <v>18</v>
      </c>
      <c r="E158" s="128" t="s">
        <v>22</v>
      </c>
      <c r="F158" s="128" t="s">
        <v>7</v>
      </c>
      <c r="G158" s="128" t="s">
        <v>13</v>
      </c>
      <c r="H158" s="128" t="s">
        <v>16</v>
      </c>
      <c r="I158" s="128" t="s">
        <v>23</v>
      </c>
      <c r="J158" s="128" t="s">
        <v>24</v>
      </c>
      <c r="K158" s="128" t="s">
        <v>25</v>
      </c>
      <c r="L158" s="128" t="s">
        <v>26</v>
      </c>
      <c r="M158" s="128" t="s">
        <v>27</v>
      </c>
      <c r="N158" s="128" t="s">
        <v>28</v>
      </c>
      <c r="O158" s="128" t="s">
        <v>11</v>
      </c>
      <c r="P158" s="128" t="s">
        <v>91</v>
      </c>
    </row>
    <row r="159" spans="1:22" ht="15.75">
      <c r="A159" s="127" t="str">
        <f>B149</f>
        <v>treatment of frunishing and, operative equipment, airframe, conventional, Short-Term</v>
      </c>
      <c r="B159" s="127">
        <v>1</v>
      </c>
      <c r="C159" s="127"/>
      <c r="D159" s="127" t="s">
        <v>39</v>
      </c>
      <c r="E159" s="69" t="s">
        <v>2</v>
      </c>
      <c r="F159" s="69" t="s">
        <v>163</v>
      </c>
      <c r="G159" s="127" t="s">
        <v>86</v>
      </c>
      <c r="H159" s="69" t="s">
        <v>30</v>
      </c>
      <c r="I159" s="69">
        <v>0</v>
      </c>
      <c r="J159" s="127" t="s">
        <v>31</v>
      </c>
      <c r="K159" s="127" t="s">
        <v>31</v>
      </c>
      <c r="L159" s="127" t="s">
        <v>31</v>
      </c>
      <c r="M159" s="127" t="s">
        <v>31</v>
      </c>
      <c r="N159" s="127" t="s">
        <v>31</v>
      </c>
      <c r="O159" s="127"/>
      <c r="P159" s="69"/>
    </row>
    <row r="160" spans="1:22" ht="15.75">
      <c r="A160" t="str">
        <f>B91</f>
        <v>treatment of aluminium, fuselage, airframe, conventional, Short-Term</v>
      </c>
      <c r="B160">
        <v>430.15800000000013</v>
      </c>
      <c r="D160" s="127" t="s">
        <v>39</v>
      </c>
      <c r="E160" s="69" t="s">
        <v>2</v>
      </c>
      <c r="F160" s="69" t="s">
        <v>163</v>
      </c>
      <c r="G160" s="127" t="s">
        <v>86</v>
      </c>
      <c r="H160" s="69" t="s">
        <v>30</v>
      </c>
      <c r="I160" s="69">
        <v>0</v>
      </c>
      <c r="J160" s="127" t="s">
        <v>31</v>
      </c>
      <c r="K160" s="127" t="s">
        <v>31</v>
      </c>
      <c r="L160" s="127" t="s">
        <v>31</v>
      </c>
      <c r="M160" s="127" t="s">
        <v>31</v>
      </c>
      <c r="N160" s="127" t="s">
        <v>31</v>
      </c>
      <c r="O160" s="127" t="s">
        <v>206</v>
      </c>
    </row>
    <row r="161" spans="1:16" ht="15.75">
      <c r="A161" s="129" t="s">
        <v>157</v>
      </c>
      <c r="B161" s="69">
        <v>420.41844479999997</v>
      </c>
      <c r="D161" t="s">
        <v>39</v>
      </c>
      <c r="E161" s="130" t="s">
        <v>40</v>
      </c>
      <c r="F161" s="69" t="s">
        <v>163</v>
      </c>
      <c r="G161" t="s">
        <v>117</v>
      </c>
      <c r="H161" t="s">
        <v>33</v>
      </c>
      <c r="I161" s="69">
        <v>0</v>
      </c>
      <c r="J161" s="127" t="s">
        <v>31</v>
      </c>
      <c r="K161" s="127" t="s">
        <v>31</v>
      </c>
      <c r="L161" s="127" t="s">
        <v>31</v>
      </c>
      <c r="M161" s="127" t="s">
        <v>31</v>
      </c>
      <c r="N161" s="127" t="s">
        <v>31</v>
      </c>
      <c r="O161" s="127" t="s">
        <v>207</v>
      </c>
    </row>
    <row r="162" spans="1:16">
      <c r="A162" t="s">
        <v>112</v>
      </c>
      <c r="B162" s="113">
        <v>-47.819000000000003</v>
      </c>
      <c r="D162" t="s">
        <v>39</v>
      </c>
      <c r="E162" s="129" t="s">
        <v>40</v>
      </c>
      <c r="F162" s="69" t="s">
        <v>163</v>
      </c>
      <c r="G162" t="s">
        <v>86</v>
      </c>
      <c r="H162" t="s">
        <v>33</v>
      </c>
      <c r="I162">
        <v>0</v>
      </c>
      <c r="J162" t="s">
        <v>31</v>
      </c>
      <c r="K162" t="s">
        <v>31</v>
      </c>
      <c r="L162" t="s">
        <v>31</v>
      </c>
      <c r="M162" t="s">
        <v>31</v>
      </c>
      <c r="N162" t="s">
        <v>31</v>
      </c>
      <c r="O162" s="69" t="s">
        <v>208</v>
      </c>
    </row>
    <row r="163" spans="1:16">
      <c r="A163" t="s">
        <v>112</v>
      </c>
      <c r="B163">
        <v>-7.3369999999999997</v>
      </c>
      <c r="D163" t="s">
        <v>39</v>
      </c>
      <c r="E163" s="129" t="s">
        <v>40</v>
      </c>
      <c r="F163" s="69" t="s">
        <v>163</v>
      </c>
      <c r="G163" t="s">
        <v>86</v>
      </c>
      <c r="H163" t="s">
        <v>33</v>
      </c>
      <c r="I163">
        <v>0</v>
      </c>
      <c r="J163" t="s">
        <v>31</v>
      </c>
      <c r="K163" t="s">
        <v>31</v>
      </c>
      <c r="L163" t="s">
        <v>31</v>
      </c>
      <c r="M163" t="s">
        <v>31</v>
      </c>
      <c r="N163" t="s">
        <v>31</v>
      </c>
      <c r="O163" s="69" t="s">
        <v>209</v>
      </c>
    </row>
    <row r="164" spans="1:16" ht="15.75">
      <c r="A164" s="129" t="s">
        <v>157</v>
      </c>
      <c r="B164" s="69">
        <v>133.7013024</v>
      </c>
      <c r="D164" t="s">
        <v>39</v>
      </c>
      <c r="E164" s="130" t="s">
        <v>40</v>
      </c>
      <c r="F164" s="69" t="s">
        <v>163</v>
      </c>
      <c r="G164" t="s">
        <v>117</v>
      </c>
      <c r="H164" t="s">
        <v>33</v>
      </c>
      <c r="I164" s="69">
        <v>0</v>
      </c>
      <c r="J164" s="127" t="s">
        <v>31</v>
      </c>
      <c r="K164" s="127" t="s">
        <v>31</v>
      </c>
      <c r="L164" s="127" t="s">
        <v>31</v>
      </c>
      <c r="M164" s="127" t="s">
        <v>31</v>
      </c>
      <c r="N164" s="127" t="s">
        <v>31</v>
      </c>
      <c r="O164" s="127" t="s">
        <v>210</v>
      </c>
    </row>
    <row r="165" spans="1:16" ht="15.75">
      <c r="A165" s="129" t="s">
        <v>157</v>
      </c>
      <c r="B165" s="69">
        <v>10</v>
      </c>
      <c r="D165" t="s">
        <v>39</v>
      </c>
      <c r="E165" s="130" t="s">
        <v>40</v>
      </c>
      <c r="F165" s="69" t="s">
        <v>163</v>
      </c>
      <c r="G165" t="s">
        <v>117</v>
      </c>
      <c r="H165" t="s">
        <v>33</v>
      </c>
      <c r="I165" s="69">
        <v>0</v>
      </c>
      <c r="J165" s="127" t="s">
        <v>31</v>
      </c>
      <c r="K165" s="127" t="s">
        <v>31</v>
      </c>
      <c r="L165" s="127" t="s">
        <v>31</v>
      </c>
      <c r="M165" s="127" t="s">
        <v>31</v>
      </c>
      <c r="N165" s="127" t="s">
        <v>31</v>
      </c>
      <c r="O165" s="127" t="s">
        <v>211</v>
      </c>
    </row>
    <row r="166" spans="1:16" ht="15.75">
      <c r="A166" s="129" t="s">
        <v>157</v>
      </c>
      <c r="B166" s="69">
        <v>10.5</v>
      </c>
      <c r="D166" t="s">
        <v>39</v>
      </c>
      <c r="E166" s="130" t="s">
        <v>40</v>
      </c>
      <c r="F166" s="69" t="s">
        <v>163</v>
      </c>
      <c r="G166" t="s">
        <v>117</v>
      </c>
      <c r="H166" t="s">
        <v>33</v>
      </c>
      <c r="I166" s="69">
        <v>0</v>
      </c>
      <c r="J166" s="127" t="s">
        <v>31</v>
      </c>
      <c r="K166" s="127" t="s">
        <v>31</v>
      </c>
      <c r="L166" s="127" t="s">
        <v>31</v>
      </c>
      <c r="M166" s="127" t="s">
        <v>31</v>
      </c>
      <c r="N166" s="127" t="s">
        <v>31</v>
      </c>
      <c r="O166" s="127" t="s">
        <v>212</v>
      </c>
    </row>
    <row r="167" spans="1:16" ht="15.75">
      <c r="A167" t="s">
        <v>112</v>
      </c>
      <c r="B167" s="69">
        <v>-6.26</v>
      </c>
      <c r="D167" t="s">
        <v>39</v>
      </c>
      <c r="E167" s="129" t="s">
        <v>40</v>
      </c>
      <c r="F167" s="69" t="s">
        <v>163</v>
      </c>
      <c r="G167" t="s">
        <v>86</v>
      </c>
      <c r="H167" t="s">
        <v>33</v>
      </c>
      <c r="I167">
        <v>0</v>
      </c>
      <c r="J167" t="s">
        <v>31</v>
      </c>
      <c r="K167" t="s">
        <v>31</v>
      </c>
      <c r="L167" t="s">
        <v>31</v>
      </c>
      <c r="M167" t="s">
        <v>31</v>
      </c>
      <c r="N167" t="s">
        <v>31</v>
      </c>
      <c r="O167" s="127" t="s">
        <v>213</v>
      </c>
    </row>
    <row r="168" spans="1:16">
      <c r="A168" t="s">
        <v>112</v>
      </c>
      <c r="B168" s="69">
        <v>-15.526999999999999</v>
      </c>
      <c r="D168" t="s">
        <v>39</v>
      </c>
      <c r="E168" s="129" t="s">
        <v>40</v>
      </c>
      <c r="F168" s="69" t="s">
        <v>163</v>
      </c>
      <c r="G168" t="s">
        <v>86</v>
      </c>
      <c r="H168" t="s">
        <v>33</v>
      </c>
      <c r="I168">
        <v>0</v>
      </c>
      <c r="J168" t="s">
        <v>31</v>
      </c>
      <c r="K168" t="s">
        <v>31</v>
      </c>
      <c r="L168" t="s">
        <v>31</v>
      </c>
      <c r="M168" t="s">
        <v>31</v>
      </c>
      <c r="N168" t="s">
        <v>31</v>
      </c>
      <c r="O168" s="69" t="s">
        <v>214</v>
      </c>
    </row>
    <row r="169" spans="1:16" s="134" customFormat="1" ht="15.75">
      <c r="A169" s="131" t="s">
        <v>5</v>
      </c>
      <c r="B169" s="131" t="s">
        <v>215</v>
      </c>
      <c r="C169" s="131"/>
      <c r="D169" s="132"/>
      <c r="E169" s="133"/>
      <c r="F169" s="133"/>
      <c r="G169" s="133"/>
      <c r="H169" s="133"/>
      <c r="I169" s="133"/>
      <c r="J169" s="133"/>
      <c r="K169" s="133"/>
      <c r="L169" s="133"/>
      <c r="M169" s="133"/>
      <c r="N169" s="133"/>
      <c r="O169" s="133"/>
      <c r="P169" s="133"/>
    </row>
    <row r="170" spans="1:16">
      <c r="A170" s="69" t="s">
        <v>7</v>
      </c>
      <c r="B170" s="69" t="s">
        <v>93</v>
      </c>
      <c r="C170" s="69"/>
      <c r="D170" s="69"/>
      <c r="E170" s="69"/>
      <c r="F170" s="69"/>
      <c r="G170" s="69"/>
      <c r="H170" s="69"/>
      <c r="I170" s="69"/>
      <c r="J170" s="69"/>
      <c r="K170" s="69"/>
      <c r="L170" s="69"/>
      <c r="M170" s="69"/>
      <c r="N170" s="69"/>
      <c r="O170" s="69"/>
      <c r="P170" s="69"/>
    </row>
    <row r="171" spans="1:16">
      <c r="A171" s="69" t="s">
        <v>9</v>
      </c>
      <c r="B171" s="126" t="s">
        <v>216</v>
      </c>
      <c r="C171" s="69"/>
      <c r="D171" s="69"/>
      <c r="E171" s="69"/>
      <c r="F171" s="69"/>
      <c r="G171" s="69"/>
      <c r="H171" s="69"/>
      <c r="I171" s="69"/>
      <c r="J171" s="69"/>
      <c r="K171" s="69"/>
      <c r="L171" s="69"/>
      <c r="M171" s="69"/>
      <c r="N171" s="69"/>
      <c r="O171" s="69"/>
      <c r="P171" s="69"/>
    </row>
    <row r="172" spans="1:16">
      <c r="A172" s="69" t="s">
        <v>11</v>
      </c>
      <c r="B172" s="69" t="s">
        <v>217</v>
      </c>
      <c r="C172" s="69"/>
      <c r="D172" s="69"/>
      <c r="E172" s="69"/>
      <c r="F172" s="69"/>
      <c r="G172" s="69"/>
      <c r="H172" s="69"/>
      <c r="I172" s="69"/>
      <c r="J172" s="69"/>
      <c r="K172" s="69"/>
      <c r="L172" s="69"/>
      <c r="M172" s="69"/>
      <c r="N172" s="69"/>
      <c r="O172" s="69"/>
      <c r="P172" s="69"/>
    </row>
    <row r="173" spans="1:16">
      <c r="A173" s="69" t="s">
        <v>13</v>
      </c>
      <c r="B173" s="69" t="s">
        <v>86</v>
      </c>
      <c r="C173" s="69"/>
      <c r="D173" s="69"/>
      <c r="E173" s="69"/>
      <c r="F173" s="69"/>
      <c r="G173" s="69"/>
      <c r="H173" s="69"/>
      <c r="I173" s="69"/>
      <c r="J173" s="69"/>
      <c r="K173" s="69"/>
      <c r="L173" s="69"/>
      <c r="M173" s="69"/>
      <c r="N173" s="69"/>
      <c r="O173" s="69"/>
      <c r="P173" s="69"/>
    </row>
    <row r="174" spans="1:16">
      <c r="A174" s="69" t="s">
        <v>15</v>
      </c>
      <c r="B174" s="69">
        <v>1</v>
      </c>
      <c r="C174" s="69"/>
      <c r="D174" s="69"/>
      <c r="E174" s="69"/>
      <c r="F174" s="69"/>
      <c r="G174" s="69"/>
      <c r="H174" s="69"/>
      <c r="I174" s="69"/>
      <c r="J174" s="69"/>
      <c r="K174" s="69"/>
      <c r="L174" s="69"/>
      <c r="M174" s="69"/>
      <c r="N174" s="69"/>
      <c r="O174" s="69"/>
      <c r="P174" s="69"/>
    </row>
    <row r="175" spans="1:16">
      <c r="A175" s="69" t="s">
        <v>16</v>
      </c>
      <c r="B175" s="69" t="s">
        <v>17</v>
      </c>
      <c r="C175" s="69"/>
      <c r="D175" s="69"/>
      <c r="E175" s="69"/>
      <c r="F175" s="69"/>
      <c r="G175" s="69"/>
      <c r="H175" s="69"/>
      <c r="I175" s="69"/>
      <c r="J175" s="69"/>
      <c r="K175" s="69"/>
      <c r="L175" s="69"/>
      <c r="M175" s="69"/>
      <c r="N175" s="69"/>
      <c r="O175" s="69"/>
      <c r="P175" s="69"/>
    </row>
    <row r="176" spans="1:16" ht="15.75">
      <c r="A176" s="69" t="s">
        <v>18</v>
      </c>
      <c r="B176" s="127" t="s">
        <v>18</v>
      </c>
      <c r="C176" s="69"/>
      <c r="D176" s="69"/>
      <c r="E176" s="69" t="s">
        <v>90</v>
      </c>
      <c r="F176" s="69"/>
      <c r="G176" s="69"/>
      <c r="H176" s="69"/>
      <c r="I176" s="69"/>
      <c r="J176" s="69"/>
      <c r="K176" s="69"/>
      <c r="L176" s="69"/>
      <c r="M176" s="69"/>
      <c r="N176" s="69"/>
      <c r="O176" s="69"/>
      <c r="P176" s="69"/>
    </row>
    <row r="177" spans="1:16" ht="15.75">
      <c r="A177" s="128" t="s">
        <v>19</v>
      </c>
      <c r="B177" s="69"/>
      <c r="C177" s="69"/>
      <c r="D177" s="69"/>
      <c r="E177" s="69"/>
      <c r="F177" s="69"/>
      <c r="G177" s="69"/>
      <c r="H177" s="69"/>
      <c r="I177" s="69"/>
      <c r="J177" s="69"/>
      <c r="K177" s="69"/>
      <c r="L177" s="69"/>
      <c r="M177" s="69"/>
      <c r="N177" s="69"/>
      <c r="O177" s="69"/>
      <c r="P177" s="69"/>
    </row>
    <row r="178" spans="1:16" ht="15.75">
      <c r="A178" s="128" t="s">
        <v>20</v>
      </c>
      <c r="B178" s="128" t="s">
        <v>21</v>
      </c>
      <c r="C178" s="128" t="s">
        <v>73</v>
      </c>
      <c r="D178" s="128" t="s">
        <v>18</v>
      </c>
      <c r="E178" s="128" t="s">
        <v>22</v>
      </c>
      <c r="F178" s="128" t="s">
        <v>7</v>
      </c>
      <c r="G178" s="128" t="s">
        <v>13</v>
      </c>
      <c r="H178" s="128" t="s">
        <v>16</v>
      </c>
      <c r="I178" s="128" t="s">
        <v>23</v>
      </c>
      <c r="J178" s="128" t="s">
        <v>24</v>
      </c>
      <c r="K178" s="128" t="s">
        <v>25</v>
      </c>
      <c r="L178" s="128" t="s">
        <v>26</v>
      </c>
      <c r="M178" s="128" t="s">
        <v>27</v>
      </c>
      <c r="N178" s="128" t="s">
        <v>28</v>
      </c>
      <c r="O178" s="128" t="s">
        <v>11</v>
      </c>
      <c r="P178" s="128" t="s">
        <v>91</v>
      </c>
    </row>
    <row r="179" spans="1:16" ht="15.75">
      <c r="A179" s="127" t="str">
        <f>B169</f>
        <v>treatment wing , airframe, conventional, Short-Term</v>
      </c>
      <c r="B179">
        <v>1</v>
      </c>
      <c r="C179" s="127"/>
      <c r="D179" s="127" t="s">
        <v>18</v>
      </c>
      <c r="E179" s="69" t="s">
        <v>2</v>
      </c>
      <c r="F179" s="69" t="s">
        <v>163</v>
      </c>
      <c r="G179" s="127" t="s">
        <v>86</v>
      </c>
      <c r="H179" s="69" t="s">
        <v>30</v>
      </c>
      <c r="I179" s="69">
        <v>0</v>
      </c>
      <c r="J179" s="127" t="s">
        <v>31</v>
      </c>
      <c r="K179" s="127" t="s">
        <v>31</v>
      </c>
      <c r="L179" s="127" t="s">
        <v>31</v>
      </c>
      <c r="M179" s="127" t="s">
        <v>31</v>
      </c>
      <c r="N179" s="127" t="s">
        <v>31</v>
      </c>
      <c r="O179" s="127"/>
      <c r="P179" s="69"/>
    </row>
    <row r="180" spans="1:16" ht="15.75">
      <c r="A180" t="str">
        <f>B2</f>
        <v>treatment of aluminium, wing, airframe, conventional, Short-Term</v>
      </c>
      <c r="B180" s="127">
        <v>1547.50288</v>
      </c>
      <c r="C180" s="127"/>
      <c r="D180" s="127" t="s">
        <v>39</v>
      </c>
      <c r="E180" s="69" t="s">
        <v>2</v>
      </c>
      <c r="F180" s="69" t="s">
        <v>163</v>
      </c>
      <c r="G180" s="127" t="s">
        <v>86</v>
      </c>
      <c r="H180" s="69" t="s">
        <v>33</v>
      </c>
      <c r="I180" s="69">
        <v>0</v>
      </c>
      <c r="J180" s="127" t="s">
        <v>31</v>
      </c>
      <c r="K180" s="127" t="s">
        <v>31</v>
      </c>
      <c r="L180" s="127" t="s">
        <v>31</v>
      </c>
      <c r="M180" s="127" t="s">
        <v>31</v>
      </c>
      <c r="N180" s="127" t="s">
        <v>31</v>
      </c>
    </row>
    <row r="181" spans="1:16" ht="15.75">
      <c r="A181" t="str">
        <f>B17</f>
        <v>treatment of CFRP, wing, airframe, conventional, Short-Term</v>
      </c>
      <c r="B181" s="127">
        <v>141.25056000000001</v>
      </c>
      <c r="C181" s="127"/>
      <c r="D181" s="127" t="s">
        <v>39</v>
      </c>
      <c r="E181" s="69" t="s">
        <v>2</v>
      </c>
      <c r="F181" s="69" t="s">
        <v>163</v>
      </c>
      <c r="G181" s="127" t="s">
        <v>86</v>
      </c>
      <c r="H181" s="69" t="s">
        <v>33</v>
      </c>
      <c r="I181" s="69">
        <v>0</v>
      </c>
      <c r="J181" s="127" t="s">
        <v>31</v>
      </c>
      <c r="K181" s="127" t="s">
        <v>31</v>
      </c>
      <c r="L181" s="127" t="s">
        <v>31</v>
      </c>
      <c r="M181" s="127" t="s">
        <v>31</v>
      </c>
      <c r="N181" s="127" t="s">
        <v>31</v>
      </c>
    </row>
    <row r="182" spans="1:16" ht="15.75">
      <c r="A182" t="str">
        <f>B32</f>
        <v>treatment of steel, wing, airframe, conventional, Short-Term</v>
      </c>
      <c r="B182" s="127">
        <v>52.04936</v>
      </c>
      <c r="C182" s="127"/>
      <c r="D182" s="127" t="s">
        <v>39</v>
      </c>
      <c r="E182" s="69" t="s">
        <v>2</v>
      </c>
      <c r="F182" s="69" t="s">
        <v>163</v>
      </c>
      <c r="G182" s="127" t="s">
        <v>86</v>
      </c>
      <c r="H182" s="69" t="s">
        <v>33</v>
      </c>
      <c r="I182" s="69">
        <v>0</v>
      </c>
      <c r="J182" s="127" t="s">
        <v>31</v>
      </c>
      <c r="K182" s="127" t="s">
        <v>31</v>
      </c>
      <c r="L182" s="127" t="s">
        <v>31</v>
      </c>
      <c r="M182" s="127" t="s">
        <v>31</v>
      </c>
      <c r="N182" s="127" t="s">
        <v>31</v>
      </c>
    </row>
    <row r="183" spans="1:16" ht="15.75">
      <c r="A183" t="str">
        <f>B46</f>
        <v>treatment of titanium, wing, airframe, conventional, Short-Term</v>
      </c>
      <c r="B183" s="127">
        <v>98.397199999999998</v>
      </c>
      <c r="C183" s="127"/>
      <c r="D183" s="127" t="s">
        <v>39</v>
      </c>
      <c r="E183" s="69" t="s">
        <v>2</v>
      </c>
      <c r="F183" s="69" t="s">
        <v>163</v>
      </c>
      <c r="G183" s="127" t="s">
        <v>86</v>
      </c>
      <c r="H183" s="69" t="s">
        <v>33</v>
      </c>
      <c r="I183" s="69">
        <v>0</v>
      </c>
      <c r="J183" s="127" t="s">
        <v>31</v>
      </c>
      <c r="K183" s="127" t="s">
        <v>31</v>
      </c>
      <c r="L183" s="127" t="s">
        <v>31</v>
      </c>
      <c r="M183" s="127" t="s">
        <v>31</v>
      </c>
      <c r="N183" s="127" t="s">
        <v>31</v>
      </c>
    </row>
    <row r="184" spans="1:16" s="134" customFormat="1" ht="15.75">
      <c r="A184" s="131" t="s">
        <v>5</v>
      </c>
      <c r="B184" s="131" t="s">
        <v>218</v>
      </c>
      <c r="C184" s="131"/>
      <c r="D184" s="132"/>
      <c r="E184" s="133"/>
      <c r="F184" s="133"/>
      <c r="G184" s="133"/>
      <c r="H184" s="133"/>
      <c r="I184" s="133"/>
      <c r="J184" s="133"/>
      <c r="K184" s="133"/>
      <c r="L184" s="133"/>
      <c r="M184" s="133"/>
      <c r="N184" s="133"/>
      <c r="O184" s="133"/>
      <c r="P184" s="133"/>
    </row>
    <row r="185" spans="1:16">
      <c r="A185" s="69" t="s">
        <v>7</v>
      </c>
      <c r="B185" s="69" t="s">
        <v>93</v>
      </c>
      <c r="C185" s="69"/>
      <c r="D185" s="69"/>
      <c r="E185" s="69"/>
      <c r="F185" s="69"/>
      <c r="G185" s="69"/>
      <c r="H185" s="69"/>
      <c r="I185" s="69"/>
      <c r="J185" s="69"/>
      <c r="K185" s="69"/>
      <c r="L185" s="69"/>
      <c r="M185" s="69"/>
      <c r="N185" s="69"/>
      <c r="O185" s="69"/>
      <c r="P185" s="69"/>
    </row>
    <row r="186" spans="1:16">
      <c r="A186" s="69" t="s">
        <v>9</v>
      </c>
      <c r="B186" s="126" t="s">
        <v>219</v>
      </c>
      <c r="C186" s="69"/>
      <c r="D186" s="69"/>
      <c r="E186" s="69"/>
      <c r="F186" s="69"/>
      <c r="G186" s="69"/>
      <c r="H186" s="69"/>
      <c r="I186" s="69"/>
      <c r="J186" s="69"/>
      <c r="K186" s="69"/>
      <c r="L186" s="69"/>
      <c r="M186" s="69"/>
      <c r="N186" s="69"/>
      <c r="O186" s="69"/>
      <c r="P186" s="69"/>
    </row>
    <row r="187" spans="1:16">
      <c r="A187" s="69" t="s">
        <v>11</v>
      </c>
      <c r="B187" s="69" t="s">
        <v>217</v>
      </c>
      <c r="C187" s="69"/>
      <c r="D187" s="69"/>
      <c r="E187" s="69"/>
      <c r="F187" s="69"/>
      <c r="G187" s="69"/>
      <c r="H187" s="69"/>
      <c r="I187" s="69"/>
      <c r="J187" s="69"/>
      <c r="K187" s="69"/>
      <c r="L187" s="69"/>
      <c r="M187" s="69"/>
      <c r="N187" s="69"/>
      <c r="O187" s="69"/>
      <c r="P187" s="69"/>
    </row>
    <row r="188" spans="1:16">
      <c r="A188" s="69" t="s">
        <v>13</v>
      </c>
      <c r="B188" s="69" t="s">
        <v>86</v>
      </c>
      <c r="C188" s="69"/>
      <c r="D188" s="69"/>
      <c r="E188" s="69"/>
      <c r="F188" s="69"/>
      <c r="G188" s="69"/>
      <c r="H188" s="69"/>
      <c r="I188" s="69"/>
      <c r="J188" s="69"/>
      <c r="K188" s="69"/>
      <c r="L188" s="69"/>
      <c r="M188" s="69"/>
      <c r="N188" s="69"/>
      <c r="O188" s="69"/>
      <c r="P188" s="69"/>
    </row>
    <row r="189" spans="1:16">
      <c r="A189" s="69" t="s">
        <v>15</v>
      </c>
      <c r="B189" s="69">
        <v>1</v>
      </c>
      <c r="C189" s="69"/>
      <c r="D189" s="69"/>
      <c r="E189" s="69"/>
      <c r="F189" s="69"/>
      <c r="G189" s="69"/>
      <c r="H189" s="69"/>
      <c r="I189" s="69"/>
      <c r="J189" s="69"/>
      <c r="K189" s="69"/>
      <c r="L189" s="69"/>
      <c r="M189" s="69"/>
      <c r="N189" s="69"/>
      <c r="O189" s="69"/>
      <c r="P189" s="69"/>
    </row>
    <row r="190" spans="1:16">
      <c r="A190" s="69" t="s">
        <v>16</v>
      </c>
      <c r="B190" s="69" t="s">
        <v>17</v>
      </c>
      <c r="C190" s="69"/>
      <c r="D190" s="69"/>
      <c r="E190" s="69"/>
      <c r="F190" s="69"/>
      <c r="G190" s="69"/>
      <c r="H190" s="69"/>
      <c r="I190" s="69"/>
      <c r="J190" s="69"/>
      <c r="K190" s="69"/>
      <c r="L190" s="69"/>
      <c r="M190" s="69"/>
      <c r="N190" s="69"/>
      <c r="O190" s="69"/>
      <c r="P190" s="69"/>
    </row>
    <row r="191" spans="1:16" ht="15.75">
      <c r="A191" s="69" t="s">
        <v>18</v>
      </c>
      <c r="B191" s="127" t="s">
        <v>18</v>
      </c>
      <c r="C191" s="69"/>
      <c r="D191" s="69"/>
      <c r="E191" s="69" t="s">
        <v>90</v>
      </c>
      <c r="F191" s="69"/>
      <c r="G191" s="69"/>
      <c r="H191" s="69"/>
      <c r="I191" s="69"/>
      <c r="J191" s="69"/>
      <c r="K191" s="69"/>
      <c r="L191" s="69"/>
      <c r="M191" s="69"/>
      <c r="N191" s="69"/>
      <c r="O191" s="69"/>
      <c r="P191" s="69"/>
    </row>
    <row r="192" spans="1:16" ht="15.75">
      <c r="A192" s="128" t="s">
        <v>19</v>
      </c>
      <c r="B192" s="69"/>
      <c r="C192" s="69"/>
      <c r="D192" s="69"/>
      <c r="E192" s="69"/>
      <c r="F192" s="69"/>
      <c r="G192" s="69"/>
      <c r="H192" s="69"/>
      <c r="I192" s="69"/>
      <c r="J192" s="69"/>
      <c r="K192" s="69"/>
      <c r="L192" s="69"/>
      <c r="M192" s="69"/>
      <c r="N192" s="69"/>
      <c r="O192" s="69"/>
      <c r="P192" s="69"/>
    </row>
    <row r="193" spans="1:16" ht="15.75">
      <c r="A193" s="128" t="s">
        <v>20</v>
      </c>
      <c r="B193" s="128" t="s">
        <v>21</v>
      </c>
      <c r="C193" s="128" t="s">
        <v>73</v>
      </c>
      <c r="D193" s="128" t="s">
        <v>18</v>
      </c>
      <c r="E193" s="128" t="s">
        <v>22</v>
      </c>
      <c r="F193" s="128" t="s">
        <v>7</v>
      </c>
      <c r="G193" s="128" t="s">
        <v>13</v>
      </c>
      <c r="H193" s="128" t="s">
        <v>16</v>
      </c>
      <c r="I193" s="128" t="s">
        <v>23</v>
      </c>
      <c r="J193" s="128" t="s">
        <v>24</v>
      </c>
      <c r="K193" s="128" t="s">
        <v>25</v>
      </c>
      <c r="L193" s="128" t="s">
        <v>26</v>
      </c>
      <c r="M193" s="128" t="s">
        <v>27</v>
      </c>
      <c r="N193" s="128" t="s">
        <v>28</v>
      </c>
      <c r="O193" s="128" t="s">
        <v>11</v>
      </c>
      <c r="P193" s="128" t="s">
        <v>91</v>
      </c>
    </row>
    <row r="194" spans="1:16" ht="15.75">
      <c r="A194" s="127" t="str">
        <f>B184</f>
        <v>treatment tail , airframe, conventional, Short-Term</v>
      </c>
      <c r="B194">
        <v>1</v>
      </c>
      <c r="C194" s="127"/>
      <c r="D194" s="127" t="s">
        <v>18</v>
      </c>
      <c r="E194" s="69" t="s">
        <v>2</v>
      </c>
      <c r="F194" s="69" t="s">
        <v>163</v>
      </c>
      <c r="G194" s="127" t="s">
        <v>86</v>
      </c>
      <c r="H194" s="69" t="s">
        <v>30</v>
      </c>
      <c r="I194" s="69">
        <v>0</v>
      </c>
      <c r="J194" s="127" t="s">
        <v>31</v>
      </c>
      <c r="K194" s="127" t="s">
        <v>31</v>
      </c>
      <c r="L194" s="127" t="s">
        <v>31</v>
      </c>
      <c r="M194" s="127" t="s">
        <v>31</v>
      </c>
      <c r="N194" s="127" t="s">
        <v>31</v>
      </c>
      <c r="O194" s="127"/>
      <c r="P194" s="69"/>
    </row>
    <row r="195" spans="1:16" ht="15.75">
      <c r="A195" t="str">
        <f>B61</f>
        <v>treatment of aluminium, tail, airframe, conventional, Short-Term</v>
      </c>
      <c r="B195">
        <v>19.66918678</v>
      </c>
      <c r="D195" s="127" t="s">
        <v>39</v>
      </c>
      <c r="E195" s="69" t="s">
        <v>2</v>
      </c>
      <c r="F195" s="69" t="s">
        <v>163</v>
      </c>
      <c r="G195" s="127" t="s">
        <v>86</v>
      </c>
      <c r="H195" s="69" t="s">
        <v>33</v>
      </c>
      <c r="I195" s="69">
        <v>0</v>
      </c>
      <c r="J195" s="127" t="s">
        <v>31</v>
      </c>
      <c r="K195" s="127" t="s">
        <v>31</v>
      </c>
      <c r="L195" s="127" t="s">
        <v>31</v>
      </c>
      <c r="M195" s="127" t="s">
        <v>31</v>
      </c>
      <c r="N195" s="127" t="s">
        <v>31</v>
      </c>
    </row>
    <row r="196" spans="1:16" ht="15.75">
      <c r="A196" t="str">
        <f>B76</f>
        <v>treatment of composites, tail, airframe, conventional, Short-Term</v>
      </c>
      <c r="B196">
        <v>326.05808060000004</v>
      </c>
      <c r="D196" s="127" t="s">
        <v>39</v>
      </c>
      <c r="E196" s="69" t="s">
        <v>2</v>
      </c>
      <c r="F196" s="69" t="s">
        <v>163</v>
      </c>
      <c r="G196" s="127" t="s">
        <v>86</v>
      </c>
      <c r="H196" s="69" t="s">
        <v>33</v>
      </c>
      <c r="I196" s="69">
        <v>0</v>
      </c>
      <c r="J196" s="127" t="s">
        <v>31</v>
      </c>
      <c r="K196" s="127" t="s">
        <v>31</v>
      </c>
      <c r="L196" s="127" t="s">
        <v>31</v>
      </c>
      <c r="M196" s="127" t="s">
        <v>31</v>
      </c>
      <c r="N196" s="127" t="s">
        <v>31</v>
      </c>
      <c r="O196" s="127" t="s">
        <v>220</v>
      </c>
    </row>
    <row r="197" spans="1:16" ht="15.75">
      <c r="A197" t="str">
        <f>B76</f>
        <v>treatment of composites, tail, airframe, conventional, Short-Term</v>
      </c>
      <c r="B197">
        <v>112.67273255900001</v>
      </c>
      <c r="D197" s="127" t="s">
        <v>39</v>
      </c>
      <c r="E197" s="69" t="s">
        <v>2</v>
      </c>
      <c r="F197" s="69" t="s">
        <v>163</v>
      </c>
      <c r="G197" s="127" t="s">
        <v>86</v>
      </c>
      <c r="H197" s="69" t="s">
        <v>33</v>
      </c>
      <c r="I197" s="69">
        <v>0</v>
      </c>
      <c r="J197" s="127" t="s">
        <v>31</v>
      </c>
      <c r="K197" s="127" t="s">
        <v>31</v>
      </c>
      <c r="L197" s="127" t="s">
        <v>31</v>
      </c>
      <c r="M197" s="127" t="s">
        <v>31</v>
      </c>
      <c r="N197" s="127" t="s">
        <v>31</v>
      </c>
      <c r="O197" s="127" t="s">
        <v>221</v>
      </c>
    </row>
    <row r="198" spans="1:16" s="134" customFormat="1" ht="15.75">
      <c r="A198" s="131" t="s">
        <v>5</v>
      </c>
      <c r="B198" s="131" t="s">
        <v>222</v>
      </c>
      <c r="C198" s="131"/>
      <c r="D198" s="132"/>
      <c r="E198" s="133"/>
      <c r="F198" s="133"/>
      <c r="G198" s="133"/>
      <c r="H198" s="133"/>
      <c r="I198" s="133"/>
      <c r="J198" s="133"/>
      <c r="K198" s="133"/>
      <c r="L198" s="133"/>
      <c r="M198" s="133"/>
      <c r="N198" s="133"/>
      <c r="O198" s="133"/>
      <c r="P198" s="133"/>
    </row>
    <row r="199" spans="1:16">
      <c r="A199" s="69" t="s">
        <v>7</v>
      </c>
      <c r="B199" s="69" t="s">
        <v>93</v>
      </c>
      <c r="C199" s="69"/>
      <c r="D199" s="69"/>
      <c r="E199" s="69"/>
      <c r="F199" s="69"/>
      <c r="G199" s="69"/>
      <c r="H199" s="69"/>
      <c r="I199" s="69"/>
      <c r="J199" s="69"/>
      <c r="K199" s="69"/>
      <c r="L199" s="69"/>
      <c r="M199" s="69"/>
      <c r="N199" s="69"/>
      <c r="O199" s="69"/>
      <c r="P199" s="69"/>
    </row>
    <row r="200" spans="1:16">
      <c r="A200" s="69" t="s">
        <v>9</v>
      </c>
      <c r="B200" s="126" t="s">
        <v>223</v>
      </c>
      <c r="C200" s="69"/>
      <c r="D200" s="69"/>
      <c r="E200" s="69"/>
      <c r="F200" s="69"/>
      <c r="G200" s="69"/>
      <c r="H200" s="69"/>
      <c r="I200" s="69"/>
      <c r="J200" s="69"/>
      <c r="K200" s="69"/>
      <c r="L200" s="69"/>
      <c r="M200" s="69"/>
      <c r="N200" s="69"/>
      <c r="O200" s="69"/>
      <c r="P200" s="69"/>
    </row>
    <row r="201" spans="1:16">
      <c r="A201" s="69" t="s">
        <v>11</v>
      </c>
      <c r="B201" s="69" t="s">
        <v>217</v>
      </c>
      <c r="C201" s="69"/>
      <c r="D201" s="69"/>
      <c r="E201" s="69"/>
      <c r="F201" s="69"/>
      <c r="G201" s="69"/>
      <c r="H201" s="69"/>
      <c r="I201" s="69"/>
      <c r="J201" s="69"/>
      <c r="K201" s="69"/>
      <c r="L201" s="69"/>
      <c r="M201" s="69"/>
      <c r="N201" s="69"/>
      <c r="O201" s="69"/>
      <c r="P201" s="69"/>
    </row>
    <row r="202" spans="1:16">
      <c r="A202" s="69" t="s">
        <v>13</v>
      </c>
      <c r="B202" s="69" t="s">
        <v>86</v>
      </c>
      <c r="C202" s="69"/>
      <c r="D202" s="69"/>
      <c r="E202" s="69"/>
      <c r="F202" s="69"/>
      <c r="G202" s="69"/>
      <c r="H202" s="69"/>
      <c r="I202" s="69"/>
      <c r="J202" s="69"/>
      <c r="K202" s="69"/>
      <c r="L202" s="69"/>
      <c r="M202" s="69"/>
      <c r="N202" s="69"/>
      <c r="O202" s="69"/>
      <c r="P202" s="69"/>
    </row>
    <row r="203" spans="1:16">
      <c r="A203" s="69" t="s">
        <v>15</v>
      </c>
      <c r="B203" s="69">
        <v>1</v>
      </c>
      <c r="C203" s="69"/>
      <c r="D203" s="69"/>
      <c r="E203" s="69"/>
      <c r="F203" s="69"/>
      <c r="G203" s="69"/>
      <c r="H203" s="69"/>
      <c r="I203" s="69"/>
      <c r="J203" s="69"/>
      <c r="K203" s="69"/>
      <c r="L203" s="69"/>
      <c r="M203" s="69"/>
      <c r="N203" s="69"/>
      <c r="O203" s="69"/>
      <c r="P203" s="69"/>
    </row>
    <row r="204" spans="1:16">
      <c r="A204" s="69" t="s">
        <v>16</v>
      </c>
      <c r="B204" s="69" t="s">
        <v>17</v>
      </c>
      <c r="C204" s="69"/>
      <c r="D204" s="69"/>
      <c r="E204" s="69"/>
      <c r="F204" s="69"/>
      <c r="G204" s="69"/>
      <c r="H204" s="69"/>
      <c r="I204" s="69"/>
      <c r="J204" s="69"/>
      <c r="K204" s="69"/>
      <c r="L204" s="69"/>
      <c r="M204" s="69"/>
      <c r="N204" s="69"/>
      <c r="O204" s="69"/>
      <c r="P204" s="69"/>
    </row>
    <row r="205" spans="1:16" ht="15.75">
      <c r="A205" s="69" t="s">
        <v>18</v>
      </c>
      <c r="B205" s="127" t="s">
        <v>18</v>
      </c>
      <c r="C205" s="69"/>
      <c r="D205" s="69"/>
      <c r="E205" s="69" t="s">
        <v>90</v>
      </c>
      <c r="F205" s="69"/>
      <c r="G205" s="69"/>
      <c r="H205" s="69"/>
      <c r="I205" s="69"/>
      <c r="J205" s="69"/>
      <c r="K205" s="69"/>
      <c r="L205" s="69"/>
      <c r="M205" s="69"/>
      <c r="N205" s="69"/>
      <c r="O205" s="69"/>
      <c r="P205" s="69"/>
    </row>
    <row r="206" spans="1:16" ht="15.75">
      <c r="A206" s="128" t="s">
        <v>19</v>
      </c>
      <c r="B206" s="69"/>
      <c r="C206" s="69"/>
      <c r="D206" s="69"/>
      <c r="E206" s="69"/>
      <c r="F206" s="69"/>
      <c r="G206" s="69"/>
      <c r="H206" s="69"/>
      <c r="I206" s="69"/>
      <c r="J206" s="69"/>
      <c r="K206" s="69"/>
      <c r="L206" s="69"/>
      <c r="M206" s="69"/>
      <c r="N206" s="69"/>
      <c r="O206" s="69"/>
      <c r="P206" s="69"/>
    </row>
    <row r="207" spans="1:16" ht="15.75">
      <c r="A207" s="128" t="s">
        <v>20</v>
      </c>
      <c r="B207" s="128" t="s">
        <v>21</v>
      </c>
      <c r="C207" s="128" t="s">
        <v>73</v>
      </c>
      <c r="D207" s="128" t="s">
        <v>18</v>
      </c>
      <c r="E207" s="128" t="s">
        <v>22</v>
      </c>
      <c r="F207" s="128" t="s">
        <v>7</v>
      </c>
      <c r="G207" s="128" t="s">
        <v>13</v>
      </c>
      <c r="H207" s="128" t="s">
        <v>16</v>
      </c>
      <c r="I207" s="128" t="s">
        <v>23</v>
      </c>
      <c r="J207" s="128" t="s">
        <v>24</v>
      </c>
      <c r="K207" s="128" t="s">
        <v>25</v>
      </c>
      <c r="L207" s="128" t="s">
        <v>26</v>
      </c>
      <c r="M207" s="128" t="s">
        <v>27</v>
      </c>
      <c r="N207" s="128" t="s">
        <v>28</v>
      </c>
      <c r="O207" s="128" t="s">
        <v>11</v>
      </c>
      <c r="P207" s="128" t="s">
        <v>91</v>
      </c>
    </row>
    <row r="208" spans="1:16" ht="15.75">
      <c r="A208" s="127" t="str">
        <f>B198</f>
        <v>treatment fuselage , airframe, conventional, Short-Term</v>
      </c>
      <c r="B208">
        <v>1</v>
      </c>
      <c r="C208" s="127"/>
      <c r="D208" s="127" t="s">
        <v>18</v>
      </c>
      <c r="E208" s="69" t="s">
        <v>2</v>
      </c>
      <c r="F208" s="69" t="s">
        <v>163</v>
      </c>
      <c r="G208" s="127" t="s">
        <v>86</v>
      </c>
      <c r="H208" s="69" t="s">
        <v>30</v>
      </c>
      <c r="I208" s="69">
        <v>0</v>
      </c>
      <c r="J208" s="127" t="s">
        <v>31</v>
      </c>
      <c r="K208" s="127" t="s">
        <v>31</v>
      </c>
      <c r="L208" s="127" t="s">
        <v>31</v>
      </c>
      <c r="M208" s="127" t="s">
        <v>31</v>
      </c>
      <c r="N208" s="127" t="s">
        <v>31</v>
      </c>
      <c r="O208" s="127"/>
      <c r="P208" s="69"/>
    </row>
    <row r="209" spans="1:16" ht="15.75">
      <c r="A209" t="str">
        <f>B91</f>
        <v>treatment of aluminium, fuselage, airframe, conventional, Short-Term</v>
      </c>
      <c r="B209">
        <v>2118.0749478570001</v>
      </c>
      <c r="D209" s="127" t="s">
        <v>39</v>
      </c>
      <c r="E209" s="69" t="s">
        <v>2</v>
      </c>
      <c r="F209" s="69" t="s">
        <v>163</v>
      </c>
      <c r="G209" s="127" t="s">
        <v>86</v>
      </c>
      <c r="H209" s="69" t="s">
        <v>33</v>
      </c>
      <c r="I209" s="69">
        <v>0</v>
      </c>
      <c r="J209" s="127" t="s">
        <v>31</v>
      </c>
      <c r="K209" s="127" t="s">
        <v>31</v>
      </c>
      <c r="L209" s="127" t="s">
        <v>31</v>
      </c>
      <c r="M209" s="127" t="s">
        <v>31</v>
      </c>
      <c r="N209" s="127" t="s">
        <v>31</v>
      </c>
    </row>
    <row r="210" spans="1:16" ht="15.75">
      <c r="A210" t="str">
        <f>B106</f>
        <v>treatment of composites, fuselage, airframe, conventional, Short-Term</v>
      </c>
      <c r="B210">
        <v>172.19409657599999</v>
      </c>
      <c r="D210" s="127" t="s">
        <v>39</v>
      </c>
      <c r="E210" s="69" t="s">
        <v>2</v>
      </c>
      <c r="F210" s="69" t="s">
        <v>163</v>
      </c>
      <c r="G210" s="127" t="s">
        <v>86</v>
      </c>
      <c r="H210" s="69" t="s">
        <v>33</v>
      </c>
      <c r="I210" s="69">
        <v>0</v>
      </c>
      <c r="J210" s="127" t="s">
        <v>31</v>
      </c>
      <c r="K210" s="127" t="s">
        <v>31</v>
      </c>
      <c r="L210" s="127" t="s">
        <v>31</v>
      </c>
      <c r="M210" s="127" t="s">
        <v>31</v>
      </c>
      <c r="N210" s="127" t="s">
        <v>31</v>
      </c>
      <c r="O210" s="127" t="s">
        <v>220</v>
      </c>
    </row>
    <row r="211" spans="1:16" ht="15.75">
      <c r="A211" t="str">
        <f>B106</f>
        <v>treatment of composites, fuselage, airframe, conventional, Short-Term</v>
      </c>
      <c r="B211">
        <v>11.109811329999999</v>
      </c>
      <c r="D211" s="127" t="s">
        <v>39</v>
      </c>
      <c r="E211" s="69" t="s">
        <v>2</v>
      </c>
      <c r="F211" s="69" t="s">
        <v>163</v>
      </c>
      <c r="G211" s="127" t="s">
        <v>86</v>
      </c>
      <c r="H211" s="69" t="s">
        <v>33</v>
      </c>
      <c r="I211" s="69">
        <v>0</v>
      </c>
      <c r="J211" s="127" t="s">
        <v>31</v>
      </c>
      <c r="K211" s="127" t="s">
        <v>31</v>
      </c>
      <c r="L211" s="127" t="s">
        <v>31</v>
      </c>
      <c r="M211" s="127" t="s">
        <v>31</v>
      </c>
      <c r="N211" s="127" t="s">
        <v>31</v>
      </c>
      <c r="O211" s="127" t="s">
        <v>221</v>
      </c>
    </row>
    <row r="212" spans="1:16" ht="15.75">
      <c r="A212" t="str">
        <f>B121</f>
        <v>treatment of steel, fuselage, airframe, conventional, Short-Term</v>
      </c>
      <c r="B212">
        <v>735.71598003999998</v>
      </c>
      <c r="D212" s="127" t="s">
        <v>39</v>
      </c>
      <c r="E212" s="69" t="s">
        <v>2</v>
      </c>
      <c r="F212" s="69" t="s">
        <v>163</v>
      </c>
      <c r="G212" s="127" t="s">
        <v>86</v>
      </c>
      <c r="H212" s="69" t="s">
        <v>33</v>
      </c>
      <c r="I212" s="69">
        <v>0</v>
      </c>
      <c r="J212" s="127" t="s">
        <v>31</v>
      </c>
      <c r="K212" s="127" t="s">
        <v>31</v>
      </c>
      <c r="L212" s="127" t="s">
        <v>31</v>
      </c>
      <c r="M212" s="127" t="s">
        <v>31</v>
      </c>
      <c r="N212" s="127" t="s">
        <v>31</v>
      </c>
    </row>
    <row r="213" spans="1:16" ht="15.75">
      <c r="A213" t="str">
        <f>B135</f>
        <v>treatment of titanium, fuselage, airframe, conventional, Short-Term</v>
      </c>
      <c r="B213">
        <v>150.30516415699998</v>
      </c>
      <c r="D213" s="127" t="s">
        <v>39</v>
      </c>
      <c r="E213" s="69" t="s">
        <v>2</v>
      </c>
      <c r="F213" s="69" t="s">
        <v>163</v>
      </c>
      <c r="G213" s="127" t="s">
        <v>86</v>
      </c>
      <c r="H213" s="69" t="s">
        <v>33</v>
      </c>
      <c r="I213" s="69">
        <v>0</v>
      </c>
      <c r="J213" s="127" t="s">
        <v>31</v>
      </c>
      <c r="K213" s="127" t="s">
        <v>31</v>
      </c>
      <c r="L213" s="127" t="s">
        <v>31</v>
      </c>
      <c r="M213" s="127" t="s">
        <v>31</v>
      </c>
      <c r="N213" s="127" t="s">
        <v>31</v>
      </c>
    </row>
    <row r="214" spans="1:16" s="134" customFormat="1" ht="15.75">
      <c r="A214" s="131" t="s">
        <v>5</v>
      </c>
      <c r="B214" s="131" t="s">
        <v>224</v>
      </c>
      <c r="C214" s="131"/>
      <c r="D214" s="132"/>
      <c r="E214" s="133"/>
      <c r="F214" s="133"/>
      <c r="G214" s="133"/>
      <c r="H214" s="133"/>
      <c r="I214" s="133"/>
      <c r="J214" s="133"/>
      <c r="K214" s="133"/>
      <c r="L214" s="133"/>
      <c r="M214" s="133"/>
      <c r="N214" s="133"/>
      <c r="O214" s="133"/>
      <c r="P214" s="133"/>
    </row>
    <row r="215" spans="1:16">
      <c r="A215" s="69" t="s">
        <v>7</v>
      </c>
      <c r="B215" s="69" t="s">
        <v>93</v>
      </c>
      <c r="C215" s="69"/>
      <c r="D215" s="69"/>
      <c r="E215" s="69"/>
      <c r="F215" s="69"/>
      <c r="G215" s="69"/>
      <c r="H215" s="69"/>
      <c r="I215" s="69"/>
      <c r="J215" s="69"/>
      <c r="K215" s="69"/>
      <c r="L215" s="69"/>
      <c r="M215" s="69"/>
      <c r="N215" s="69"/>
      <c r="O215" s="69"/>
      <c r="P215" s="69"/>
    </row>
    <row r="216" spans="1:16">
      <c r="A216" s="69" t="s">
        <v>9</v>
      </c>
      <c r="B216" s="126" t="s">
        <v>225</v>
      </c>
      <c r="C216" s="69"/>
      <c r="D216" s="69"/>
      <c r="E216" s="69"/>
      <c r="F216" s="69"/>
      <c r="G216" s="69"/>
      <c r="H216" s="69"/>
      <c r="I216" s="69"/>
      <c r="J216" s="69"/>
      <c r="K216" s="69"/>
      <c r="L216" s="69"/>
      <c r="M216" s="69"/>
      <c r="N216" s="69"/>
      <c r="O216" s="69"/>
      <c r="P216" s="69"/>
    </row>
    <row r="217" spans="1:16">
      <c r="A217" s="69" t="s">
        <v>11</v>
      </c>
      <c r="B217" s="69" t="s">
        <v>217</v>
      </c>
      <c r="C217" s="69"/>
      <c r="D217" s="69"/>
      <c r="E217" s="69"/>
      <c r="F217" s="69"/>
      <c r="G217" s="69"/>
      <c r="H217" s="69"/>
      <c r="I217" s="69"/>
      <c r="J217" s="69"/>
      <c r="K217" s="69"/>
      <c r="L217" s="69"/>
      <c r="M217" s="69"/>
      <c r="N217" s="69"/>
      <c r="O217" s="69"/>
      <c r="P217" s="69"/>
    </row>
    <row r="218" spans="1:16">
      <c r="A218" s="69" t="s">
        <v>13</v>
      </c>
      <c r="B218" s="69" t="s">
        <v>86</v>
      </c>
      <c r="C218" s="69"/>
      <c r="D218" s="69"/>
      <c r="E218" s="69"/>
      <c r="F218" s="69"/>
      <c r="G218" s="69"/>
      <c r="H218" s="69"/>
      <c r="I218" s="69"/>
      <c r="J218" s="69"/>
      <c r="K218" s="69"/>
      <c r="L218" s="69"/>
      <c r="M218" s="69"/>
      <c r="N218" s="69"/>
      <c r="O218" s="69"/>
      <c r="P218" s="69"/>
    </row>
    <row r="219" spans="1:16">
      <c r="A219" s="69" t="s">
        <v>15</v>
      </c>
      <c r="B219" s="69">
        <v>1</v>
      </c>
      <c r="C219" s="69"/>
      <c r="D219" s="69"/>
      <c r="E219" s="69"/>
      <c r="F219" s="69"/>
      <c r="G219" s="69"/>
      <c r="H219" s="69"/>
      <c r="I219" s="69"/>
      <c r="J219" s="69"/>
      <c r="K219" s="69"/>
      <c r="L219" s="69"/>
      <c r="M219" s="69"/>
      <c r="N219" s="69"/>
      <c r="O219" s="69"/>
      <c r="P219" s="69"/>
    </row>
    <row r="220" spans="1:16">
      <c r="A220" s="69" t="s">
        <v>16</v>
      </c>
      <c r="B220" s="69" t="s">
        <v>17</v>
      </c>
      <c r="C220" s="69"/>
      <c r="D220" s="69"/>
      <c r="E220" s="69"/>
      <c r="F220" s="69"/>
      <c r="G220" s="69"/>
      <c r="H220" s="69"/>
      <c r="I220" s="69"/>
      <c r="J220" s="69"/>
      <c r="K220" s="69"/>
      <c r="L220" s="69"/>
      <c r="M220" s="69"/>
      <c r="N220" s="69"/>
      <c r="O220" s="69"/>
      <c r="P220" s="69"/>
    </row>
    <row r="221" spans="1:16" ht="15.75">
      <c r="A221" s="69" t="s">
        <v>18</v>
      </c>
      <c r="B221" s="127" t="s">
        <v>18</v>
      </c>
      <c r="C221" s="69"/>
      <c r="D221" s="69"/>
      <c r="E221" s="69" t="s">
        <v>90</v>
      </c>
      <c r="F221" s="69"/>
      <c r="G221" s="69"/>
      <c r="H221" s="69"/>
      <c r="I221" s="69"/>
      <c r="J221" s="69"/>
      <c r="K221" s="69"/>
      <c r="L221" s="69"/>
      <c r="M221" s="69"/>
      <c r="N221" s="69"/>
      <c r="O221" s="69"/>
      <c r="P221" s="69"/>
    </row>
    <row r="222" spans="1:16" ht="15.75">
      <c r="A222" s="128" t="s">
        <v>19</v>
      </c>
      <c r="B222" s="69"/>
      <c r="C222" s="69"/>
      <c r="D222" s="69"/>
      <c r="E222" s="69"/>
      <c r="F222" s="69"/>
      <c r="G222" s="69"/>
      <c r="H222" s="69"/>
      <c r="I222" s="69"/>
      <c r="J222" s="69"/>
      <c r="K222" s="69"/>
      <c r="L222" s="69"/>
      <c r="M222" s="69"/>
      <c r="N222" s="69"/>
      <c r="O222" s="69"/>
      <c r="P222" s="69"/>
    </row>
    <row r="223" spans="1:16" ht="15.75">
      <c r="A223" s="128" t="s">
        <v>20</v>
      </c>
      <c r="B223" s="128" t="s">
        <v>21</v>
      </c>
      <c r="C223" s="128" t="s">
        <v>73</v>
      </c>
      <c r="D223" s="128" t="s">
        <v>18</v>
      </c>
      <c r="E223" s="128" t="s">
        <v>22</v>
      </c>
      <c r="F223" s="128" t="s">
        <v>7</v>
      </c>
      <c r="G223" s="128" t="s">
        <v>13</v>
      </c>
      <c r="H223" s="128" t="s">
        <v>16</v>
      </c>
      <c r="I223" s="128" t="s">
        <v>23</v>
      </c>
      <c r="J223" s="128" t="s">
        <v>24</v>
      </c>
      <c r="K223" s="128" t="s">
        <v>25</v>
      </c>
      <c r="L223" s="128" t="s">
        <v>26</v>
      </c>
      <c r="M223" s="128" t="s">
        <v>27</v>
      </c>
      <c r="N223" s="128" t="s">
        <v>28</v>
      </c>
      <c r="O223" s="128" t="s">
        <v>11</v>
      </c>
      <c r="P223" s="128" t="s">
        <v>91</v>
      </c>
    </row>
    <row r="224" spans="1:16" ht="15.75">
      <c r="A224" s="127" t="str">
        <f>B214</f>
        <v>treatment systems, airframe, conventional, Short-Term</v>
      </c>
      <c r="B224">
        <v>1</v>
      </c>
      <c r="C224" s="127"/>
      <c r="D224" s="127" t="s">
        <v>18</v>
      </c>
      <c r="E224" s="69" t="s">
        <v>2</v>
      </c>
      <c r="F224" s="69" t="s">
        <v>163</v>
      </c>
      <c r="G224" s="127" t="s">
        <v>86</v>
      </c>
      <c r="H224" s="69" t="s">
        <v>30</v>
      </c>
      <c r="I224" s="69">
        <v>0</v>
      </c>
      <c r="J224" s="127" t="s">
        <v>31</v>
      </c>
      <c r="K224" s="127" t="s">
        <v>31</v>
      </c>
      <c r="L224" s="127" t="s">
        <v>31</v>
      </c>
      <c r="M224" s="127" t="s">
        <v>31</v>
      </c>
      <c r="N224" s="127" t="s">
        <v>31</v>
      </c>
      <c r="O224" s="127"/>
      <c r="P224" s="69"/>
    </row>
    <row r="225" spans="1:16" ht="15.75">
      <c r="A225" t="s">
        <v>188</v>
      </c>
      <c r="B225">
        <v>176.72700000000003</v>
      </c>
      <c r="D225" t="s">
        <v>39</v>
      </c>
      <c r="E225" s="69" t="s">
        <v>2</v>
      </c>
      <c r="F225" s="69" t="s">
        <v>163</v>
      </c>
      <c r="G225" s="127" t="s">
        <v>86</v>
      </c>
      <c r="H225" t="s">
        <v>33</v>
      </c>
      <c r="I225" s="69">
        <v>0</v>
      </c>
      <c r="J225" s="127" t="s">
        <v>31</v>
      </c>
      <c r="K225" s="127" t="s">
        <v>31</v>
      </c>
      <c r="L225" s="127" t="s">
        <v>31</v>
      </c>
      <c r="M225" s="127" t="s">
        <v>31</v>
      </c>
      <c r="N225" s="127" t="s">
        <v>31</v>
      </c>
      <c r="O225" t="s">
        <v>226</v>
      </c>
    </row>
    <row r="226" spans="1:16" ht="15.75">
      <c r="A226" t="s">
        <v>191</v>
      </c>
      <c r="B226">
        <v>7.282</v>
      </c>
      <c r="D226" t="s">
        <v>39</v>
      </c>
      <c r="E226" s="69" t="s">
        <v>2</v>
      </c>
      <c r="F226" s="69" t="s">
        <v>163</v>
      </c>
      <c r="G226" s="127" t="s">
        <v>86</v>
      </c>
      <c r="H226" t="s">
        <v>33</v>
      </c>
      <c r="I226" s="69">
        <v>0</v>
      </c>
      <c r="J226" s="127" t="s">
        <v>31</v>
      </c>
      <c r="K226" s="127" t="s">
        <v>31</v>
      </c>
      <c r="L226" s="127" t="s">
        <v>31</v>
      </c>
      <c r="M226" s="127" t="s">
        <v>31</v>
      </c>
      <c r="N226" s="127" t="s">
        <v>31</v>
      </c>
    </row>
    <row r="227" spans="1:16" ht="15.75">
      <c r="A227" s="127" t="s">
        <v>145</v>
      </c>
      <c r="B227" s="127">
        <v>112.366</v>
      </c>
      <c r="C227" s="127"/>
      <c r="D227" t="s">
        <v>39</v>
      </c>
      <c r="E227" s="69" t="s">
        <v>2</v>
      </c>
      <c r="F227" s="69" t="s">
        <v>163</v>
      </c>
      <c r="G227" s="127" t="s">
        <v>86</v>
      </c>
      <c r="H227" t="s">
        <v>33</v>
      </c>
      <c r="I227" s="69">
        <v>0</v>
      </c>
      <c r="J227" s="127" t="s">
        <v>31</v>
      </c>
      <c r="K227" s="127" t="s">
        <v>31</v>
      </c>
      <c r="L227" s="127" t="s">
        <v>31</v>
      </c>
      <c r="M227" s="127" t="s">
        <v>31</v>
      </c>
      <c r="N227" s="127" t="s">
        <v>31</v>
      </c>
      <c r="O227" s="69" t="s">
        <v>227</v>
      </c>
    </row>
    <row r="228" spans="1:16" ht="15.75">
      <c r="A228" t="s">
        <v>228</v>
      </c>
      <c r="B228">
        <v>-1068.5</v>
      </c>
      <c r="D228" t="s">
        <v>39</v>
      </c>
      <c r="E228" s="69" t="s">
        <v>2</v>
      </c>
      <c r="F228" s="69" t="s">
        <v>163</v>
      </c>
      <c r="G228" s="127" t="s">
        <v>117</v>
      </c>
      <c r="H228" t="s">
        <v>33</v>
      </c>
      <c r="I228" s="69">
        <v>0</v>
      </c>
      <c r="J228" s="127" t="s">
        <v>31</v>
      </c>
      <c r="K228" s="127" t="s">
        <v>31</v>
      </c>
      <c r="L228" s="127" t="s">
        <v>31</v>
      </c>
      <c r="M228" s="127" t="s">
        <v>31</v>
      </c>
      <c r="N228" s="127" t="s">
        <v>31</v>
      </c>
    </row>
    <row r="229" spans="1:16" ht="15.75">
      <c r="A229" t="s">
        <v>191</v>
      </c>
      <c r="B229">
        <v>136.02199999999999</v>
      </c>
      <c r="D229" t="s">
        <v>39</v>
      </c>
      <c r="E229" s="69" t="s">
        <v>2</v>
      </c>
      <c r="F229" s="69" t="s">
        <v>163</v>
      </c>
      <c r="G229" s="127" t="s">
        <v>86</v>
      </c>
      <c r="H229" t="s">
        <v>33</v>
      </c>
      <c r="I229" s="69">
        <v>0</v>
      </c>
      <c r="J229" s="127" t="s">
        <v>31</v>
      </c>
      <c r="K229" s="127" t="s">
        <v>31</v>
      </c>
      <c r="L229" s="127" t="s">
        <v>31</v>
      </c>
      <c r="M229" s="127" t="s">
        <v>31</v>
      </c>
      <c r="N229" s="127" t="s">
        <v>31</v>
      </c>
    </row>
    <row r="230" spans="1:16" ht="15.75">
      <c r="A230" t="s">
        <v>194</v>
      </c>
      <c r="B230">
        <v>538.6959999999998</v>
      </c>
      <c r="D230" t="s">
        <v>39</v>
      </c>
      <c r="E230" s="69" t="s">
        <v>2</v>
      </c>
      <c r="F230" s="69" t="s">
        <v>163</v>
      </c>
      <c r="G230" s="127" t="s">
        <v>86</v>
      </c>
      <c r="H230" t="s">
        <v>33</v>
      </c>
      <c r="I230" s="69">
        <v>0</v>
      </c>
      <c r="J230" s="127" t="s">
        <v>31</v>
      </c>
      <c r="K230" s="127" t="s">
        <v>31</v>
      </c>
      <c r="L230" s="127" t="s">
        <v>31</v>
      </c>
      <c r="M230" s="127" t="s">
        <v>31</v>
      </c>
      <c r="N230" s="127" t="s">
        <v>31</v>
      </c>
    </row>
    <row r="231" spans="1:16" ht="15.75">
      <c r="A231" t="s">
        <v>191</v>
      </c>
      <c r="B231">
        <v>36.408999999999992</v>
      </c>
      <c r="D231" t="s">
        <v>39</v>
      </c>
      <c r="E231" s="69" t="s">
        <v>2</v>
      </c>
      <c r="F231" s="69" t="s">
        <v>163</v>
      </c>
      <c r="G231" s="127" t="s">
        <v>86</v>
      </c>
      <c r="H231" t="s">
        <v>33</v>
      </c>
      <c r="I231" s="69">
        <v>0</v>
      </c>
      <c r="J231" s="127" t="s">
        <v>31</v>
      </c>
      <c r="K231" s="127" t="s">
        <v>31</v>
      </c>
      <c r="L231" s="127" t="s">
        <v>31</v>
      </c>
      <c r="M231" s="127" t="s">
        <v>31</v>
      </c>
      <c r="N231" s="127" t="s">
        <v>31</v>
      </c>
    </row>
    <row r="232" spans="1:16" s="67" customFormat="1" ht="15.75">
      <c r="A232" s="124" t="s">
        <v>5</v>
      </c>
      <c r="B232" s="124" t="s">
        <v>229</v>
      </c>
      <c r="C232" s="124"/>
      <c r="D232" s="66"/>
      <c r="E232" s="125"/>
      <c r="F232" s="125"/>
      <c r="G232" s="125"/>
      <c r="H232" s="125"/>
      <c r="I232" s="125"/>
      <c r="J232" s="125"/>
      <c r="K232" s="125"/>
      <c r="L232" s="125"/>
      <c r="M232" s="125"/>
      <c r="N232" s="125"/>
      <c r="O232" s="125"/>
      <c r="P232" s="125"/>
    </row>
    <row r="233" spans="1:16">
      <c r="A233" s="69" t="s">
        <v>7</v>
      </c>
      <c r="B233" s="69" t="s">
        <v>93</v>
      </c>
      <c r="C233" s="69"/>
      <c r="D233" s="69"/>
      <c r="E233" s="69"/>
      <c r="F233" s="69"/>
      <c r="G233" s="69"/>
      <c r="H233" s="69"/>
      <c r="I233" s="69"/>
      <c r="J233" s="69"/>
      <c r="K233" s="69"/>
      <c r="L233" s="69"/>
      <c r="M233" s="69"/>
      <c r="N233" s="69"/>
      <c r="O233" s="69"/>
      <c r="P233" s="69"/>
    </row>
    <row r="234" spans="1:16">
      <c r="A234" s="69" t="s">
        <v>9</v>
      </c>
      <c r="B234" s="126" t="s">
        <v>230</v>
      </c>
      <c r="C234" s="69"/>
      <c r="D234" s="69"/>
      <c r="E234" s="69"/>
      <c r="F234" s="69"/>
      <c r="G234" s="69"/>
      <c r="H234" s="69"/>
      <c r="I234" s="69"/>
      <c r="J234" s="69"/>
      <c r="K234" s="69"/>
      <c r="L234" s="69"/>
      <c r="M234" s="69"/>
      <c r="N234" s="69"/>
      <c r="O234" s="69"/>
      <c r="P234" s="69"/>
    </row>
    <row r="235" spans="1:16">
      <c r="A235" s="69" t="s">
        <v>11</v>
      </c>
      <c r="B235" s="69" t="s">
        <v>217</v>
      </c>
      <c r="C235" s="69"/>
      <c r="D235" s="69"/>
      <c r="E235" s="69"/>
      <c r="F235" s="69"/>
      <c r="G235" s="69"/>
      <c r="H235" s="69"/>
      <c r="I235" s="69"/>
      <c r="J235" s="69"/>
      <c r="K235" s="69"/>
      <c r="L235" s="69"/>
      <c r="M235" s="69"/>
      <c r="N235" s="69"/>
      <c r="O235" s="69"/>
      <c r="P235" s="69"/>
    </row>
    <row r="236" spans="1:16">
      <c r="A236" s="69" t="s">
        <v>13</v>
      </c>
      <c r="B236" s="69" t="s">
        <v>86</v>
      </c>
      <c r="C236" s="69"/>
      <c r="D236" s="69"/>
      <c r="E236" s="69"/>
      <c r="F236" s="69"/>
      <c r="G236" s="69"/>
      <c r="H236" s="69"/>
      <c r="I236" s="69"/>
      <c r="J236" s="69"/>
      <c r="K236" s="69"/>
      <c r="L236" s="69"/>
      <c r="M236" s="69"/>
      <c r="N236" s="69"/>
      <c r="O236" s="69"/>
      <c r="P236" s="69"/>
    </row>
    <row r="237" spans="1:16">
      <c r="A237" s="69" t="s">
        <v>15</v>
      </c>
      <c r="B237" s="69">
        <v>1</v>
      </c>
      <c r="C237" s="69"/>
      <c r="D237" s="69"/>
      <c r="E237" s="69"/>
      <c r="F237" s="69"/>
      <c r="G237" s="69"/>
      <c r="H237" s="69"/>
      <c r="I237" s="69"/>
      <c r="J237" s="69"/>
      <c r="K237" s="69"/>
      <c r="L237" s="69"/>
      <c r="M237" s="69"/>
      <c r="N237" s="69"/>
      <c r="O237" s="69"/>
      <c r="P237" s="69"/>
    </row>
    <row r="238" spans="1:16">
      <c r="A238" s="69" t="s">
        <v>16</v>
      </c>
      <c r="B238" s="69" t="s">
        <v>17</v>
      </c>
      <c r="C238" s="69"/>
      <c r="D238" s="69"/>
      <c r="E238" s="69"/>
      <c r="F238" s="69"/>
      <c r="G238" s="69"/>
      <c r="H238" s="69"/>
      <c r="I238" s="69"/>
      <c r="J238" s="69"/>
      <c r="K238" s="69"/>
      <c r="L238" s="69"/>
      <c r="M238" s="69"/>
      <c r="N238" s="69"/>
      <c r="O238" s="69"/>
      <c r="P238" s="69"/>
    </row>
    <row r="239" spans="1:16" ht="15.75">
      <c r="A239" s="69" t="s">
        <v>18</v>
      </c>
      <c r="B239" s="127" t="s">
        <v>18</v>
      </c>
      <c r="C239" s="69"/>
      <c r="D239" s="69"/>
      <c r="E239" s="69" t="s">
        <v>90</v>
      </c>
      <c r="F239" s="69"/>
      <c r="G239" s="69"/>
      <c r="H239" s="69"/>
      <c r="I239" s="69"/>
      <c r="J239" s="69"/>
      <c r="K239" s="69"/>
      <c r="L239" s="69"/>
      <c r="M239" s="69"/>
      <c r="N239" s="69"/>
      <c r="O239" s="69"/>
      <c r="P239" s="69"/>
    </row>
    <row r="240" spans="1:16" ht="15.75">
      <c r="A240" s="128" t="s">
        <v>19</v>
      </c>
      <c r="B240" s="69"/>
      <c r="C240" s="69"/>
      <c r="D240" s="69"/>
      <c r="E240" s="69"/>
      <c r="F240" s="69"/>
      <c r="G240" s="69"/>
      <c r="H240" s="69"/>
      <c r="I240" s="69"/>
      <c r="J240" s="69"/>
      <c r="K240" s="69"/>
      <c r="L240" s="69"/>
      <c r="M240" s="69"/>
      <c r="N240" s="69"/>
      <c r="O240" s="69"/>
      <c r="P240" s="69"/>
    </row>
    <row r="241" spans="1:16" ht="15.75">
      <c r="A241" s="128" t="s">
        <v>20</v>
      </c>
      <c r="B241" s="128" t="s">
        <v>21</v>
      </c>
      <c r="C241" s="128" t="s">
        <v>73</v>
      </c>
      <c r="D241" s="128" t="s">
        <v>18</v>
      </c>
      <c r="E241" s="128" t="s">
        <v>22</v>
      </c>
      <c r="F241" s="128" t="s">
        <v>7</v>
      </c>
      <c r="G241" s="128" t="s">
        <v>13</v>
      </c>
      <c r="H241" s="128" t="s">
        <v>16</v>
      </c>
      <c r="I241" s="128" t="s">
        <v>23</v>
      </c>
      <c r="J241" s="128" t="s">
        <v>24</v>
      </c>
      <c r="K241" s="128" t="s">
        <v>25</v>
      </c>
      <c r="L241" s="128" t="s">
        <v>26</v>
      </c>
      <c r="M241" s="128" t="s">
        <v>27</v>
      </c>
      <c r="N241" s="128" t="s">
        <v>28</v>
      </c>
      <c r="O241" s="128" t="s">
        <v>11</v>
      </c>
      <c r="P241" s="128" t="s">
        <v>91</v>
      </c>
    </row>
    <row r="242" spans="1:16" ht="15.75">
      <c r="A242" s="127" t="str">
        <f>B232</f>
        <v>treatment of airframe , conventional, Short-Term</v>
      </c>
      <c r="B242">
        <v>1</v>
      </c>
      <c r="C242" s="127"/>
      <c r="D242" s="127" t="s">
        <v>18</v>
      </c>
      <c r="E242" s="69" t="s">
        <v>2</v>
      </c>
      <c r="F242" s="69" t="s">
        <v>163</v>
      </c>
      <c r="G242" s="127" t="s">
        <v>86</v>
      </c>
      <c r="H242" s="69" t="s">
        <v>30</v>
      </c>
      <c r="I242" s="69">
        <v>0</v>
      </c>
      <c r="J242" s="127" t="s">
        <v>31</v>
      </c>
      <c r="K242" s="127" t="s">
        <v>31</v>
      </c>
      <c r="L242" s="127" t="s">
        <v>31</v>
      </c>
      <c r="M242" s="127" t="s">
        <v>31</v>
      </c>
      <c r="N242" s="127" t="s">
        <v>31</v>
      </c>
      <c r="O242" s="127"/>
      <c r="P242" s="69"/>
    </row>
    <row r="243" spans="1:16">
      <c r="A243" t="str">
        <f>A208</f>
        <v>treatment fuselage , airframe, conventional, Short-Term</v>
      </c>
      <c r="B243">
        <f t="shared" ref="B243:N243" si="1">B208</f>
        <v>1</v>
      </c>
      <c r="D243" t="str">
        <f t="shared" si="1"/>
        <v>unit</v>
      </c>
      <c r="E243" t="str">
        <f t="shared" si="1"/>
        <v>GENESIS_2030_conventional_NDC</v>
      </c>
      <c r="F243" s="69" t="s">
        <v>163</v>
      </c>
      <c r="G243" t="str">
        <f t="shared" si="1"/>
        <v>GLO</v>
      </c>
      <c r="H243" t="s">
        <v>33</v>
      </c>
      <c r="I243">
        <f t="shared" si="1"/>
        <v>0</v>
      </c>
      <c r="J243" t="str">
        <f t="shared" si="1"/>
        <v>(Unknown)</v>
      </c>
      <c r="K243" t="str">
        <f t="shared" si="1"/>
        <v>(Unknown)</v>
      </c>
      <c r="L243" t="str">
        <f t="shared" si="1"/>
        <v>(Unknown)</v>
      </c>
      <c r="M243" t="str">
        <f t="shared" si="1"/>
        <v>(Unknown)</v>
      </c>
      <c r="N243" t="str">
        <f t="shared" si="1"/>
        <v>(Unknown)</v>
      </c>
    </row>
    <row r="244" spans="1:16">
      <c r="A244" t="str">
        <f>A194</f>
        <v>treatment tail , airframe, conventional, Short-Term</v>
      </c>
      <c r="B244">
        <f t="shared" ref="B244:N244" si="2">B194</f>
        <v>1</v>
      </c>
      <c r="D244" t="str">
        <f t="shared" si="2"/>
        <v>unit</v>
      </c>
      <c r="E244" t="str">
        <f t="shared" si="2"/>
        <v>GENESIS_2030_conventional_NDC</v>
      </c>
      <c r="F244" s="69" t="s">
        <v>163</v>
      </c>
      <c r="G244" t="str">
        <f t="shared" si="2"/>
        <v>GLO</v>
      </c>
      <c r="H244" t="s">
        <v>33</v>
      </c>
      <c r="I244">
        <f t="shared" si="2"/>
        <v>0</v>
      </c>
      <c r="J244" t="str">
        <f t="shared" si="2"/>
        <v>(Unknown)</v>
      </c>
      <c r="K244" t="str">
        <f t="shared" si="2"/>
        <v>(Unknown)</v>
      </c>
      <c r="L244" t="str">
        <f t="shared" si="2"/>
        <v>(Unknown)</v>
      </c>
      <c r="M244" t="str">
        <f t="shared" si="2"/>
        <v>(Unknown)</v>
      </c>
      <c r="N244" t="str">
        <f t="shared" si="2"/>
        <v>(Unknown)</v>
      </c>
    </row>
    <row r="245" spans="1:16">
      <c r="A245" t="str">
        <f>A179</f>
        <v>treatment wing , airframe, conventional, Short-Term</v>
      </c>
      <c r="B245">
        <f t="shared" ref="B245:N245" si="3">B179</f>
        <v>1</v>
      </c>
      <c r="D245" t="str">
        <f t="shared" si="3"/>
        <v>unit</v>
      </c>
      <c r="E245" t="str">
        <f t="shared" si="3"/>
        <v>GENESIS_2030_conventional_NDC</v>
      </c>
      <c r="F245" s="69" t="s">
        <v>163</v>
      </c>
      <c r="G245" t="str">
        <f t="shared" si="3"/>
        <v>GLO</v>
      </c>
      <c r="H245" t="s">
        <v>33</v>
      </c>
      <c r="I245">
        <f t="shared" si="3"/>
        <v>0</v>
      </c>
      <c r="J245" t="str">
        <f t="shared" si="3"/>
        <v>(Unknown)</v>
      </c>
      <c r="K245" t="str">
        <f t="shared" si="3"/>
        <v>(Unknown)</v>
      </c>
      <c r="L245" t="str">
        <f t="shared" si="3"/>
        <v>(Unknown)</v>
      </c>
      <c r="M245" t="str">
        <f t="shared" si="3"/>
        <v>(Unknown)</v>
      </c>
      <c r="N245" t="str">
        <f t="shared" si="3"/>
        <v>(Unknown)</v>
      </c>
    </row>
    <row r="246" spans="1:16">
      <c r="A246" t="str">
        <f>A159</f>
        <v>treatment of frunishing and, operative equipment, airframe, conventional, Short-Term</v>
      </c>
      <c r="B246">
        <f t="shared" ref="B246:N246" si="4">B159</f>
        <v>1</v>
      </c>
      <c r="D246" t="str">
        <f t="shared" si="4"/>
        <v>kilogram</v>
      </c>
      <c r="E246" t="str">
        <f t="shared" si="4"/>
        <v>GENESIS_2030_conventional_NDC</v>
      </c>
      <c r="F246" s="69" t="s">
        <v>163</v>
      </c>
      <c r="G246" t="str">
        <f t="shared" si="4"/>
        <v>GLO</v>
      </c>
      <c r="H246" t="s">
        <v>33</v>
      </c>
      <c r="I246">
        <f t="shared" si="4"/>
        <v>0</v>
      </c>
      <c r="J246" t="str">
        <f t="shared" si="4"/>
        <v>(Unknown)</v>
      </c>
      <c r="K246" t="str">
        <f t="shared" si="4"/>
        <v>(Unknown)</v>
      </c>
      <c r="L246" t="str">
        <f t="shared" si="4"/>
        <v>(Unknown)</v>
      </c>
      <c r="M246" t="str">
        <f t="shared" si="4"/>
        <v>(Unknown)</v>
      </c>
      <c r="N246" t="str">
        <f t="shared" si="4"/>
        <v>(Unknown)</v>
      </c>
    </row>
    <row r="247" spans="1:16">
      <c r="A247" t="str">
        <f>A224</f>
        <v>treatment systems, airframe, conventional, Short-Term</v>
      </c>
      <c r="B247">
        <f>B224</f>
        <v>1</v>
      </c>
      <c r="D247" t="str">
        <f>D224</f>
        <v>unit</v>
      </c>
      <c r="E247" t="str">
        <f>E224</f>
        <v>GENESIS_2030_conventional_NDC</v>
      </c>
      <c r="F247" t="str">
        <f>F224</f>
        <v>airframe EoL, conventional, Short-Term</v>
      </c>
      <c r="G247" t="str">
        <f>G224</f>
        <v>GLO</v>
      </c>
      <c r="H247" t="s">
        <v>33</v>
      </c>
      <c r="I247">
        <f t="shared" ref="I247:N247" si="5">I224</f>
        <v>0</v>
      </c>
      <c r="J247" t="str">
        <f t="shared" si="5"/>
        <v>(Unknown)</v>
      </c>
      <c r="K247" t="str">
        <f t="shared" si="5"/>
        <v>(Unknown)</v>
      </c>
      <c r="L247" t="str">
        <f t="shared" si="5"/>
        <v>(Unknown)</v>
      </c>
      <c r="M247" t="str">
        <f t="shared" si="5"/>
        <v>(Unknown)</v>
      </c>
      <c r="N247" t="str">
        <f t="shared" si="5"/>
        <v>(Unknown)</v>
      </c>
    </row>
    <row r="249" spans="1:16">
      <c r="F249" t="s">
        <v>231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2CF7CE-94C6-456F-ADC1-51DE9C3C8B28}">
  <dimension ref="A1:M119"/>
  <sheetViews>
    <sheetView zoomScale="85" zoomScaleNormal="85" workbookViewId="0">
      <selection activeCell="B4" sqref="B4"/>
    </sheetView>
  </sheetViews>
  <sheetFormatPr defaultRowHeight="15"/>
  <cols>
    <col min="1" max="1" width="69.7109375" bestFit="1" customWidth="1"/>
    <col min="2" max="2" width="62" bestFit="1" customWidth="1"/>
    <col min="3" max="3" width="13.28515625" bestFit="1" customWidth="1"/>
    <col min="4" max="4" width="37.140625" bestFit="1" customWidth="1"/>
    <col min="5" max="5" width="11" bestFit="1" customWidth="1"/>
    <col min="6" max="6" width="23.85546875" bestFit="1" customWidth="1"/>
    <col min="7" max="7" width="13.42578125" bestFit="1" customWidth="1"/>
    <col min="8" max="8" width="17.7109375" bestFit="1" customWidth="1"/>
    <col min="9" max="9" width="7" bestFit="1" customWidth="1"/>
    <col min="10" max="10" width="12" bestFit="1" customWidth="1"/>
    <col min="11" max="13" width="10.85546875" bestFit="1" customWidth="1"/>
  </cols>
  <sheetData>
    <row r="1" spans="1:13">
      <c r="A1" t="s">
        <v>0</v>
      </c>
      <c r="B1">
        <v>13</v>
      </c>
    </row>
    <row r="2" spans="1:13" ht="15.75">
      <c r="A2" s="1" t="s">
        <v>5</v>
      </c>
      <c r="B2" s="2" t="s">
        <v>81</v>
      </c>
      <c r="C2" s="3"/>
      <c r="D2" s="11"/>
      <c r="E2" s="11"/>
      <c r="F2" s="11"/>
      <c r="G2" s="11"/>
      <c r="H2" s="11"/>
      <c r="I2" s="11"/>
      <c r="J2" s="11"/>
      <c r="K2" s="11"/>
      <c r="L2" s="11"/>
      <c r="M2" s="11"/>
    </row>
    <row r="3" spans="1:13">
      <c r="A3" s="12" t="s">
        <v>7</v>
      </c>
      <c r="B3" s="13" t="s">
        <v>232</v>
      </c>
      <c r="C3" s="4"/>
      <c r="D3" s="13"/>
      <c r="E3" s="13"/>
      <c r="F3" s="13"/>
      <c r="G3" s="13"/>
      <c r="H3" s="13"/>
      <c r="I3" s="13"/>
      <c r="J3" s="13"/>
      <c r="K3" s="13"/>
      <c r="L3" s="13"/>
      <c r="M3" s="13"/>
    </row>
    <row r="4" spans="1:13">
      <c r="A4" s="12" t="s">
        <v>9</v>
      </c>
      <c r="B4" s="13" t="s">
        <v>233</v>
      </c>
      <c r="C4" s="4"/>
      <c r="D4" s="13"/>
      <c r="E4" s="13"/>
      <c r="F4" s="13"/>
      <c r="G4" s="13"/>
      <c r="H4" s="13"/>
      <c r="I4" s="13"/>
      <c r="J4" s="13"/>
      <c r="K4" s="13"/>
      <c r="L4" s="13"/>
      <c r="M4" s="13"/>
    </row>
    <row r="5" spans="1:13" ht="45">
      <c r="A5" s="12" t="s">
        <v>11</v>
      </c>
      <c r="B5" s="14" t="s">
        <v>234</v>
      </c>
      <c r="C5" s="13"/>
      <c r="D5" s="13"/>
      <c r="E5" s="13"/>
      <c r="F5" s="13"/>
      <c r="G5" s="13"/>
      <c r="H5" s="13"/>
      <c r="I5" s="13"/>
      <c r="J5" s="13"/>
      <c r="K5" s="13"/>
      <c r="L5" s="13"/>
      <c r="M5" s="13"/>
    </row>
    <row r="6" spans="1:13">
      <c r="A6" s="12" t="s">
        <v>13</v>
      </c>
      <c r="B6" s="13" t="s">
        <v>14</v>
      </c>
      <c r="C6" s="13"/>
      <c r="D6" s="13"/>
      <c r="E6" s="13"/>
      <c r="F6" s="13"/>
      <c r="G6" s="13"/>
      <c r="H6" s="13"/>
      <c r="I6" s="13"/>
      <c r="J6" s="13"/>
      <c r="K6" s="13"/>
      <c r="L6" s="13"/>
      <c r="M6" s="13"/>
    </row>
    <row r="7" spans="1:13">
      <c r="A7" s="12" t="s">
        <v>15</v>
      </c>
      <c r="B7" s="13">
        <v>1</v>
      </c>
      <c r="C7" s="13"/>
      <c r="D7" s="13"/>
      <c r="E7" s="13"/>
      <c r="F7" s="13"/>
      <c r="G7" s="13"/>
      <c r="H7" s="13"/>
      <c r="I7" s="13"/>
      <c r="J7" s="13"/>
      <c r="K7" s="13"/>
      <c r="L7" s="13"/>
      <c r="M7" s="13"/>
    </row>
    <row r="8" spans="1:13">
      <c r="A8" s="12" t="s">
        <v>16</v>
      </c>
      <c r="B8" s="13" t="s">
        <v>17</v>
      </c>
      <c r="C8" s="13"/>
      <c r="D8" s="13"/>
      <c r="E8" s="13"/>
      <c r="F8" s="13"/>
      <c r="G8" s="13"/>
      <c r="H8" s="13"/>
      <c r="I8" s="13"/>
      <c r="J8" s="13"/>
      <c r="K8" s="13"/>
      <c r="L8" s="13"/>
      <c r="M8" s="13"/>
    </row>
    <row r="9" spans="1:13">
      <c r="A9" s="12" t="s">
        <v>18</v>
      </c>
      <c r="B9" s="13" t="s">
        <v>18</v>
      </c>
      <c r="C9" s="13"/>
      <c r="D9" s="13"/>
      <c r="E9" s="13"/>
      <c r="F9" s="13"/>
      <c r="G9" s="13"/>
      <c r="H9" s="13"/>
      <c r="I9" s="13"/>
      <c r="J9" s="13"/>
      <c r="K9" s="13"/>
      <c r="L9" s="13"/>
      <c r="M9" s="13"/>
    </row>
    <row r="10" spans="1:13" ht="15.75">
      <c r="A10" s="5" t="s">
        <v>19</v>
      </c>
      <c r="B10" s="13"/>
      <c r="C10" s="13"/>
      <c r="D10" s="13"/>
      <c r="E10" s="13"/>
      <c r="F10" s="13"/>
      <c r="G10" s="13"/>
      <c r="H10" s="13"/>
      <c r="I10" s="13"/>
      <c r="J10" s="13"/>
      <c r="K10" s="13"/>
      <c r="L10" s="13"/>
      <c r="M10" s="13"/>
    </row>
    <row r="11" spans="1:13" ht="15.75">
      <c r="A11" s="5" t="s">
        <v>20</v>
      </c>
      <c r="B11" s="6" t="s">
        <v>21</v>
      </c>
      <c r="C11" s="6" t="s">
        <v>18</v>
      </c>
      <c r="D11" s="6" t="s">
        <v>22</v>
      </c>
      <c r="E11" s="6" t="s">
        <v>7</v>
      </c>
      <c r="F11" s="6" t="s">
        <v>13</v>
      </c>
      <c r="G11" s="6" t="s">
        <v>16</v>
      </c>
      <c r="H11" s="6" t="s">
        <v>23</v>
      </c>
      <c r="I11" s="6" t="s">
        <v>24</v>
      </c>
      <c r="J11" s="6" t="s">
        <v>25</v>
      </c>
      <c r="K11" s="6" t="s">
        <v>26</v>
      </c>
      <c r="L11" s="6" t="s">
        <v>27</v>
      </c>
      <c r="M11" s="6" t="s">
        <v>28</v>
      </c>
    </row>
    <row r="12" spans="1:13" ht="15.75">
      <c r="A12" s="7" t="s">
        <v>81</v>
      </c>
      <c r="B12" s="13">
        <v>1</v>
      </c>
      <c r="C12" s="13" t="s">
        <v>18</v>
      </c>
      <c r="D12" s="8" t="s">
        <v>2</v>
      </c>
      <c r="E12" s="13" t="s">
        <v>29</v>
      </c>
      <c r="F12" s="15" t="s">
        <v>14</v>
      </c>
      <c r="G12" s="13" t="s">
        <v>30</v>
      </c>
      <c r="H12" s="13">
        <v>1</v>
      </c>
      <c r="I12" s="13">
        <v>1</v>
      </c>
      <c r="J12" s="13" t="s">
        <v>31</v>
      </c>
      <c r="K12" s="13" t="s">
        <v>31</v>
      </c>
      <c r="L12" s="13" t="s">
        <v>31</v>
      </c>
      <c r="M12" s="13" t="s">
        <v>31</v>
      </c>
    </row>
    <row r="13" spans="1:13" ht="15.75">
      <c r="A13" s="7" t="s">
        <v>235</v>
      </c>
      <c r="B13" s="13">
        <v>1</v>
      </c>
      <c r="C13" s="13" t="s">
        <v>18</v>
      </c>
      <c r="D13" s="8" t="s">
        <v>2</v>
      </c>
      <c r="E13" s="13" t="s">
        <v>29</v>
      </c>
      <c r="F13" s="15" t="s">
        <v>14</v>
      </c>
      <c r="G13" s="13" t="s">
        <v>33</v>
      </c>
      <c r="H13" s="13">
        <v>2</v>
      </c>
      <c r="I13" s="13">
        <f t="shared" ref="I13:I18" si="0">LN(B13)</f>
        <v>0</v>
      </c>
      <c r="J13" s="13">
        <v>0.24083189157584584</v>
      </c>
      <c r="K13" s="13" t="s">
        <v>31</v>
      </c>
      <c r="L13" s="13" t="s">
        <v>31</v>
      </c>
      <c r="M13" s="13" t="s">
        <v>31</v>
      </c>
    </row>
    <row r="14" spans="1:13" ht="15.75">
      <c r="A14" s="7" t="s">
        <v>236</v>
      </c>
      <c r="B14" s="13">
        <v>1</v>
      </c>
      <c r="C14" s="13" t="s">
        <v>18</v>
      </c>
      <c r="D14" s="8" t="s">
        <v>2</v>
      </c>
      <c r="E14" s="13" t="s">
        <v>29</v>
      </c>
      <c r="F14" s="15" t="s">
        <v>14</v>
      </c>
      <c r="G14" s="13" t="s">
        <v>33</v>
      </c>
      <c r="H14" s="13">
        <v>2</v>
      </c>
      <c r="I14" s="13">
        <f t="shared" si="0"/>
        <v>0</v>
      </c>
      <c r="J14" s="13">
        <v>0.24083189157584584</v>
      </c>
      <c r="K14" s="13" t="s">
        <v>31</v>
      </c>
      <c r="L14" s="13" t="s">
        <v>31</v>
      </c>
      <c r="M14" s="13" t="s">
        <v>31</v>
      </c>
    </row>
    <row r="15" spans="1:13" ht="15.75">
      <c r="A15" s="7" t="s">
        <v>237</v>
      </c>
      <c r="B15" s="13">
        <v>1</v>
      </c>
      <c r="C15" s="13" t="s">
        <v>18</v>
      </c>
      <c r="D15" s="8" t="s">
        <v>2</v>
      </c>
      <c r="E15" s="13" t="s">
        <v>29</v>
      </c>
      <c r="F15" s="15" t="s">
        <v>14</v>
      </c>
      <c r="G15" s="13" t="s">
        <v>33</v>
      </c>
      <c r="H15" s="13">
        <v>2</v>
      </c>
      <c r="I15" s="13">
        <f t="shared" si="0"/>
        <v>0</v>
      </c>
      <c r="J15" s="13">
        <v>0.24083189157584584</v>
      </c>
      <c r="K15" s="13" t="s">
        <v>31</v>
      </c>
      <c r="L15" s="13" t="s">
        <v>31</v>
      </c>
      <c r="M15" s="13" t="s">
        <v>31</v>
      </c>
    </row>
    <row r="16" spans="1:13" ht="15.75">
      <c r="A16" s="7" t="s">
        <v>238</v>
      </c>
      <c r="B16" s="13">
        <v>1</v>
      </c>
      <c r="C16" s="13" t="s">
        <v>18</v>
      </c>
      <c r="D16" s="8" t="s">
        <v>2</v>
      </c>
      <c r="E16" s="13" t="s">
        <v>29</v>
      </c>
      <c r="F16" s="15" t="s">
        <v>14</v>
      </c>
      <c r="G16" s="13" t="s">
        <v>33</v>
      </c>
      <c r="H16" s="13">
        <v>2</v>
      </c>
      <c r="I16" s="13">
        <f t="shared" si="0"/>
        <v>0</v>
      </c>
      <c r="J16" s="13">
        <v>0.24083189157584584</v>
      </c>
      <c r="K16" s="13" t="s">
        <v>31</v>
      </c>
      <c r="L16" s="13" t="s">
        <v>31</v>
      </c>
      <c r="M16" s="13" t="s">
        <v>31</v>
      </c>
    </row>
    <row r="17" spans="1:13" ht="15.75">
      <c r="A17" s="7" t="s">
        <v>239</v>
      </c>
      <c r="B17" s="13">
        <v>1</v>
      </c>
      <c r="C17" s="13" t="s">
        <v>18</v>
      </c>
      <c r="D17" s="8" t="s">
        <v>2</v>
      </c>
      <c r="E17" s="13" t="s">
        <v>29</v>
      </c>
      <c r="F17" s="15" t="s">
        <v>14</v>
      </c>
      <c r="G17" s="13" t="s">
        <v>33</v>
      </c>
      <c r="H17" s="13">
        <v>2</v>
      </c>
      <c r="I17" s="13">
        <f t="shared" si="0"/>
        <v>0</v>
      </c>
      <c r="J17" s="13">
        <v>0.24083189157584584</v>
      </c>
      <c r="K17" s="13" t="s">
        <v>31</v>
      </c>
      <c r="L17" s="13" t="s">
        <v>31</v>
      </c>
      <c r="M17" s="13" t="s">
        <v>31</v>
      </c>
    </row>
    <row r="18" spans="1:13" ht="15.75">
      <c r="A18" s="7" t="s">
        <v>240</v>
      </c>
      <c r="B18" s="13">
        <v>1</v>
      </c>
      <c r="C18" s="13" t="s">
        <v>18</v>
      </c>
      <c r="D18" s="8" t="s">
        <v>2</v>
      </c>
      <c r="E18" s="13" t="s">
        <v>29</v>
      </c>
      <c r="F18" s="15" t="s">
        <v>14</v>
      </c>
      <c r="G18" s="13" t="s">
        <v>33</v>
      </c>
      <c r="H18" s="13">
        <v>2</v>
      </c>
      <c r="I18" s="13">
        <f t="shared" si="0"/>
        <v>0</v>
      </c>
      <c r="J18" s="13">
        <v>0.24083189157584584</v>
      </c>
      <c r="K18" s="13" t="s">
        <v>31</v>
      </c>
      <c r="L18" s="13" t="s">
        <v>31</v>
      </c>
      <c r="M18" s="13" t="s">
        <v>31</v>
      </c>
    </row>
    <row r="19" spans="1:13" ht="15.75">
      <c r="A19" s="7" t="s">
        <v>121</v>
      </c>
      <c r="B19" s="13">
        <v>219520.66999999998</v>
      </c>
      <c r="C19" s="13" t="s">
        <v>98</v>
      </c>
      <c r="D19" s="8" t="s">
        <v>40</v>
      </c>
      <c r="E19" s="13" t="s">
        <v>29</v>
      </c>
      <c r="F19" s="15" t="s">
        <v>14</v>
      </c>
      <c r="G19" s="13" t="s">
        <v>33</v>
      </c>
      <c r="H19" s="13">
        <v>2</v>
      </c>
      <c r="I19" s="13">
        <f>LN(B19)</f>
        <v>12.299201675628701</v>
      </c>
      <c r="J19" s="13">
        <v>5.0990195135927806E-2</v>
      </c>
      <c r="K19" s="13" t="s">
        <v>31</v>
      </c>
      <c r="L19" s="13" t="s">
        <v>31</v>
      </c>
      <c r="M19" s="13" t="s">
        <v>31</v>
      </c>
    </row>
    <row r="20" spans="1:13" ht="15.75">
      <c r="A20" s="7" t="s">
        <v>105</v>
      </c>
      <c r="B20" s="13">
        <f>220783.34/(1/3.6)/38.3</f>
        <v>20752.481044386423</v>
      </c>
      <c r="C20" s="13" t="s">
        <v>50</v>
      </c>
      <c r="D20" s="8" t="s">
        <v>40</v>
      </c>
      <c r="E20" s="13" t="s">
        <v>29</v>
      </c>
      <c r="F20" s="15" t="s">
        <v>14</v>
      </c>
      <c r="G20" s="13" t="s">
        <v>33</v>
      </c>
      <c r="H20" s="13">
        <v>2</v>
      </c>
      <c r="I20" s="13">
        <f t="shared" ref="I20:I30" si="1">LN(B20)</f>
        <v>9.9404210869152774</v>
      </c>
      <c r="J20" s="13">
        <v>5.0990195135927806E-2</v>
      </c>
      <c r="K20" s="13" t="s">
        <v>31</v>
      </c>
      <c r="L20" s="13" t="s">
        <v>31</v>
      </c>
      <c r="M20" s="13" t="s">
        <v>31</v>
      </c>
    </row>
    <row r="21" spans="1:13" ht="15.75">
      <c r="A21" s="7" t="s">
        <v>123</v>
      </c>
      <c r="B21" s="13">
        <f>27551.155*3.6</f>
        <v>99184.157999999996</v>
      </c>
      <c r="C21" s="13" t="s">
        <v>124</v>
      </c>
      <c r="D21" s="8" t="s">
        <v>40</v>
      </c>
      <c r="E21" s="13" t="s">
        <v>29</v>
      </c>
      <c r="F21" s="15" t="s">
        <v>86</v>
      </c>
      <c r="G21" s="13" t="s">
        <v>33</v>
      </c>
      <c r="H21" s="13">
        <v>2</v>
      </c>
      <c r="I21" s="13">
        <f t="shared" si="1"/>
        <v>11.504733582939302</v>
      </c>
      <c r="J21" s="13">
        <v>5.0990195135927806E-2</v>
      </c>
      <c r="K21" s="13" t="s">
        <v>31</v>
      </c>
      <c r="L21" s="13" t="s">
        <v>31</v>
      </c>
      <c r="M21" s="13" t="s">
        <v>31</v>
      </c>
    </row>
    <row r="22" spans="1:13" ht="15.75">
      <c r="A22" s="7" t="s">
        <v>241</v>
      </c>
      <c r="B22" s="13">
        <f>58409.7655*3.6/44.8</f>
        <v>4693.6418705357146</v>
      </c>
      <c r="C22" s="13" t="s">
        <v>39</v>
      </c>
      <c r="D22" s="8" t="s">
        <v>40</v>
      </c>
      <c r="E22" s="13" t="s">
        <v>29</v>
      </c>
      <c r="F22" s="15" t="s">
        <v>14</v>
      </c>
      <c r="G22" s="13" t="s">
        <v>33</v>
      </c>
      <c r="H22" s="13">
        <v>2</v>
      </c>
      <c r="I22" s="13">
        <f t="shared" si="1"/>
        <v>8.4539640783439154</v>
      </c>
      <c r="J22" s="13">
        <v>5.0990195135927806E-2</v>
      </c>
      <c r="K22" s="13" t="s">
        <v>31</v>
      </c>
      <c r="L22" s="13" t="s">
        <v>31</v>
      </c>
      <c r="M22" s="13" t="s">
        <v>31</v>
      </c>
    </row>
    <row r="23" spans="1:13" ht="15.75">
      <c r="A23" s="7" t="s">
        <v>38</v>
      </c>
      <c r="B23" s="13">
        <f>118914.8*3.6/46.2</f>
        <v>9266.0883116883124</v>
      </c>
      <c r="C23" s="13" t="s">
        <v>39</v>
      </c>
      <c r="D23" s="8" t="s">
        <v>40</v>
      </c>
      <c r="E23" s="13" t="s">
        <v>29</v>
      </c>
      <c r="F23" s="15" t="s">
        <v>41</v>
      </c>
      <c r="G23" s="13" t="s">
        <v>33</v>
      </c>
      <c r="H23" s="13">
        <v>2</v>
      </c>
      <c r="I23" s="13">
        <f t="shared" si="1"/>
        <v>9.1341165966551472</v>
      </c>
      <c r="J23" s="13">
        <v>5.0990195135927806E-2</v>
      </c>
      <c r="K23" s="13" t="s">
        <v>31</v>
      </c>
      <c r="L23" s="13" t="s">
        <v>31</v>
      </c>
      <c r="M23" s="13" t="s">
        <v>31</v>
      </c>
    </row>
    <row r="24" spans="1:13" ht="15.75">
      <c r="A24" s="7" t="s">
        <v>242</v>
      </c>
      <c r="B24" s="9">
        <v>537530</v>
      </c>
      <c r="C24" s="13" t="s">
        <v>39</v>
      </c>
      <c r="D24" s="8" t="s">
        <v>40</v>
      </c>
      <c r="E24" s="13" t="s">
        <v>29</v>
      </c>
      <c r="F24" s="15" t="s">
        <v>86</v>
      </c>
      <c r="G24" s="13" t="s">
        <v>33</v>
      </c>
      <c r="H24" s="13">
        <v>2</v>
      </c>
      <c r="I24" s="13">
        <f t="shared" si="1"/>
        <v>13.194739851379902</v>
      </c>
      <c r="J24" s="13">
        <v>5.0990195135927806E-2</v>
      </c>
      <c r="K24" s="13" t="s">
        <v>31</v>
      </c>
      <c r="L24" s="13" t="s">
        <v>31</v>
      </c>
      <c r="M24" s="13" t="s">
        <v>31</v>
      </c>
    </row>
    <row r="25" spans="1:13" ht="15.75">
      <c r="A25" s="7" t="s">
        <v>243</v>
      </c>
      <c r="B25" s="9">
        <f>499135/1000</f>
        <v>499.13499999999999</v>
      </c>
      <c r="C25" s="13" t="s">
        <v>50</v>
      </c>
      <c r="D25" s="8" t="s">
        <v>40</v>
      </c>
      <c r="E25" s="13" t="s">
        <v>29</v>
      </c>
      <c r="F25" s="15" t="s">
        <v>41</v>
      </c>
      <c r="G25" s="13" t="s">
        <v>33</v>
      </c>
      <c r="H25" s="13">
        <v>2</v>
      </c>
      <c r="I25" s="13">
        <f t="shared" si="1"/>
        <v>6.2128766002440434</v>
      </c>
      <c r="J25" s="13">
        <v>5.0990195135927806E-2</v>
      </c>
      <c r="K25" s="13" t="s">
        <v>31</v>
      </c>
      <c r="L25" s="13" t="s">
        <v>31</v>
      </c>
      <c r="M25" s="13" t="s">
        <v>31</v>
      </c>
    </row>
    <row r="26" spans="1:13" ht="15.75">
      <c r="A26" s="7" t="s">
        <v>48</v>
      </c>
      <c r="B26" s="9">
        <v>89954.383950000003</v>
      </c>
      <c r="C26" s="13" t="s">
        <v>39</v>
      </c>
      <c r="D26" s="8" t="s">
        <v>43</v>
      </c>
      <c r="E26" s="13" t="s">
        <v>44</v>
      </c>
      <c r="F26" s="15" t="s">
        <v>29</v>
      </c>
      <c r="G26" s="13" t="s">
        <v>45</v>
      </c>
      <c r="H26" s="13">
        <v>2</v>
      </c>
      <c r="I26" s="13">
        <f t="shared" si="1"/>
        <v>11.407057975823058</v>
      </c>
      <c r="J26" s="13">
        <v>5.0990195135927806E-2</v>
      </c>
      <c r="K26" s="13" t="s">
        <v>31</v>
      </c>
      <c r="L26" s="13" t="s">
        <v>31</v>
      </c>
      <c r="M26" s="13" t="s">
        <v>31</v>
      </c>
    </row>
    <row r="27" spans="1:13" ht="15.75">
      <c r="A27" s="7" t="s">
        <v>244</v>
      </c>
      <c r="B27" s="9">
        <v>168.22703429999999</v>
      </c>
      <c r="C27" s="13" t="s">
        <v>39</v>
      </c>
      <c r="D27" s="8" t="s">
        <v>43</v>
      </c>
      <c r="E27" s="13" t="s">
        <v>44</v>
      </c>
      <c r="F27" s="15" t="s">
        <v>29</v>
      </c>
      <c r="G27" s="13" t="s">
        <v>45</v>
      </c>
      <c r="H27" s="13">
        <v>2</v>
      </c>
      <c r="I27" s="13">
        <f t="shared" si="1"/>
        <v>5.1253144617342121</v>
      </c>
      <c r="J27" s="13">
        <v>5.0990195135927806E-2</v>
      </c>
      <c r="K27" s="13" t="s">
        <v>31</v>
      </c>
      <c r="L27" s="13" t="s">
        <v>31</v>
      </c>
      <c r="M27" s="13" t="s">
        <v>31</v>
      </c>
    </row>
    <row r="28" spans="1:13" ht="15.75">
      <c r="A28" s="7" t="s">
        <v>51</v>
      </c>
      <c r="B28" s="9">
        <v>2.2406773500000003</v>
      </c>
      <c r="C28" s="13" t="s">
        <v>39</v>
      </c>
      <c r="D28" s="8" t="s">
        <v>43</v>
      </c>
      <c r="E28" s="13" t="s">
        <v>44</v>
      </c>
      <c r="F28" s="15" t="s">
        <v>29</v>
      </c>
      <c r="G28" s="13" t="s">
        <v>45</v>
      </c>
      <c r="H28" s="13">
        <v>2</v>
      </c>
      <c r="I28" s="13">
        <f t="shared" si="1"/>
        <v>0.80677820854965032</v>
      </c>
      <c r="J28" s="13">
        <v>5.0990195135927806E-2</v>
      </c>
      <c r="K28" s="13" t="s">
        <v>31</v>
      </c>
      <c r="L28" s="13" t="s">
        <v>31</v>
      </c>
      <c r="M28" s="13" t="s">
        <v>31</v>
      </c>
    </row>
    <row r="29" spans="1:13" ht="15.75">
      <c r="A29" s="7" t="s">
        <v>42</v>
      </c>
      <c r="B29" s="9">
        <v>35.533618110000006</v>
      </c>
      <c r="C29" s="13" t="s">
        <v>39</v>
      </c>
      <c r="D29" s="8" t="s">
        <v>43</v>
      </c>
      <c r="E29" s="13" t="s">
        <v>44</v>
      </c>
      <c r="F29" s="15" t="s">
        <v>29</v>
      </c>
      <c r="G29" s="13" t="s">
        <v>45</v>
      </c>
      <c r="H29" s="13">
        <v>2</v>
      </c>
      <c r="I29" s="13">
        <f t="shared" si="1"/>
        <v>3.5704792373842404</v>
      </c>
      <c r="J29" s="13">
        <v>5.0990195135927806E-2</v>
      </c>
      <c r="K29" s="13" t="s">
        <v>31</v>
      </c>
      <c r="L29" s="13" t="s">
        <v>31</v>
      </c>
      <c r="M29" s="13" t="s">
        <v>31</v>
      </c>
    </row>
    <row r="30" spans="1:13" ht="15.75">
      <c r="A30" s="10" t="s">
        <v>245</v>
      </c>
      <c r="B30" s="9">
        <v>12143.789999999999</v>
      </c>
      <c r="C30" s="13" t="s">
        <v>39</v>
      </c>
      <c r="D30" s="8" t="s">
        <v>40</v>
      </c>
      <c r="E30" s="13" t="s">
        <v>29</v>
      </c>
      <c r="F30" s="15" t="s">
        <v>117</v>
      </c>
      <c r="G30" s="13" t="s">
        <v>33</v>
      </c>
      <c r="H30" s="13">
        <v>2</v>
      </c>
      <c r="I30" s="13">
        <f t="shared" si="1"/>
        <v>9.4045732069957761</v>
      </c>
      <c r="J30" s="13">
        <v>5.0990195135927806E-2</v>
      </c>
      <c r="K30" s="13" t="s">
        <v>31</v>
      </c>
      <c r="L30" s="13" t="s">
        <v>31</v>
      </c>
      <c r="M30" s="13" t="s">
        <v>31</v>
      </c>
    </row>
    <row r="31" spans="1:13" ht="15.75">
      <c r="A31" s="1" t="s">
        <v>5</v>
      </c>
      <c r="B31" s="2" t="s">
        <v>235</v>
      </c>
      <c r="C31" s="3"/>
      <c r="D31" s="11"/>
      <c r="E31" s="11"/>
      <c r="F31" s="11"/>
      <c r="G31" s="11"/>
      <c r="H31" s="11"/>
      <c r="I31" s="11"/>
      <c r="J31" s="11"/>
      <c r="K31" s="11"/>
      <c r="L31" s="11"/>
      <c r="M31" s="11"/>
    </row>
    <row r="32" spans="1:13">
      <c r="A32" s="12" t="s">
        <v>7</v>
      </c>
      <c r="B32" s="13" t="s">
        <v>77</v>
      </c>
      <c r="C32" s="4"/>
      <c r="D32" s="13"/>
      <c r="E32" s="13"/>
      <c r="F32" s="13"/>
      <c r="G32" s="13"/>
      <c r="H32" s="13"/>
      <c r="I32" s="13"/>
      <c r="J32" s="13"/>
      <c r="K32" s="13"/>
      <c r="L32" s="13"/>
      <c r="M32" s="13"/>
    </row>
    <row r="33" spans="1:13">
      <c r="A33" s="12" t="s">
        <v>9</v>
      </c>
      <c r="B33" s="13" t="s">
        <v>246</v>
      </c>
      <c r="C33" s="13"/>
      <c r="D33" s="13"/>
      <c r="E33" s="13"/>
      <c r="F33" s="13"/>
      <c r="G33" s="13"/>
      <c r="H33" s="13"/>
      <c r="I33" s="13"/>
      <c r="J33" s="13"/>
      <c r="K33" s="13"/>
      <c r="L33" s="13"/>
      <c r="M33" s="13"/>
    </row>
    <row r="34" spans="1:13" ht="45">
      <c r="A34" s="12" t="s">
        <v>11</v>
      </c>
      <c r="B34" s="14" t="s">
        <v>247</v>
      </c>
      <c r="C34" s="13"/>
      <c r="D34" s="13"/>
      <c r="E34" s="13"/>
      <c r="F34" s="13"/>
      <c r="G34" s="13"/>
      <c r="H34" s="13"/>
      <c r="I34" s="13"/>
      <c r="J34" s="13"/>
      <c r="K34" s="13"/>
      <c r="L34" s="13"/>
      <c r="M34" s="13"/>
    </row>
    <row r="35" spans="1:13">
      <c r="A35" s="12" t="s">
        <v>13</v>
      </c>
      <c r="B35" s="13" t="s">
        <v>14</v>
      </c>
      <c r="C35" s="13"/>
      <c r="D35" s="13"/>
      <c r="E35" s="13"/>
      <c r="F35" s="13"/>
      <c r="G35" s="13"/>
      <c r="H35" s="13"/>
      <c r="I35" s="13"/>
      <c r="J35" s="13"/>
      <c r="K35" s="13"/>
      <c r="L35" s="13"/>
      <c r="M35" s="13"/>
    </row>
    <row r="36" spans="1:13">
      <c r="A36" s="12" t="s">
        <v>15</v>
      </c>
      <c r="B36" s="13">
        <v>1</v>
      </c>
      <c r="C36" s="13"/>
      <c r="D36" s="13"/>
      <c r="E36" s="13"/>
      <c r="F36" s="13"/>
      <c r="G36" s="13"/>
      <c r="H36" s="13"/>
      <c r="I36" s="13"/>
      <c r="J36" s="13"/>
      <c r="K36" s="13"/>
      <c r="L36" s="13"/>
      <c r="M36" s="13"/>
    </row>
    <row r="37" spans="1:13">
      <c r="A37" s="12" t="s">
        <v>16</v>
      </c>
      <c r="B37" s="13" t="s">
        <v>17</v>
      </c>
      <c r="C37" s="13"/>
      <c r="D37" s="13"/>
      <c r="E37" s="13"/>
      <c r="F37" s="13"/>
      <c r="G37" s="13"/>
      <c r="H37" s="13"/>
      <c r="I37" s="13"/>
      <c r="J37" s="13"/>
      <c r="K37" s="13"/>
      <c r="L37" s="13"/>
      <c r="M37" s="13"/>
    </row>
    <row r="38" spans="1:13">
      <c r="A38" s="12" t="s">
        <v>18</v>
      </c>
      <c r="B38" s="13" t="s">
        <v>18</v>
      </c>
      <c r="C38" s="13"/>
      <c r="D38" s="13"/>
      <c r="E38" s="13"/>
      <c r="F38" s="13"/>
      <c r="G38" s="13"/>
      <c r="H38" s="13"/>
      <c r="I38" s="13"/>
      <c r="J38" s="13"/>
      <c r="K38" s="13"/>
      <c r="L38" s="13"/>
      <c r="M38" s="13"/>
    </row>
    <row r="39" spans="1:13" ht="15.75">
      <c r="A39" s="5" t="s">
        <v>19</v>
      </c>
      <c r="B39" s="13"/>
      <c r="C39" s="13"/>
      <c r="D39" s="13"/>
      <c r="E39" s="13"/>
      <c r="F39" s="13"/>
      <c r="G39" s="13"/>
      <c r="H39" s="13"/>
      <c r="I39" s="13"/>
      <c r="J39" s="13"/>
      <c r="K39" s="13"/>
      <c r="L39" s="13"/>
      <c r="M39" s="13"/>
    </row>
    <row r="40" spans="1:13" ht="15.75">
      <c r="A40" s="5" t="s">
        <v>20</v>
      </c>
      <c r="B40" s="6" t="s">
        <v>21</v>
      </c>
      <c r="C40" s="6" t="s">
        <v>18</v>
      </c>
      <c r="D40" s="6" t="s">
        <v>22</v>
      </c>
      <c r="E40" s="6" t="s">
        <v>7</v>
      </c>
      <c r="F40" s="6" t="s">
        <v>13</v>
      </c>
      <c r="G40" s="6" t="s">
        <v>16</v>
      </c>
      <c r="H40" s="6" t="s">
        <v>23</v>
      </c>
      <c r="I40" s="6" t="s">
        <v>24</v>
      </c>
      <c r="J40" s="6" t="s">
        <v>25</v>
      </c>
      <c r="K40" s="6" t="s">
        <v>26</v>
      </c>
      <c r="L40" s="6" t="s">
        <v>27</v>
      </c>
      <c r="M40" s="6" t="s">
        <v>28</v>
      </c>
    </row>
    <row r="41" spans="1:13" ht="15.75">
      <c r="A41" s="7" t="s">
        <v>235</v>
      </c>
      <c r="B41" s="13">
        <v>1</v>
      </c>
      <c r="C41" s="13" t="s">
        <v>18</v>
      </c>
      <c r="D41" s="8" t="s">
        <v>2</v>
      </c>
      <c r="E41" s="13" t="s">
        <v>29</v>
      </c>
      <c r="F41" s="15" t="s">
        <v>14</v>
      </c>
      <c r="G41" s="13" t="s">
        <v>30</v>
      </c>
      <c r="H41" s="13">
        <v>1</v>
      </c>
      <c r="I41" s="13">
        <v>1</v>
      </c>
      <c r="J41" s="13" t="s">
        <v>31</v>
      </c>
      <c r="K41" s="13" t="s">
        <v>31</v>
      </c>
      <c r="L41" s="13" t="s">
        <v>31</v>
      </c>
      <c r="M41" s="13" t="s">
        <v>31</v>
      </c>
    </row>
    <row r="42" spans="1:13" ht="15.75">
      <c r="A42" s="7" t="s">
        <v>248</v>
      </c>
      <c r="B42" s="13">
        <v>1547.50288</v>
      </c>
      <c r="C42" s="13" t="s">
        <v>39</v>
      </c>
      <c r="D42" s="8" t="s">
        <v>40</v>
      </c>
      <c r="E42" s="13" t="s">
        <v>29</v>
      </c>
      <c r="F42" s="15" t="s">
        <v>86</v>
      </c>
      <c r="G42" s="13" t="s">
        <v>33</v>
      </c>
      <c r="H42" s="13">
        <v>2</v>
      </c>
      <c r="I42" s="13">
        <f t="shared" ref="I42:I45" si="2">LN(B42)</f>
        <v>7.3443978656232556</v>
      </c>
      <c r="J42" s="13">
        <v>0.24083189157584584</v>
      </c>
      <c r="K42" s="13" t="s">
        <v>31</v>
      </c>
      <c r="L42" s="13" t="s">
        <v>31</v>
      </c>
      <c r="M42" s="13" t="s">
        <v>31</v>
      </c>
    </row>
    <row r="43" spans="1:13" ht="15.75">
      <c r="A43" s="7" t="s">
        <v>249</v>
      </c>
      <c r="B43" s="13">
        <v>52.04936</v>
      </c>
      <c r="C43" s="13" t="s">
        <v>39</v>
      </c>
      <c r="D43" s="8" t="s">
        <v>40</v>
      </c>
      <c r="E43" s="13" t="s">
        <v>29</v>
      </c>
      <c r="F43" s="15" t="s">
        <v>86</v>
      </c>
      <c r="G43" s="13" t="s">
        <v>33</v>
      </c>
      <c r="H43" s="13">
        <v>2</v>
      </c>
      <c r="I43" s="13">
        <f t="shared" si="2"/>
        <v>3.9521924991160269</v>
      </c>
      <c r="J43" s="13">
        <v>0.24083189157584584</v>
      </c>
      <c r="K43" s="13" t="s">
        <v>31</v>
      </c>
      <c r="L43" s="13" t="s">
        <v>31</v>
      </c>
      <c r="M43" s="13" t="s">
        <v>31</v>
      </c>
    </row>
    <row r="44" spans="1:13" ht="15.75">
      <c r="A44" s="7" t="s">
        <v>250</v>
      </c>
      <c r="B44" s="13">
        <v>141.25055999999998</v>
      </c>
      <c r="C44" s="13" t="s">
        <v>39</v>
      </c>
      <c r="D44" s="8" t="s">
        <v>40</v>
      </c>
      <c r="E44" s="13" t="s">
        <v>29</v>
      </c>
      <c r="F44" s="15" t="s">
        <v>86</v>
      </c>
      <c r="G44" s="13" t="s">
        <v>33</v>
      </c>
      <c r="H44" s="13">
        <v>2</v>
      </c>
      <c r="I44" s="13">
        <f t="shared" si="2"/>
        <v>4.9505353346204615</v>
      </c>
      <c r="J44" s="13">
        <v>0.24083189157584584</v>
      </c>
      <c r="K44" s="13" t="s">
        <v>31</v>
      </c>
      <c r="L44" s="13" t="s">
        <v>31</v>
      </c>
      <c r="M44" s="13" t="s">
        <v>31</v>
      </c>
    </row>
    <row r="45" spans="1:13" ht="15.75">
      <c r="A45" s="7" t="s">
        <v>109</v>
      </c>
      <c r="B45" s="13">
        <v>98.397199999999998</v>
      </c>
      <c r="C45" s="13" t="s">
        <v>39</v>
      </c>
      <c r="D45" s="8" t="s">
        <v>40</v>
      </c>
      <c r="E45" s="13" t="s">
        <v>29</v>
      </c>
      <c r="F45" s="15" t="s">
        <v>86</v>
      </c>
      <c r="G45" s="13" t="s">
        <v>33</v>
      </c>
      <c r="H45" s="13">
        <v>2</v>
      </c>
      <c r="I45" s="13">
        <f t="shared" si="2"/>
        <v>4.5890123483687955</v>
      </c>
      <c r="J45" s="13">
        <v>0.24083189157584584</v>
      </c>
      <c r="K45" s="13" t="s">
        <v>31</v>
      </c>
      <c r="L45" s="13" t="s">
        <v>31</v>
      </c>
      <c r="M45" s="13" t="s">
        <v>31</v>
      </c>
    </row>
    <row r="46" spans="1:13" ht="15.75">
      <c r="A46" s="1" t="s">
        <v>5</v>
      </c>
      <c r="B46" s="2" t="s">
        <v>236</v>
      </c>
      <c r="C46" s="3"/>
      <c r="D46" s="11"/>
      <c r="E46" s="11"/>
      <c r="F46" s="11"/>
      <c r="G46" s="11"/>
      <c r="H46" s="11"/>
      <c r="I46" s="11"/>
      <c r="J46" s="11"/>
      <c r="K46" s="11"/>
      <c r="L46" s="11"/>
      <c r="M46" s="11"/>
    </row>
    <row r="47" spans="1:13">
      <c r="A47" s="12" t="s">
        <v>7</v>
      </c>
      <c r="B47" s="13" t="s">
        <v>77</v>
      </c>
      <c r="C47" s="4"/>
      <c r="D47" s="13"/>
      <c r="E47" s="13"/>
      <c r="F47" s="13"/>
      <c r="G47" s="13"/>
      <c r="H47" s="13"/>
      <c r="I47" s="13"/>
      <c r="J47" s="13"/>
      <c r="K47" s="13"/>
      <c r="L47" s="13"/>
      <c r="M47" s="13"/>
    </row>
    <row r="48" spans="1:13">
      <c r="A48" s="12" t="s">
        <v>9</v>
      </c>
      <c r="B48" s="13" t="s">
        <v>251</v>
      </c>
      <c r="C48" s="13"/>
      <c r="D48" s="13"/>
      <c r="E48" s="13"/>
      <c r="F48" s="13"/>
      <c r="G48" s="13"/>
      <c r="H48" s="13"/>
      <c r="I48" s="13"/>
      <c r="J48" s="13"/>
      <c r="K48" s="13"/>
      <c r="L48" s="13"/>
      <c r="M48" s="13"/>
    </row>
    <row r="49" spans="1:13" ht="45">
      <c r="A49" s="12" t="s">
        <v>11</v>
      </c>
      <c r="B49" s="14" t="s">
        <v>252</v>
      </c>
      <c r="C49" s="13"/>
      <c r="D49" s="13"/>
      <c r="E49" s="13"/>
      <c r="F49" s="13"/>
      <c r="G49" s="13"/>
      <c r="H49" s="13"/>
      <c r="I49" s="13"/>
      <c r="J49" s="13"/>
      <c r="K49" s="13"/>
      <c r="L49" s="13"/>
      <c r="M49" s="13"/>
    </row>
    <row r="50" spans="1:13">
      <c r="A50" s="12" t="s">
        <v>13</v>
      </c>
      <c r="B50" s="13" t="s">
        <v>14</v>
      </c>
      <c r="C50" s="13"/>
      <c r="D50" s="13"/>
      <c r="E50" s="13"/>
      <c r="F50" s="13"/>
      <c r="G50" s="13"/>
      <c r="H50" s="13"/>
      <c r="I50" s="13"/>
      <c r="J50" s="13"/>
      <c r="K50" s="13"/>
      <c r="L50" s="13"/>
      <c r="M50" s="13"/>
    </row>
    <row r="51" spans="1:13">
      <c r="A51" s="12" t="s">
        <v>15</v>
      </c>
      <c r="B51" s="13">
        <v>1</v>
      </c>
      <c r="C51" s="13"/>
      <c r="D51" s="13"/>
      <c r="E51" s="13"/>
      <c r="F51" s="13"/>
      <c r="G51" s="13"/>
      <c r="H51" s="13"/>
      <c r="I51" s="13"/>
      <c r="J51" s="13"/>
      <c r="K51" s="13"/>
      <c r="L51" s="13"/>
      <c r="M51" s="13"/>
    </row>
    <row r="52" spans="1:13">
      <c r="A52" s="12" t="s">
        <v>16</v>
      </c>
      <c r="B52" s="13" t="s">
        <v>17</v>
      </c>
      <c r="C52" s="13"/>
      <c r="D52" s="13"/>
      <c r="E52" s="13"/>
      <c r="F52" s="13"/>
      <c r="G52" s="13"/>
      <c r="H52" s="13"/>
      <c r="I52" s="13"/>
      <c r="J52" s="13"/>
      <c r="K52" s="13"/>
      <c r="L52" s="13"/>
      <c r="M52" s="13"/>
    </row>
    <row r="53" spans="1:13">
      <c r="A53" s="12" t="s">
        <v>18</v>
      </c>
      <c r="B53" s="13" t="s">
        <v>18</v>
      </c>
      <c r="C53" s="13"/>
      <c r="D53" s="13"/>
      <c r="E53" s="13"/>
      <c r="F53" s="13"/>
      <c r="G53" s="13"/>
      <c r="H53" s="13"/>
      <c r="I53" s="13"/>
      <c r="J53" s="13"/>
      <c r="K53" s="13"/>
      <c r="L53" s="13"/>
      <c r="M53" s="13"/>
    </row>
    <row r="54" spans="1:13" ht="15.75">
      <c r="A54" s="5" t="s">
        <v>19</v>
      </c>
      <c r="B54" s="13"/>
      <c r="C54" s="13"/>
      <c r="D54" s="13"/>
      <c r="E54" s="13"/>
      <c r="F54" s="13"/>
      <c r="G54" s="13"/>
      <c r="H54" s="13"/>
      <c r="I54" s="13"/>
      <c r="J54" s="13"/>
      <c r="K54" s="13"/>
      <c r="L54" s="13"/>
      <c r="M54" s="13"/>
    </row>
    <row r="55" spans="1:13" ht="15.75">
      <c r="A55" s="5" t="s">
        <v>20</v>
      </c>
      <c r="B55" s="6" t="s">
        <v>21</v>
      </c>
      <c r="C55" s="6" t="s">
        <v>18</v>
      </c>
      <c r="D55" s="6" t="s">
        <v>22</v>
      </c>
      <c r="E55" s="6" t="s">
        <v>7</v>
      </c>
      <c r="F55" s="6" t="s">
        <v>13</v>
      </c>
      <c r="G55" s="6" t="s">
        <v>16</v>
      </c>
      <c r="H55" s="6" t="s">
        <v>23</v>
      </c>
      <c r="I55" s="6" t="s">
        <v>24</v>
      </c>
      <c r="J55" s="6" t="s">
        <v>25</v>
      </c>
      <c r="K55" s="6" t="s">
        <v>26</v>
      </c>
      <c r="L55" s="6" t="s">
        <v>27</v>
      </c>
      <c r="M55" s="6" t="s">
        <v>28</v>
      </c>
    </row>
    <row r="56" spans="1:13" ht="15.75">
      <c r="A56" s="7" t="s">
        <v>236</v>
      </c>
      <c r="B56" s="13">
        <v>1</v>
      </c>
      <c r="C56" s="13" t="s">
        <v>18</v>
      </c>
      <c r="D56" s="8" t="s">
        <v>2</v>
      </c>
      <c r="E56" s="13" t="s">
        <v>29</v>
      </c>
      <c r="F56" s="15" t="s">
        <v>14</v>
      </c>
      <c r="G56" s="13" t="s">
        <v>30</v>
      </c>
      <c r="H56" s="13">
        <v>1</v>
      </c>
      <c r="I56" s="13">
        <v>1</v>
      </c>
      <c r="J56" s="13" t="s">
        <v>31</v>
      </c>
      <c r="K56" s="13" t="s">
        <v>31</v>
      </c>
      <c r="L56" s="13" t="s">
        <v>31</v>
      </c>
      <c r="M56" s="13" t="s">
        <v>31</v>
      </c>
    </row>
    <row r="57" spans="1:13" ht="15.75">
      <c r="A57" s="7" t="s">
        <v>248</v>
      </c>
      <c r="B57" s="13">
        <v>10.815663292488013</v>
      </c>
      <c r="C57" s="13" t="s">
        <v>39</v>
      </c>
      <c r="D57" s="8" t="s">
        <v>40</v>
      </c>
      <c r="E57" s="13" t="s">
        <v>29</v>
      </c>
      <c r="F57" s="15" t="s">
        <v>86</v>
      </c>
      <c r="G57" s="13" t="s">
        <v>33</v>
      </c>
      <c r="H57" s="13">
        <v>2</v>
      </c>
      <c r="I57" s="13">
        <f>LN(B57)</f>
        <v>2.3809953883138264</v>
      </c>
      <c r="J57" s="13">
        <v>0.24083189157584584</v>
      </c>
      <c r="K57" s="13" t="s">
        <v>31</v>
      </c>
      <c r="L57" s="13" t="s">
        <v>31</v>
      </c>
      <c r="M57" s="13" t="s">
        <v>31</v>
      </c>
    </row>
    <row r="58" spans="1:13" ht="15.75">
      <c r="A58" s="7" t="s">
        <v>250</v>
      </c>
      <c r="B58" s="13">
        <v>184.40170484816201</v>
      </c>
      <c r="C58" s="13" t="s">
        <v>39</v>
      </c>
      <c r="D58" s="8" t="s">
        <v>40</v>
      </c>
      <c r="E58" s="13" t="s">
        <v>29</v>
      </c>
      <c r="F58" s="15" t="s">
        <v>86</v>
      </c>
      <c r="G58" s="13" t="s">
        <v>33</v>
      </c>
      <c r="H58" s="13">
        <v>2</v>
      </c>
      <c r="I58" s="13">
        <f>LN(B58)</f>
        <v>5.2171165564602431</v>
      </c>
      <c r="J58" s="13">
        <v>0.24083189157584584</v>
      </c>
      <c r="K58" s="13" t="s">
        <v>31</v>
      </c>
      <c r="L58" s="13" t="s">
        <v>31</v>
      </c>
      <c r="M58" s="13" t="s">
        <v>31</v>
      </c>
    </row>
    <row r="59" spans="1:13" ht="15.75">
      <c r="A59" s="7" t="s">
        <v>253</v>
      </c>
      <c r="B59" s="13">
        <v>5.782631859350027</v>
      </c>
      <c r="C59" s="13" t="s">
        <v>39</v>
      </c>
      <c r="D59" s="8" t="s">
        <v>40</v>
      </c>
      <c r="E59" s="13" t="s">
        <v>29</v>
      </c>
      <c r="F59" s="15" t="s">
        <v>86</v>
      </c>
      <c r="G59" s="13" t="s">
        <v>33</v>
      </c>
      <c r="H59" s="13">
        <v>2</v>
      </c>
      <c r="I59" s="13">
        <f>LN(B59)</f>
        <v>1.7548589180368415</v>
      </c>
      <c r="J59" s="13">
        <v>0.24083189157584584</v>
      </c>
      <c r="K59" s="13" t="s">
        <v>31</v>
      </c>
      <c r="L59" s="13" t="s">
        <v>31</v>
      </c>
      <c r="M59" s="13" t="s">
        <v>31</v>
      </c>
    </row>
    <row r="60" spans="1:13" ht="15.75">
      <c r="A60" s="1" t="s">
        <v>5</v>
      </c>
      <c r="B60" s="2" t="s">
        <v>237</v>
      </c>
      <c r="C60" s="3"/>
      <c r="D60" s="11"/>
      <c r="E60" s="11"/>
      <c r="F60" s="11"/>
      <c r="G60" s="11"/>
      <c r="H60" s="11"/>
      <c r="I60" s="11"/>
      <c r="J60" s="11"/>
      <c r="K60" s="11"/>
      <c r="L60" s="11"/>
      <c r="M60" s="11"/>
    </row>
    <row r="61" spans="1:13">
      <c r="A61" s="12" t="s">
        <v>7</v>
      </c>
      <c r="B61" s="13" t="s">
        <v>77</v>
      </c>
      <c r="C61" s="4"/>
      <c r="D61" s="13"/>
      <c r="E61" s="13"/>
      <c r="F61" s="13"/>
      <c r="G61" s="13"/>
      <c r="H61" s="13"/>
      <c r="I61" s="13"/>
      <c r="J61" s="13"/>
      <c r="K61" s="13"/>
      <c r="L61" s="13"/>
      <c r="M61" s="13"/>
    </row>
    <row r="62" spans="1:13">
      <c r="A62" s="12" t="s">
        <v>9</v>
      </c>
      <c r="B62" s="13" t="s">
        <v>254</v>
      </c>
      <c r="C62" s="13"/>
      <c r="D62" s="13"/>
      <c r="E62" s="13"/>
      <c r="F62" s="13"/>
      <c r="G62" s="13"/>
      <c r="H62" s="13"/>
      <c r="I62" s="13"/>
      <c r="J62" s="13"/>
      <c r="K62" s="13"/>
      <c r="L62" s="13"/>
      <c r="M62" s="13"/>
    </row>
    <row r="63" spans="1:13" ht="45">
      <c r="A63" s="12" t="s">
        <v>11</v>
      </c>
      <c r="B63" s="14" t="s">
        <v>255</v>
      </c>
      <c r="C63" s="13"/>
      <c r="D63" s="13"/>
      <c r="E63" s="13"/>
      <c r="F63" s="13"/>
      <c r="G63" s="13"/>
      <c r="H63" s="13"/>
      <c r="I63" s="13"/>
      <c r="J63" s="13"/>
      <c r="K63" s="13"/>
      <c r="L63" s="13"/>
      <c r="M63" s="13"/>
    </row>
    <row r="64" spans="1:13">
      <c r="A64" s="12" t="s">
        <v>13</v>
      </c>
      <c r="B64" s="13" t="s">
        <v>14</v>
      </c>
      <c r="C64" s="13"/>
      <c r="D64" s="13"/>
      <c r="E64" s="13"/>
      <c r="F64" s="13"/>
      <c r="G64" s="13"/>
      <c r="H64" s="13"/>
      <c r="I64" s="13"/>
      <c r="J64" s="13"/>
      <c r="K64" s="13"/>
      <c r="L64" s="13"/>
      <c r="M64" s="13"/>
    </row>
    <row r="65" spans="1:13">
      <c r="A65" s="12" t="s">
        <v>15</v>
      </c>
      <c r="B65" s="13">
        <v>1</v>
      </c>
      <c r="C65" s="13"/>
      <c r="D65" s="13"/>
      <c r="E65" s="13"/>
      <c r="F65" s="13"/>
      <c r="G65" s="13"/>
      <c r="H65" s="13"/>
      <c r="I65" s="13"/>
      <c r="J65" s="13"/>
      <c r="K65" s="13"/>
      <c r="L65" s="13"/>
      <c r="M65" s="13"/>
    </row>
    <row r="66" spans="1:13">
      <c r="A66" s="12" t="s">
        <v>16</v>
      </c>
      <c r="B66" s="13" t="s">
        <v>17</v>
      </c>
      <c r="C66" s="13"/>
      <c r="D66" s="13"/>
      <c r="E66" s="13"/>
      <c r="F66" s="13"/>
      <c r="G66" s="13"/>
      <c r="H66" s="13"/>
      <c r="I66" s="13"/>
      <c r="J66" s="13"/>
      <c r="K66" s="13"/>
      <c r="L66" s="13"/>
      <c r="M66" s="13"/>
    </row>
    <row r="67" spans="1:13">
      <c r="A67" s="12" t="s">
        <v>18</v>
      </c>
      <c r="B67" s="13" t="s">
        <v>18</v>
      </c>
      <c r="C67" s="13"/>
      <c r="D67" s="13"/>
      <c r="E67" s="13"/>
      <c r="F67" s="13"/>
      <c r="G67" s="13"/>
      <c r="H67" s="13"/>
      <c r="I67" s="13"/>
      <c r="J67" s="13"/>
      <c r="K67" s="13"/>
      <c r="L67" s="13"/>
      <c r="M67" s="13"/>
    </row>
    <row r="68" spans="1:13" ht="15.75">
      <c r="A68" s="5" t="s">
        <v>19</v>
      </c>
      <c r="B68" s="13"/>
      <c r="C68" s="13"/>
      <c r="D68" s="13"/>
      <c r="E68" s="13"/>
      <c r="F68" s="13"/>
      <c r="G68" s="13"/>
      <c r="H68" s="13"/>
      <c r="I68" s="13"/>
      <c r="J68" s="13"/>
      <c r="K68" s="13"/>
      <c r="L68" s="13"/>
      <c r="M68" s="13"/>
    </row>
    <row r="69" spans="1:13" ht="15.75">
      <c r="A69" s="5" t="s">
        <v>20</v>
      </c>
      <c r="B69" s="6" t="s">
        <v>21</v>
      </c>
      <c r="C69" s="6" t="s">
        <v>18</v>
      </c>
      <c r="D69" s="6" t="s">
        <v>22</v>
      </c>
      <c r="E69" s="6" t="s">
        <v>7</v>
      </c>
      <c r="F69" s="6" t="s">
        <v>13</v>
      </c>
      <c r="G69" s="6" t="s">
        <v>16</v>
      </c>
      <c r="H69" s="6" t="s">
        <v>23</v>
      </c>
      <c r="I69" s="6" t="s">
        <v>24</v>
      </c>
      <c r="J69" s="6" t="s">
        <v>25</v>
      </c>
      <c r="K69" s="6" t="s">
        <v>26</v>
      </c>
      <c r="L69" s="6" t="s">
        <v>27</v>
      </c>
      <c r="M69" s="6" t="s">
        <v>28</v>
      </c>
    </row>
    <row r="70" spans="1:13" ht="15.75">
      <c r="A70" s="7" t="s">
        <v>237</v>
      </c>
      <c r="B70" s="13">
        <v>1</v>
      </c>
      <c r="C70" s="13" t="s">
        <v>18</v>
      </c>
      <c r="D70" s="8" t="s">
        <v>2</v>
      </c>
      <c r="E70" s="13" t="s">
        <v>29</v>
      </c>
      <c r="F70" s="15" t="s">
        <v>14</v>
      </c>
      <c r="G70" s="13" t="s">
        <v>30</v>
      </c>
      <c r="H70" s="13">
        <v>1</v>
      </c>
      <c r="I70" s="13">
        <v>1</v>
      </c>
      <c r="J70" s="13" t="s">
        <v>31</v>
      </c>
      <c r="K70" s="13" t="s">
        <v>31</v>
      </c>
      <c r="L70" s="13" t="s">
        <v>31</v>
      </c>
      <c r="M70" s="13" t="s">
        <v>31</v>
      </c>
    </row>
    <row r="71" spans="1:13" ht="15.75">
      <c r="A71" s="7" t="s">
        <v>248</v>
      </c>
      <c r="B71" s="13">
        <v>8.8535234899328845</v>
      </c>
      <c r="C71" s="13" t="s">
        <v>39</v>
      </c>
      <c r="D71" s="8" t="s">
        <v>40</v>
      </c>
      <c r="E71" s="13" t="s">
        <v>29</v>
      </c>
      <c r="F71" s="15" t="s">
        <v>86</v>
      </c>
      <c r="G71" s="13" t="s">
        <v>33</v>
      </c>
      <c r="H71" s="13">
        <v>2</v>
      </c>
      <c r="I71" s="13">
        <f>LN(B71)</f>
        <v>2.180815514241039</v>
      </c>
      <c r="J71" s="13">
        <v>0.24083189157584584</v>
      </c>
      <c r="K71" s="13" t="s">
        <v>31</v>
      </c>
      <c r="L71" s="13" t="s">
        <v>31</v>
      </c>
      <c r="M71" s="13" t="s">
        <v>31</v>
      </c>
    </row>
    <row r="72" spans="1:13" ht="15.75">
      <c r="A72" s="7" t="s">
        <v>250</v>
      </c>
      <c r="B72" s="13">
        <v>141.65637583892615</v>
      </c>
      <c r="C72" s="13" t="s">
        <v>39</v>
      </c>
      <c r="D72" s="8" t="s">
        <v>40</v>
      </c>
      <c r="E72" s="13" t="s">
        <v>29</v>
      </c>
      <c r="F72" s="15" t="s">
        <v>86</v>
      </c>
      <c r="G72" s="13" t="s">
        <v>33</v>
      </c>
      <c r="H72" s="13">
        <v>2</v>
      </c>
      <c r="I72" s="13">
        <f>LN(B72)</f>
        <v>4.9534042364808197</v>
      </c>
      <c r="J72" s="13">
        <v>0.24083189157584584</v>
      </c>
      <c r="K72" s="13" t="s">
        <v>31</v>
      </c>
      <c r="L72" s="13" t="s">
        <v>31</v>
      </c>
      <c r="M72" s="13" t="s">
        <v>31</v>
      </c>
    </row>
    <row r="73" spans="1:13" ht="15.75">
      <c r="A73" s="7" t="s">
        <v>253</v>
      </c>
      <c r="B73" s="13">
        <v>106.89010067114093</v>
      </c>
      <c r="C73" s="13" t="s">
        <v>39</v>
      </c>
      <c r="D73" s="8" t="s">
        <v>40</v>
      </c>
      <c r="E73" s="13" t="s">
        <v>29</v>
      </c>
      <c r="F73" s="15" t="s">
        <v>86</v>
      </c>
      <c r="G73" s="13" t="s">
        <v>33</v>
      </c>
      <c r="H73" s="13">
        <v>2</v>
      </c>
      <c r="I73" s="13">
        <f>LN(B73)</f>
        <v>4.6718012101054214</v>
      </c>
      <c r="J73" s="13">
        <v>0.24083189157584584</v>
      </c>
      <c r="K73" s="13" t="s">
        <v>31</v>
      </c>
      <c r="L73" s="13" t="s">
        <v>31</v>
      </c>
      <c r="M73" s="13" t="s">
        <v>31</v>
      </c>
    </row>
    <row r="74" spans="1:13" ht="15.75">
      <c r="A74" s="1" t="s">
        <v>5</v>
      </c>
      <c r="B74" s="2" t="s">
        <v>238</v>
      </c>
      <c r="C74" s="3"/>
      <c r="D74" s="11"/>
      <c r="E74" s="11"/>
      <c r="F74" s="11"/>
      <c r="G74" s="11"/>
      <c r="H74" s="11"/>
      <c r="I74" s="11"/>
      <c r="J74" s="11"/>
      <c r="K74" s="11"/>
      <c r="L74" s="11"/>
      <c r="M74" s="11"/>
    </row>
    <row r="75" spans="1:13">
      <c r="A75" s="12" t="s">
        <v>7</v>
      </c>
      <c r="B75" s="13" t="s">
        <v>77</v>
      </c>
      <c r="C75" s="4"/>
      <c r="D75" s="13"/>
      <c r="E75" s="13"/>
      <c r="F75" s="13"/>
      <c r="G75" s="13"/>
      <c r="H75" s="13"/>
      <c r="I75" s="13"/>
      <c r="J75" s="13"/>
      <c r="K75" s="13"/>
      <c r="L75" s="13"/>
      <c r="M75" s="13"/>
    </row>
    <row r="76" spans="1:13">
      <c r="A76" s="12" t="s">
        <v>9</v>
      </c>
      <c r="B76" s="13" t="s">
        <v>256</v>
      </c>
      <c r="C76" s="13"/>
      <c r="D76" s="13"/>
      <c r="E76" s="13"/>
      <c r="F76" s="13"/>
      <c r="G76" s="13"/>
      <c r="H76" s="13"/>
      <c r="I76" s="13"/>
      <c r="J76" s="13"/>
      <c r="K76" s="13"/>
      <c r="L76" s="13"/>
      <c r="M76" s="13"/>
    </row>
    <row r="77" spans="1:13" ht="60">
      <c r="A77" s="12" t="s">
        <v>11</v>
      </c>
      <c r="B77" s="14" t="s">
        <v>257</v>
      </c>
      <c r="C77" s="13"/>
      <c r="D77" s="13"/>
      <c r="E77" s="13"/>
      <c r="F77" s="13"/>
      <c r="G77" s="13"/>
      <c r="H77" s="13"/>
      <c r="I77" s="13"/>
      <c r="J77" s="13"/>
      <c r="K77" s="13"/>
      <c r="L77" s="13"/>
      <c r="M77" s="13"/>
    </row>
    <row r="78" spans="1:13">
      <c r="A78" s="12" t="s">
        <v>13</v>
      </c>
      <c r="B78" s="13" t="s">
        <v>14</v>
      </c>
      <c r="C78" s="13"/>
      <c r="D78" s="13"/>
      <c r="E78" s="13"/>
      <c r="F78" s="13"/>
      <c r="G78" s="13"/>
      <c r="H78" s="13"/>
      <c r="I78" s="13"/>
      <c r="J78" s="13"/>
      <c r="K78" s="13"/>
      <c r="L78" s="13"/>
      <c r="M78" s="13"/>
    </row>
    <row r="79" spans="1:13">
      <c r="A79" s="12" t="s">
        <v>15</v>
      </c>
      <c r="B79" s="13">
        <v>1</v>
      </c>
      <c r="C79" s="13"/>
      <c r="D79" s="13"/>
      <c r="E79" s="13"/>
      <c r="F79" s="13"/>
      <c r="G79" s="13"/>
      <c r="H79" s="13"/>
      <c r="I79" s="13"/>
      <c r="J79" s="13"/>
      <c r="K79" s="13"/>
      <c r="L79" s="13"/>
      <c r="M79" s="13"/>
    </row>
    <row r="80" spans="1:13">
      <c r="A80" s="12" t="s">
        <v>16</v>
      </c>
      <c r="B80" s="13" t="s">
        <v>17</v>
      </c>
      <c r="C80" s="13"/>
      <c r="D80" s="13"/>
      <c r="E80" s="13"/>
      <c r="F80" s="13"/>
      <c r="G80" s="13"/>
      <c r="H80" s="13"/>
      <c r="I80" s="13"/>
      <c r="J80" s="13"/>
      <c r="K80" s="13"/>
      <c r="L80" s="13"/>
      <c r="M80" s="13"/>
    </row>
    <row r="81" spans="1:13">
      <c r="A81" s="12" t="s">
        <v>18</v>
      </c>
      <c r="B81" s="13" t="s">
        <v>18</v>
      </c>
      <c r="C81" s="13"/>
      <c r="D81" s="13"/>
      <c r="E81" s="13"/>
      <c r="F81" s="13"/>
      <c r="G81" s="13"/>
      <c r="H81" s="13"/>
      <c r="I81" s="13"/>
      <c r="J81" s="13"/>
      <c r="K81" s="13"/>
      <c r="L81" s="13"/>
      <c r="M81" s="13"/>
    </row>
    <row r="82" spans="1:13" ht="15.75">
      <c r="A82" s="5" t="s">
        <v>19</v>
      </c>
      <c r="B82" s="13"/>
      <c r="C82" s="13"/>
      <c r="D82" s="13"/>
      <c r="E82" s="13"/>
      <c r="F82" s="13"/>
      <c r="G82" s="13"/>
      <c r="H82" s="13"/>
      <c r="I82" s="13"/>
      <c r="J82" s="13"/>
      <c r="K82" s="13"/>
      <c r="L82" s="13"/>
      <c r="M82" s="13"/>
    </row>
    <row r="83" spans="1:13" ht="15.75">
      <c r="A83" s="5" t="s">
        <v>20</v>
      </c>
      <c r="B83" s="6" t="s">
        <v>21</v>
      </c>
      <c r="C83" s="6" t="s">
        <v>18</v>
      </c>
      <c r="D83" s="6" t="s">
        <v>22</v>
      </c>
      <c r="E83" s="6" t="s">
        <v>7</v>
      </c>
      <c r="F83" s="6" t="s">
        <v>13</v>
      </c>
      <c r="G83" s="6" t="s">
        <v>16</v>
      </c>
      <c r="H83" s="6" t="s">
        <v>23</v>
      </c>
      <c r="I83" s="6" t="s">
        <v>24</v>
      </c>
      <c r="J83" s="6" t="s">
        <v>25</v>
      </c>
      <c r="K83" s="6" t="s">
        <v>26</v>
      </c>
      <c r="L83" s="6" t="s">
        <v>27</v>
      </c>
      <c r="M83" s="6" t="s">
        <v>28</v>
      </c>
    </row>
    <row r="84" spans="1:13" ht="15.75">
      <c r="A84" s="7" t="s">
        <v>238</v>
      </c>
      <c r="B84" s="13">
        <v>1</v>
      </c>
      <c r="C84" s="13" t="s">
        <v>18</v>
      </c>
      <c r="D84" s="8" t="s">
        <v>2</v>
      </c>
      <c r="E84" s="13" t="s">
        <v>29</v>
      </c>
      <c r="F84" s="15" t="s">
        <v>14</v>
      </c>
      <c r="G84" s="13" t="s">
        <v>30</v>
      </c>
      <c r="H84" s="13">
        <v>1</v>
      </c>
      <c r="I84" s="13">
        <v>1</v>
      </c>
      <c r="J84" s="13" t="s">
        <v>31</v>
      </c>
      <c r="K84" s="13" t="s">
        <v>31</v>
      </c>
      <c r="L84" s="13" t="s">
        <v>31</v>
      </c>
      <c r="M84" s="13" t="s">
        <v>31</v>
      </c>
    </row>
    <row r="85" spans="1:13" ht="15.75">
      <c r="A85" s="7" t="s">
        <v>248</v>
      </c>
      <c r="B85" s="13">
        <f>2019.81731223859/2306.857618*2374.3</f>
        <v>2078.8678967563765</v>
      </c>
      <c r="C85" s="13" t="s">
        <v>39</v>
      </c>
      <c r="D85" s="8" t="s">
        <v>40</v>
      </c>
      <c r="E85" s="13" t="s">
        <v>29</v>
      </c>
      <c r="F85" s="15" t="s">
        <v>86</v>
      </c>
      <c r="G85" s="13" t="s">
        <v>33</v>
      </c>
      <c r="H85" s="13">
        <v>2</v>
      </c>
      <c r="I85" s="13">
        <f>LN(B85)</f>
        <v>7.6395787441154273</v>
      </c>
      <c r="J85" s="13">
        <v>0.24083189157584584</v>
      </c>
      <c r="K85" s="13" t="s">
        <v>31</v>
      </c>
      <c r="L85" s="13" t="s">
        <v>31</v>
      </c>
      <c r="M85" s="13" t="s">
        <v>31</v>
      </c>
    </row>
    <row r="86" spans="1:13" ht="15.75">
      <c r="A86" s="7" t="s">
        <v>253</v>
      </c>
      <c r="B86" s="13">
        <f>10.7942353155119/2306.857618*2374.3</f>
        <v>11.109811333670228</v>
      </c>
      <c r="C86" s="13" t="s">
        <v>39</v>
      </c>
      <c r="D86" s="8" t="s">
        <v>40</v>
      </c>
      <c r="E86" s="13" t="s">
        <v>29</v>
      </c>
      <c r="F86" s="15" t="s">
        <v>86</v>
      </c>
      <c r="G86" s="13" t="s">
        <v>33</v>
      </c>
      <c r="H86" s="13">
        <v>2</v>
      </c>
      <c r="I86" s="13">
        <f>LN(B86)</f>
        <v>2.4078286218395024</v>
      </c>
      <c r="J86" s="13">
        <v>0.24083189157584584</v>
      </c>
      <c r="K86" s="13" t="s">
        <v>31</v>
      </c>
      <c r="L86" s="13" t="s">
        <v>31</v>
      </c>
      <c r="M86" s="13" t="s">
        <v>31</v>
      </c>
    </row>
    <row r="87" spans="1:13" ht="15.75">
      <c r="A87" s="7" t="s">
        <v>249</v>
      </c>
      <c r="B87" s="13">
        <f>16.320883797054/2306.857618*2374.3</f>
        <v>16.798034736509393</v>
      </c>
      <c r="C87" s="13" t="s">
        <v>39</v>
      </c>
      <c r="D87" s="8" t="s">
        <v>40</v>
      </c>
      <c r="E87" s="13" t="s">
        <v>29</v>
      </c>
      <c r="F87" s="15" t="s">
        <v>86</v>
      </c>
      <c r="G87" s="13" t="s">
        <v>33</v>
      </c>
      <c r="H87" s="13">
        <v>2</v>
      </c>
      <c r="I87" s="13">
        <f t="shared" ref="I87:I89" si="3">LN(B87)</f>
        <v>2.8212618995968439</v>
      </c>
      <c r="J87" s="13">
        <v>0.24083189157584584</v>
      </c>
      <c r="K87" s="13" t="s">
        <v>31</v>
      </c>
      <c r="L87" s="13" t="s">
        <v>31</v>
      </c>
      <c r="M87" s="13" t="s">
        <v>31</v>
      </c>
    </row>
    <row r="88" spans="1:13" ht="15.75">
      <c r="A88" s="7" t="s">
        <v>109</v>
      </c>
      <c r="B88" s="13">
        <f>107.942353155119/2306.857618*2374.3</f>
        <v>111.09811333670228</v>
      </c>
      <c r="C88" s="13" t="s">
        <v>39</v>
      </c>
      <c r="D88" s="8" t="s">
        <v>40</v>
      </c>
      <c r="E88" s="13" t="s">
        <v>29</v>
      </c>
      <c r="F88" s="15" t="s">
        <v>86</v>
      </c>
      <c r="G88" s="13" t="s">
        <v>33</v>
      </c>
      <c r="H88" s="13">
        <v>2</v>
      </c>
      <c r="I88" s="13">
        <f t="shared" si="3"/>
        <v>4.7104137148335479</v>
      </c>
      <c r="J88" s="13">
        <v>0.24083189157584584</v>
      </c>
      <c r="K88" s="13" t="s">
        <v>31</v>
      </c>
      <c r="L88" s="13" t="s">
        <v>31</v>
      </c>
      <c r="M88" s="13" t="s">
        <v>31</v>
      </c>
    </row>
    <row r="89" spans="1:13" ht="15.75">
      <c r="A89" s="7" t="s">
        <v>250</v>
      </c>
      <c r="B89" s="13">
        <f>151.982833242408/2306.857618*2374.3</f>
        <v>156.42614357807724</v>
      </c>
      <c r="C89" s="13" t="s">
        <v>39</v>
      </c>
      <c r="D89" s="8" t="s">
        <v>40</v>
      </c>
      <c r="E89" s="13" t="s">
        <v>29</v>
      </c>
      <c r="F89" s="15" t="s">
        <v>86</v>
      </c>
      <c r="G89" s="13" t="s">
        <v>33</v>
      </c>
      <c r="H89" s="13">
        <v>2</v>
      </c>
      <c r="I89" s="13">
        <f t="shared" si="3"/>
        <v>5.0525839725694013</v>
      </c>
      <c r="J89" s="13">
        <v>0.24083189157584584</v>
      </c>
      <c r="K89" s="13" t="s">
        <v>31</v>
      </c>
      <c r="L89" s="13" t="s">
        <v>31</v>
      </c>
      <c r="M89" s="13" t="s">
        <v>31</v>
      </c>
    </row>
    <row r="90" spans="1:13" ht="15.75">
      <c r="A90" s="1" t="s">
        <v>5</v>
      </c>
      <c r="B90" s="2" t="s">
        <v>239</v>
      </c>
      <c r="C90" s="3"/>
      <c r="D90" s="11"/>
      <c r="E90" s="11"/>
      <c r="F90" s="11"/>
      <c r="G90" s="11"/>
      <c r="H90" s="11"/>
      <c r="I90" s="11"/>
      <c r="J90" s="11"/>
      <c r="K90" s="11"/>
      <c r="L90" s="11"/>
      <c r="M90" s="11"/>
    </row>
    <row r="91" spans="1:13">
      <c r="A91" s="12" t="s">
        <v>7</v>
      </c>
      <c r="B91" s="13" t="s">
        <v>77</v>
      </c>
      <c r="C91" s="4"/>
      <c r="D91" s="13"/>
      <c r="E91" s="13"/>
      <c r="F91" s="13"/>
      <c r="G91" s="13"/>
      <c r="H91" s="13"/>
      <c r="I91" s="13"/>
      <c r="J91" s="13"/>
      <c r="K91" s="13"/>
      <c r="L91" s="13"/>
      <c r="M91" s="13"/>
    </row>
    <row r="92" spans="1:13">
      <c r="A92" s="12" t="s">
        <v>9</v>
      </c>
      <c r="B92" s="13" t="s">
        <v>258</v>
      </c>
      <c r="C92" s="13"/>
      <c r="D92" s="13"/>
      <c r="E92" s="13"/>
      <c r="F92" s="13"/>
      <c r="G92" s="13"/>
      <c r="H92" s="13"/>
      <c r="I92" s="13"/>
      <c r="J92" s="13"/>
      <c r="K92" s="13"/>
      <c r="L92" s="13"/>
      <c r="M92" s="13"/>
    </row>
    <row r="93" spans="1:13" ht="45">
      <c r="A93" s="12" t="s">
        <v>11</v>
      </c>
      <c r="B93" s="14" t="s">
        <v>259</v>
      </c>
      <c r="C93" s="13"/>
      <c r="D93" s="13"/>
      <c r="E93" s="13"/>
      <c r="F93" s="13"/>
      <c r="G93" s="13"/>
      <c r="H93" s="13"/>
      <c r="I93" s="13"/>
      <c r="J93" s="13"/>
      <c r="K93" s="13"/>
      <c r="L93" s="13"/>
      <c r="M93" s="13"/>
    </row>
    <row r="94" spans="1:13">
      <c r="A94" s="12" t="s">
        <v>13</v>
      </c>
      <c r="B94" s="13" t="s">
        <v>14</v>
      </c>
      <c r="C94" s="13"/>
      <c r="D94" s="13"/>
      <c r="E94" s="13"/>
      <c r="F94" s="13"/>
      <c r="G94" s="13"/>
      <c r="H94" s="13"/>
      <c r="I94" s="13"/>
      <c r="J94" s="13"/>
      <c r="K94" s="13"/>
      <c r="L94" s="13"/>
      <c r="M94" s="13"/>
    </row>
    <row r="95" spans="1:13">
      <c r="A95" s="12" t="s">
        <v>15</v>
      </c>
      <c r="B95" s="13">
        <v>1</v>
      </c>
      <c r="C95" s="13"/>
      <c r="D95" s="13"/>
      <c r="E95" s="13"/>
      <c r="F95" s="13"/>
      <c r="G95" s="13"/>
      <c r="H95" s="13"/>
      <c r="I95" s="13"/>
      <c r="J95" s="13"/>
      <c r="K95" s="13"/>
      <c r="L95" s="13"/>
      <c r="M95" s="13"/>
    </row>
    <row r="96" spans="1:13">
      <c r="A96" s="12" t="s">
        <v>16</v>
      </c>
      <c r="B96" s="13" t="s">
        <v>17</v>
      </c>
      <c r="C96" s="13"/>
      <c r="D96" s="13"/>
      <c r="E96" s="13"/>
      <c r="F96" s="13"/>
      <c r="G96" s="13"/>
      <c r="H96" s="13"/>
      <c r="I96" s="13"/>
      <c r="J96" s="13"/>
      <c r="K96" s="13"/>
      <c r="L96" s="13"/>
      <c r="M96" s="13"/>
    </row>
    <row r="97" spans="1:13">
      <c r="A97" s="12" t="s">
        <v>18</v>
      </c>
      <c r="B97" s="13" t="s">
        <v>18</v>
      </c>
      <c r="C97" s="13"/>
      <c r="D97" s="13"/>
      <c r="E97" s="13"/>
      <c r="F97" s="13"/>
      <c r="G97" s="13"/>
      <c r="H97" s="13"/>
      <c r="I97" s="13"/>
      <c r="J97" s="13"/>
      <c r="K97" s="13"/>
      <c r="L97" s="13"/>
      <c r="M97" s="13"/>
    </row>
    <row r="98" spans="1:13" ht="15.75">
      <c r="A98" s="5" t="s">
        <v>19</v>
      </c>
      <c r="B98" s="13"/>
      <c r="C98" s="13"/>
      <c r="D98" s="13"/>
      <c r="E98" s="13"/>
      <c r="F98" s="13"/>
      <c r="G98" s="13"/>
      <c r="H98" s="13"/>
      <c r="I98" s="13"/>
      <c r="J98" s="13"/>
      <c r="K98" s="13"/>
      <c r="L98" s="13"/>
      <c r="M98" s="13"/>
    </row>
    <row r="99" spans="1:13" ht="15.75">
      <c r="A99" s="5" t="s">
        <v>20</v>
      </c>
      <c r="B99" s="6" t="s">
        <v>21</v>
      </c>
      <c r="C99" s="6" t="s">
        <v>18</v>
      </c>
      <c r="D99" s="6" t="s">
        <v>22</v>
      </c>
      <c r="E99" s="6" t="s">
        <v>7</v>
      </c>
      <c r="F99" s="6" t="s">
        <v>13</v>
      </c>
      <c r="G99" s="6" t="s">
        <v>16</v>
      </c>
      <c r="H99" s="6" t="s">
        <v>23</v>
      </c>
      <c r="I99" s="6" t="s">
        <v>24</v>
      </c>
      <c r="J99" s="6" t="s">
        <v>25</v>
      </c>
      <c r="K99" s="6" t="s">
        <v>26</v>
      </c>
      <c r="L99" s="6" t="s">
        <v>27</v>
      </c>
      <c r="M99" s="6" t="s">
        <v>28</v>
      </c>
    </row>
    <row r="100" spans="1:13" ht="15.75">
      <c r="A100" s="7" t="s">
        <v>239</v>
      </c>
      <c r="B100" s="13">
        <v>1</v>
      </c>
      <c r="C100" s="13" t="s">
        <v>18</v>
      </c>
      <c r="D100" s="8" t="s">
        <v>2</v>
      </c>
      <c r="E100" s="13" t="s">
        <v>29</v>
      </c>
      <c r="F100" s="15" t="s">
        <v>14</v>
      </c>
      <c r="G100" s="13" t="s">
        <v>30</v>
      </c>
      <c r="H100" s="13">
        <v>1</v>
      </c>
      <c r="I100" s="13">
        <v>1</v>
      </c>
      <c r="J100" s="13" t="s">
        <v>31</v>
      </c>
      <c r="K100" s="13" t="s">
        <v>31</v>
      </c>
      <c r="L100" s="13" t="s">
        <v>31</v>
      </c>
      <c r="M100" s="13" t="s">
        <v>31</v>
      </c>
    </row>
    <row r="101" spans="1:13" ht="15.75">
      <c r="A101" s="7" t="s">
        <v>248</v>
      </c>
      <c r="B101" s="13">
        <v>32.22767791785278</v>
      </c>
      <c r="C101" s="13" t="s">
        <v>39</v>
      </c>
      <c r="D101" s="8" t="s">
        <v>40</v>
      </c>
      <c r="E101" s="13" t="s">
        <v>29</v>
      </c>
      <c r="F101" s="15" t="s">
        <v>86</v>
      </c>
      <c r="G101" s="13" t="s">
        <v>33</v>
      </c>
      <c r="H101" s="13">
        <v>2</v>
      </c>
      <c r="I101" s="13">
        <f>LN(B101)</f>
        <v>3.4728256460041687</v>
      </c>
      <c r="J101" s="13">
        <v>0.24083189157584584</v>
      </c>
      <c r="K101" s="13" t="s">
        <v>31</v>
      </c>
      <c r="L101" s="13" t="s">
        <v>31</v>
      </c>
      <c r="M101" s="13" t="s">
        <v>31</v>
      </c>
    </row>
    <row r="102" spans="1:13" ht="15.75">
      <c r="A102" s="7" t="s">
        <v>249</v>
      </c>
      <c r="B102" s="13">
        <v>589.4823017486782</v>
      </c>
      <c r="C102" s="13" t="s">
        <v>39</v>
      </c>
      <c r="D102" s="8" t="s">
        <v>40</v>
      </c>
      <c r="E102" s="13" t="s">
        <v>29</v>
      </c>
      <c r="F102" s="15" t="s">
        <v>86</v>
      </c>
      <c r="G102" s="13" t="s">
        <v>33</v>
      </c>
      <c r="H102" s="13">
        <v>2</v>
      </c>
      <c r="I102" s="13">
        <f>LN(B102)</f>
        <v>6.3792446970478247</v>
      </c>
      <c r="J102" s="13">
        <v>0.24083189157584584</v>
      </c>
      <c r="K102" s="13" t="s">
        <v>31</v>
      </c>
      <c r="L102" s="13" t="s">
        <v>31</v>
      </c>
      <c r="M102" s="13" t="s">
        <v>31</v>
      </c>
    </row>
    <row r="103" spans="1:13" ht="15.75">
      <c r="A103" s="7" t="s">
        <v>250</v>
      </c>
      <c r="B103" s="13">
        <v>5.3623424156161033</v>
      </c>
      <c r="C103" s="13" t="s">
        <v>39</v>
      </c>
      <c r="D103" s="8" t="s">
        <v>40</v>
      </c>
      <c r="E103" s="13" t="s">
        <v>29</v>
      </c>
      <c r="F103" s="15" t="s">
        <v>86</v>
      </c>
      <c r="G103" s="13" t="s">
        <v>33</v>
      </c>
      <c r="H103" s="13">
        <v>2</v>
      </c>
      <c r="I103" s="13">
        <f t="shared" ref="I103:I104" si="4">LN(B103)</f>
        <v>1.6794008974570522</v>
      </c>
      <c r="J103" s="13">
        <v>0.24083189157584584</v>
      </c>
      <c r="K103" s="13" t="s">
        <v>31</v>
      </c>
      <c r="L103" s="13" t="s">
        <v>31</v>
      </c>
      <c r="M103" s="13" t="s">
        <v>31</v>
      </c>
    </row>
    <row r="104" spans="1:13" ht="15.75">
      <c r="A104" s="7" t="s">
        <v>109</v>
      </c>
      <c r="B104" s="13">
        <v>32.22767791785278</v>
      </c>
      <c r="C104" s="13" t="s">
        <v>39</v>
      </c>
      <c r="D104" s="8" t="s">
        <v>40</v>
      </c>
      <c r="E104" s="13" t="s">
        <v>29</v>
      </c>
      <c r="F104" s="15" t="s">
        <v>86</v>
      </c>
      <c r="G104" s="13" t="s">
        <v>33</v>
      </c>
      <c r="H104" s="13">
        <v>2</v>
      </c>
      <c r="I104" s="13">
        <f t="shared" si="4"/>
        <v>3.4728256460041687</v>
      </c>
      <c r="J104" s="13">
        <v>0.24083189157584584</v>
      </c>
      <c r="K104" s="13" t="s">
        <v>31</v>
      </c>
      <c r="L104" s="13" t="s">
        <v>31</v>
      </c>
      <c r="M104" s="13" t="s">
        <v>31</v>
      </c>
    </row>
    <row r="105" spans="1:13" ht="15.75">
      <c r="A105" s="1" t="s">
        <v>5</v>
      </c>
      <c r="B105" s="2" t="s">
        <v>240</v>
      </c>
      <c r="C105" s="3"/>
      <c r="D105" s="11"/>
      <c r="E105" s="11"/>
      <c r="F105" s="11"/>
      <c r="G105" s="11"/>
      <c r="H105" s="11"/>
      <c r="I105" s="11"/>
      <c r="J105" s="11"/>
      <c r="K105" s="11"/>
      <c r="L105" s="11"/>
      <c r="M105" s="11"/>
    </row>
    <row r="106" spans="1:13">
      <c r="A106" s="12" t="s">
        <v>7</v>
      </c>
      <c r="B106" s="13" t="s">
        <v>77</v>
      </c>
      <c r="C106" s="4"/>
      <c r="D106" s="13"/>
      <c r="E106" s="13"/>
      <c r="F106" s="13"/>
      <c r="G106" s="13"/>
      <c r="H106" s="13"/>
      <c r="I106" s="13"/>
      <c r="J106" s="13"/>
      <c r="K106" s="13"/>
      <c r="L106" s="13"/>
      <c r="M106" s="13"/>
    </row>
    <row r="107" spans="1:13">
      <c r="A107" s="12" t="s">
        <v>9</v>
      </c>
      <c r="B107" s="13" t="s">
        <v>260</v>
      </c>
      <c r="C107" s="13"/>
      <c r="D107" s="13"/>
      <c r="E107" s="13"/>
      <c r="F107" s="13"/>
      <c r="G107" s="13"/>
      <c r="H107" s="13"/>
      <c r="I107" s="13"/>
      <c r="J107" s="13"/>
      <c r="K107" s="13"/>
      <c r="L107" s="13"/>
      <c r="M107" s="13"/>
    </row>
    <row r="108" spans="1:13" ht="45">
      <c r="A108" s="12" t="s">
        <v>11</v>
      </c>
      <c r="B108" s="14" t="s">
        <v>261</v>
      </c>
      <c r="C108" s="13"/>
      <c r="D108" s="13"/>
      <c r="E108" s="13"/>
      <c r="F108" s="13"/>
      <c r="G108" s="13"/>
      <c r="H108" s="13"/>
      <c r="I108" s="13"/>
      <c r="J108" s="13"/>
      <c r="K108" s="13"/>
      <c r="L108" s="13"/>
      <c r="M108" s="13"/>
    </row>
    <row r="109" spans="1:13">
      <c r="A109" s="12" t="s">
        <v>13</v>
      </c>
      <c r="B109" s="13" t="s">
        <v>14</v>
      </c>
      <c r="C109" s="13"/>
      <c r="D109" s="13"/>
      <c r="E109" s="13"/>
      <c r="F109" s="13"/>
      <c r="G109" s="13"/>
      <c r="H109" s="13"/>
      <c r="I109" s="13"/>
      <c r="J109" s="13"/>
      <c r="K109" s="13"/>
      <c r="L109" s="13"/>
      <c r="M109" s="13"/>
    </row>
    <row r="110" spans="1:13">
      <c r="A110" s="12" t="s">
        <v>15</v>
      </c>
      <c r="B110" s="13">
        <v>1</v>
      </c>
      <c r="C110" s="13"/>
      <c r="D110" s="13"/>
      <c r="E110" s="13"/>
      <c r="F110" s="13"/>
      <c r="G110" s="13"/>
      <c r="H110" s="13"/>
      <c r="I110" s="13"/>
      <c r="J110" s="13"/>
      <c r="K110" s="13"/>
      <c r="L110" s="13"/>
      <c r="M110" s="13"/>
    </row>
    <row r="111" spans="1:13">
      <c r="A111" s="12" t="s">
        <v>16</v>
      </c>
      <c r="B111" s="13" t="s">
        <v>17</v>
      </c>
      <c r="C111" s="13"/>
      <c r="D111" s="13"/>
      <c r="E111" s="13"/>
      <c r="F111" s="13"/>
      <c r="G111" s="13"/>
      <c r="H111" s="13"/>
      <c r="I111" s="13"/>
      <c r="J111" s="13"/>
      <c r="K111" s="13"/>
      <c r="L111" s="13"/>
      <c r="M111" s="13"/>
    </row>
    <row r="112" spans="1:13">
      <c r="A112" s="12" t="s">
        <v>18</v>
      </c>
      <c r="B112" s="13" t="s">
        <v>18</v>
      </c>
      <c r="C112" s="13"/>
      <c r="D112" s="13"/>
      <c r="E112" s="13"/>
      <c r="F112" s="13"/>
      <c r="G112" s="13"/>
      <c r="H112" s="13"/>
      <c r="I112" s="13"/>
      <c r="J112" s="13"/>
      <c r="K112" s="13"/>
      <c r="L112" s="13"/>
      <c r="M112" s="13"/>
    </row>
    <row r="113" spans="1:13" ht="15.75">
      <c r="A113" s="5" t="s">
        <v>19</v>
      </c>
      <c r="B113" s="13"/>
      <c r="C113" s="13"/>
      <c r="D113" s="13"/>
      <c r="E113" s="13"/>
      <c r="F113" s="13"/>
      <c r="G113" s="13"/>
      <c r="H113" s="13"/>
      <c r="I113" s="13"/>
      <c r="J113" s="13"/>
      <c r="K113" s="13"/>
      <c r="L113" s="13"/>
      <c r="M113" s="13"/>
    </row>
    <row r="114" spans="1:13" ht="15.75">
      <c r="A114" s="5" t="s">
        <v>20</v>
      </c>
      <c r="B114" s="6" t="s">
        <v>21</v>
      </c>
      <c r="C114" s="6" t="s">
        <v>18</v>
      </c>
      <c r="D114" s="6" t="s">
        <v>22</v>
      </c>
      <c r="E114" s="6" t="s">
        <v>7</v>
      </c>
      <c r="F114" s="6" t="s">
        <v>13</v>
      </c>
      <c r="G114" s="6" t="s">
        <v>16</v>
      </c>
      <c r="H114" s="6" t="s">
        <v>23</v>
      </c>
      <c r="I114" s="6" t="s">
        <v>24</v>
      </c>
      <c r="J114" s="6" t="s">
        <v>25</v>
      </c>
      <c r="K114" s="6" t="s">
        <v>26</v>
      </c>
      <c r="L114" s="6" t="s">
        <v>27</v>
      </c>
      <c r="M114" s="6" t="s">
        <v>28</v>
      </c>
    </row>
    <row r="115" spans="1:13" ht="15.75">
      <c r="A115" s="7" t="s">
        <v>240</v>
      </c>
      <c r="B115" s="13">
        <v>1</v>
      </c>
      <c r="C115" s="13" t="s">
        <v>18</v>
      </c>
      <c r="D115" s="8" t="s">
        <v>2</v>
      </c>
      <c r="E115" s="13" t="s">
        <v>29</v>
      </c>
      <c r="F115" s="15" t="s">
        <v>14</v>
      </c>
      <c r="G115" s="13" t="s">
        <v>30</v>
      </c>
      <c r="H115" s="13">
        <v>1</v>
      </c>
      <c r="I115" s="13">
        <v>1</v>
      </c>
      <c r="J115" s="13" t="s">
        <v>31</v>
      </c>
      <c r="K115" s="13" t="s">
        <v>31</v>
      </c>
      <c r="L115" s="13" t="s">
        <v>31</v>
      </c>
      <c r="M115" s="13" t="s">
        <v>31</v>
      </c>
    </row>
    <row r="116" spans="1:13" ht="15.75">
      <c r="A116" s="7" t="s">
        <v>248</v>
      </c>
      <c r="B116" s="13">
        <v>6.979372937293733</v>
      </c>
      <c r="C116" s="13" t="s">
        <v>39</v>
      </c>
      <c r="D116" s="8" t="s">
        <v>40</v>
      </c>
      <c r="E116" s="13" t="s">
        <v>29</v>
      </c>
      <c r="F116" s="15" t="s">
        <v>86</v>
      </c>
      <c r="G116" s="13" t="s">
        <v>33</v>
      </c>
      <c r="H116" s="13">
        <v>2</v>
      </c>
      <c r="I116" s="13">
        <f>LN(B116)</f>
        <v>1.9429590756747552</v>
      </c>
      <c r="J116" s="13">
        <v>0.24083189157584584</v>
      </c>
      <c r="K116" s="13" t="s">
        <v>31</v>
      </c>
      <c r="L116" s="13" t="s">
        <v>31</v>
      </c>
      <c r="M116" s="13" t="s">
        <v>31</v>
      </c>
    </row>
    <row r="117" spans="1:13" ht="15.75">
      <c r="A117" s="7" t="s">
        <v>249</v>
      </c>
      <c r="B117" s="13">
        <v>129.43564356435644</v>
      </c>
      <c r="C117" s="13" t="s">
        <v>39</v>
      </c>
      <c r="D117" s="8" t="s">
        <v>40</v>
      </c>
      <c r="E117" s="13" t="s">
        <v>29</v>
      </c>
      <c r="F117" s="15" t="s">
        <v>86</v>
      </c>
      <c r="G117" s="13" t="s">
        <v>33</v>
      </c>
      <c r="H117" s="13">
        <v>2</v>
      </c>
      <c r="I117" s="13">
        <f>LN(B117)</f>
        <v>4.8631837967206009</v>
      </c>
      <c r="J117" s="13">
        <v>0.24083189157584584</v>
      </c>
      <c r="K117" s="13" t="s">
        <v>31</v>
      </c>
      <c r="L117" s="13" t="s">
        <v>31</v>
      </c>
      <c r="M117" s="13" t="s">
        <v>31</v>
      </c>
    </row>
    <row r="118" spans="1:13" ht="15.75">
      <c r="A118" s="7" t="s">
        <v>250</v>
      </c>
      <c r="B118" s="13">
        <v>10.405610561056106</v>
      </c>
      <c r="C118" s="13" t="s">
        <v>39</v>
      </c>
      <c r="D118" s="8" t="s">
        <v>40</v>
      </c>
      <c r="E118" s="13" t="s">
        <v>29</v>
      </c>
      <c r="F118" s="15" t="s">
        <v>86</v>
      </c>
      <c r="G118" s="13" t="s">
        <v>33</v>
      </c>
      <c r="H118" s="13">
        <v>2</v>
      </c>
      <c r="I118" s="13">
        <f t="shared" ref="I118:I119" si="5">LN(B118)</f>
        <v>2.3423451377065372</v>
      </c>
      <c r="J118" s="13">
        <v>0.24083189157584584</v>
      </c>
      <c r="K118" s="13" t="s">
        <v>31</v>
      </c>
      <c r="L118" s="13" t="s">
        <v>31</v>
      </c>
      <c r="M118" s="13" t="s">
        <v>31</v>
      </c>
    </row>
    <row r="119" spans="1:13" ht="15.75">
      <c r="A119" s="7" t="s">
        <v>109</v>
      </c>
      <c r="B119" s="13">
        <v>6.9793729372937303</v>
      </c>
      <c r="C119" s="13" t="s">
        <v>39</v>
      </c>
      <c r="D119" s="8" t="s">
        <v>40</v>
      </c>
      <c r="E119" s="13" t="s">
        <v>29</v>
      </c>
      <c r="F119" s="15" t="s">
        <v>86</v>
      </c>
      <c r="G119" s="13" t="s">
        <v>33</v>
      </c>
      <c r="H119" s="13">
        <v>2</v>
      </c>
      <c r="I119" s="13">
        <f t="shared" si="5"/>
        <v>1.9429590756747548</v>
      </c>
      <c r="J119" s="13">
        <v>0.24083189157584584</v>
      </c>
      <c r="K119" s="13" t="s">
        <v>31</v>
      </c>
      <c r="L119" s="13" t="s">
        <v>31</v>
      </c>
      <c r="M119" s="13" t="s">
        <v>31</v>
      </c>
    </row>
  </sheetData>
  <pageMargins left="0.7" right="0.7" top="0.75" bottom="0.75" header="0.3" footer="0.3"/>
  <pageSetup paperSize="9" orientation="portrait"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333A8E-A530-46BF-9477-DBD4C424601C}">
  <dimension ref="A1:M158"/>
  <sheetViews>
    <sheetView zoomScale="70" zoomScaleNormal="70" workbookViewId="0">
      <selection activeCell="B137" sqref="B137"/>
    </sheetView>
  </sheetViews>
  <sheetFormatPr defaultRowHeight="15"/>
  <cols>
    <col min="1" max="1" width="61.42578125" bestFit="1" customWidth="1"/>
    <col min="2" max="2" width="75.42578125" bestFit="1" customWidth="1"/>
    <col min="3" max="3" width="8.7109375" bestFit="1" customWidth="1"/>
    <col min="4" max="4" width="32.7109375" bestFit="1" customWidth="1"/>
    <col min="5" max="5" width="11" bestFit="1" customWidth="1"/>
    <col min="6" max="6" width="9" bestFit="1" customWidth="1"/>
    <col min="7" max="7" width="13.42578125" bestFit="1" customWidth="1"/>
    <col min="8" max="8" width="17.7109375" bestFit="1" customWidth="1"/>
    <col min="9" max="9" width="9.5703125" bestFit="1" customWidth="1"/>
    <col min="10" max="10" width="12" bestFit="1" customWidth="1"/>
    <col min="11" max="13" width="10.85546875" bestFit="1" customWidth="1"/>
  </cols>
  <sheetData>
    <row r="1" spans="1:13">
      <c r="A1" t="s">
        <v>0</v>
      </c>
      <c r="B1">
        <v>13</v>
      </c>
    </row>
    <row r="2" spans="1:13">
      <c r="A2" s="18" t="s">
        <v>5</v>
      </c>
      <c r="B2" s="19" t="s">
        <v>82</v>
      </c>
      <c r="C2" s="3"/>
      <c r="D2" s="11"/>
      <c r="E2" s="11"/>
      <c r="F2" s="11"/>
      <c r="G2" s="11"/>
      <c r="H2" s="11"/>
      <c r="I2" s="11"/>
      <c r="J2" s="11"/>
      <c r="K2" s="11"/>
      <c r="L2" s="11"/>
      <c r="M2" s="11"/>
    </row>
    <row r="3" spans="1:13">
      <c r="A3" s="12" t="s">
        <v>7</v>
      </c>
      <c r="B3" s="13" t="s">
        <v>232</v>
      </c>
      <c r="C3" s="4"/>
      <c r="D3" s="13"/>
      <c r="E3" s="13"/>
      <c r="F3" s="13"/>
      <c r="G3" s="13"/>
      <c r="H3" s="13"/>
      <c r="I3" s="13"/>
      <c r="J3" s="13"/>
      <c r="K3" s="13"/>
      <c r="L3" s="13"/>
      <c r="M3" s="13"/>
    </row>
    <row r="4" spans="1:13">
      <c r="A4" s="12" t="s">
        <v>9</v>
      </c>
      <c r="B4" s="13" t="s">
        <v>262</v>
      </c>
      <c r="C4" s="4"/>
      <c r="D4" s="13"/>
      <c r="E4" s="13"/>
      <c r="F4" s="13"/>
      <c r="G4" s="13"/>
      <c r="H4" s="13"/>
      <c r="I4" s="13"/>
      <c r="J4" s="13"/>
      <c r="K4" s="13"/>
      <c r="L4" s="13"/>
      <c r="M4" s="13"/>
    </row>
    <row r="5" spans="1:13" ht="30">
      <c r="A5" s="12" t="s">
        <v>11</v>
      </c>
      <c r="B5" s="14" t="s">
        <v>263</v>
      </c>
      <c r="C5" s="13"/>
      <c r="D5" s="13"/>
      <c r="E5" s="13"/>
      <c r="F5" s="13"/>
      <c r="G5" s="13"/>
      <c r="H5" s="13"/>
      <c r="I5" s="13"/>
      <c r="J5" s="13"/>
      <c r="K5" s="13"/>
      <c r="L5" s="13"/>
      <c r="M5" s="13"/>
    </row>
    <row r="6" spans="1:13">
      <c r="A6" s="12" t="s">
        <v>13</v>
      </c>
      <c r="B6" s="13" t="s">
        <v>14</v>
      </c>
      <c r="C6" s="13"/>
      <c r="D6" s="13"/>
      <c r="E6" s="13"/>
      <c r="F6" s="13"/>
      <c r="G6" s="13"/>
      <c r="H6" s="13"/>
      <c r="I6" s="13"/>
      <c r="J6" s="13"/>
      <c r="K6" s="13"/>
      <c r="L6" s="13"/>
      <c r="M6" s="13"/>
    </row>
    <row r="7" spans="1:13">
      <c r="A7" s="12" t="s">
        <v>15</v>
      </c>
      <c r="B7" s="13">
        <v>1</v>
      </c>
      <c r="C7" s="13"/>
      <c r="D7" s="13"/>
      <c r="E7" s="13"/>
      <c r="F7" s="13"/>
      <c r="G7" s="13"/>
      <c r="H7" s="13"/>
      <c r="I7" s="13"/>
      <c r="J7" s="13"/>
      <c r="K7" s="13"/>
      <c r="L7" s="13"/>
      <c r="M7" s="13"/>
    </row>
    <row r="8" spans="1:13">
      <c r="A8" s="12" t="s">
        <v>16</v>
      </c>
      <c r="B8" s="13" t="s">
        <v>17</v>
      </c>
      <c r="C8" s="13"/>
      <c r="D8" s="13"/>
      <c r="E8" s="13"/>
      <c r="F8" s="13"/>
      <c r="G8" s="13"/>
      <c r="H8" s="13"/>
      <c r="I8" s="13"/>
      <c r="J8" s="13"/>
      <c r="K8" s="13"/>
      <c r="L8" s="13"/>
      <c r="M8" s="13"/>
    </row>
    <row r="9" spans="1:13">
      <c r="A9" s="12" t="s">
        <v>18</v>
      </c>
      <c r="B9" s="13" t="s">
        <v>18</v>
      </c>
      <c r="C9" s="13"/>
      <c r="D9" s="13"/>
      <c r="E9" s="13"/>
      <c r="F9" s="13"/>
      <c r="G9" s="13"/>
      <c r="H9" s="13"/>
      <c r="I9" s="13"/>
      <c r="J9" s="13"/>
      <c r="K9" s="13"/>
      <c r="L9" s="13"/>
      <c r="M9" s="13"/>
    </row>
    <row r="10" spans="1:13">
      <c r="A10" s="20" t="s">
        <v>19</v>
      </c>
      <c r="B10" s="13"/>
      <c r="C10" s="13"/>
      <c r="D10" s="13"/>
      <c r="E10" s="13"/>
      <c r="F10" s="13"/>
      <c r="G10" s="13"/>
      <c r="H10" s="13"/>
      <c r="I10" s="13"/>
      <c r="J10" s="13"/>
      <c r="K10" s="13"/>
      <c r="L10" s="13"/>
      <c r="M10" s="13"/>
    </row>
    <row r="11" spans="1:13">
      <c r="A11" s="20" t="s">
        <v>20</v>
      </c>
      <c r="B11" s="21" t="s">
        <v>21</v>
      </c>
      <c r="C11" s="21" t="s">
        <v>18</v>
      </c>
      <c r="D11" s="21" t="s">
        <v>22</v>
      </c>
      <c r="E11" s="21" t="s">
        <v>7</v>
      </c>
      <c r="F11" s="21" t="s">
        <v>13</v>
      </c>
      <c r="G11" s="21" t="s">
        <v>16</v>
      </c>
      <c r="H11" s="21" t="s">
        <v>23</v>
      </c>
      <c r="I11" s="21" t="s">
        <v>24</v>
      </c>
      <c r="J11" s="21" t="s">
        <v>25</v>
      </c>
      <c r="K11" s="21" t="s">
        <v>26</v>
      </c>
      <c r="L11" s="21" t="s">
        <v>27</v>
      </c>
      <c r="M11" s="21" t="s">
        <v>28</v>
      </c>
    </row>
    <row r="12" spans="1:13">
      <c r="A12" s="12" t="s">
        <v>82</v>
      </c>
      <c r="B12" s="13">
        <v>1</v>
      </c>
      <c r="C12" s="13" t="s">
        <v>18</v>
      </c>
      <c r="D12" s="13" t="s">
        <v>2</v>
      </c>
      <c r="E12" s="13" t="s">
        <v>29</v>
      </c>
      <c r="F12" s="13" t="s">
        <v>14</v>
      </c>
      <c r="G12" s="13" t="s">
        <v>30</v>
      </c>
      <c r="H12" s="13">
        <v>1</v>
      </c>
      <c r="I12" s="13">
        <v>1</v>
      </c>
      <c r="J12" s="13" t="s">
        <v>31</v>
      </c>
      <c r="K12" s="13" t="s">
        <v>31</v>
      </c>
      <c r="L12" s="13" t="s">
        <v>31</v>
      </c>
      <c r="M12" s="13" t="s">
        <v>31</v>
      </c>
    </row>
    <row r="13" spans="1:13">
      <c r="A13" s="12" t="s">
        <v>264</v>
      </c>
      <c r="B13" s="13">
        <v>1</v>
      </c>
      <c r="C13" s="13" t="s">
        <v>18</v>
      </c>
      <c r="D13" s="13" t="s">
        <v>2</v>
      </c>
      <c r="E13" s="13" t="s">
        <v>29</v>
      </c>
      <c r="F13" s="13" t="s">
        <v>14</v>
      </c>
      <c r="G13" s="13" t="s">
        <v>33</v>
      </c>
      <c r="H13" s="13">
        <v>1</v>
      </c>
      <c r="I13" s="13">
        <v>1</v>
      </c>
      <c r="J13" s="13" t="s">
        <v>31</v>
      </c>
      <c r="K13" s="13" t="s">
        <v>31</v>
      </c>
      <c r="L13" s="13" t="s">
        <v>31</v>
      </c>
      <c r="M13" s="13" t="s">
        <v>31</v>
      </c>
    </row>
    <row r="14" spans="1:13">
      <c r="A14" s="12" t="s">
        <v>265</v>
      </c>
      <c r="B14" s="13">
        <v>1</v>
      </c>
      <c r="C14" s="13" t="s">
        <v>18</v>
      </c>
      <c r="D14" s="13" t="s">
        <v>2</v>
      </c>
      <c r="E14" s="13" t="s">
        <v>29</v>
      </c>
      <c r="F14" s="13" t="s">
        <v>14</v>
      </c>
      <c r="G14" s="13" t="s">
        <v>33</v>
      </c>
      <c r="H14" s="13">
        <v>1</v>
      </c>
      <c r="I14" s="13">
        <v>1</v>
      </c>
      <c r="J14" s="13" t="s">
        <v>31</v>
      </c>
      <c r="K14" s="13" t="s">
        <v>31</v>
      </c>
      <c r="L14" s="13" t="s">
        <v>31</v>
      </c>
      <c r="M14" s="13" t="s">
        <v>31</v>
      </c>
    </row>
    <row r="15" spans="1:13">
      <c r="A15" s="12" t="s">
        <v>266</v>
      </c>
      <c r="B15" s="13">
        <v>1</v>
      </c>
      <c r="C15" s="13" t="s">
        <v>18</v>
      </c>
      <c r="D15" s="13" t="s">
        <v>2</v>
      </c>
      <c r="E15" s="13" t="s">
        <v>29</v>
      </c>
      <c r="F15" s="13" t="s">
        <v>14</v>
      </c>
      <c r="G15" s="13" t="s">
        <v>33</v>
      </c>
      <c r="H15" s="13">
        <v>1</v>
      </c>
      <c r="I15" s="13">
        <v>1</v>
      </c>
      <c r="J15" s="13" t="s">
        <v>31</v>
      </c>
      <c r="K15" s="13" t="s">
        <v>31</v>
      </c>
      <c r="L15" s="13" t="s">
        <v>31</v>
      </c>
      <c r="M15" s="13" t="s">
        <v>31</v>
      </c>
    </row>
    <row r="16" spans="1:13">
      <c r="A16" s="12" t="s">
        <v>267</v>
      </c>
      <c r="B16" s="13">
        <v>1</v>
      </c>
      <c r="C16" s="13" t="s">
        <v>18</v>
      </c>
      <c r="D16" s="13" t="s">
        <v>2</v>
      </c>
      <c r="E16" s="13" t="s">
        <v>29</v>
      </c>
      <c r="F16" s="13" t="s">
        <v>14</v>
      </c>
      <c r="G16" s="13" t="s">
        <v>33</v>
      </c>
      <c r="H16" s="13">
        <v>1</v>
      </c>
      <c r="I16" s="13">
        <v>1</v>
      </c>
      <c r="J16" s="13" t="s">
        <v>31</v>
      </c>
      <c r="K16" s="13" t="s">
        <v>31</v>
      </c>
      <c r="L16" s="13" t="s">
        <v>31</v>
      </c>
      <c r="M16" s="13" t="s">
        <v>31</v>
      </c>
    </row>
    <row r="17" spans="1:13">
      <c r="A17" s="12" t="s">
        <v>268</v>
      </c>
      <c r="B17" s="13">
        <v>1</v>
      </c>
      <c r="C17" s="13" t="s">
        <v>18</v>
      </c>
      <c r="D17" s="13" t="s">
        <v>2</v>
      </c>
      <c r="E17" s="13" t="s">
        <v>29</v>
      </c>
      <c r="F17" s="13" t="s">
        <v>14</v>
      </c>
      <c r="G17" s="13" t="s">
        <v>33</v>
      </c>
      <c r="H17" s="13">
        <v>1</v>
      </c>
      <c r="I17" s="13">
        <v>1</v>
      </c>
      <c r="J17" s="13" t="s">
        <v>31</v>
      </c>
      <c r="K17" s="13" t="s">
        <v>31</v>
      </c>
      <c r="L17" s="13" t="s">
        <v>31</v>
      </c>
      <c r="M17" s="13" t="s">
        <v>31</v>
      </c>
    </row>
    <row r="18" spans="1:13">
      <c r="A18" s="18" t="s">
        <v>5</v>
      </c>
      <c r="B18" s="19" t="s">
        <v>264</v>
      </c>
      <c r="C18" s="3"/>
      <c r="D18" s="11"/>
      <c r="E18" s="11"/>
      <c r="F18" s="11"/>
      <c r="G18" s="11"/>
      <c r="H18" s="11"/>
      <c r="I18" s="11"/>
      <c r="J18" s="11"/>
      <c r="K18" s="11"/>
      <c r="L18" s="11"/>
      <c r="M18" s="11"/>
    </row>
    <row r="19" spans="1:13">
      <c r="A19" s="12" t="s">
        <v>7</v>
      </c>
      <c r="B19" s="13" t="s">
        <v>269</v>
      </c>
      <c r="C19" s="4"/>
      <c r="D19" s="13"/>
      <c r="E19" s="13"/>
      <c r="F19" s="13"/>
      <c r="G19" s="13"/>
      <c r="H19" s="13"/>
      <c r="I19" s="13"/>
      <c r="J19" s="13"/>
      <c r="K19" s="13"/>
      <c r="L19" s="13"/>
      <c r="M19" s="13"/>
    </row>
    <row r="20" spans="1:13">
      <c r="A20" s="12" t="s">
        <v>9</v>
      </c>
      <c r="B20" s="13" t="s">
        <v>270</v>
      </c>
      <c r="C20" s="4"/>
      <c r="D20" s="13"/>
      <c r="E20" s="13"/>
      <c r="F20" s="13"/>
      <c r="G20" s="13"/>
      <c r="H20" s="13"/>
      <c r="I20" s="13"/>
      <c r="J20" s="13"/>
      <c r="K20" s="13"/>
      <c r="L20" s="13"/>
      <c r="M20" s="13"/>
    </row>
    <row r="21" spans="1:13" ht="30">
      <c r="A21" s="12" t="s">
        <v>11</v>
      </c>
      <c r="B21" s="14" t="s">
        <v>271</v>
      </c>
      <c r="C21" s="13"/>
      <c r="D21" s="13"/>
      <c r="E21" s="13"/>
      <c r="F21" s="13"/>
      <c r="G21" s="13"/>
      <c r="H21" s="13"/>
      <c r="I21" s="13"/>
      <c r="J21" s="13"/>
      <c r="K21" s="13"/>
      <c r="L21" s="13"/>
      <c r="M21" s="13"/>
    </row>
    <row r="22" spans="1:13">
      <c r="A22" s="12" t="s">
        <v>13</v>
      </c>
      <c r="B22" s="13" t="s">
        <v>14</v>
      </c>
      <c r="C22" s="13"/>
      <c r="D22" s="13"/>
      <c r="E22" s="13"/>
      <c r="F22" s="13"/>
      <c r="G22" s="13"/>
      <c r="H22" s="13"/>
      <c r="I22" s="13"/>
      <c r="J22" s="13"/>
      <c r="K22" s="13"/>
      <c r="L22" s="13"/>
      <c r="M22" s="13"/>
    </row>
    <row r="23" spans="1:13">
      <c r="A23" s="12" t="s">
        <v>15</v>
      </c>
      <c r="B23" s="13">
        <v>1</v>
      </c>
      <c r="C23" s="13"/>
      <c r="D23" s="13"/>
      <c r="E23" s="13"/>
      <c r="F23" s="13"/>
      <c r="G23" s="13"/>
      <c r="H23" s="13"/>
      <c r="I23" s="13"/>
      <c r="J23" s="13"/>
      <c r="K23" s="13"/>
      <c r="L23" s="13"/>
      <c r="M23" s="13"/>
    </row>
    <row r="24" spans="1:13">
      <c r="A24" s="12" t="s">
        <v>16</v>
      </c>
      <c r="B24" s="13" t="s">
        <v>17</v>
      </c>
      <c r="C24" s="13"/>
      <c r="D24" s="13"/>
      <c r="E24" s="13"/>
      <c r="F24" s="13"/>
      <c r="G24" s="13"/>
      <c r="H24" s="13"/>
      <c r="I24" s="13"/>
      <c r="J24" s="13"/>
      <c r="K24" s="13"/>
      <c r="L24" s="13"/>
      <c r="M24" s="13"/>
    </row>
    <row r="25" spans="1:13">
      <c r="A25" s="12" t="s">
        <v>18</v>
      </c>
      <c r="B25" s="13" t="s">
        <v>18</v>
      </c>
      <c r="C25" s="13"/>
      <c r="D25" s="13"/>
      <c r="E25" s="13"/>
      <c r="F25" s="13"/>
      <c r="G25" s="13"/>
      <c r="H25" s="13"/>
      <c r="I25" s="13"/>
      <c r="J25" s="13"/>
      <c r="K25" s="13"/>
      <c r="L25" s="13"/>
      <c r="M25" s="13"/>
    </row>
    <row r="26" spans="1:13">
      <c r="A26" s="20" t="s">
        <v>19</v>
      </c>
      <c r="B26" s="13"/>
      <c r="C26" s="13"/>
      <c r="D26" s="13"/>
      <c r="E26" s="13"/>
      <c r="F26" s="13"/>
      <c r="G26" s="13"/>
      <c r="H26" s="13"/>
      <c r="I26" s="13"/>
      <c r="J26" s="13"/>
      <c r="K26" s="13"/>
      <c r="L26" s="13"/>
      <c r="M26" s="13"/>
    </row>
    <row r="27" spans="1:13">
      <c r="A27" s="20" t="s">
        <v>20</v>
      </c>
      <c r="B27" s="21" t="s">
        <v>21</v>
      </c>
      <c r="C27" s="21" t="s">
        <v>18</v>
      </c>
      <c r="D27" s="21" t="s">
        <v>22</v>
      </c>
      <c r="E27" s="21" t="s">
        <v>7</v>
      </c>
      <c r="F27" s="21" t="s">
        <v>13</v>
      </c>
      <c r="G27" s="21" t="s">
        <v>16</v>
      </c>
      <c r="H27" s="21" t="s">
        <v>23</v>
      </c>
      <c r="I27" s="21" t="s">
        <v>24</v>
      </c>
      <c r="J27" s="21" t="s">
        <v>25</v>
      </c>
      <c r="K27" s="21" t="s">
        <v>26</v>
      </c>
      <c r="L27" s="21" t="s">
        <v>27</v>
      </c>
      <c r="M27" s="21" t="s">
        <v>28</v>
      </c>
    </row>
    <row r="28" spans="1:13">
      <c r="A28" s="12" t="s">
        <v>264</v>
      </c>
      <c r="B28" s="13">
        <v>1</v>
      </c>
      <c r="C28" s="13" t="s">
        <v>18</v>
      </c>
      <c r="D28" s="13" t="s">
        <v>2</v>
      </c>
      <c r="E28" s="13" t="s">
        <v>29</v>
      </c>
      <c r="F28" s="13" t="s">
        <v>14</v>
      </c>
      <c r="G28" s="13" t="s">
        <v>30</v>
      </c>
      <c r="H28" s="13">
        <v>1</v>
      </c>
      <c r="I28" s="13">
        <v>1</v>
      </c>
      <c r="J28" s="13" t="s">
        <v>31</v>
      </c>
      <c r="K28" s="13" t="s">
        <v>31</v>
      </c>
      <c r="L28" s="13" t="s">
        <v>31</v>
      </c>
      <c r="M28" s="13" t="s">
        <v>31</v>
      </c>
    </row>
    <row r="29" spans="1:13">
      <c r="A29" s="12" t="s">
        <v>249</v>
      </c>
      <c r="B29" s="13">
        <v>272.04399999999998</v>
      </c>
      <c r="C29" s="13" t="s">
        <v>39</v>
      </c>
      <c r="D29" s="13" t="s">
        <v>40</v>
      </c>
      <c r="E29" s="13" t="s">
        <v>29</v>
      </c>
      <c r="F29" s="13" t="s">
        <v>86</v>
      </c>
      <c r="G29" s="13" t="s">
        <v>33</v>
      </c>
      <c r="H29" s="13">
        <v>2</v>
      </c>
      <c r="I29" s="13">
        <f>LN(B29)</f>
        <v>5.6059638179193803</v>
      </c>
      <c r="J29" s="13">
        <v>0.24083189157584584</v>
      </c>
      <c r="K29" s="13" t="s">
        <v>31</v>
      </c>
      <c r="L29" s="13" t="s">
        <v>31</v>
      </c>
      <c r="M29" s="13" t="s">
        <v>31</v>
      </c>
    </row>
    <row r="30" spans="1:13">
      <c r="A30" s="12" t="s">
        <v>248</v>
      </c>
      <c r="B30" s="13">
        <v>70.967999999999989</v>
      </c>
      <c r="C30" s="13" t="s">
        <v>39</v>
      </c>
      <c r="D30" s="13" t="s">
        <v>40</v>
      </c>
      <c r="E30" s="13" t="s">
        <v>29</v>
      </c>
      <c r="F30" s="13" t="s">
        <v>86</v>
      </c>
      <c r="G30" s="13" t="s">
        <v>33</v>
      </c>
      <c r="H30" s="13">
        <v>2</v>
      </c>
      <c r="I30" s="13">
        <f t="shared" ref="I30:I32" si="0">LN(B30)</f>
        <v>4.262229071218286</v>
      </c>
      <c r="J30" s="13">
        <v>0.24083189157584584</v>
      </c>
      <c r="K30" s="13" t="s">
        <v>31</v>
      </c>
      <c r="L30" s="13" t="s">
        <v>31</v>
      </c>
      <c r="M30" s="13" t="s">
        <v>31</v>
      </c>
    </row>
    <row r="31" spans="1:13">
      <c r="A31" s="12" t="s">
        <v>272</v>
      </c>
      <c r="B31" s="13">
        <v>112.366</v>
      </c>
      <c r="C31" s="13" t="s">
        <v>39</v>
      </c>
      <c r="D31" s="13" t="s">
        <v>40</v>
      </c>
      <c r="E31" s="13" t="s">
        <v>29</v>
      </c>
      <c r="F31" s="13" t="s">
        <v>86</v>
      </c>
      <c r="G31" s="13" t="s">
        <v>33</v>
      </c>
      <c r="H31" s="13">
        <v>2</v>
      </c>
      <c r="I31" s="13">
        <f t="shared" si="0"/>
        <v>4.7217614005967263</v>
      </c>
      <c r="J31" s="13">
        <v>0.24083189157584584</v>
      </c>
      <c r="K31" s="13" t="s">
        <v>31</v>
      </c>
      <c r="L31" s="13" t="s">
        <v>31</v>
      </c>
      <c r="M31" s="13" t="s">
        <v>31</v>
      </c>
    </row>
    <row r="32" spans="1:13">
      <c r="A32" s="12" t="s">
        <v>273</v>
      </c>
      <c r="B32" s="13">
        <v>136.02199999999999</v>
      </c>
      <c r="C32" s="13" t="s">
        <v>39</v>
      </c>
      <c r="D32" s="13" t="s">
        <v>40</v>
      </c>
      <c r="E32" s="13" t="s">
        <v>29</v>
      </c>
      <c r="F32" s="13" t="s">
        <v>86</v>
      </c>
      <c r="G32" s="13" t="s">
        <v>33</v>
      </c>
      <c r="H32" s="13">
        <v>2</v>
      </c>
      <c r="I32" s="13">
        <f t="shared" si="0"/>
        <v>4.9128166373594349</v>
      </c>
      <c r="J32" s="13">
        <v>0.24083189157584584</v>
      </c>
      <c r="K32" s="13" t="s">
        <v>31</v>
      </c>
      <c r="L32" s="13" t="s">
        <v>31</v>
      </c>
      <c r="M32" s="13" t="s">
        <v>31</v>
      </c>
    </row>
    <row r="33" spans="1:13">
      <c r="A33" s="18" t="s">
        <v>5</v>
      </c>
      <c r="B33" s="19" t="s">
        <v>265</v>
      </c>
      <c r="C33" s="3"/>
      <c r="D33" s="11"/>
      <c r="E33" s="11"/>
      <c r="F33" s="11"/>
      <c r="G33" s="11"/>
      <c r="H33" s="11"/>
      <c r="I33" s="11"/>
      <c r="J33" s="11"/>
      <c r="K33" s="11"/>
      <c r="L33" s="11"/>
      <c r="M33" s="11"/>
    </row>
    <row r="34" spans="1:13">
      <c r="A34" s="12" t="s">
        <v>7</v>
      </c>
      <c r="B34" s="13" t="s">
        <v>269</v>
      </c>
      <c r="C34" s="4"/>
      <c r="D34" s="13"/>
      <c r="E34" s="13"/>
      <c r="F34" s="13"/>
      <c r="G34" s="13"/>
      <c r="H34" s="13"/>
      <c r="I34" s="13"/>
      <c r="J34" s="13"/>
      <c r="K34" s="13"/>
      <c r="L34" s="13"/>
      <c r="M34" s="13"/>
    </row>
    <row r="35" spans="1:13">
      <c r="A35" s="12" t="s">
        <v>9</v>
      </c>
      <c r="B35" s="13" t="s">
        <v>274</v>
      </c>
      <c r="C35" s="4"/>
      <c r="D35" s="13"/>
      <c r="E35" s="13"/>
      <c r="F35" s="13"/>
      <c r="G35" s="13"/>
      <c r="H35" s="13"/>
      <c r="I35" s="13"/>
      <c r="J35" s="13"/>
      <c r="K35" s="13"/>
      <c r="L35" s="13"/>
      <c r="M35" s="13"/>
    </row>
    <row r="36" spans="1:13" ht="30">
      <c r="A36" s="12" t="s">
        <v>11</v>
      </c>
      <c r="B36" s="14" t="s">
        <v>275</v>
      </c>
      <c r="C36" s="13"/>
      <c r="D36" s="13"/>
      <c r="E36" s="13"/>
      <c r="F36" s="13"/>
      <c r="G36" s="13"/>
      <c r="H36" s="13"/>
      <c r="I36" s="13"/>
      <c r="J36" s="13"/>
      <c r="K36" s="13"/>
      <c r="L36" s="13"/>
      <c r="M36" s="13"/>
    </row>
    <row r="37" spans="1:13">
      <c r="A37" s="12" t="s">
        <v>13</v>
      </c>
      <c r="B37" s="13" t="s">
        <v>14</v>
      </c>
      <c r="C37" s="13"/>
      <c r="D37" s="13"/>
      <c r="E37" s="13"/>
      <c r="F37" s="13"/>
      <c r="G37" s="13"/>
      <c r="H37" s="13"/>
      <c r="I37" s="13"/>
      <c r="J37" s="13"/>
      <c r="K37" s="13"/>
      <c r="L37" s="13"/>
      <c r="M37" s="13"/>
    </row>
    <row r="38" spans="1:13">
      <c r="A38" s="12" t="s">
        <v>15</v>
      </c>
      <c r="B38" s="13">
        <v>1</v>
      </c>
      <c r="C38" s="13"/>
      <c r="D38" s="13"/>
      <c r="E38" s="13"/>
      <c r="F38" s="13"/>
      <c r="G38" s="13"/>
      <c r="H38" s="13"/>
      <c r="I38" s="13"/>
      <c r="J38" s="13"/>
      <c r="K38" s="13"/>
      <c r="L38" s="13"/>
      <c r="M38" s="13"/>
    </row>
    <row r="39" spans="1:13">
      <c r="A39" s="12" t="s">
        <v>16</v>
      </c>
      <c r="B39" s="13" t="s">
        <v>17</v>
      </c>
      <c r="C39" s="13"/>
      <c r="D39" s="13"/>
      <c r="E39" s="13"/>
      <c r="F39" s="13"/>
      <c r="G39" s="13"/>
      <c r="H39" s="13"/>
      <c r="I39" s="13"/>
      <c r="J39" s="13"/>
      <c r="K39" s="13"/>
      <c r="L39" s="13"/>
      <c r="M39" s="13"/>
    </row>
    <row r="40" spans="1:13">
      <c r="A40" s="12" t="s">
        <v>18</v>
      </c>
      <c r="B40" s="13" t="s">
        <v>18</v>
      </c>
      <c r="C40" s="13"/>
      <c r="D40" s="13"/>
      <c r="E40" s="13"/>
      <c r="F40" s="13"/>
      <c r="G40" s="13"/>
      <c r="H40" s="13"/>
      <c r="I40" s="13"/>
      <c r="J40" s="13"/>
      <c r="K40" s="13"/>
      <c r="L40" s="13"/>
      <c r="M40" s="13"/>
    </row>
    <row r="41" spans="1:13">
      <c r="A41" s="20" t="s">
        <v>19</v>
      </c>
      <c r="B41" s="13"/>
      <c r="C41" s="13"/>
      <c r="D41" s="13"/>
      <c r="E41" s="13"/>
      <c r="F41" s="13"/>
      <c r="G41" s="13"/>
      <c r="H41" s="13"/>
      <c r="I41" s="13"/>
      <c r="J41" s="13"/>
      <c r="K41" s="13"/>
      <c r="L41" s="13"/>
      <c r="M41" s="13"/>
    </row>
    <row r="42" spans="1:13">
      <c r="A42" s="20" t="s">
        <v>20</v>
      </c>
      <c r="B42" s="21" t="s">
        <v>21</v>
      </c>
      <c r="C42" s="21" t="s">
        <v>18</v>
      </c>
      <c r="D42" s="21" t="s">
        <v>22</v>
      </c>
      <c r="E42" s="21" t="s">
        <v>7</v>
      </c>
      <c r="F42" s="21" t="s">
        <v>13</v>
      </c>
      <c r="G42" s="21" t="s">
        <v>16</v>
      </c>
      <c r="H42" s="21" t="s">
        <v>23</v>
      </c>
      <c r="I42" s="21" t="s">
        <v>24</v>
      </c>
      <c r="J42" s="21" t="s">
        <v>25</v>
      </c>
      <c r="K42" s="21" t="s">
        <v>26</v>
      </c>
      <c r="L42" s="21" t="s">
        <v>27</v>
      </c>
      <c r="M42" s="21" t="s">
        <v>28</v>
      </c>
    </row>
    <row r="43" spans="1:13">
      <c r="A43" s="12" t="s">
        <v>265</v>
      </c>
      <c r="B43" s="13">
        <v>1</v>
      </c>
      <c r="C43" s="13" t="s">
        <v>18</v>
      </c>
      <c r="D43" s="13" t="s">
        <v>2</v>
      </c>
      <c r="E43" s="13" t="s">
        <v>29</v>
      </c>
      <c r="F43" s="13" t="s">
        <v>14</v>
      </c>
      <c r="G43" s="13" t="s">
        <v>30</v>
      </c>
      <c r="H43" s="13">
        <v>1</v>
      </c>
      <c r="I43" s="13">
        <v>1</v>
      </c>
      <c r="J43" s="13" t="s">
        <v>31</v>
      </c>
      <c r="K43" s="13" t="s">
        <v>31</v>
      </c>
      <c r="L43" s="13" t="s">
        <v>31</v>
      </c>
      <c r="M43" s="13" t="s">
        <v>31</v>
      </c>
    </row>
    <row r="44" spans="1:13">
      <c r="A44" s="12" t="s">
        <v>276</v>
      </c>
      <c r="B44" s="13">
        <v>741.6</v>
      </c>
      <c r="C44" s="13" t="s">
        <v>39</v>
      </c>
      <c r="D44" s="13" t="s">
        <v>40</v>
      </c>
      <c r="E44" s="13" t="s">
        <v>29</v>
      </c>
      <c r="F44" s="13" t="s">
        <v>86</v>
      </c>
      <c r="G44" s="13" t="s">
        <v>33</v>
      </c>
      <c r="H44" s="13">
        <v>2</v>
      </c>
      <c r="I44" s="13">
        <f>LN(B44)</f>
        <v>6.6088100142516453</v>
      </c>
      <c r="J44" s="13">
        <v>0.24083189157584584</v>
      </c>
      <c r="K44" s="13" t="s">
        <v>31</v>
      </c>
      <c r="L44" s="13" t="s">
        <v>31</v>
      </c>
      <c r="M44" s="13" t="s">
        <v>31</v>
      </c>
    </row>
    <row r="45" spans="1:13">
      <c r="A45" s="18" t="s">
        <v>5</v>
      </c>
      <c r="B45" s="19" t="s">
        <v>266</v>
      </c>
      <c r="C45" s="3"/>
      <c r="D45" s="11"/>
      <c r="E45" s="11"/>
      <c r="F45" s="11"/>
      <c r="G45" s="11"/>
      <c r="H45" s="11"/>
      <c r="I45" s="11"/>
      <c r="J45" s="11"/>
      <c r="K45" s="11"/>
      <c r="L45" s="11"/>
      <c r="M45" s="11"/>
    </row>
    <row r="46" spans="1:13">
      <c r="A46" s="12" t="s">
        <v>7</v>
      </c>
      <c r="B46" s="13" t="s">
        <v>269</v>
      </c>
      <c r="C46" s="4"/>
      <c r="D46" s="13"/>
      <c r="E46" s="13"/>
      <c r="F46" s="13"/>
      <c r="G46" s="13"/>
      <c r="H46" s="13"/>
      <c r="I46" s="13"/>
      <c r="J46" s="13"/>
      <c r="K46" s="13"/>
      <c r="L46" s="13"/>
      <c r="M46" s="13"/>
    </row>
    <row r="47" spans="1:13">
      <c r="A47" s="12" t="s">
        <v>9</v>
      </c>
      <c r="B47" s="13" t="s">
        <v>277</v>
      </c>
      <c r="C47" s="4"/>
      <c r="D47" s="13"/>
      <c r="E47" s="13"/>
      <c r="F47" s="13"/>
      <c r="G47" s="13"/>
      <c r="H47" s="13"/>
      <c r="I47" s="13"/>
      <c r="J47" s="13"/>
      <c r="K47" s="13"/>
      <c r="L47" s="13"/>
      <c r="M47" s="13"/>
    </row>
    <row r="48" spans="1:13" ht="30">
      <c r="A48" s="12" t="s">
        <v>11</v>
      </c>
      <c r="B48" s="14" t="s">
        <v>278</v>
      </c>
      <c r="C48" s="13"/>
      <c r="D48" s="13"/>
      <c r="E48" s="13"/>
      <c r="F48" s="13"/>
      <c r="G48" s="13"/>
      <c r="H48" s="13"/>
      <c r="I48" s="13"/>
      <c r="J48" s="13"/>
      <c r="K48" s="13"/>
      <c r="L48" s="13"/>
      <c r="M48" s="13"/>
    </row>
    <row r="49" spans="1:13">
      <c r="A49" s="12" t="s">
        <v>13</v>
      </c>
      <c r="B49" s="13" t="s">
        <v>14</v>
      </c>
      <c r="C49" s="13"/>
      <c r="D49" s="13"/>
      <c r="E49" s="13"/>
      <c r="F49" s="13"/>
      <c r="G49" s="13"/>
      <c r="H49" s="13"/>
      <c r="I49" s="13"/>
      <c r="J49" s="13"/>
      <c r="K49" s="13"/>
      <c r="L49" s="13"/>
      <c r="M49" s="13"/>
    </row>
    <row r="50" spans="1:13">
      <c r="A50" s="12" t="s">
        <v>15</v>
      </c>
      <c r="B50" s="13">
        <v>1</v>
      </c>
      <c r="C50" s="13"/>
      <c r="D50" s="13"/>
      <c r="E50" s="13"/>
      <c r="F50" s="13"/>
      <c r="G50" s="13"/>
      <c r="H50" s="13"/>
      <c r="I50" s="13"/>
      <c r="J50" s="13"/>
      <c r="K50" s="13"/>
      <c r="L50" s="13"/>
      <c r="M50" s="13"/>
    </row>
    <row r="51" spans="1:13">
      <c r="A51" s="12" t="s">
        <v>16</v>
      </c>
      <c r="B51" s="13" t="s">
        <v>17</v>
      </c>
      <c r="C51" s="13"/>
      <c r="D51" s="13"/>
      <c r="E51" s="13"/>
      <c r="F51" s="13"/>
      <c r="G51" s="13"/>
      <c r="H51" s="13"/>
      <c r="I51" s="13"/>
      <c r="J51" s="13"/>
      <c r="K51" s="13"/>
      <c r="L51" s="13"/>
      <c r="M51" s="13"/>
    </row>
    <row r="52" spans="1:13">
      <c r="A52" s="12" t="s">
        <v>18</v>
      </c>
      <c r="B52" s="13" t="s">
        <v>18</v>
      </c>
      <c r="C52" s="13"/>
      <c r="D52" s="13"/>
      <c r="E52" s="13"/>
      <c r="F52" s="13"/>
      <c r="G52" s="13"/>
      <c r="H52" s="13"/>
      <c r="I52" s="13"/>
      <c r="J52" s="13"/>
      <c r="K52" s="13"/>
      <c r="L52" s="13"/>
      <c r="M52" s="13"/>
    </row>
    <row r="53" spans="1:13">
      <c r="A53" s="20" t="s">
        <v>19</v>
      </c>
      <c r="B53" s="13"/>
      <c r="C53" s="13"/>
      <c r="D53" s="13"/>
      <c r="E53" s="13"/>
      <c r="F53" s="13"/>
      <c r="G53" s="13"/>
      <c r="H53" s="13"/>
      <c r="I53" s="13"/>
      <c r="J53" s="13"/>
      <c r="K53" s="13"/>
      <c r="L53" s="13"/>
      <c r="M53" s="13"/>
    </row>
    <row r="54" spans="1:13">
      <c r="A54" s="20" t="s">
        <v>20</v>
      </c>
      <c r="B54" s="21" t="s">
        <v>21</v>
      </c>
      <c r="C54" s="21" t="s">
        <v>18</v>
      </c>
      <c r="D54" s="21" t="s">
        <v>22</v>
      </c>
      <c r="E54" s="21" t="s">
        <v>7</v>
      </c>
      <c r="F54" s="21" t="s">
        <v>13</v>
      </c>
      <c r="G54" s="21" t="s">
        <v>16</v>
      </c>
      <c r="H54" s="21" t="s">
        <v>23</v>
      </c>
      <c r="I54" s="21" t="s">
        <v>24</v>
      </c>
      <c r="J54" s="21" t="s">
        <v>25</v>
      </c>
      <c r="K54" s="21" t="s">
        <v>26</v>
      </c>
      <c r="L54" s="21" t="s">
        <v>27</v>
      </c>
      <c r="M54" s="21" t="s">
        <v>28</v>
      </c>
    </row>
    <row r="55" spans="1:13">
      <c r="A55" s="12" t="s">
        <v>266</v>
      </c>
      <c r="B55" s="13">
        <v>1</v>
      </c>
      <c r="C55" s="13" t="s">
        <v>18</v>
      </c>
      <c r="D55" s="13" t="s">
        <v>2</v>
      </c>
      <c r="E55" s="13" t="s">
        <v>29</v>
      </c>
      <c r="F55" s="13" t="s">
        <v>14</v>
      </c>
      <c r="G55" s="13" t="s">
        <v>30</v>
      </c>
      <c r="H55" s="13">
        <v>1</v>
      </c>
      <c r="I55" s="13">
        <v>1</v>
      </c>
      <c r="J55" s="13" t="s">
        <v>31</v>
      </c>
      <c r="K55" s="13" t="s">
        <v>31</v>
      </c>
      <c r="L55" s="13" t="s">
        <v>31</v>
      </c>
      <c r="M55" s="13" t="s">
        <v>31</v>
      </c>
    </row>
    <row r="56" spans="1:13">
      <c r="A56" s="12" t="s">
        <v>279</v>
      </c>
      <c r="B56" s="13">
        <v>1</v>
      </c>
      <c r="C56" s="13" t="s">
        <v>18</v>
      </c>
      <c r="D56" s="13" t="s">
        <v>2</v>
      </c>
      <c r="E56" s="13" t="s">
        <v>29</v>
      </c>
      <c r="F56" s="13" t="s">
        <v>14</v>
      </c>
      <c r="G56" s="13" t="s">
        <v>33</v>
      </c>
      <c r="H56" s="13">
        <v>1</v>
      </c>
      <c r="I56" s="13">
        <v>1</v>
      </c>
      <c r="J56" s="13" t="s">
        <v>31</v>
      </c>
      <c r="K56" s="13" t="s">
        <v>31</v>
      </c>
      <c r="L56" s="13" t="s">
        <v>31</v>
      </c>
      <c r="M56" s="13" t="s">
        <v>31</v>
      </c>
    </row>
    <row r="57" spans="1:13">
      <c r="A57" s="12" t="s">
        <v>280</v>
      </c>
      <c r="B57" s="13">
        <v>1</v>
      </c>
      <c r="C57" s="13" t="s">
        <v>18</v>
      </c>
      <c r="D57" s="13" t="s">
        <v>2</v>
      </c>
      <c r="E57" s="13" t="s">
        <v>29</v>
      </c>
      <c r="F57" s="13" t="s">
        <v>14</v>
      </c>
      <c r="G57" s="13" t="s">
        <v>33</v>
      </c>
      <c r="H57" s="13">
        <v>1</v>
      </c>
      <c r="I57" s="13">
        <v>1</v>
      </c>
      <c r="J57" s="13" t="s">
        <v>31</v>
      </c>
      <c r="K57" s="13" t="s">
        <v>31</v>
      </c>
      <c r="L57" s="13" t="s">
        <v>31</v>
      </c>
      <c r="M57" s="13" t="s">
        <v>31</v>
      </c>
    </row>
    <row r="58" spans="1:13">
      <c r="A58" s="12" t="s">
        <v>281</v>
      </c>
      <c r="B58" s="13">
        <v>1</v>
      </c>
      <c r="C58" s="13" t="s">
        <v>18</v>
      </c>
      <c r="D58" s="13" t="s">
        <v>2</v>
      </c>
      <c r="E58" s="13" t="s">
        <v>29</v>
      </c>
      <c r="F58" s="13" t="s">
        <v>14</v>
      </c>
      <c r="G58" s="13" t="s">
        <v>33</v>
      </c>
      <c r="H58" s="13">
        <v>1</v>
      </c>
      <c r="I58" s="13">
        <v>1</v>
      </c>
      <c r="J58" s="13" t="s">
        <v>31</v>
      </c>
      <c r="K58" s="13" t="s">
        <v>31</v>
      </c>
      <c r="L58" s="13" t="s">
        <v>31</v>
      </c>
      <c r="M58" s="13" t="s">
        <v>31</v>
      </c>
    </row>
    <row r="59" spans="1:13">
      <c r="A59" s="12" t="s">
        <v>282</v>
      </c>
      <c r="B59" s="13">
        <v>1</v>
      </c>
      <c r="C59" s="13" t="s">
        <v>18</v>
      </c>
      <c r="D59" s="13" t="s">
        <v>2</v>
      </c>
      <c r="E59" s="13" t="s">
        <v>29</v>
      </c>
      <c r="F59" s="13" t="s">
        <v>14</v>
      </c>
      <c r="G59" s="13" t="s">
        <v>33</v>
      </c>
      <c r="H59" s="13">
        <v>1</v>
      </c>
      <c r="I59" s="13">
        <v>1</v>
      </c>
      <c r="J59" s="13" t="s">
        <v>31</v>
      </c>
      <c r="K59" s="13" t="s">
        <v>31</v>
      </c>
      <c r="L59" s="13" t="s">
        <v>31</v>
      </c>
      <c r="M59" s="13" t="s">
        <v>31</v>
      </c>
    </row>
    <row r="60" spans="1:13">
      <c r="A60" s="18" t="s">
        <v>5</v>
      </c>
      <c r="B60" s="19" t="s">
        <v>279</v>
      </c>
      <c r="C60" s="3"/>
      <c r="D60" s="11"/>
      <c r="E60" s="11"/>
      <c r="F60" s="11"/>
      <c r="G60" s="11"/>
      <c r="H60" s="11"/>
      <c r="I60" s="11"/>
      <c r="J60" s="11"/>
      <c r="K60" s="11"/>
      <c r="L60" s="11"/>
      <c r="M60" s="11"/>
    </row>
    <row r="61" spans="1:13">
      <c r="A61" s="12" t="s">
        <v>7</v>
      </c>
      <c r="B61" s="13" t="s">
        <v>283</v>
      </c>
      <c r="C61" s="4"/>
      <c r="D61" s="13"/>
      <c r="E61" s="13"/>
      <c r="F61" s="13"/>
      <c r="G61" s="13"/>
      <c r="H61" s="13"/>
      <c r="I61" s="13"/>
      <c r="J61" s="13"/>
      <c r="K61" s="13"/>
      <c r="L61" s="13"/>
      <c r="M61" s="13"/>
    </row>
    <row r="62" spans="1:13">
      <c r="A62" s="12" t="s">
        <v>9</v>
      </c>
      <c r="B62" s="13" t="s">
        <v>284</v>
      </c>
      <c r="C62" s="4"/>
      <c r="D62" s="13"/>
      <c r="E62" s="13"/>
      <c r="F62" s="13"/>
      <c r="G62" s="13"/>
      <c r="H62" s="13"/>
      <c r="I62" s="13"/>
      <c r="J62" s="13"/>
      <c r="K62" s="13"/>
      <c r="L62" s="13"/>
      <c r="M62" s="13"/>
    </row>
    <row r="63" spans="1:13" ht="30">
      <c r="A63" s="12" t="s">
        <v>11</v>
      </c>
      <c r="B63" s="14" t="s">
        <v>285</v>
      </c>
      <c r="C63" s="13"/>
      <c r="D63" s="13"/>
      <c r="E63" s="13"/>
      <c r="F63" s="13"/>
      <c r="G63" s="13"/>
      <c r="H63" s="13"/>
      <c r="I63" s="13"/>
      <c r="J63" s="13"/>
      <c r="K63" s="13"/>
      <c r="L63" s="13"/>
      <c r="M63" s="13"/>
    </row>
    <row r="64" spans="1:13">
      <c r="A64" s="12" t="s">
        <v>13</v>
      </c>
      <c r="B64" s="13" t="s">
        <v>14</v>
      </c>
      <c r="C64" s="13"/>
      <c r="D64" s="13"/>
      <c r="E64" s="13"/>
      <c r="F64" s="13"/>
      <c r="G64" s="13"/>
      <c r="H64" s="13"/>
      <c r="I64" s="13"/>
      <c r="J64" s="13"/>
      <c r="K64" s="13"/>
      <c r="L64" s="13"/>
      <c r="M64" s="13"/>
    </row>
    <row r="65" spans="1:13">
      <c r="A65" s="12" t="s">
        <v>15</v>
      </c>
      <c r="B65" s="13">
        <v>1</v>
      </c>
      <c r="C65" s="13"/>
      <c r="D65" s="13"/>
      <c r="E65" s="13"/>
      <c r="F65" s="13"/>
      <c r="G65" s="13"/>
      <c r="H65" s="13"/>
      <c r="I65" s="13"/>
      <c r="J65" s="13"/>
      <c r="K65" s="13"/>
      <c r="L65" s="13"/>
      <c r="M65" s="13"/>
    </row>
    <row r="66" spans="1:13">
      <c r="A66" s="12" t="s">
        <v>16</v>
      </c>
      <c r="B66" s="13" t="s">
        <v>17</v>
      </c>
      <c r="C66" s="13"/>
      <c r="D66" s="13"/>
      <c r="E66" s="13"/>
      <c r="F66" s="13"/>
      <c r="G66" s="13"/>
      <c r="H66" s="13"/>
      <c r="I66" s="13"/>
      <c r="J66" s="13"/>
      <c r="K66" s="13"/>
      <c r="L66" s="13"/>
      <c r="M66" s="13"/>
    </row>
    <row r="67" spans="1:13">
      <c r="A67" s="12" t="s">
        <v>18</v>
      </c>
      <c r="B67" s="13" t="s">
        <v>18</v>
      </c>
      <c r="C67" s="13"/>
      <c r="D67" s="13"/>
      <c r="E67" s="13"/>
      <c r="F67" s="13"/>
      <c r="G67" s="13"/>
      <c r="H67" s="13"/>
      <c r="I67" s="13"/>
      <c r="J67" s="13"/>
      <c r="K67" s="13"/>
      <c r="L67" s="13"/>
      <c r="M67" s="13"/>
    </row>
    <row r="68" spans="1:13">
      <c r="A68" s="20" t="s">
        <v>19</v>
      </c>
      <c r="B68" s="13"/>
      <c r="C68" s="13"/>
      <c r="D68" s="13"/>
      <c r="E68" s="13"/>
      <c r="F68" s="13"/>
      <c r="G68" s="13"/>
      <c r="H68" s="13"/>
      <c r="I68" s="13"/>
      <c r="J68" s="13"/>
      <c r="K68" s="13"/>
      <c r="L68" s="13"/>
      <c r="M68" s="13"/>
    </row>
    <row r="69" spans="1:13">
      <c r="A69" s="20" t="s">
        <v>20</v>
      </c>
      <c r="B69" s="21" t="s">
        <v>21</v>
      </c>
      <c r="C69" s="21" t="s">
        <v>18</v>
      </c>
      <c r="D69" s="21" t="s">
        <v>22</v>
      </c>
      <c r="E69" s="21" t="s">
        <v>7</v>
      </c>
      <c r="F69" s="21" t="s">
        <v>13</v>
      </c>
      <c r="G69" s="21" t="s">
        <v>16</v>
      </c>
      <c r="H69" s="21" t="s">
        <v>23</v>
      </c>
      <c r="I69" s="21" t="s">
        <v>24</v>
      </c>
      <c r="J69" s="21" t="s">
        <v>25</v>
      </c>
      <c r="K69" s="21" t="s">
        <v>26</v>
      </c>
      <c r="L69" s="21" t="s">
        <v>27</v>
      </c>
      <c r="M69" s="21" t="s">
        <v>28</v>
      </c>
    </row>
    <row r="70" spans="1:13">
      <c r="A70" s="12" t="s">
        <v>279</v>
      </c>
      <c r="B70" s="13">
        <v>1</v>
      </c>
      <c r="C70" s="13" t="s">
        <v>18</v>
      </c>
      <c r="D70" s="13" t="s">
        <v>2</v>
      </c>
      <c r="E70" s="13" t="s">
        <v>29</v>
      </c>
      <c r="F70" s="13" t="s">
        <v>14</v>
      </c>
      <c r="G70" s="13" t="s">
        <v>30</v>
      </c>
      <c r="H70" s="13">
        <v>1</v>
      </c>
      <c r="I70" s="13">
        <v>1</v>
      </c>
      <c r="J70" s="13" t="s">
        <v>31</v>
      </c>
      <c r="K70" s="13" t="s">
        <v>31</v>
      </c>
      <c r="L70" s="13" t="s">
        <v>31</v>
      </c>
      <c r="M70" s="13" t="s">
        <v>31</v>
      </c>
    </row>
    <row r="71" spans="1:13">
      <c r="A71" s="12" t="s">
        <v>286</v>
      </c>
      <c r="B71" s="13">
        <f>98.824*15</f>
        <v>1482.36</v>
      </c>
      <c r="C71" s="13" t="s">
        <v>39</v>
      </c>
      <c r="D71" s="13" t="s">
        <v>40</v>
      </c>
      <c r="E71" s="13" t="s">
        <v>29</v>
      </c>
      <c r="F71" s="13" t="s">
        <v>86</v>
      </c>
      <c r="G71" s="13" t="s">
        <v>33</v>
      </c>
      <c r="H71" s="13">
        <v>2</v>
      </c>
      <c r="I71" s="13">
        <f>LN(B71)</f>
        <v>7.3013906913367226</v>
      </c>
      <c r="J71" s="13">
        <v>0.30331501776206199</v>
      </c>
      <c r="K71" s="13" t="s">
        <v>31</v>
      </c>
      <c r="L71" s="13" t="s">
        <v>31</v>
      </c>
      <c r="M71" s="13" t="s">
        <v>31</v>
      </c>
    </row>
    <row r="72" spans="1:13">
      <c r="A72" s="12" t="s">
        <v>173</v>
      </c>
      <c r="B72" s="13">
        <f>98.824*14</f>
        <v>1383.5360000000001</v>
      </c>
      <c r="C72" s="13" t="s">
        <v>39</v>
      </c>
      <c r="D72" s="13" t="s">
        <v>40</v>
      </c>
      <c r="E72" s="13" t="s">
        <v>29</v>
      </c>
      <c r="F72" s="13" t="s">
        <v>117</v>
      </c>
      <c r="G72" s="13" t="s">
        <v>33</v>
      </c>
      <c r="H72" s="13">
        <v>2</v>
      </c>
      <c r="I72" s="13">
        <f>LN(B72)</f>
        <v>7.2323978198497709</v>
      </c>
      <c r="J72" s="13">
        <v>0.30331501776206199</v>
      </c>
      <c r="K72" s="13" t="s">
        <v>31</v>
      </c>
      <c r="L72" s="13" t="s">
        <v>31</v>
      </c>
      <c r="M72" s="13" t="s">
        <v>31</v>
      </c>
    </row>
    <row r="73" spans="1:13">
      <c r="A73" s="12" t="s">
        <v>286</v>
      </c>
      <c r="B73" s="13">
        <f>98.824*14</f>
        <v>1383.5360000000001</v>
      </c>
      <c r="C73" s="13" t="s">
        <v>39</v>
      </c>
      <c r="D73" s="13" t="s">
        <v>40</v>
      </c>
      <c r="E73" s="13" t="s">
        <v>29</v>
      </c>
      <c r="F73" s="13" t="s">
        <v>86</v>
      </c>
      <c r="G73" s="13" t="s">
        <v>110</v>
      </c>
      <c r="H73" s="13">
        <v>2</v>
      </c>
      <c r="I73" s="13">
        <f>LN(B73)</f>
        <v>7.2323978198497709</v>
      </c>
      <c r="J73" s="13">
        <v>0.30331501776206199</v>
      </c>
      <c r="K73" s="13" t="s">
        <v>31</v>
      </c>
      <c r="L73" s="13" t="s">
        <v>31</v>
      </c>
      <c r="M73" s="13" t="s">
        <v>31</v>
      </c>
    </row>
    <row r="74" spans="1:13">
      <c r="A74" s="18" t="s">
        <v>5</v>
      </c>
      <c r="B74" s="19" t="s">
        <v>280</v>
      </c>
      <c r="C74" s="3"/>
      <c r="D74" s="11"/>
      <c r="E74" s="11"/>
      <c r="F74" s="11"/>
      <c r="G74" s="11"/>
      <c r="H74" s="11"/>
      <c r="I74" s="11"/>
      <c r="J74" s="11"/>
      <c r="K74" s="11"/>
      <c r="L74" s="11"/>
      <c r="M74" s="11"/>
    </row>
    <row r="75" spans="1:13">
      <c r="A75" s="12" t="s">
        <v>7</v>
      </c>
      <c r="B75" s="13" t="s">
        <v>283</v>
      </c>
      <c r="C75" s="4"/>
      <c r="D75" s="13"/>
      <c r="E75" s="13"/>
      <c r="F75" s="13"/>
      <c r="G75" s="13"/>
      <c r="H75" s="13"/>
      <c r="I75" s="13"/>
      <c r="J75" s="13"/>
      <c r="K75" s="13"/>
      <c r="L75" s="13"/>
      <c r="M75" s="13"/>
    </row>
    <row r="76" spans="1:13">
      <c r="A76" s="12" t="s">
        <v>9</v>
      </c>
      <c r="B76" s="13" t="s">
        <v>287</v>
      </c>
      <c r="C76" s="4"/>
      <c r="D76" s="13"/>
      <c r="E76" s="13"/>
      <c r="F76" s="13"/>
      <c r="G76" s="13"/>
      <c r="H76" s="13"/>
      <c r="I76" s="13"/>
      <c r="J76" s="13"/>
      <c r="K76" s="13"/>
      <c r="L76" s="13"/>
      <c r="M76" s="13"/>
    </row>
    <row r="77" spans="1:13" ht="30">
      <c r="A77" s="12" t="s">
        <v>11</v>
      </c>
      <c r="B77" s="14" t="s">
        <v>288</v>
      </c>
      <c r="C77" s="13"/>
      <c r="D77" s="13"/>
      <c r="E77" s="13"/>
      <c r="F77" s="13"/>
      <c r="G77" s="13"/>
      <c r="H77" s="13"/>
      <c r="I77" s="13"/>
      <c r="J77" s="13"/>
      <c r="K77" s="13"/>
      <c r="L77" s="13"/>
      <c r="M77" s="13"/>
    </row>
    <row r="78" spans="1:13">
      <c r="A78" s="12" t="s">
        <v>13</v>
      </c>
      <c r="B78" s="13" t="s">
        <v>14</v>
      </c>
      <c r="C78" s="13"/>
      <c r="D78" s="13"/>
      <c r="E78" s="13"/>
      <c r="F78" s="13"/>
      <c r="G78" s="13"/>
      <c r="H78" s="13"/>
      <c r="I78" s="13"/>
      <c r="J78" s="13"/>
      <c r="K78" s="13"/>
      <c r="L78" s="13"/>
      <c r="M78" s="13"/>
    </row>
    <row r="79" spans="1:13">
      <c r="A79" s="12" t="s">
        <v>15</v>
      </c>
      <c r="B79" s="13">
        <v>1</v>
      </c>
      <c r="C79" s="13"/>
      <c r="D79" s="13"/>
      <c r="E79" s="13"/>
      <c r="F79" s="13"/>
      <c r="G79" s="13"/>
      <c r="H79" s="13"/>
      <c r="I79" s="13"/>
      <c r="J79" s="13"/>
      <c r="K79" s="13"/>
      <c r="L79" s="13"/>
      <c r="M79" s="13"/>
    </row>
    <row r="80" spans="1:13">
      <c r="A80" s="12" t="s">
        <v>16</v>
      </c>
      <c r="B80" s="13" t="s">
        <v>17</v>
      </c>
      <c r="C80" s="13"/>
      <c r="D80" s="13"/>
      <c r="E80" s="13"/>
      <c r="F80" s="13"/>
      <c r="G80" s="13"/>
      <c r="H80" s="13"/>
      <c r="I80" s="13"/>
      <c r="J80" s="13"/>
      <c r="K80" s="13"/>
      <c r="L80" s="13"/>
      <c r="M80" s="13"/>
    </row>
    <row r="81" spans="1:13">
      <c r="A81" s="12" t="s">
        <v>18</v>
      </c>
      <c r="B81" s="13" t="s">
        <v>18</v>
      </c>
      <c r="C81" s="13"/>
      <c r="D81" s="13"/>
      <c r="E81" s="13"/>
      <c r="F81" s="13"/>
      <c r="G81" s="13"/>
      <c r="H81" s="13"/>
      <c r="I81" s="13"/>
      <c r="J81" s="13"/>
      <c r="K81" s="13"/>
      <c r="L81" s="13"/>
      <c r="M81" s="13"/>
    </row>
    <row r="82" spans="1:13">
      <c r="A82" s="20" t="s">
        <v>19</v>
      </c>
      <c r="B82" s="13"/>
      <c r="C82" s="13"/>
      <c r="D82" s="13"/>
      <c r="E82" s="13"/>
      <c r="F82" s="13"/>
      <c r="G82" s="13"/>
      <c r="H82" s="13"/>
      <c r="I82" s="13"/>
      <c r="J82" s="13"/>
      <c r="K82" s="13"/>
      <c r="L82" s="13"/>
      <c r="M82" s="13"/>
    </row>
    <row r="83" spans="1:13">
      <c r="A83" s="20" t="s">
        <v>20</v>
      </c>
      <c r="B83" s="21" t="s">
        <v>21</v>
      </c>
      <c r="C83" s="21" t="s">
        <v>18</v>
      </c>
      <c r="D83" s="21" t="s">
        <v>22</v>
      </c>
      <c r="E83" s="21" t="s">
        <v>7</v>
      </c>
      <c r="F83" s="21" t="s">
        <v>13</v>
      </c>
      <c r="G83" s="21" t="s">
        <v>16</v>
      </c>
      <c r="H83" s="21" t="s">
        <v>23</v>
      </c>
      <c r="I83" s="21" t="s">
        <v>24</v>
      </c>
      <c r="J83" s="21" t="s">
        <v>25</v>
      </c>
      <c r="K83" s="21" t="s">
        <v>26</v>
      </c>
      <c r="L83" s="21" t="s">
        <v>27</v>
      </c>
      <c r="M83" s="21" t="s">
        <v>28</v>
      </c>
    </row>
    <row r="84" spans="1:13">
      <c r="A84" s="12" t="s">
        <v>280</v>
      </c>
      <c r="B84" s="13">
        <v>1</v>
      </c>
      <c r="C84" s="13" t="s">
        <v>18</v>
      </c>
      <c r="D84" s="13" t="s">
        <v>2</v>
      </c>
      <c r="E84" s="13" t="s">
        <v>29</v>
      </c>
      <c r="F84" s="13" t="s">
        <v>14</v>
      </c>
      <c r="G84" s="13" t="s">
        <v>30</v>
      </c>
      <c r="H84" s="13">
        <v>1</v>
      </c>
      <c r="I84" s="13">
        <v>1</v>
      </c>
      <c r="J84" s="13" t="s">
        <v>31</v>
      </c>
      <c r="K84" s="13" t="s">
        <v>31</v>
      </c>
      <c r="L84" s="13" t="s">
        <v>31</v>
      </c>
      <c r="M84" s="13" t="s">
        <v>31</v>
      </c>
    </row>
    <row r="85" spans="1:13">
      <c r="A85" s="12" t="s">
        <v>286</v>
      </c>
      <c r="B85" s="13">
        <f>29.127*15</f>
        <v>436.90499999999997</v>
      </c>
      <c r="C85" s="13" t="s">
        <v>39</v>
      </c>
      <c r="D85" s="13" t="s">
        <v>40</v>
      </c>
      <c r="E85" s="13" t="s">
        <v>29</v>
      </c>
      <c r="F85" s="13" t="s">
        <v>86</v>
      </c>
      <c r="G85" s="13" t="s">
        <v>33</v>
      </c>
      <c r="H85" s="13">
        <v>2</v>
      </c>
      <c r="I85" s="13">
        <f>LN(B85)</f>
        <v>6.0797157801583275</v>
      </c>
      <c r="J85" s="13">
        <v>0.30331501776206199</v>
      </c>
      <c r="K85" s="13" t="s">
        <v>31</v>
      </c>
      <c r="L85" s="13" t="s">
        <v>31</v>
      </c>
      <c r="M85" s="13" t="s">
        <v>31</v>
      </c>
    </row>
    <row r="86" spans="1:13">
      <c r="A86" s="12" t="s">
        <v>173</v>
      </c>
      <c r="B86" s="13">
        <f>29.127*14</f>
        <v>407.77799999999996</v>
      </c>
      <c r="C86" s="13" t="s">
        <v>39</v>
      </c>
      <c r="D86" s="13" t="s">
        <v>40</v>
      </c>
      <c r="E86" s="13" t="s">
        <v>29</v>
      </c>
      <c r="F86" s="13" t="s">
        <v>117</v>
      </c>
      <c r="G86" s="13" t="s">
        <v>33</v>
      </c>
      <c r="H86" s="13">
        <v>2</v>
      </c>
      <c r="I86" s="13">
        <f>LN(B86)</f>
        <v>6.0107229086713758</v>
      </c>
      <c r="J86" s="13">
        <v>0.30331501776206199</v>
      </c>
      <c r="K86" s="13" t="s">
        <v>31</v>
      </c>
      <c r="L86" s="13" t="s">
        <v>31</v>
      </c>
      <c r="M86" s="13" t="s">
        <v>31</v>
      </c>
    </row>
    <row r="87" spans="1:13">
      <c r="A87" s="12" t="s">
        <v>286</v>
      </c>
      <c r="B87" s="13">
        <f>29.127*14</f>
        <v>407.77799999999996</v>
      </c>
      <c r="C87" s="13" t="s">
        <v>39</v>
      </c>
      <c r="D87" s="13" t="s">
        <v>40</v>
      </c>
      <c r="E87" s="13" t="s">
        <v>29</v>
      </c>
      <c r="F87" s="13" t="s">
        <v>86</v>
      </c>
      <c r="G87" s="13" t="s">
        <v>110</v>
      </c>
      <c r="H87" s="13">
        <v>2</v>
      </c>
      <c r="I87" s="13">
        <f>LN(B87)</f>
        <v>6.0107229086713758</v>
      </c>
      <c r="J87" s="13">
        <v>0.30331501776206199</v>
      </c>
      <c r="K87" s="13" t="s">
        <v>31</v>
      </c>
      <c r="L87" s="13" t="s">
        <v>31</v>
      </c>
      <c r="M87" s="13" t="s">
        <v>31</v>
      </c>
    </row>
    <row r="88" spans="1:13">
      <c r="A88" s="12" t="s">
        <v>289</v>
      </c>
      <c r="B88" s="13">
        <v>7.282</v>
      </c>
      <c r="C88" s="13" t="s">
        <v>39</v>
      </c>
      <c r="D88" s="13" t="s">
        <v>40</v>
      </c>
      <c r="E88" s="13" t="s">
        <v>29</v>
      </c>
      <c r="F88" s="13" t="s">
        <v>117</v>
      </c>
      <c r="G88" s="13" t="s">
        <v>33</v>
      </c>
      <c r="H88" s="13">
        <v>2</v>
      </c>
      <c r="I88" s="13">
        <f>LN(B88)</f>
        <v>1.9854055497532417</v>
      </c>
      <c r="J88" s="13">
        <v>0.30331501776206199</v>
      </c>
      <c r="K88" s="13" t="s">
        <v>31</v>
      </c>
      <c r="L88" s="13" t="s">
        <v>31</v>
      </c>
      <c r="M88" s="13" t="s">
        <v>31</v>
      </c>
    </row>
    <row r="89" spans="1:13">
      <c r="A89" s="18" t="s">
        <v>5</v>
      </c>
      <c r="B89" s="19" t="s">
        <v>281</v>
      </c>
      <c r="C89" s="3"/>
      <c r="D89" s="11"/>
      <c r="E89" s="11"/>
      <c r="F89" s="11"/>
      <c r="G89" s="11"/>
      <c r="H89" s="11"/>
      <c r="I89" s="11"/>
      <c r="J89" s="11"/>
      <c r="K89" s="11"/>
      <c r="L89" s="11"/>
      <c r="M89" s="11"/>
    </row>
    <row r="90" spans="1:13">
      <c r="A90" s="12" t="s">
        <v>7</v>
      </c>
      <c r="B90" s="13" t="s">
        <v>283</v>
      </c>
      <c r="C90" s="4"/>
      <c r="D90" s="13"/>
      <c r="E90" s="13"/>
      <c r="F90" s="13"/>
      <c r="G90" s="13"/>
      <c r="H90" s="13"/>
      <c r="I90" s="13"/>
      <c r="J90" s="13"/>
      <c r="K90" s="13"/>
      <c r="L90" s="13"/>
      <c r="M90" s="13"/>
    </row>
    <row r="91" spans="1:13">
      <c r="A91" s="12" t="s">
        <v>9</v>
      </c>
      <c r="B91" s="13" t="s">
        <v>290</v>
      </c>
      <c r="C91" s="4"/>
      <c r="D91" s="13"/>
      <c r="E91" s="13"/>
      <c r="F91" s="13"/>
      <c r="G91" s="13"/>
      <c r="H91" s="13"/>
      <c r="I91" s="13"/>
      <c r="J91" s="13"/>
      <c r="K91" s="13"/>
      <c r="L91" s="13"/>
      <c r="M91" s="13"/>
    </row>
    <row r="92" spans="1:13" ht="30">
      <c r="A92" s="12" t="s">
        <v>11</v>
      </c>
      <c r="B92" s="14" t="s">
        <v>291</v>
      </c>
      <c r="C92" s="13"/>
      <c r="D92" s="13"/>
      <c r="E92" s="13"/>
      <c r="F92" s="13"/>
      <c r="G92" s="13"/>
      <c r="H92" s="13"/>
      <c r="I92" s="13"/>
      <c r="J92" s="13"/>
      <c r="K92" s="13"/>
      <c r="L92" s="13"/>
      <c r="M92" s="13"/>
    </row>
    <row r="93" spans="1:13">
      <c r="A93" s="12" t="s">
        <v>13</v>
      </c>
      <c r="B93" s="13" t="s">
        <v>14</v>
      </c>
      <c r="C93" s="13"/>
      <c r="D93" s="13"/>
      <c r="E93" s="13"/>
      <c r="F93" s="13"/>
      <c r="G93" s="13"/>
      <c r="H93" s="13"/>
      <c r="I93" s="13"/>
      <c r="J93" s="13"/>
      <c r="K93" s="13"/>
      <c r="L93" s="13"/>
      <c r="M93" s="13"/>
    </row>
    <row r="94" spans="1:13">
      <c r="A94" s="12" t="s">
        <v>15</v>
      </c>
      <c r="B94" s="13">
        <v>1</v>
      </c>
      <c r="C94" s="13"/>
      <c r="D94" s="13"/>
      <c r="E94" s="13"/>
      <c r="F94" s="13"/>
      <c r="G94" s="13"/>
      <c r="H94" s="13"/>
      <c r="I94" s="13"/>
      <c r="J94" s="13"/>
      <c r="K94" s="13"/>
      <c r="L94" s="13"/>
      <c r="M94" s="13"/>
    </row>
    <row r="95" spans="1:13">
      <c r="A95" s="12" t="s">
        <v>16</v>
      </c>
      <c r="B95" s="13" t="s">
        <v>17</v>
      </c>
      <c r="C95" s="13"/>
      <c r="D95" s="13"/>
      <c r="E95" s="13"/>
      <c r="F95" s="13"/>
      <c r="G95" s="13"/>
      <c r="H95" s="13"/>
      <c r="I95" s="13"/>
      <c r="J95" s="13"/>
      <c r="K95" s="13"/>
      <c r="L95" s="13"/>
      <c r="M95" s="13"/>
    </row>
    <row r="96" spans="1:13">
      <c r="A96" s="12" t="s">
        <v>18</v>
      </c>
      <c r="B96" s="13" t="s">
        <v>18</v>
      </c>
      <c r="C96" s="13"/>
      <c r="D96" s="13"/>
      <c r="E96" s="13"/>
      <c r="F96" s="13"/>
      <c r="G96" s="13"/>
      <c r="H96" s="13"/>
      <c r="I96" s="13"/>
      <c r="J96" s="13"/>
      <c r="K96" s="13"/>
      <c r="L96" s="13"/>
      <c r="M96" s="13"/>
    </row>
    <row r="97" spans="1:13">
      <c r="A97" s="20" t="s">
        <v>19</v>
      </c>
      <c r="B97" s="13"/>
      <c r="C97" s="13"/>
      <c r="D97" s="13"/>
      <c r="E97" s="13"/>
      <c r="F97" s="13"/>
      <c r="G97" s="13"/>
      <c r="H97" s="13"/>
      <c r="I97" s="13"/>
      <c r="J97" s="13"/>
      <c r="K97" s="13"/>
      <c r="L97" s="13"/>
      <c r="M97" s="13"/>
    </row>
    <row r="98" spans="1:13">
      <c r="A98" s="20" t="s">
        <v>20</v>
      </c>
      <c r="B98" s="21" t="s">
        <v>21</v>
      </c>
      <c r="C98" s="21" t="s">
        <v>18</v>
      </c>
      <c r="D98" s="21" t="s">
        <v>22</v>
      </c>
      <c r="E98" s="21" t="s">
        <v>7</v>
      </c>
      <c r="F98" s="21" t="s">
        <v>13</v>
      </c>
      <c r="G98" s="21" t="s">
        <v>16</v>
      </c>
      <c r="H98" s="21" t="s">
        <v>23</v>
      </c>
      <c r="I98" s="21" t="s">
        <v>24</v>
      </c>
      <c r="J98" s="21" t="s">
        <v>25</v>
      </c>
      <c r="K98" s="21" t="s">
        <v>26</v>
      </c>
      <c r="L98" s="21" t="s">
        <v>27</v>
      </c>
      <c r="M98" s="21" t="s">
        <v>28</v>
      </c>
    </row>
    <row r="99" spans="1:13">
      <c r="A99" s="12" t="s">
        <v>281</v>
      </c>
      <c r="B99" s="13">
        <v>1</v>
      </c>
      <c r="C99" s="13" t="s">
        <v>18</v>
      </c>
      <c r="D99" s="13" t="s">
        <v>2</v>
      </c>
      <c r="E99" s="13" t="s">
        <v>29</v>
      </c>
      <c r="F99" s="13" t="s">
        <v>14</v>
      </c>
      <c r="G99" s="13" t="s">
        <v>30</v>
      </c>
      <c r="H99" s="13">
        <v>1</v>
      </c>
      <c r="I99" s="13">
        <v>1</v>
      </c>
      <c r="J99" s="13" t="s">
        <v>31</v>
      </c>
      <c r="K99" s="13" t="s">
        <v>31</v>
      </c>
      <c r="L99" s="13" t="s">
        <v>31</v>
      </c>
      <c r="M99" s="13" t="s">
        <v>31</v>
      </c>
    </row>
    <row r="100" spans="1:13">
      <c r="A100" s="12" t="s">
        <v>286</v>
      </c>
      <c r="B100" s="13">
        <f>65.883*15</f>
        <v>988.24499999999989</v>
      </c>
      <c r="C100" s="13" t="s">
        <v>39</v>
      </c>
      <c r="D100" s="13" t="s">
        <v>40</v>
      </c>
      <c r="E100" s="13" t="s">
        <v>29</v>
      </c>
      <c r="F100" s="13" t="s">
        <v>86</v>
      </c>
      <c r="G100" s="13" t="s">
        <v>33</v>
      </c>
      <c r="H100" s="13">
        <v>2</v>
      </c>
      <c r="I100" s="13">
        <f>LN(B100)</f>
        <v>6.8959306427154754</v>
      </c>
      <c r="J100" s="13">
        <v>0.30331501776206199</v>
      </c>
      <c r="K100" s="13" t="s">
        <v>31</v>
      </c>
      <c r="L100" s="13" t="s">
        <v>31</v>
      </c>
      <c r="M100" s="13" t="s">
        <v>31</v>
      </c>
    </row>
    <row r="101" spans="1:13">
      <c r="A101" s="12" t="s">
        <v>173</v>
      </c>
      <c r="B101" s="13">
        <f>65.883*14</f>
        <v>922.36199999999997</v>
      </c>
      <c r="C101" s="13" t="s">
        <v>39</v>
      </c>
      <c r="D101" s="13" t="s">
        <v>40</v>
      </c>
      <c r="E101" s="13" t="s">
        <v>29</v>
      </c>
      <c r="F101" s="13" t="s">
        <v>117</v>
      </c>
      <c r="G101" s="13" t="s">
        <v>33</v>
      </c>
      <c r="H101" s="13">
        <v>2</v>
      </c>
      <c r="I101" s="13">
        <f>LN(B101)</f>
        <v>6.8269377712285246</v>
      </c>
      <c r="J101" s="13">
        <v>0.30331501776206199</v>
      </c>
      <c r="K101" s="13" t="s">
        <v>31</v>
      </c>
      <c r="L101" s="13" t="s">
        <v>31</v>
      </c>
      <c r="M101" s="13" t="s">
        <v>31</v>
      </c>
    </row>
    <row r="102" spans="1:13">
      <c r="A102" s="12" t="s">
        <v>286</v>
      </c>
      <c r="B102" s="13">
        <f>65.883*14</f>
        <v>922.36199999999997</v>
      </c>
      <c r="C102" s="13" t="s">
        <v>39</v>
      </c>
      <c r="D102" s="13" t="s">
        <v>40</v>
      </c>
      <c r="E102" s="13" t="s">
        <v>29</v>
      </c>
      <c r="F102" s="13" t="s">
        <v>86</v>
      </c>
      <c r="G102" s="13" t="s">
        <v>110</v>
      </c>
      <c r="H102" s="13">
        <v>2</v>
      </c>
      <c r="I102" s="13">
        <f>LN(B102)</f>
        <v>6.8269377712285246</v>
      </c>
      <c r="J102" s="13">
        <v>0.30331501776206199</v>
      </c>
      <c r="K102" s="13" t="s">
        <v>31</v>
      </c>
      <c r="L102" s="13" t="s">
        <v>31</v>
      </c>
      <c r="M102" s="13" t="s">
        <v>31</v>
      </c>
    </row>
    <row r="103" spans="1:13">
      <c r="A103" s="12" t="s">
        <v>248</v>
      </c>
      <c r="B103" s="13">
        <f>32.941*15</f>
        <v>494.11500000000001</v>
      </c>
      <c r="C103" s="13" t="s">
        <v>39</v>
      </c>
      <c r="D103" s="13" t="s">
        <v>40</v>
      </c>
      <c r="E103" s="13" t="s">
        <v>29</v>
      </c>
      <c r="F103" s="13" t="s">
        <v>86</v>
      </c>
      <c r="G103" s="13" t="s">
        <v>33</v>
      </c>
      <c r="H103" s="13">
        <v>2</v>
      </c>
      <c r="I103" s="13">
        <f t="shared" ref="I103:I105" si="1">LN(B103)</f>
        <v>6.2027682836179823</v>
      </c>
      <c r="J103" s="13">
        <v>0.30331501776206199</v>
      </c>
      <c r="K103" s="13" t="s">
        <v>31</v>
      </c>
      <c r="L103" s="13" t="s">
        <v>31</v>
      </c>
      <c r="M103" s="13" t="s">
        <v>31</v>
      </c>
    </row>
    <row r="104" spans="1:13">
      <c r="A104" s="12" t="s">
        <v>292</v>
      </c>
      <c r="B104" s="13">
        <f>32.941*14</f>
        <v>461.17400000000004</v>
      </c>
      <c r="C104" s="13" t="s">
        <v>39</v>
      </c>
      <c r="D104" s="13" t="s">
        <v>40</v>
      </c>
      <c r="E104" s="13" t="s">
        <v>29</v>
      </c>
      <c r="F104" s="13" t="s">
        <v>36</v>
      </c>
      <c r="G104" s="13" t="s">
        <v>33</v>
      </c>
      <c r="H104" s="13">
        <v>2</v>
      </c>
      <c r="I104" s="13">
        <f t="shared" si="1"/>
        <v>6.1337754121310306</v>
      </c>
      <c r="J104" s="13">
        <v>0.30331501776206199</v>
      </c>
      <c r="K104" s="13" t="s">
        <v>31</v>
      </c>
      <c r="L104" s="13" t="s">
        <v>31</v>
      </c>
      <c r="M104" s="13" t="s">
        <v>31</v>
      </c>
    </row>
    <row r="105" spans="1:13">
      <c r="A105" s="12" t="s">
        <v>248</v>
      </c>
      <c r="B105" s="13">
        <f>32.941*14</f>
        <v>461.17400000000004</v>
      </c>
      <c r="C105" s="13" t="s">
        <v>39</v>
      </c>
      <c r="D105" s="13" t="s">
        <v>40</v>
      </c>
      <c r="E105" s="13" t="s">
        <v>29</v>
      </c>
      <c r="F105" s="13" t="s">
        <v>86</v>
      </c>
      <c r="G105" s="13" t="s">
        <v>110</v>
      </c>
      <c r="H105" s="13">
        <v>2</v>
      </c>
      <c r="I105" s="13">
        <f t="shared" si="1"/>
        <v>6.1337754121310306</v>
      </c>
      <c r="J105" s="13">
        <v>0.30331501776206199</v>
      </c>
      <c r="K105" s="13" t="s">
        <v>31</v>
      </c>
      <c r="L105" s="13" t="s">
        <v>31</v>
      </c>
      <c r="M105" s="13" t="s">
        <v>31</v>
      </c>
    </row>
    <row r="106" spans="1:13">
      <c r="A106" s="18" t="s">
        <v>5</v>
      </c>
      <c r="B106" s="19" t="s">
        <v>282</v>
      </c>
      <c r="C106" s="3"/>
      <c r="D106" s="11"/>
      <c r="E106" s="11"/>
      <c r="F106" s="11"/>
      <c r="G106" s="11"/>
      <c r="H106" s="11"/>
      <c r="I106" s="11"/>
      <c r="J106" s="11"/>
      <c r="K106" s="11"/>
      <c r="L106" s="11"/>
      <c r="M106" s="11"/>
    </row>
    <row r="107" spans="1:13">
      <c r="A107" s="12" t="s">
        <v>7</v>
      </c>
      <c r="B107" s="13" t="s">
        <v>283</v>
      </c>
      <c r="C107" s="4"/>
      <c r="D107" s="13"/>
      <c r="E107" s="13"/>
      <c r="F107" s="13"/>
      <c r="G107" s="13"/>
      <c r="H107" s="13"/>
      <c r="I107" s="13"/>
      <c r="J107" s="13"/>
      <c r="K107" s="13"/>
      <c r="L107" s="13"/>
      <c r="M107" s="13"/>
    </row>
    <row r="108" spans="1:13">
      <c r="A108" s="12" t="s">
        <v>9</v>
      </c>
      <c r="B108" s="13" t="s">
        <v>293</v>
      </c>
      <c r="C108" s="4"/>
      <c r="D108" s="13"/>
      <c r="E108" s="13"/>
      <c r="F108" s="13"/>
      <c r="G108" s="13"/>
      <c r="H108" s="13"/>
      <c r="I108" s="13"/>
      <c r="J108" s="13"/>
      <c r="K108" s="13"/>
      <c r="L108" s="13"/>
      <c r="M108" s="13"/>
    </row>
    <row r="109" spans="1:13" ht="30">
      <c r="A109" s="12" t="s">
        <v>11</v>
      </c>
      <c r="B109" s="14" t="s">
        <v>294</v>
      </c>
      <c r="C109" s="13"/>
      <c r="D109" s="13"/>
      <c r="E109" s="13"/>
      <c r="F109" s="13"/>
      <c r="G109" s="13"/>
      <c r="H109" s="13"/>
      <c r="I109" s="13"/>
      <c r="J109" s="13"/>
      <c r="K109" s="13"/>
      <c r="L109" s="13"/>
      <c r="M109" s="13"/>
    </row>
    <row r="110" spans="1:13">
      <c r="A110" s="12" t="s">
        <v>13</v>
      </c>
      <c r="B110" s="13" t="s">
        <v>14</v>
      </c>
      <c r="C110" s="13"/>
      <c r="D110" s="13"/>
      <c r="E110" s="13"/>
      <c r="F110" s="13"/>
      <c r="G110" s="13"/>
      <c r="H110" s="13"/>
      <c r="I110" s="13"/>
      <c r="J110" s="13"/>
      <c r="K110" s="13"/>
      <c r="L110" s="13"/>
      <c r="M110" s="13"/>
    </row>
    <row r="111" spans="1:13">
      <c r="A111" s="12" t="s">
        <v>15</v>
      </c>
      <c r="B111" s="13">
        <v>1</v>
      </c>
      <c r="C111" s="13"/>
      <c r="D111" s="13"/>
      <c r="E111" s="13"/>
      <c r="F111" s="13"/>
      <c r="G111" s="13"/>
      <c r="H111" s="13"/>
      <c r="I111" s="13"/>
      <c r="J111" s="13"/>
      <c r="K111" s="13"/>
      <c r="L111" s="13"/>
      <c r="M111" s="13"/>
    </row>
    <row r="112" spans="1:13">
      <c r="A112" s="12" t="s">
        <v>16</v>
      </c>
      <c r="B112" s="13" t="s">
        <v>17</v>
      </c>
      <c r="C112" s="13"/>
      <c r="D112" s="13"/>
      <c r="E112" s="13"/>
      <c r="F112" s="13"/>
      <c r="G112" s="13"/>
      <c r="H112" s="13"/>
      <c r="I112" s="13"/>
      <c r="J112" s="13"/>
      <c r="K112" s="13"/>
      <c r="L112" s="13"/>
      <c r="M112" s="13"/>
    </row>
    <row r="113" spans="1:13">
      <c r="A113" s="12" t="s">
        <v>18</v>
      </c>
      <c r="B113" s="13" t="s">
        <v>18</v>
      </c>
      <c r="C113" s="13"/>
      <c r="D113" s="13"/>
      <c r="E113" s="13"/>
      <c r="F113" s="13"/>
      <c r="G113" s="13"/>
      <c r="H113" s="13"/>
      <c r="I113" s="13"/>
      <c r="J113" s="13"/>
      <c r="K113" s="13"/>
      <c r="L113" s="13"/>
      <c r="M113" s="13"/>
    </row>
    <row r="114" spans="1:13">
      <c r="A114" s="20" t="s">
        <v>19</v>
      </c>
      <c r="B114" s="13"/>
      <c r="C114" s="13"/>
      <c r="D114" s="13"/>
      <c r="E114" s="13"/>
      <c r="F114" s="13"/>
      <c r="G114" s="13"/>
      <c r="H114" s="13"/>
      <c r="I114" s="13"/>
      <c r="J114" s="13"/>
      <c r="K114" s="13"/>
      <c r="L114" s="13"/>
      <c r="M114" s="13"/>
    </row>
    <row r="115" spans="1:13">
      <c r="A115" s="20" t="s">
        <v>20</v>
      </c>
      <c r="B115" s="21" t="s">
        <v>21</v>
      </c>
      <c r="C115" s="21" t="s">
        <v>18</v>
      </c>
      <c r="D115" s="21" t="s">
        <v>22</v>
      </c>
      <c r="E115" s="21" t="s">
        <v>7</v>
      </c>
      <c r="F115" s="21" t="s">
        <v>13</v>
      </c>
      <c r="G115" s="21" t="s">
        <v>16</v>
      </c>
      <c r="H115" s="21" t="s">
        <v>23</v>
      </c>
      <c r="I115" s="21" t="s">
        <v>24</v>
      </c>
      <c r="J115" s="21" t="s">
        <v>25</v>
      </c>
      <c r="K115" s="21" t="s">
        <v>26</v>
      </c>
      <c r="L115" s="21" t="s">
        <v>27</v>
      </c>
      <c r="M115" s="21" t="s">
        <v>28</v>
      </c>
    </row>
    <row r="116" spans="1:13">
      <c r="A116" s="12" t="s">
        <v>282</v>
      </c>
      <c r="B116" s="13">
        <v>1</v>
      </c>
      <c r="C116" s="13" t="s">
        <v>18</v>
      </c>
      <c r="D116" s="13" t="s">
        <v>2</v>
      </c>
      <c r="E116" s="13" t="s">
        <v>29</v>
      </c>
      <c r="F116" s="13" t="s">
        <v>14</v>
      </c>
      <c r="G116" s="13" t="s">
        <v>30</v>
      </c>
      <c r="H116" s="13">
        <v>1</v>
      </c>
      <c r="I116" s="13">
        <v>1</v>
      </c>
      <c r="J116" s="13" t="s">
        <v>31</v>
      </c>
      <c r="K116" s="13" t="s">
        <v>31</v>
      </c>
      <c r="L116" s="13" t="s">
        <v>31</v>
      </c>
      <c r="M116" s="13" t="s">
        <v>31</v>
      </c>
    </row>
    <row r="117" spans="1:13">
      <c r="A117" s="12" t="s">
        <v>248</v>
      </c>
      <c r="B117" s="13">
        <f>72.818*15</f>
        <v>1092.27</v>
      </c>
      <c r="C117" s="13" t="s">
        <v>39</v>
      </c>
      <c r="D117" s="13" t="s">
        <v>40</v>
      </c>
      <c r="E117" s="13" t="s">
        <v>29</v>
      </c>
      <c r="F117" s="13" t="s">
        <v>86</v>
      </c>
      <c r="G117" s="13" t="s">
        <v>33</v>
      </c>
      <c r="H117" s="13">
        <v>2</v>
      </c>
      <c r="I117" s="13">
        <f>LN(B117)</f>
        <v>6.9960133784901801</v>
      </c>
      <c r="J117" s="13">
        <v>0.30331501776206199</v>
      </c>
      <c r="K117" s="13" t="s">
        <v>31</v>
      </c>
      <c r="L117" s="13" t="s">
        <v>31</v>
      </c>
      <c r="M117" s="13" t="s">
        <v>31</v>
      </c>
    </row>
    <row r="118" spans="1:13">
      <c r="A118" s="12" t="s">
        <v>292</v>
      </c>
      <c r="B118" s="13">
        <f>72.818*14</f>
        <v>1019.452</v>
      </c>
      <c r="C118" s="13" t="s">
        <v>39</v>
      </c>
      <c r="D118" s="13" t="s">
        <v>40</v>
      </c>
      <c r="E118" s="13" t="s">
        <v>29</v>
      </c>
      <c r="F118" s="13" t="s">
        <v>36</v>
      </c>
      <c r="G118" s="13" t="s">
        <v>33</v>
      </c>
      <c r="H118" s="13">
        <v>2</v>
      </c>
      <c r="I118" s="13">
        <f>LN(B118)</f>
        <v>6.9270205070032285</v>
      </c>
      <c r="J118" s="13">
        <v>0.30331501776206199</v>
      </c>
      <c r="K118" s="13" t="s">
        <v>31</v>
      </c>
      <c r="L118" s="13" t="s">
        <v>31</v>
      </c>
      <c r="M118" s="13" t="s">
        <v>31</v>
      </c>
    </row>
    <row r="119" spans="1:13">
      <c r="A119" s="12" t="s">
        <v>248</v>
      </c>
      <c r="B119" s="13">
        <f>72.818*14</f>
        <v>1019.452</v>
      </c>
      <c r="C119" s="13" t="s">
        <v>39</v>
      </c>
      <c r="D119" s="13" t="s">
        <v>40</v>
      </c>
      <c r="E119" s="13" t="s">
        <v>29</v>
      </c>
      <c r="F119" s="13" t="s">
        <v>86</v>
      </c>
      <c r="G119" s="13" t="s">
        <v>110</v>
      </c>
      <c r="H119" s="13">
        <v>2</v>
      </c>
      <c r="I119" s="13">
        <f>LN(B119)</f>
        <v>6.9270205070032285</v>
      </c>
      <c r="J119" s="13">
        <v>0.30331501776206199</v>
      </c>
      <c r="K119" s="13" t="s">
        <v>31</v>
      </c>
      <c r="L119" s="13" t="s">
        <v>31</v>
      </c>
      <c r="M119" s="13" t="s">
        <v>31</v>
      </c>
    </row>
    <row r="120" spans="1:13">
      <c r="A120" s="12" t="s">
        <v>286</v>
      </c>
      <c r="B120" s="13">
        <f>72.818*15</f>
        <v>1092.27</v>
      </c>
      <c r="C120" s="13" t="s">
        <v>39</v>
      </c>
      <c r="D120" s="13" t="s">
        <v>40</v>
      </c>
      <c r="E120" s="13" t="s">
        <v>29</v>
      </c>
      <c r="F120" s="13" t="s">
        <v>86</v>
      </c>
      <c r="G120" s="13" t="s">
        <v>33</v>
      </c>
      <c r="H120" s="13">
        <v>2</v>
      </c>
      <c r="I120" s="13">
        <f t="shared" ref="I120:I124" si="2">LN(B120)</f>
        <v>6.9960133784901801</v>
      </c>
      <c r="J120" s="13">
        <v>0.30331501776206199</v>
      </c>
      <c r="K120" s="13" t="s">
        <v>31</v>
      </c>
      <c r="L120" s="13" t="s">
        <v>31</v>
      </c>
      <c r="M120" s="13" t="s">
        <v>31</v>
      </c>
    </row>
    <row r="121" spans="1:13">
      <c r="A121" s="12" t="s">
        <v>173</v>
      </c>
      <c r="B121" s="13">
        <f>72.818*14</f>
        <v>1019.452</v>
      </c>
      <c r="C121" s="13" t="s">
        <v>39</v>
      </c>
      <c r="D121" s="13" t="s">
        <v>40</v>
      </c>
      <c r="E121" s="13" t="s">
        <v>29</v>
      </c>
      <c r="F121" s="13" t="s">
        <v>117</v>
      </c>
      <c r="G121" s="13" t="s">
        <v>33</v>
      </c>
      <c r="H121" s="13">
        <v>2</v>
      </c>
      <c r="I121" s="13">
        <f t="shared" si="2"/>
        <v>6.9270205070032285</v>
      </c>
      <c r="J121" s="13">
        <v>0.30331501776206199</v>
      </c>
      <c r="K121" s="13" t="s">
        <v>31</v>
      </c>
      <c r="L121" s="13" t="s">
        <v>31</v>
      </c>
      <c r="M121" s="13" t="s">
        <v>31</v>
      </c>
    </row>
    <row r="122" spans="1:13">
      <c r="A122" s="12" t="s">
        <v>286</v>
      </c>
      <c r="B122" s="13">
        <f>72.818*14</f>
        <v>1019.452</v>
      </c>
      <c r="C122" s="13" t="s">
        <v>39</v>
      </c>
      <c r="D122" s="13" t="s">
        <v>40</v>
      </c>
      <c r="E122" s="13" t="s">
        <v>29</v>
      </c>
      <c r="F122" s="13" t="s">
        <v>86</v>
      </c>
      <c r="G122" s="13" t="s">
        <v>110</v>
      </c>
      <c r="H122" s="13">
        <v>2</v>
      </c>
      <c r="I122" s="13">
        <f t="shared" si="2"/>
        <v>6.9270205070032285</v>
      </c>
      <c r="J122" s="13">
        <v>0.30331501776206199</v>
      </c>
      <c r="K122" s="13" t="s">
        <v>31</v>
      </c>
      <c r="L122" s="13" t="s">
        <v>31</v>
      </c>
      <c r="M122" s="13" t="s">
        <v>31</v>
      </c>
    </row>
    <row r="123" spans="1:13">
      <c r="A123" s="12" t="s">
        <v>295</v>
      </c>
      <c r="B123" s="13">
        <f>36.409*15</f>
        <v>546.13499999999999</v>
      </c>
      <c r="C123" s="13" t="s">
        <v>39</v>
      </c>
      <c r="D123" s="13" t="s">
        <v>40</v>
      </c>
      <c r="E123" s="13" t="s">
        <v>29</v>
      </c>
      <c r="F123" s="13" t="s">
        <v>86</v>
      </c>
      <c r="G123" s="13" t="s">
        <v>33</v>
      </c>
      <c r="H123" s="13">
        <v>2</v>
      </c>
      <c r="I123" s="13">
        <f t="shared" si="2"/>
        <v>6.3028661979302347</v>
      </c>
      <c r="J123" s="13">
        <v>0.30331501776206199</v>
      </c>
      <c r="K123" s="13" t="s">
        <v>31</v>
      </c>
      <c r="L123" s="13" t="s">
        <v>31</v>
      </c>
      <c r="M123" s="13" t="s">
        <v>31</v>
      </c>
    </row>
    <row r="124" spans="1:13">
      <c r="A124" s="12" t="s">
        <v>296</v>
      </c>
      <c r="B124" s="13">
        <f>36.409*14</f>
        <v>509.726</v>
      </c>
      <c r="C124" s="13" t="s">
        <v>39</v>
      </c>
      <c r="D124" s="13" t="s">
        <v>40</v>
      </c>
      <c r="E124" s="13" t="s">
        <v>29</v>
      </c>
      <c r="F124" s="13" t="s">
        <v>117</v>
      </c>
      <c r="G124" s="13" t="s">
        <v>33</v>
      </c>
      <c r="H124" s="13">
        <v>2</v>
      </c>
      <c r="I124" s="13">
        <f t="shared" si="2"/>
        <v>6.2338733264432831</v>
      </c>
      <c r="J124" s="13">
        <v>0.30331501776206199</v>
      </c>
      <c r="K124" s="13" t="s">
        <v>31</v>
      </c>
      <c r="L124" s="13" t="s">
        <v>31</v>
      </c>
      <c r="M124" s="13" t="s">
        <v>31</v>
      </c>
    </row>
    <row r="125" spans="1:13">
      <c r="A125" s="18" t="s">
        <v>5</v>
      </c>
      <c r="B125" s="19" t="s">
        <v>267</v>
      </c>
      <c r="C125" s="3"/>
      <c r="D125" s="11"/>
      <c r="E125" s="11"/>
      <c r="F125" s="11"/>
      <c r="G125" s="11"/>
      <c r="H125" s="11"/>
      <c r="I125" s="11"/>
      <c r="J125" s="11"/>
      <c r="K125" s="11"/>
      <c r="L125" s="11"/>
      <c r="M125" s="11"/>
    </row>
    <row r="126" spans="1:13">
      <c r="A126" s="12" t="s">
        <v>7</v>
      </c>
      <c r="B126" s="13" t="s">
        <v>283</v>
      </c>
      <c r="C126" s="4"/>
      <c r="D126" s="13"/>
      <c r="E126" s="13"/>
      <c r="F126" s="13"/>
      <c r="G126" s="13"/>
      <c r="H126" s="13"/>
      <c r="I126" s="13"/>
      <c r="J126" s="13"/>
      <c r="K126" s="13"/>
      <c r="L126" s="13"/>
      <c r="M126" s="13"/>
    </row>
    <row r="127" spans="1:13">
      <c r="A127" s="12" t="s">
        <v>9</v>
      </c>
      <c r="B127" s="13" t="s">
        <v>297</v>
      </c>
      <c r="C127" s="4"/>
      <c r="D127" s="13"/>
      <c r="E127" s="13"/>
      <c r="F127" s="13"/>
      <c r="G127" s="13"/>
      <c r="H127" s="13"/>
      <c r="I127" s="13"/>
      <c r="J127" s="13"/>
      <c r="K127" s="13"/>
      <c r="L127" s="13"/>
      <c r="M127" s="13"/>
    </row>
    <row r="128" spans="1:13" ht="30">
      <c r="A128" s="12" t="s">
        <v>11</v>
      </c>
      <c r="B128" s="14" t="s">
        <v>298</v>
      </c>
      <c r="C128" s="13"/>
      <c r="D128" s="13"/>
      <c r="E128" s="13"/>
      <c r="F128" s="13"/>
      <c r="G128" s="13"/>
      <c r="H128" s="13"/>
      <c r="I128" s="13"/>
      <c r="J128" s="13"/>
      <c r="K128" s="13"/>
      <c r="L128" s="13"/>
      <c r="M128" s="13"/>
    </row>
    <row r="129" spans="1:13">
      <c r="A129" s="12" t="s">
        <v>13</v>
      </c>
      <c r="B129" s="13" t="s">
        <v>14</v>
      </c>
      <c r="C129" s="13"/>
      <c r="D129" s="13"/>
      <c r="E129" s="13"/>
      <c r="F129" s="13"/>
      <c r="G129" s="13"/>
      <c r="H129" s="13"/>
      <c r="I129" s="13"/>
      <c r="J129" s="13"/>
      <c r="K129" s="13"/>
      <c r="L129" s="13"/>
      <c r="M129" s="13"/>
    </row>
    <row r="130" spans="1:13">
      <c r="A130" s="12" t="s">
        <v>15</v>
      </c>
      <c r="B130" s="13">
        <v>1</v>
      </c>
      <c r="C130" s="13"/>
      <c r="D130" s="13"/>
      <c r="E130" s="13"/>
      <c r="F130" s="13"/>
      <c r="G130" s="13"/>
      <c r="H130" s="13"/>
      <c r="I130" s="13"/>
      <c r="J130" s="13"/>
      <c r="K130" s="13"/>
      <c r="L130" s="13"/>
      <c r="M130" s="13"/>
    </row>
    <row r="131" spans="1:13">
      <c r="A131" s="12" t="s">
        <v>16</v>
      </c>
      <c r="B131" s="13" t="s">
        <v>17</v>
      </c>
      <c r="C131" s="13"/>
      <c r="D131" s="13"/>
      <c r="E131" s="13"/>
      <c r="F131" s="13"/>
      <c r="G131" s="13"/>
      <c r="H131" s="13"/>
      <c r="I131" s="13"/>
      <c r="J131" s="13"/>
      <c r="K131" s="13"/>
      <c r="L131" s="13"/>
      <c r="M131" s="13"/>
    </row>
    <row r="132" spans="1:13">
      <c r="A132" s="12" t="s">
        <v>18</v>
      </c>
      <c r="B132" s="13" t="s">
        <v>18</v>
      </c>
      <c r="C132" s="13"/>
      <c r="D132" s="13"/>
      <c r="E132" s="13"/>
      <c r="F132" s="13"/>
      <c r="G132" s="13"/>
      <c r="H132" s="13"/>
      <c r="I132" s="13"/>
      <c r="J132" s="13"/>
      <c r="K132" s="13"/>
      <c r="L132" s="13"/>
      <c r="M132" s="13"/>
    </row>
    <row r="133" spans="1:13">
      <c r="A133" s="20" t="s">
        <v>19</v>
      </c>
      <c r="B133" s="13"/>
      <c r="C133" s="13"/>
      <c r="D133" s="13"/>
      <c r="E133" s="13"/>
      <c r="F133" s="13"/>
      <c r="G133" s="13"/>
      <c r="H133" s="13"/>
      <c r="I133" s="13"/>
      <c r="J133" s="13"/>
      <c r="K133" s="13"/>
      <c r="L133" s="13"/>
      <c r="M133" s="13"/>
    </row>
    <row r="134" spans="1:13">
      <c r="A134" s="20" t="s">
        <v>20</v>
      </c>
      <c r="B134" s="21" t="s">
        <v>21</v>
      </c>
      <c r="C134" s="21" t="s">
        <v>18</v>
      </c>
      <c r="D134" s="21" t="s">
        <v>22</v>
      </c>
      <c r="E134" s="21" t="s">
        <v>7</v>
      </c>
      <c r="F134" s="21" t="s">
        <v>13</v>
      </c>
      <c r="G134" s="21" t="s">
        <v>16</v>
      </c>
      <c r="H134" s="21" t="s">
        <v>23</v>
      </c>
      <c r="I134" s="21" t="s">
        <v>24</v>
      </c>
      <c r="J134" s="21" t="s">
        <v>25</v>
      </c>
      <c r="K134" s="21" t="s">
        <v>26</v>
      </c>
      <c r="L134" s="21" t="s">
        <v>27</v>
      </c>
      <c r="M134" s="21" t="s">
        <v>28</v>
      </c>
    </row>
    <row r="135" spans="1:13">
      <c r="A135" s="12" t="s">
        <v>267</v>
      </c>
      <c r="B135" s="13">
        <v>1</v>
      </c>
      <c r="C135" s="13" t="s">
        <v>18</v>
      </c>
      <c r="D135" s="13" t="s">
        <v>2</v>
      </c>
      <c r="E135" s="13" t="s">
        <v>29</v>
      </c>
      <c r="F135" s="13" t="s">
        <v>14</v>
      </c>
      <c r="G135" s="13" t="s">
        <v>30</v>
      </c>
      <c r="H135" s="13">
        <v>1</v>
      </c>
      <c r="I135" s="13">
        <v>1</v>
      </c>
      <c r="J135" s="13" t="s">
        <v>31</v>
      </c>
      <c r="K135" s="13" t="s">
        <v>31</v>
      </c>
      <c r="L135" s="13" t="s">
        <v>31</v>
      </c>
      <c r="M135" s="13" t="s">
        <v>31</v>
      </c>
    </row>
    <row r="136" spans="1:13">
      <c r="A136" s="12" t="s">
        <v>276</v>
      </c>
      <c r="B136" s="13">
        <v>326.89999999999998</v>
      </c>
      <c r="C136" s="13" t="s">
        <v>39</v>
      </c>
      <c r="D136" s="13" t="s">
        <v>40</v>
      </c>
      <c r="E136" s="13" t="s">
        <v>29</v>
      </c>
      <c r="F136" s="13" t="s">
        <v>86</v>
      </c>
      <c r="G136" s="13" t="s">
        <v>33</v>
      </c>
      <c r="H136" s="13">
        <v>2</v>
      </c>
      <c r="I136" s="13">
        <f>LN(B136)</f>
        <v>5.789654313730165</v>
      </c>
      <c r="J136" s="13">
        <v>0.24083189157584584</v>
      </c>
      <c r="K136" s="13" t="s">
        <v>31</v>
      </c>
      <c r="L136" s="13" t="s">
        <v>31</v>
      </c>
      <c r="M136" s="13" t="s">
        <v>31</v>
      </c>
    </row>
    <row r="137" spans="1:13">
      <c r="A137" s="18" t="s">
        <v>5</v>
      </c>
      <c r="B137" s="19" t="s">
        <v>268</v>
      </c>
      <c r="C137" s="3"/>
      <c r="D137" s="11"/>
      <c r="E137" s="11"/>
      <c r="F137" s="11"/>
      <c r="G137" s="11"/>
      <c r="H137" s="11"/>
      <c r="I137" s="11"/>
      <c r="J137" s="11"/>
      <c r="K137" s="11"/>
      <c r="L137" s="11"/>
      <c r="M137" s="11"/>
    </row>
    <row r="138" spans="1:13">
      <c r="A138" s="12" t="s">
        <v>7</v>
      </c>
      <c r="B138" s="13" t="s">
        <v>283</v>
      </c>
      <c r="C138" s="4"/>
      <c r="D138" s="13"/>
      <c r="E138" s="13"/>
      <c r="F138" s="13"/>
      <c r="G138" s="13"/>
      <c r="H138" s="13"/>
      <c r="I138" s="13"/>
      <c r="J138" s="13"/>
      <c r="K138" s="13"/>
      <c r="L138" s="13"/>
      <c r="M138" s="13"/>
    </row>
    <row r="139" spans="1:13">
      <c r="A139" s="12" t="s">
        <v>9</v>
      </c>
      <c r="B139" s="13" t="s">
        <v>299</v>
      </c>
      <c r="C139" s="4"/>
      <c r="D139" s="13"/>
      <c r="E139" s="13"/>
      <c r="F139" s="13"/>
      <c r="G139" s="13"/>
      <c r="H139" s="13"/>
      <c r="I139" s="13"/>
      <c r="J139" s="13"/>
      <c r="K139" s="13"/>
      <c r="L139" s="13"/>
      <c r="M139" s="13"/>
    </row>
    <row r="140" spans="1:13" ht="30">
      <c r="A140" s="12" t="s">
        <v>11</v>
      </c>
      <c r="B140" s="14" t="s">
        <v>300</v>
      </c>
      <c r="C140" s="13"/>
      <c r="D140" s="13"/>
      <c r="E140" s="13"/>
      <c r="F140" s="13"/>
      <c r="G140" s="13"/>
      <c r="H140" s="13"/>
      <c r="I140" s="13"/>
      <c r="J140" s="13"/>
      <c r="K140" s="13"/>
      <c r="L140" s="13"/>
      <c r="M140" s="13"/>
    </row>
    <row r="141" spans="1:13">
      <c r="A141" s="12" t="s">
        <v>13</v>
      </c>
      <c r="B141" s="13" t="s">
        <v>14</v>
      </c>
      <c r="C141" s="13"/>
      <c r="D141" s="13"/>
      <c r="E141" s="13"/>
      <c r="F141" s="13"/>
      <c r="G141" s="13"/>
      <c r="H141" s="13"/>
      <c r="I141" s="13"/>
      <c r="J141" s="13"/>
      <c r="K141" s="13"/>
      <c r="L141" s="13"/>
      <c r="M141" s="13"/>
    </row>
    <row r="142" spans="1:13">
      <c r="A142" s="12" t="s">
        <v>15</v>
      </c>
      <c r="B142" s="13">
        <v>1</v>
      </c>
      <c r="C142" s="13"/>
      <c r="D142" s="13"/>
      <c r="E142" s="13"/>
      <c r="F142" s="13"/>
      <c r="G142" s="13"/>
      <c r="H142" s="13"/>
      <c r="I142" s="13"/>
      <c r="J142" s="13"/>
      <c r="K142" s="13"/>
      <c r="L142" s="13"/>
      <c r="M142" s="13"/>
    </row>
    <row r="143" spans="1:13">
      <c r="A143" s="12" t="s">
        <v>16</v>
      </c>
      <c r="B143" s="13" t="s">
        <v>17</v>
      </c>
      <c r="C143" s="13"/>
      <c r="D143" s="13"/>
      <c r="E143" s="13"/>
      <c r="F143" s="13"/>
      <c r="G143" s="13"/>
      <c r="H143" s="13"/>
      <c r="I143" s="13"/>
      <c r="J143" s="13"/>
      <c r="K143" s="13"/>
      <c r="L143" s="13"/>
      <c r="M143" s="13"/>
    </row>
    <row r="144" spans="1:13">
      <c r="A144" s="12" t="s">
        <v>18</v>
      </c>
      <c r="B144" s="13" t="s">
        <v>18</v>
      </c>
      <c r="C144" s="13"/>
      <c r="D144" s="13"/>
      <c r="E144" s="13"/>
      <c r="F144" s="13"/>
      <c r="G144" s="13"/>
      <c r="H144" s="13"/>
      <c r="I144" s="13"/>
      <c r="J144" s="13"/>
      <c r="K144" s="13"/>
      <c r="L144" s="13"/>
      <c r="M144" s="13"/>
    </row>
    <row r="145" spans="1:13">
      <c r="A145" s="20" t="s">
        <v>19</v>
      </c>
      <c r="B145" s="13"/>
      <c r="C145" s="13"/>
      <c r="D145" s="13"/>
      <c r="E145" s="13"/>
      <c r="F145" s="13"/>
      <c r="G145" s="13"/>
      <c r="H145" s="13"/>
      <c r="I145" s="13"/>
      <c r="J145" s="13"/>
      <c r="K145" s="13"/>
      <c r="L145" s="13"/>
      <c r="M145" s="13"/>
    </row>
    <row r="146" spans="1:13">
      <c r="A146" s="20" t="s">
        <v>20</v>
      </c>
      <c r="B146" s="21" t="s">
        <v>21</v>
      </c>
      <c r="C146" s="21" t="s">
        <v>18</v>
      </c>
      <c r="D146" s="21" t="s">
        <v>22</v>
      </c>
      <c r="E146" s="21" t="s">
        <v>7</v>
      </c>
      <c r="F146" s="21" t="s">
        <v>13</v>
      </c>
      <c r="G146" s="21" t="s">
        <v>16</v>
      </c>
      <c r="H146" s="21" t="s">
        <v>23</v>
      </c>
      <c r="I146" s="21" t="s">
        <v>24</v>
      </c>
      <c r="J146" s="21" t="s">
        <v>25</v>
      </c>
      <c r="K146" s="21" t="s">
        <v>26</v>
      </c>
      <c r="L146" s="21" t="s">
        <v>27</v>
      </c>
      <c r="M146" s="21" t="s">
        <v>28</v>
      </c>
    </row>
    <row r="147" spans="1:13">
      <c r="A147" s="12" t="s">
        <v>248</v>
      </c>
      <c r="B147" s="13">
        <f>110.918*10</f>
        <v>1109.18</v>
      </c>
      <c r="C147" s="13" t="s">
        <v>39</v>
      </c>
      <c r="D147" s="13" t="s">
        <v>40</v>
      </c>
      <c r="E147" s="13" t="s">
        <v>29</v>
      </c>
      <c r="F147" s="13" t="s">
        <v>86</v>
      </c>
      <c r="G147" s="13" t="s">
        <v>33</v>
      </c>
      <c r="H147" s="13">
        <v>2</v>
      </c>
      <c r="I147" s="13">
        <f t="shared" ref="I147:I158" si="3">LN(B147)</f>
        <v>7.0113762825657195</v>
      </c>
      <c r="J147" s="13">
        <v>0.30331501776206199</v>
      </c>
      <c r="K147" s="13" t="s">
        <v>31</v>
      </c>
      <c r="L147" s="13" t="s">
        <v>31</v>
      </c>
      <c r="M147" s="13" t="s">
        <v>31</v>
      </c>
    </row>
    <row r="148" spans="1:13">
      <c r="A148" s="12" t="s">
        <v>292</v>
      </c>
      <c r="B148" s="13">
        <f>110.918*9</f>
        <v>998.26200000000006</v>
      </c>
      <c r="C148" s="13" t="s">
        <v>39</v>
      </c>
      <c r="D148" s="13" t="s">
        <v>40</v>
      </c>
      <c r="E148" s="13" t="s">
        <v>29</v>
      </c>
      <c r="F148" s="13" t="s">
        <v>36</v>
      </c>
      <c r="G148" s="13" t="s">
        <v>33</v>
      </c>
      <c r="H148" s="13">
        <v>2</v>
      </c>
      <c r="I148" s="13">
        <f t="shared" si="3"/>
        <v>6.9060157669078928</v>
      </c>
      <c r="J148" s="13">
        <v>0.30331501776206199</v>
      </c>
      <c r="K148" s="13" t="s">
        <v>31</v>
      </c>
      <c r="L148" s="13" t="s">
        <v>31</v>
      </c>
      <c r="M148" s="13" t="s">
        <v>31</v>
      </c>
    </row>
    <row r="149" spans="1:13">
      <c r="A149" s="12" t="s">
        <v>248</v>
      </c>
      <c r="B149" s="13">
        <f>110.918*9</f>
        <v>998.26200000000006</v>
      </c>
      <c r="C149" s="13" t="s">
        <v>39</v>
      </c>
      <c r="D149" s="13" t="s">
        <v>40</v>
      </c>
      <c r="E149" s="13" t="s">
        <v>29</v>
      </c>
      <c r="F149" s="13" t="s">
        <v>86</v>
      </c>
      <c r="G149" s="13" t="s">
        <v>110</v>
      </c>
      <c r="H149" s="13">
        <v>2</v>
      </c>
      <c r="I149" s="13">
        <f t="shared" si="3"/>
        <v>6.9060157669078928</v>
      </c>
      <c r="J149" s="13">
        <v>0.30331501776206199</v>
      </c>
      <c r="K149" s="13" t="s">
        <v>31</v>
      </c>
      <c r="L149" s="13" t="s">
        <v>31</v>
      </c>
      <c r="M149" s="13" t="s">
        <v>31</v>
      </c>
    </row>
    <row r="150" spans="1:13">
      <c r="A150" s="12" t="s">
        <v>109</v>
      </c>
      <c r="B150" s="13">
        <f>15.527*2.2</f>
        <v>34.159399999999998</v>
      </c>
      <c r="C150" s="13" t="s">
        <v>39</v>
      </c>
      <c r="D150" s="13" t="s">
        <v>40</v>
      </c>
      <c r="E150" s="13" t="s">
        <v>29</v>
      </c>
      <c r="F150" s="13" t="s">
        <v>86</v>
      </c>
      <c r="G150" s="13" t="s">
        <v>33</v>
      </c>
      <c r="H150" s="13">
        <v>2</v>
      </c>
      <c r="I150" s="13">
        <f t="shared" si="3"/>
        <v>3.5310378043633026</v>
      </c>
      <c r="J150" s="13">
        <v>0.30331501776206199</v>
      </c>
      <c r="K150" s="13" t="s">
        <v>31</v>
      </c>
      <c r="L150" s="13" t="s">
        <v>31</v>
      </c>
      <c r="M150" s="13" t="s">
        <v>31</v>
      </c>
    </row>
    <row r="151" spans="1:13">
      <c r="A151" s="12" t="s">
        <v>173</v>
      </c>
      <c r="B151" s="13">
        <f>15.527*(2.2-1)</f>
        <v>18.632400000000001</v>
      </c>
      <c r="C151" s="13" t="s">
        <v>39</v>
      </c>
      <c r="D151" s="13" t="s">
        <v>40</v>
      </c>
      <c r="E151" s="13" t="s">
        <v>29</v>
      </c>
      <c r="F151" s="13" t="s">
        <v>117</v>
      </c>
      <c r="G151" s="13" t="s">
        <v>33</v>
      </c>
      <c r="H151" s="13">
        <v>2</v>
      </c>
      <c r="I151" s="13">
        <v>7.1283395581514224</v>
      </c>
      <c r="J151" s="13">
        <v>0.30331501776206199</v>
      </c>
      <c r="K151" s="13" t="s">
        <v>31</v>
      </c>
      <c r="L151" s="13" t="s">
        <v>31</v>
      </c>
      <c r="M151" s="13" t="s">
        <v>31</v>
      </c>
    </row>
    <row r="152" spans="1:13">
      <c r="A152" s="12" t="s">
        <v>109</v>
      </c>
      <c r="B152" s="13">
        <f>15.527*(2.2-1)</f>
        <v>18.632400000000001</v>
      </c>
      <c r="C152" s="13" t="s">
        <v>39</v>
      </c>
      <c r="D152" s="13" t="s">
        <v>40</v>
      </c>
      <c r="E152" s="13" t="s">
        <v>29</v>
      </c>
      <c r="F152" s="13" t="s">
        <v>86</v>
      </c>
      <c r="G152" s="13" t="s">
        <v>110</v>
      </c>
      <c r="H152" s="13">
        <v>2</v>
      </c>
      <c r="I152" s="13">
        <f t="shared" si="3"/>
        <v>2.9249020007929873</v>
      </c>
      <c r="J152" s="13">
        <v>0.30331501776206199</v>
      </c>
      <c r="K152" s="13" t="s">
        <v>31</v>
      </c>
      <c r="L152" s="13" t="s">
        <v>31</v>
      </c>
      <c r="M152" s="13" t="s">
        <v>31</v>
      </c>
    </row>
    <row r="153" spans="1:13">
      <c r="A153" s="12" t="s">
        <v>301</v>
      </c>
      <c r="B153" s="13">
        <f>7.337*1.2</f>
        <v>8.8043999999999993</v>
      </c>
      <c r="C153" s="13" t="s">
        <v>39</v>
      </c>
      <c r="D153" s="13" t="s">
        <v>40</v>
      </c>
      <c r="E153" s="13" t="s">
        <v>29</v>
      </c>
      <c r="F153" s="13" t="s">
        <v>86</v>
      </c>
      <c r="G153" s="13" t="s">
        <v>33</v>
      </c>
      <c r="H153" s="13">
        <v>2</v>
      </c>
      <c r="I153" s="13">
        <f t="shared" si="3"/>
        <v>2.1752515965258117</v>
      </c>
      <c r="J153" s="13">
        <v>0.30331501776206199</v>
      </c>
      <c r="K153" s="13" t="s">
        <v>31</v>
      </c>
      <c r="L153" s="13" t="s">
        <v>31</v>
      </c>
      <c r="M153" s="13" t="s">
        <v>31</v>
      </c>
    </row>
    <row r="154" spans="1:13">
      <c r="A154" s="12" t="s">
        <v>173</v>
      </c>
      <c r="B154" s="13">
        <f>7.337*(1.2-1)</f>
        <v>1.4673999999999996</v>
      </c>
      <c r="C154" s="13" t="s">
        <v>39</v>
      </c>
      <c r="D154" s="13" t="s">
        <v>40</v>
      </c>
      <c r="E154" s="13" t="s">
        <v>29</v>
      </c>
      <c r="F154" s="13" t="s">
        <v>117</v>
      </c>
      <c r="G154" s="13" t="s">
        <v>33</v>
      </c>
      <c r="H154" s="13">
        <v>2</v>
      </c>
      <c r="I154" s="13">
        <v>7.1283395581514224</v>
      </c>
      <c r="J154" s="13">
        <v>0.30331501776206199</v>
      </c>
      <c r="K154" s="13" t="s">
        <v>31</v>
      </c>
      <c r="L154" s="13" t="s">
        <v>31</v>
      </c>
      <c r="M154" s="13" t="s">
        <v>31</v>
      </c>
    </row>
    <row r="155" spans="1:13">
      <c r="A155" s="12" t="s">
        <v>301</v>
      </c>
      <c r="B155" s="13">
        <f>7.337*(1.2-1)</f>
        <v>1.4673999999999996</v>
      </c>
      <c r="C155" s="13" t="s">
        <v>39</v>
      </c>
      <c r="D155" s="13" t="s">
        <v>40</v>
      </c>
      <c r="E155" s="13" t="s">
        <v>29</v>
      </c>
      <c r="F155" s="13" t="s">
        <v>86</v>
      </c>
      <c r="G155" s="13" t="s">
        <v>110</v>
      </c>
      <c r="H155" s="13">
        <v>2</v>
      </c>
      <c r="I155" s="13">
        <f t="shared" si="3"/>
        <v>0.38349212729775656</v>
      </c>
      <c r="J155" s="13">
        <v>0.30331501776206199</v>
      </c>
      <c r="K155" s="13" t="s">
        <v>31</v>
      </c>
      <c r="L155" s="13" t="s">
        <v>31</v>
      </c>
      <c r="M155" s="13" t="s">
        <v>31</v>
      </c>
    </row>
    <row r="156" spans="1:13">
      <c r="A156" s="12" t="s">
        <v>141</v>
      </c>
      <c r="B156" s="13">
        <f>47.819*2.2</f>
        <v>105.20180000000002</v>
      </c>
      <c r="C156" s="13" t="s">
        <v>39</v>
      </c>
      <c r="D156" s="13" t="s">
        <v>40</v>
      </c>
      <c r="E156" s="13" t="s">
        <v>29</v>
      </c>
      <c r="F156" s="13" t="s">
        <v>86</v>
      </c>
      <c r="G156" s="13" t="s">
        <v>33</v>
      </c>
      <c r="H156" s="13">
        <v>2</v>
      </c>
      <c r="I156" s="13">
        <f t="shared" si="3"/>
        <v>4.6558804104233902</v>
      </c>
      <c r="J156" s="13">
        <v>0.30331501776206199</v>
      </c>
      <c r="K156" s="13" t="s">
        <v>31</v>
      </c>
      <c r="L156" s="13" t="s">
        <v>31</v>
      </c>
      <c r="M156" s="13" t="s">
        <v>31</v>
      </c>
    </row>
    <row r="157" spans="1:13">
      <c r="A157" s="12" t="s">
        <v>173</v>
      </c>
      <c r="B157" s="13">
        <f>47.819*(2.2-1)</f>
        <v>57.38280000000001</v>
      </c>
      <c r="C157" s="13" t="s">
        <v>39</v>
      </c>
      <c r="D157" s="13" t="s">
        <v>40</v>
      </c>
      <c r="E157" s="13" t="s">
        <v>29</v>
      </c>
      <c r="F157" s="13" t="s">
        <v>117</v>
      </c>
      <c r="G157" s="13" t="s">
        <v>33</v>
      </c>
      <c r="H157" s="13">
        <v>2</v>
      </c>
      <c r="I157" s="13">
        <v>7.1283395581514224</v>
      </c>
      <c r="J157" s="13">
        <v>0.30331501776206199</v>
      </c>
      <c r="K157" s="13" t="s">
        <v>31</v>
      </c>
      <c r="L157" s="13" t="s">
        <v>31</v>
      </c>
      <c r="M157" s="13" t="s">
        <v>31</v>
      </c>
    </row>
    <row r="158" spans="1:13">
      <c r="A158" s="12" t="s">
        <v>141</v>
      </c>
      <c r="B158" s="13">
        <f>47.819*(2.2-1)</f>
        <v>57.38280000000001</v>
      </c>
      <c r="C158" s="13" t="s">
        <v>39</v>
      </c>
      <c r="D158" s="13" t="s">
        <v>40</v>
      </c>
      <c r="E158" s="13" t="s">
        <v>29</v>
      </c>
      <c r="F158" s="13" t="s">
        <v>86</v>
      </c>
      <c r="G158" s="13" t="s">
        <v>110</v>
      </c>
      <c r="H158" s="13">
        <v>2</v>
      </c>
      <c r="I158" s="13">
        <f t="shared" si="3"/>
        <v>4.0497446068530749</v>
      </c>
      <c r="J158" s="13">
        <v>0.30331501776206199</v>
      </c>
      <c r="K158" s="13" t="s">
        <v>31</v>
      </c>
      <c r="L158" s="13" t="s">
        <v>31</v>
      </c>
      <c r="M158" s="13" t="s">
        <v>31</v>
      </c>
    </row>
  </sheetData>
  <pageMargins left="0.7" right="0.7" top="0.75" bottom="0.75" header="0.3" footer="0.3"/>
  <pageSetup paperSize="9" orientation="portrait"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C3F88A-3BD6-4123-87E8-74246897081E}">
  <dimension ref="A1:M15"/>
  <sheetViews>
    <sheetView zoomScale="70" zoomScaleNormal="70" workbookViewId="0">
      <selection activeCell="B4" sqref="B4"/>
    </sheetView>
  </sheetViews>
  <sheetFormatPr defaultRowHeight="15"/>
  <cols>
    <col min="1" max="1" width="75.28515625" bestFit="1" customWidth="1"/>
    <col min="2" max="2" width="61.5703125" bestFit="1" customWidth="1"/>
    <col min="3" max="3" width="8.7109375" bestFit="1" customWidth="1"/>
    <col min="4" max="4" width="37.42578125" bestFit="1" customWidth="1"/>
    <col min="5" max="5" width="10.140625" bestFit="1" customWidth="1"/>
    <col min="6" max="6" width="11" bestFit="1" customWidth="1"/>
    <col min="7" max="7" width="14.5703125" bestFit="1" customWidth="1"/>
    <col min="8" max="8" width="20.28515625" bestFit="1" customWidth="1"/>
    <col min="9" max="10" width="14.85546875" bestFit="1" customWidth="1"/>
    <col min="11" max="12" width="11.42578125" bestFit="1" customWidth="1"/>
    <col min="13" max="13" width="12" bestFit="1" customWidth="1"/>
  </cols>
  <sheetData>
    <row r="1" spans="1:13">
      <c r="A1" t="s">
        <v>0</v>
      </c>
      <c r="B1">
        <v>13</v>
      </c>
    </row>
    <row r="2" spans="1:13">
      <c r="A2" s="18" t="s">
        <v>5</v>
      </c>
      <c r="B2" s="19" t="s">
        <v>83</v>
      </c>
      <c r="C2" s="3"/>
      <c r="D2" s="11"/>
      <c r="E2" s="11"/>
      <c r="F2" s="11"/>
      <c r="G2" s="11"/>
      <c r="H2" s="11"/>
      <c r="I2" s="11"/>
      <c r="J2" s="11"/>
      <c r="K2" s="11"/>
      <c r="L2" s="11"/>
      <c r="M2" s="11"/>
    </row>
    <row r="3" spans="1:13">
      <c r="A3" s="12" t="s">
        <v>7</v>
      </c>
      <c r="B3" s="13" t="s">
        <v>232</v>
      </c>
      <c r="C3" s="4"/>
      <c r="D3" s="13"/>
      <c r="E3" s="13"/>
      <c r="F3" s="13"/>
      <c r="G3" s="13"/>
      <c r="H3" s="13"/>
      <c r="I3" s="13"/>
      <c r="J3" s="13"/>
      <c r="K3" s="13"/>
      <c r="L3" s="13"/>
      <c r="M3" s="13"/>
    </row>
    <row r="4" spans="1:13">
      <c r="A4" s="12" t="s">
        <v>9</v>
      </c>
      <c r="B4" s="13" t="s">
        <v>302</v>
      </c>
      <c r="C4" s="4"/>
      <c r="D4" s="13"/>
      <c r="E4" s="13"/>
      <c r="F4" s="13"/>
      <c r="G4" s="13"/>
      <c r="H4" s="13"/>
      <c r="I4" s="13"/>
      <c r="J4" s="13"/>
      <c r="K4" s="13"/>
      <c r="L4" s="13"/>
      <c r="M4" s="13"/>
    </row>
    <row r="5" spans="1:13" ht="45">
      <c r="A5" s="12" t="s">
        <v>11</v>
      </c>
      <c r="B5" s="14" t="s">
        <v>303</v>
      </c>
      <c r="C5" s="13"/>
      <c r="D5" s="13"/>
      <c r="E5" s="13"/>
      <c r="F5" s="13"/>
      <c r="G5" s="13"/>
      <c r="H5" s="13"/>
      <c r="I5" s="13"/>
      <c r="J5" s="13"/>
      <c r="K5" s="13"/>
      <c r="L5" s="13"/>
      <c r="M5" s="13"/>
    </row>
    <row r="6" spans="1:13">
      <c r="A6" s="12" t="s">
        <v>13</v>
      </c>
      <c r="B6" s="13" t="s">
        <v>14</v>
      </c>
      <c r="C6" s="13"/>
      <c r="D6" s="13"/>
      <c r="E6" s="13"/>
      <c r="F6" s="13"/>
      <c r="G6" s="13"/>
      <c r="H6" s="13"/>
      <c r="I6" s="13"/>
      <c r="J6" s="13"/>
      <c r="K6" s="13"/>
      <c r="L6" s="13"/>
      <c r="M6" s="13"/>
    </row>
    <row r="7" spans="1:13">
      <c r="A7" s="12" t="s">
        <v>15</v>
      </c>
      <c r="B7" s="13">
        <v>1</v>
      </c>
      <c r="C7" s="13"/>
      <c r="D7" s="13"/>
      <c r="E7" s="13"/>
      <c r="F7" s="13"/>
      <c r="G7" s="13"/>
      <c r="H7" s="13"/>
      <c r="I7" s="13"/>
      <c r="J7" s="13"/>
      <c r="K7" s="13"/>
      <c r="L7" s="13"/>
      <c r="M7" s="13"/>
    </row>
    <row r="8" spans="1:13">
      <c r="A8" s="12" t="s">
        <v>16</v>
      </c>
      <c r="B8" s="13" t="s">
        <v>17</v>
      </c>
      <c r="C8" s="13"/>
      <c r="D8" s="13"/>
      <c r="E8" s="13"/>
      <c r="F8" s="13"/>
      <c r="G8" s="13"/>
      <c r="H8" s="13"/>
      <c r="I8" s="13"/>
      <c r="J8" s="13"/>
      <c r="K8" s="13"/>
      <c r="L8" s="13"/>
      <c r="M8" s="13"/>
    </row>
    <row r="9" spans="1:13">
      <c r="A9" s="12" t="s">
        <v>18</v>
      </c>
      <c r="B9" s="13" t="s">
        <v>18</v>
      </c>
      <c r="C9" s="13"/>
      <c r="D9" s="13"/>
      <c r="E9" s="13"/>
      <c r="F9" s="13"/>
      <c r="G9" s="13"/>
      <c r="H9" s="13"/>
      <c r="I9" s="13"/>
      <c r="J9" s="13"/>
      <c r="K9" s="13"/>
      <c r="L9" s="13"/>
      <c r="M9" s="13"/>
    </row>
    <row r="10" spans="1:13">
      <c r="A10" s="20" t="s">
        <v>19</v>
      </c>
      <c r="B10" s="13"/>
      <c r="C10" s="13"/>
      <c r="D10" s="13"/>
      <c r="E10" s="13"/>
      <c r="F10" s="13"/>
      <c r="G10" s="13"/>
      <c r="H10" s="13"/>
      <c r="I10" s="13"/>
      <c r="J10" s="13"/>
      <c r="K10" s="13"/>
      <c r="L10" s="13"/>
      <c r="M10" s="13"/>
    </row>
    <row r="11" spans="1:13">
      <c r="A11" s="20" t="s">
        <v>20</v>
      </c>
      <c r="B11" s="21" t="s">
        <v>21</v>
      </c>
      <c r="C11" s="21" t="s">
        <v>18</v>
      </c>
      <c r="D11" s="21" t="s">
        <v>22</v>
      </c>
      <c r="E11" s="21" t="s">
        <v>7</v>
      </c>
      <c r="F11" s="21" t="s">
        <v>13</v>
      </c>
      <c r="G11" s="21" t="s">
        <v>16</v>
      </c>
      <c r="H11" s="21" t="s">
        <v>23</v>
      </c>
      <c r="I11" s="21" t="s">
        <v>24</v>
      </c>
      <c r="J11" s="21" t="s">
        <v>25</v>
      </c>
      <c r="K11" s="21" t="s">
        <v>26</v>
      </c>
      <c r="L11" s="21" t="s">
        <v>27</v>
      </c>
      <c r="M11" s="21" t="s">
        <v>28</v>
      </c>
    </row>
    <row r="12" spans="1:13">
      <c r="A12" s="12" t="s">
        <v>83</v>
      </c>
      <c r="B12" s="13">
        <v>1</v>
      </c>
      <c r="C12" s="13" t="s">
        <v>18</v>
      </c>
      <c r="D12" s="13" t="s">
        <v>2</v>
      </c>
      <c r="E12" s="13" t="s">
        <v>29</v>
      </c>
      <c r="F12" s="13" t="s">
        <v>14</v>
      </c>
      <c r="G12" s="13" t="s">
        <v>30</v>
      </c>
      <c r="H12" s="13">
        <v>1</v>
      </c>
      <c r="I12" s="13">
        <v>1</v>
      </c>
      <c r="J12" s="13" t="s">
        <v>31</v>
      </c>
      <c r="K12" s="13" t="s">
        <v>31</v>
      </c>
      <c r="L12" s="13" t="s">
        <v>31</v>
      </c>
      <c r="M12" s="13" t="s">
        <v>31</v>
      </c>
    </row>
    <row r="13" spans="1:13">
      <c r="A13" s="12" t="s">
        <v>304</v>
      </c>
      <c r="B13" s="13">
        <v>71.151302400000006</v>
      </c>
      <c r="C13" s="13" t="s">
        <v>39</v>
      </c>
      <c r="D13" s="13" t="s">
        <v>40</v>
      </c>
      <c r="E13" s="13" t="s">
        <v>29</v>
      </c>
      <c r="F13" s="13" t="s">
        <v>117</v>
      </c>
      <c r="G13" s="13" t="s">
        <v>33</v>
      </c>
      <c r="H13" s="13">
        <v>2</v>
      </c>
      <c r="I13" s="13">
        <f>LN(B13)</f>
        <v>4.2648086293577858</v>
      </c>
      <c r="J13" s="13">
        <v>0.24207436873820401</v>
      </c>
      <c r="K13" s="13" t="s">
        <v>31</v>
      </c>
      <c r="L13" s="13" t="s">
        <v>31</v>
      </c>
      <c r="M13" s="13" t="s">
        <v>31</v>
      </c>
    </row>
    <row r="14" spans="1:13">
      <c r="A14" s="12" t="s">
        <v>305</v>
      </c>
      <c r="B14" s="13">
        <v>420.41844480000003</v>
      </c>
      <c r="C14" s="13" t="s">
        <v>39</v>
      </c>
      <c r="D14" s="13" t="s">
        <v>40</v>
      </c>
      <c r="E14" s="13" t="s">
        <v>29</v>
      </c>
      <c r="F14" s="13" t="s">
        <v>86</v>
      </c>
      <c r="G14" s="13" t="s">
        <v>33</v>
      </c>
      <c r="H14" s="13">
        <v>2</v>
      </c>
      <c r="I14" s="13">
        <f>LN(B14)</f>
        <v>6.0412505124456706</v>
      </c>
      <c r="J14" s="13">
        <v>0.24207436873820401</v>
      </c>
      <c r="K14" s="13" t="s">
        <v>31</v>
      </c>
      <c r="L14" s="13" t="s">
        <v>31</v>
      </c>
      <c r="M14" s="13" t="s">
        <v>31</v>
      </c>
    </row>
    <row r="15" spans="1:13">
      <c r="A15" s="12" t="s">
        <v>306</v>
      </c>
      <c r="B15" s="13">
        <v>667.24625279999998</v>
      </c>
      <c r="C15" s="13" t="s">
        <v>39</v>
      </c>
      <c r="D15" s="13" t="s">
        <v>40</v>
      </c>
      <c r="E15" s="13" t="s">
        <v>29</v>
      </c>
      <c r="F15" s="13" t="s">
        <v>86</v>
      </c>
      <c r="G15" s="13" t="s">
        <v>33</v>
      </c>
      <c r="H15" s="13">
        <v>2</v>
      </c>
      <c r="I15" s="13">
        <f>LN(B15)</f>
        <v>6.5031591723827651</v>
      </c>
      <c r="J15" s="13">
        <v>0.24207436873820401</v>
      </c>
      <c r="K15" s="13" t="s">
        <v>31</v>
      </c>
      <c r="L15" s="13" t="s">
        <v>31</v>
      </c>
      <c r="M15" s="13" t="s">
        <v>31</v>
      </c>
    </row>
  </sheetData>
  <pageMargins left="0.7" right="0.7" top="0.75" bottom="0.75" header="0.3" footer="0.3"/>
  <pageSetup paperSize="9" orientation="portrait" verticalDpi="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d9e37eb4-c6bb-4629-be18-95901fa69551">
      <Terms xmlns="http://schemas.microsoft.com/office/infopath/2007/PartnerControls"/>
    </lcf76f155ced4ddcb4097134ff3c332f>
    <TaxCatchAll xmlns="3e967a12-6289-42ca-b82d-6fdfb36083b1"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kument" ma:contentTypeID="0x0101008CAD3BD7DA0AC04185699C2E4E7ED281" ma:contentTypeVersion="16" ma:contentTypeDescription="Ein neues Dokument erstellen." ma:contentTypeScope="" ma:versionID="6a89515fd8b6fae50305c2eb2a8cbd9e">
  <xsd:schema xmlns:xsd="http://www.w3.org/2001/XMLSchema" xmlns:xs="http://www.w3.org/2001/XMLSchema" xmlns:p="http://schemas.microsoft.com/office/2006/metadata/properties" xmlns:ns2="d9e37eb4-c6bb-4629-be18-95901fa69551" xmlns:ns3="3e967a12-6289-42ca-b82d-6fdfb36083b1" targetNamespace="http://schemas.microsoft.com/office/2006/metadata/properties" ma:root="true" ma:fieldsID="fc464028a4150e4d2f0dc3513aa07346" ns2:_="" ns3:_="">
    <xsd:import namespace="d9e37eb4-c6bb-4629-be18-95901fa69551"/>
    <xsd:import namespace="3e967a12-6289-42ca-b82d-6fdfb36083b1"/>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9e37eb4-c6bb-4629-be18-95901fa6955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element name="lcf76f155ced4ddcb4097134ff3c332f" ma:index="21" nillable="true" ma:taxonomy="true" ma:internalName="lcf76f155ced4ddcb4097134ff3c332f" ma:taxonomyFieldName="MediaServiceImageTags" ma:displayName="Bildmarkierungen" ma:readOnly="false" ma:fieldId="{5cf76f15-5ced-4ddc-b409-7134ff3c332f}" ma:taxonomyMulti="true" ma:sspId="b2102423-6c9a-45d0-aa71-0069027da28d"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3" nillable="true" ma:displayName="MediaServiceObjectDetectorVersions" ma:description=""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3e967a12-6289-42ca-b82d-6fdfb36083b1" elementFormDefault="qualified">
    <xsd:import namespace="http://schemas.microsoft.com/office/2006/documentManagement/types"/>
    <xsd:import namespace="http://schemas.microsoft.com/office/infopath/2007/PartnerControls"/>
    <xsd:element name="SharedWithUsers" ma:index="10"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Freigegeben für - Details" ma:internalName="SharedWithDetails" ma:readOnly="true">
      <xsd:simpleType>
        <xsd:restriction base="dms:Note">
          <xsd:maxLength value="255"/>
        </xsd:restriction>
      </xsd:simpleType>
    </xsd:element>
    <xsd:element name="TaxCatchAll" ma:index="22" nillable="true" ma:displayName="Taxonomy Catch All Column" ma:hidden="true" ma:list="{5550ffca-2d3f-48b0-a152-4aa960c6b90c}" ma:internalName="TaxCatchAll" ma:showField="CatchAllData" ma:web="3e967a12-6289-42ca-b82d-6fdfb36083b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6F7B80F-DF29-4B25-8929-231CCF26BB64}"/>
</file>

<file path=customXml/itemProps2.xml><?xml version="1.0" encoding="utf-8"?>
<ds:datastoreItem xmlns:ds="http://schemas.openxmlformats.org/officeDocument/2006/customXml" ds:itemID="{6E814E8E-ADDC-4788-8CF8-1C75111F5471}"/>
</file>

<file path=customXml/itemProps3.xml><?xml version="1.0" encoding="utf-8"?>
<ds:datastoreItem xmlns:ds="http://schemas.openxmlformats.org/officeDocument/2006/customXml" ds:itemID="{CEFC012B-D11A-464B-A816-788BC2BB1DE1}"/>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Pascal Lesage</dc:creator>
  <cp:keywords/>
  <dc:description/>
  <cp:lastModifiedBy>Katarzyna Maria Dudka</cp:lastModifiedBy>
  <cp:revision/>
  <dcterms:created xsi:type="dcterms:W3CDTF">2016-03-08T15:11:49Z</dcterms:created>
  <dcterms:modified xsi:type="dcterms:W3CDTF">2023-06-16T08:11:51Z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ediaServiceImageTags">
    <vt:lpwstr/>
  </property>
  <property fmtid="{D5CDD505-2E9C-101B-9397-08002B2CF9AE}" pid="3" name="ContentTypeId">
    <vt:lpwstr>0x0101008CAD3BD7DA0AC04185699C2E4E7ED281</vt:lpwstr>
  </property>
</Properties>
</file>