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25" documentId="13_ncr:1_{658A05A7-07D7-48D8-B7E0-46AF26044012}" xr6:coauthVersionLast="47" xr6:coauthVersionMax="47" xr10:uidLastSave="{0C2A485E-545D-413E-8D8A-1E91DBC1C048}"/>
  <bookViews>
    <workbookView xWindow="-120" yWindow="-120" windowWidth="29040" windowHeight="17520" firstSheet="14" activeTab="21" xr2:uid="{00000000-000D-0000-FFFF-FFFF00000000}"/>
  </bookViews>
  <sheets>
    <sheet name="Use" sheetId="76" r:id="rId1"/>
    <sheet name="Aircraft" sheetId="30" r:id="rId2"/>
    <sheet name="Main" sheetId="94" r:id="rId3"/>
    <sheet name="converters" sheetId="95" r:id="rId4"/>
    <sheet name="rest" sheetId="96" r:id="rId5"/>
    <sheet name="MAIN EoL" sheetId="71" r:id="rId6"/>
    <sheet name="Airport_use" sheetId="77" r:id="rId7"/>
    <sheet name="Airport_construction" sheetId="78" r:id="rId8"/>
    <sheet name="Airport_decommission " sheetId="79" r:id="rId9"/>
    <sheet name="Power elec EoL LCI" sheetId="72" r:id="rId10"/>
    <sheet name="motors and drives EoL LCI" sheetId="73" r:id="rId11"/>
    <sheet name="powerplant EoL LCI" sheetId="74" r:id="rId12"/>
    <sheet name="airframe EoL LCI" sheetId="75" r:id="rId13"/>
    <sheet name="Systems" sheetId="31" r:id="rId14"/>
    <sheet name="Airframe" sheetId="29" r:id="rId15"/>
    <sheet name="Furnishing" sheetId="32" r:id="rId16"/>
    <sheet name="Operative equipment" sheetId="33" r:id="rId17"/>
    <sheet name="SAF" sheetId="35" r:id="rId18"/>
    <sheet name="PP1. processes" sheetId="36" r:id="rId19"/>
    <sheet name="PP2. treatment processes" sheetId="37" r:id="rId20"/>
    <sheet name="Battery Li-S" sheetId="38" r:id="rId21"/>
    <sheet name="battery EoL Li-S" sheetId="39" r:id="rId22"/>
    <sheet name="CHARGING STATION" sheetId="80" r:id="rId23"/>
    <sheet name="A&amp;B Same Processes" sheetId="81" r:id="rId24"/>
    <sheet name="A&amp;B Driver Board " sheetId="82" r:id="rId25"/>
    <sheet name="A&amp;B Logic board" sheetId="83" r:id="rId26"/>
    <sheet name="A. ACDC POWER MODULE " sheetId="84" r:id="rId27"/>
    <sheet name="A.Reused" sheetId="85" r:id="rId28"/>
    <sheet name="A. Cable glands" sheetId="86" r:id="rId29"/>
    <sheet name="A. Machined casing" sheetId="87" r:id="rId30"/>
    <sheet name="A. IGBT power module" sheetId="88" r:id="rId31"/>
    <sheet name="B. DCDC POWER MODULE " sheetId="89" r:id="rId32"/>
    <sheet name="B.Reused" sheetId="90" r:id="rId33"/>
    <sheet name="B. Cable glands" sheetId="91" r:id="rId34"/>
    <sheet name="B. Machined casing" sheetId="92" r:id="rId35"/>
    <sheet name="B. IGBT power module" sheetId="93" r:id="rId36"/>
    <sheet name="0. PE&amp;MD" sheetId="40" r:id="rId37"/>
    <sheet name="1. MOTORS AND DRIVES" sheetId="41" r:id="rId38"/>
    <sheet name="2.POWER ELECTRONICS" sheetId="42" r:id="rId39"/>
    <sheet name="2. ALL Waste processes" sheetId="43" r:id="rId40"/>
    <sheet name="2. ALL Driver Board" sheetId="44" r:id="rId41"/>
    <sheet name="2. ALL Logic Board" sheetId="45" r:id="rId42"/>
    <sheet name="2A. DCAC GRID INVERTER" sheetId="46" r:id="rId43"/>
    <sheet name="2A. Reusable" sheetId="47" r:id="rId44"/>
    <sheet name="2A. Cable glands" sheetId="48" r:id="rId45"/>
    <sheet name="2A. Machined casing" sheetId="49" r:id="rId46"/>
    <sheet name="2A. IGBT power module" sheetId="50" r:id="rId47"/>
    <sheet name="2B. ISOLATING DCDC CONVERTER" sheetId="51" r:id="rId48"/>
    <sheet name="2B. Reusable" sheetId="52" r:id="rId49"/>
    <sheet name="2B. Cable glands" sheetId="53" r:id="rId50"/>
    <sheet name="2B. Machined casing" sheetId="54" r:id="rId51"/>
    <sheet name="2B. IGBT power module" sheetId="55" r:id="rId52"/>
    <sheet name="2C. GENERATOR INVERTER ACDC" sheetId="56" r:id="rId53"/>
    <sheet name="2C. Reusable" sheetId="57" r:id="rId54"/>
    <sheet name="2C. Cable glands" sheetId="58" r:id="rId55"/>
    <sheet name="2C. Machined casing" sheetId="59" r:id="rId56"/>
    <sheet name="2C. IGBT power module" sheetId="60" r:id="rId57"/>
    <sheet name="2D. MOTOR DRIVE INVERTER" sheetId="61" r:id="rId58"/>
    <sheet name="2D. Reusable" sheetId="62" r:id="rId59"/>
    <sheet name="2D. Cable glands" sheetId="63" r:id="rId60"/>
    <sheet name="2D. Machined casing" sheetId="64" r:id="rId61"/>
    <sheet name="2D. IGBT power module" sheetId="65" r:id="rId62"/>
    <sheet name="2E. BATTERY DCDC CONVERTER" sheetId="66" r:id="rId63"/>
    <sheet name="2E. Reusable" sheetId="67" r:id="rId64"/>
    <sheet name="2E. Cable glands" sheetId="68" r:id="rId65"/>
    <sheet name="2E. Machined casing" sheetId="69" r:id="rId66"/>
    <sheet name="2E. IGBT power module" sheetId="70" r:id="rId67"/>
  </sheets>
  <externalReferences>
    <externalReference r:id="rId68"/>
    <externalReference r:id="rId69"/>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6" i="38" l="1"/>
  <c r="I14" i="84"/>
  <c r="I15" i="84"/>
  <c r="I16" i="84"/>
  <c r="I17" i="84"/>
  <c r="I18" i="84"/>
  <c r="I19" i="84"/>
  <c r="I20" i="84"/>
  <c r="I21" i="84"/>
  <c r="I22" i="84"/>
  <c r="I23" i="84"/>
  <c r="I24" i="84"/>
  <c r="I25" i="84"/>
  <c r="I26" i="84"/>
  <c r="I27" i="84"/>
  <c r="I28" i="84"/>
  <c r="I29" i="84"/>
  <c r="I30" i="84"/>
  <c r="I13" i="84"/>
  <c r="I14" i="89"/>
  <c r="I15" i="89"/>
  <c r="I16" i="89"/>
  <c r="I17" i="89"/>
  <c r="I18" i="89"/>
  <c r="I19" i="89"/>
  <c r="I20" i="89"/>
  <c r="I21" i="89"/>
  <c r="I22" i="89"/>
  <c r="I23" i="89"/>
  <c r="I24" i="89"/>
  <c r="I25" i="89"/>
  <c r="I26" i="89"/>
  <c r="I27" i="89"/>
  <c r="I28" i="89"/>
  <c r="I29" i="89"/>
  <c r="I30" i="89"/>
  <c r="I13" i="89"/>
  <c r="I14" i="66"/>
  <c r="I15" i="66"/>
  <c r="I16" i="66"/>
  <c r="I17" i="66"/>
  <c r="I18" i="66"/>
  <c r="I19" i="66"/>
  <c r="I20" i="66"/>
  <c r="I21" i="66"/>
  <c r="I22" i="66"/>
  <c r="I23" i="66"/>
  <c r="I24" i="66"/>
  <c r="I25" i="66"/>
  <c r="I26" i="66"/>
  <c r="I27" i="66"/>
  <c r="I28" i="66"/>
  <c r="I29" i="66"/>
  <c r="I30" i="66"/>
  <c r="I13" i="66"/>
  <c r="I14" i="61"/>
  <c r="I15" i="61"/>
  <c r="I16" i="61"/>
  <c r="I17" i="61"/>
  <c r="I18" i="61"/>
  <c r="I19" i="61"/>
  <c r="I20" i="61"/>
  <c r="I21" i="61"/>
  <c r="I22" i="61"/>
  <c r="I23" i="61"/>
  <c r="I24" i="61"/>
  <c r="I25" i="61"/>
  <c r="I26" i="61"/>
  <c r="I27" i="61"/>
  <c r="I28" i="61"/>
  <c r="I29" i="61"/>
  <c r="I30" i="61"/>
  <c r="I13" i="61"/>
  <c r="I14" i="56"/>
  <c r="I15" i="56"/>
  <c r="I16" i="56"/>
  <c r="I17" i="56"/>
  <c r="I18" i="56"/>
  <c r="I19" i="56"/>
  <c r="I20" i="56"/>
  <c r="I21" i="56"/>
  <c r="I22" i="56"/>
  <c r="I23" i="56"/>
  <c r="I24" i="56"/>
  <c r="I25" i="56"/>
  <c r="I26" i="56"/>
  <c r="I27" i="56"/>
  <c r="I28" i="56"/>
  <c r="I29" i="56"/>
  <c r="I30" i="56"/>
  <c r="I13" i="56"/>
  <c r="I14" i="51"/>
  <c r="I15" i="51"/>
  <c r="I16" i="51"/>
  <c r="I17" i="51"/>
  <c r="I18" i="51"/>
  <c r="I19" i="51"/>
  <c r="I20" i="51"/>
  <c r="I21" i="51"/>
  <c r="I22" i="51"/>
  <c r="I23" i="51"/>
  <c r="I24" i="51"/>
  <c r="I25" i="51"/>
  <c r="I26" i="51"/>
  <c r="I27" i="51"/>
  <c r="I28" i="51"/>
  <c r="I29" i="51"/>
  <c r="I30" i="51"/>
  <c r="I13" i="51"/>
  <c r="I14" i="46"/>
  <c r="I15" i="46"/>
  <c r="I16" i="46"/>
  <c r="I17" i="46"/>
  <c r="I18" i="46"/>
  <c r="I19" i="46"/>
  <c r="I20" i="46"/>
  <c r="I21" i="46"/>
  <c r="I22" i="46"/>
  <c r="I23" i="46"/>
  <c r="I24" i="46"/>
  <c r="I25" i="46"/>
  <c r="I26" i="46"/>
  <c r="I27" i="46"/>
  <c r="I28" i="46"/>
  <c r="I29" i="46"/>
  <c r="I13" i="46"/>
  <c r="N121" i="39"/>
  <c r="M121" i="39"/>
  <c r="N56" i="39"/>
  <c r="M56" i="39"/>
  <c r="N55" i="39"/>
  <c r="Q55" i="39" s="1"/>
  <c r="M55" i="39"/>
  <c r="N52" i="39"/>
  <c r="M52" i="39"/>
  <c r="Q52" i="39" s="1"/>
  <c r="Q118" i="39"/>
  <c r="Q119" i="39"/>
  <c r="Q120" i="39"/>
  <c r="Q121" i="39"/>
  <c r="Q122" i="39"/>
  <c r="Q123" i="39"/>
  <c r="Q124" i="39"/>
  <c r="Q125" i="39"/>
  <c r="Q126" i="39"/>
  <c r="Q127" i="39"/>
  <c r="Q128" i="39"/>
  <c r="Q129" i="39"/>
  <c r="Q130" i="39"/>
  <c r="Q131" i="39"/>
  <c r="Q132" i="39"/>
  <c r="Q133" i="39"/>
  <c r="Q134" i="39"/>
  <c r="Q135" i="39"/>
  <c r="Q136" i="39"/>
  <c r="Q137" i="39"/>
  <c r="Q138" i="39"/>
  <c r="Q139" i="39"/>
  <c r="Q140" i="39"/>
  <c r="Q141" i="39"/>
  <c r="Q142" i="39"/>
  <c r="Q90" i="39"/>
  <c r="Q91" i="39"/>
  <c r="Q92" i="39"/>
  <c r="Q93" i="39"/>
  <c r="Q94" i="39"/>
  <c r="Q95" i="39"/>
  <c r="Q96" i="39"/>
  <c r="Q97" i="39"/>
  <c r="Q98" i="39"/>
  <c r="Q99" i="39"/>
  <c r="Q100" i="39"/>
  <c r="Q101" i="39"/>
  <c r="Q102" i="39"/>
  <c r="Q103" i="39"/>
  <c r="Q104" i="39"/>
  <c r="Q105" i="39"/>
  <c r="Q106" i="39"/>
  <c r="Q107" i="39"/>
  <c r="Q108" i="39"/>
  <c r="Q109" i="39"/>
  <c r="Q110" i="39"/>
  <c r="Q111" i="39"/>
  <c r="Q112" i="39"/>
  <c r="Q113" i="39"/>
  <c r="Q114" i="39"/>
  <c r="Q115" i="39"/>
  <c r="Q116" i="39"/>
  <c r="Q117" i="39"/>
  <c r="Q77" i="39"/>
  <c r="Q78" i="39"/>
  <c r="Q79" i="39"/>
  <c r="Q80" i="39"/>
  <c r="Q81" i="39"/>
  <c r="Q82" i="39"/>
  <c r="Q83" i="39"/>
  <c r="Q84" i="39"/>
  <c r="Q85" i="39"/>
  <c r="Q86" i="39"/>
  <c r="Q87" i="39"/>
  <c r="Q88" i="39"/>
  <c r="Q89" i="39"/>
  <c r="Q50" i="39"/>
  <c r="Q51" i="39"/>
  <c r="Q53" i="39"/>
  <c r="Q54" i="39"/>
  <c r="Q56" i="39"/>
  <c r="Q57" i="39"/>
  <c r="Q58" i="39"/>
  <c r="Q59" i="39"/>
  <c r="Q60" i="39"/>
  <c r="Q61" i="39"/>
  <c r="Q62" i="39"/>
  <c r="Q63" i="39"/>
  <c r="Q64" i="39"/>
  <c r="Q65" i="39"/>
  <c r="Q66" i="39"/>
  <c r="Q67" i="39"/>
  <c r="Q68" i="39"/>
  <c r="Q69" i="39"/>
  <c r="Q70" i="39"/>
  <c r="Q71" i="39"/>
  <c r="Q72" i="39"/>
  <c r="Q73" i="39"/>
  <c r="Q74" i="39"/>
  <c r="Q75" i="39"/>
  <c r="Q76" i="39"/>
  <c r="Q13" i="39"/>
  <c r="Q14" i="39"/>
  <c r="Q15" i="39"/>
  <c r="Q16" i="39"/>
  <c r="Q17" i="39"/>
  <c r="Q18" i="39"/>
  <c r="Q19" i="39"/>
  <c r="Q20" i="39"/>
  <c r="Q21" i="39"/>
  <c r="Q22" i="39"/>
  <c r="Q23" i="39"/>
  <c r="Q24" i="39"/>
  <c r="Q25" i="39"/>
  <c r="Q26" i="39"/>
  <c r="Q27" i="39"/>
  <c r="Q28" i="39"/>
  <c r="Q29" i="39"/>
  <c r="Q30" i="39"/>
  <c r="Q31" i="39"/>
  <c r="Q32" i="39"/>
  <c r="Q33" i="39"/>
  <c r="Q34" i="39"/>
  <c r="Q35" i="39"/>
  <c r="Q36" i="39"/>
  <c r="Q37" i="39"/>
  <c r="Q38" i="39"/>
  <c r="Q39" i="39"/>
  <c r="Q40" i="39"/>
  <c r="Q41" i="39"/>
  <c r="Q42" i="39"/>
  <c r="Q43" i="39"/>
  <c r="Q44" i="39"/>
  <c r="Q45" i="39"/>
  <c r="Q46" i="39"/>
  <c r="Q47" i="39"/>
  <c r="Q48" i="39"/>
  <c r="Q49" i="39"/>
  <c r="Q12" i="39"/>
  <c r="G120" i="80" l="1"/>
  <c r="A12" i="96"/>
  <c r="B15" i="96"/>
  <c r="B16" i="96" s="1"/>
  <c r="B17" i="96"/>
  <c r="A15" i="94" s="1"/>
  <c r="B29" i="96"/>
  <c r="B30" i="96"/>
  <c r="B31" i="96"/>
  <c r="B43" i="96"/>
  <c r="B44" i="96"/>
  <c r="B45" i="96"/>
  <c r="A17" i="94" s="1"/>
  <c r="B57" i="96"/>
  <c r="B58" i="96"/>
  <c r="A18" i="94" s="1"/>
  <c r="B13" i="95"/>
  <c r="B29" i="95"/>
  <c r="B30" i="95" s="1"/>
  <c r="B44" i="95"/>
  <c r="B43" i="95" s="1"/>
  <c r="B56" i="95"/>
  <c r="A67" i="95"/>
  <c r="A68" i="95"/>
  <c r="A69" i="95"/>
  <c r="A70" i="95"/>
  <c r="A71" i="95"/>
  <c r="B72" i="95"/>
  <c r="A12" i="94"/>
  <c r="A13" i="94"/>
  <c r="A14" i="94"/>
  <c r="A16" i="94"/>
  <c r="B362" i="93" l="1"/>
  <c r="I362" i="93" s="1"/>
  <c r="R361" i="93"/>
  <c r="B361" i="93" s="1"/>
  <c r="I361" i="93" s="1"/>
  <c r="R360" i="93"/>
  <c r="B360" i="93" s="1"/>
  <c r="I360" i="93"/>
  <c r="R359" i="93"/>
  <c r="B359" i="93"/>
  <c r="I359" i="93" s="1"/>
  <c r="R358" i="93"/>
  <c r="B358" i="93"/>
  <c r="I358" i="93" s="1"/>
  <c r="I357" i="93"/>
  <c r="B357" i="93"/>
  <c r="I356" i="93"/>
  <c r="B356" i="93"/>
  <c r="I355" i="93"/>
  <c r="B355" i="93"/>
  <c r="R354" i="93"/>
  <c r="I354" i="93"/>
  <c r="B354" i="93"/>
  <c r="I353" i="93"/>
  <c r="B353" i="93"/>
  <c r="B352" i="93"/>
  <c r="I352" i="93" s="1"/>
  <c r="B351" i="93"/>
  <c r="I351" i="93" s="1"/>
  <c r="B346" i="93"/>
  <c r="B340" i="93"/>
  <c r="I340" i="93" s="1"/>
  <c r="I339" i="93"/>
  <c r="B339" i="93"/>
  <c r="R338" i="93"/>
  <c r="B338" i="93" s="1"/>
  <c r="I338" i="93" s="1"/>
  <c r="R337" i="93"/>
  <c r="B337" i="93" s="1"/>
  <c r="I337" i="93" s="1"/>
  <c r="I336" i="93"/>
  <c r="B336" i="93"/>
  <c r="R335" i="93"/>
  <c r="B335" i="93" s="1"/>
  <c r="I335" i="93" s="1"/>
  <c r="B334" i="93"/>
  <c r="I334" i="93" s="1"/>
  <c r="I333" i="93"/>
  <c r="B333" i="93"/>
  <c r="B332" i="93"/>
  <c r="I332" i="93" s="1"/>
  <c r="R331" i="93"/>
  <c r="B331" i="93"/>
  <c r="I331" i="93" s="1"/>
  <c r="I330" i="93"/>
  <c r="B330" i="93"/>
  <c r="I329" i="93"/>
  <c r="B329" i="93"/>
  <c r="B324" i="93"/>
  <c r="B318" i="93"/>
  <c r="I318" i="93" s="1"/>
  <c r="B317" i="93"/>
  <c r="I317" i="93" s="1"/>
  <c r="I316" i="93"/>
  <c r="B316" i="93"/>
  <c r="B315" i="93"/>
  <c r="I315" i="93" s="1"/>
  <c r="B314" i="93"/>
  <c r="I314" i="93" s="1"/>
  <c r="I313" i="93"/>
  <c r="B313" i="93"/>
  <c r="I312" i="93"/>
  <c r="B312" i="93"/>
  <c r="B311" i="93"/>
  <c r="I311" i="93" s="1"/>
  <c r="B310" i="93"/>
  <c r="I310" i="93" s="1"/>
  <c r="B309" i="93"/>
  <c r="I309" i="93" s="1"/>
  <c r="I308" i="93"/>
  <c r="B308" i="93"/>
  <c r="B303" i="93" s="1"/>
  <c r="R297" i="93"/>
  <c r="B297" i="93" s="1"/>
  <c r="I297" i="93" s="1"/>
  <c r="R296" i="93"/>
  <c r="B296" i="93" s="1"/>
  <c r="I296" i="93" s="1"/>
  <c r="I295" i="93"/>
  <c r="B295" i="93"/>
  <c r="T294" i="93"/>
  <c r="B294" i="93"/>
  <c r="I294" i="93" s="1"/>
  <c r="P293" i="93"/>
  <c r="I293" i="93"/>
  <c r="P292" i="93"/>
  <c r="I292" i="93"/>
  <c r="S290" i="93"/>
  <c r="B287" i="93"/>
  <c r="R281" i="93"/>
  <c r="B281" i="93"/>
  <c r="I281" i="93" s="1"/>
  <c r="R280" i="93"/>
  <c r="B280" i="93" s="1"/>
  <c r="I280" i="93"/>
  <c r="R279" i="93"/>
  <c r="B279" i="93" s="1"/>
  <c r="I279" i="93" s="1"/>
  <c r="P278" i="93"/>
  <c r="B278" i="93"/>
  <c r="I278" i="93" s="1"/>
  <c r="I277" i="93"/>
  <c r="B277" i="93"/>
  <c r="B276" i="93"/>
  <c r="I276" i="93" s="1"/>
  <c r="R265" i="93"/>
  <c r="I265" i="93"/>
  <c r="B265" i="93"/>
  <c r="R264" i="93"/>
  <c r="B264" i="93" s="1"/>
  <c r="I264" i="93" s="1"/>
  <c r="R263" i="93"/>
  <c r="B263" i="93" s="1"/>
  <c r="I263" i="93" s="1"/>
  <c r="R262" i="93"/>
  <c r="B262" i="93"/>
  <c r="I262" i="93" s="1"/>
  <c r="R261" i="93"/>
  <c r="B261" i="93"/>
  <c r="I261" i="93" s="1"/>
  <c r="B260" i="93"/>
  <c r="I260" i="93" s="1"/>
  <c r="B259" i="93"/>
  <c r="I259" i="93" s="1"/>
  <c r="B254" i="93"/>
  <c r="B234" i="93" s="1"/>
  <c r="I234" i="93" s="1"/>
  <c r="S248" i="93"/>
  <c r="B248" i="93"/>
  <c r="I248" i="93" s="1"/>
  <c r="S247" i="93"/>
  <c r="B247" i="93"/>
  <c r="I247" i="93" s="1"/>
  <c r="I236" i="93"/>
  <c r="B236" i="93"/>
  <c r="I233" i="93"/>
  <c r="B233" i="93"/>
  <c r="B228" i="93"/>
  <c r="R222" i="93"/>
  <c r="B222" i="93"/>
  <c r="I222" i="93" s="1"/>
  <c r="R221" i="93"/>
  <c r="B221" i="93"/>
  <c r="I221" i="93" s="1"/>
  <c r="R220" i="93"/>
  <c r="B220" i="93" s="1"/>
  <c r="I220" i="93"/>
  <c r="R219" i="93"/>
  <c r="B219" i="93" s="1"/>
  <c r="I219" i="93" s="1"/>
  <c r="B218" i="93"/>
  <c r="I218" i="93" s="1"/>
  <c r="I217" i="93"/>
  <c r="I216" i="93"/>
  <c r="B216" i="93"/>
  <c r="B211" i="93" s="1"/>
  <c r="R205" i="93"/>
  <c r="B205" i="93" s="1"/>
  <c r="I205" i="93" s="1"/>
  <c r="R204" i="93"/>
  <c r="B204" i="93" s="1"/>
  <c r="I204" i="93" s="1"/>
  <c r="I203" i="93"/>
  <c r="B203" i="93"/>
  <c r="P201" i="93"/>
  <c r="I201" i="93"/>
  <c r="P200" i="93"/>
  <c r="I200" i="93"/>
  <c r="S196" i="93"/>
  <c r="S197" i="93" s="1"/>
  <c r="T200" i="93" s="1"/>
  <c r="B202" i="93" s="1"/>
  <c r="I202" i="93" s="1"/>
  <c r="B195" i="93"/>
  <c r="R189" i="93"/>
  <c r="I189" i="93"/>
  <c r="B189" i="93"/>
  <c r="R188" i="93"/>
  <c r="B188" i="93" s="1"/>
  <c r="I188" i="93" s="1"/>
  <c r="R187" i="93"/>
  <c r="B187" i="93" s="1"/>
  <c r="I187" i="93" s="1"/>
  <c r="P186" i="93"/>
  <c r="B186" i="93"/>
  <c r="I186" i="93" s="1"/>
  <c r="B185" i="93"/>
  <c r="I185" i="93" s="1"/>
  <c r="I184" i="93"/>
  <c r="B184" i="93"/>
  <c r="B179" i="93"/>
  <c r="R173" i="93"/>
  <c r="B173" i="93" s="1"/>
  <c r="I173" i="93" s="1"/>
  <c r="R172" i="93"/>
  <c r="B172" i="93"/>
  <c r="I172" i="93" s="1"/>
  <c r="R171" i="93"/>
  <c r="B171" i="93"/>
  <c r="I171" i="93" s="1"/>
  <c r="R170" i="93"/>
  <c r="B170" i="93" s="1"/>
  <c r="I170" i="93"/>
  <c r="R169" i="93"/>
  <c r="B169" i="93" s="1"/>
  <c r="I169" i="93" s="1"/>
  <c r="P168" i="93"/>
  <c r="P154" i="93" s="1"/>
  <c r="B154" i="93" s="1"/>
  <c r="I154" i="93" s="1"/>
  <c r="B168" i="93"/>
  <c r="I168" i="93" s="1"/>
  <c r="P167" i="93"/>
  <c r="B167" i="93" s="1"/>
  <c r="B156" i="93"/>
  <c r="I156" i="93" s="1"/>
  <c r="R155" i="93"/>
  <c r="B155" i="93"/>
  <c r="I155" i="93" s="1"/>
  <c r="B153" i="93"/>
  <c r="I153" i="93" s="1"/>
  <c r="R141" i="93"/>
  <c r="B141" i="93" s="1"/>
  <c r="I141" i="93" s="1"/>
  <c r="R140" i="93"/>
  <c r="B140" i="93"/>
  <c r="I140" i="93" s="1"/>
  <c r="R127" i="93"/>
  <c r="B127" i="93" s="1"/>
  <c r="I127" i="93" s="1"/>
  <c r="R126" i="93"/>
  <c r="B126" i="93" s="1"/>
  <c r="I126" i="93" s="1"/>
  <c r="R125" i="93"/>
  <c r="B125" i="93"/>
  <c r="I125" i="93" s="1"/>
  <c r="R124" i="93"/>
  <c r="B124" i="93" s="1"/>
  <c r="I124" i="93" s="1"/>
  <c r="R112" i="93"/>
  <c r="B112" i="93" s="1"/>
  <c r="I112" i="93" s="1"/>
  <c r="I111" i="93"/>
  <c r="R110" i="93"/>
  <c r="B110" i="93" s="1"/>
  <c r="I110" i="93" s="1"/>
  <c r="R97" i="93"/>
  <c r="B97" i="93"/>
  <c r="I97" i="93" s="1"/>
  <c r="I84" i="93"/>
  <c r="I83" i="93"/>
  <c r="I82" i="93"/>
  <c r="B77" i="93"/>
  <c r="R71" i="93"/>
  <c r="B71" i="93"/>
  <c r="I71" i="93" s="1"/>
  <c r="B69" i="93"/>
  <c r="I69" i="93" s="1"/>
  <c r="R57" i="93"/>
  <c r="B57" i="93"/>
  <c r="I57" i="93" s="1"/>
  <c r="R56" i="93"/>
  <c r="B56" i="93"/>
  <c r="I56" i="93" s="1"/>
  <c r="R55" i="93"/>
  <c r="I55" i="93"/>
  <c r="B55" i="93"/>
  <c r="B50" i="93"/>
  <c r="R44" i="93"/>
  <c r="B44" i="93" s="1"/>
  <c r="I44" i="93" s="1"/>
  <c r="B42" i="93"/>
  <c r="I42" i="93" s="1"/>
  <c r="R30" i="93"/>
  <c r="B30" i="93" s="1"/>
  <c r="I30" i="93" s="1"/>
  <c r="R29" i="93"/>
  <c r="B29" i="93" s="1"/>
  <c r="I29" i="93" s="1"/>
  <c r="R28" i="93"/>
  <c r="B28" i="93"/>
  <c r="I28" i="93" s="1"/>
  <c r="B27" i="93"/>
  <c r="I27" i="93" s="1"/>
  <c r="R15" i="93"/>
  <c r="B15" i="93" s="1"/>
  <c r="I15" i="93" s="1"/>
  <c r="B7" i="93"/>
  <c r="J57" i="92"/>
  <c r="B57" i="92"/>
  <c r="B56" i="92"/>
  <c r="J56" i="92" s="1"/>
  <c r="J55" i="92"/>
  <c r="B55" i="92"/>
  <c r="S54" i="92"/>
  <c r="B54" i="92"/>
  <c r="J54" i="92" s="1"/>
  <c r="S53" i="92"/>
  <c r="B53" i="92" s="1"/>
  <c r="J53" i="92" s="1"/>
  <c r="S52" i="92"/>
  <c r="B52" i="92" s="1"/>
  <c r="J52" i="92" s="1"/>
  <c r="B51" i="92"/>
  <c r="J51" i="92" s="1"/>
  <c r="S50" i="92"/>
  <c r="B50" i="92" s="1"/>
  <c r="J50" i="92" s="1"/>
  <c r="J49" i="92"/>
  <c r="B49" i="92"/>
  <c r="B48" i="92"/>
  <c r="S37" i="92"/>
  <c r="B37" i="92" s="1"/>
  <c r="J37" i="92" s="1"/>
  <c r="S36" i="92"/>
  <c r="S35" i="92"/>
  <c r="B35" i="92" s="1"/>
  <c r="J35" i="92" s="1"/>
  <c r="J33" i="92"/>
  <c r="B33" i="92"/>
  <c r="S32" i="92"/>
  <c r="J32" i="92"/>
  <c r="B32" i="92"/>
  <c r="J31" i="92"/>
  <c r="B31" i="92"/>
  <c r="B19" i="92"/>
  <c r="S18" i="92"/>
  <c r="J18" i="92"/>
  <c r="B18" i="92"/>
  <c r="J17" i="92"/>
  <c r="B17" i="92"/>
  <c r="S16" i="92"/>
  <c r="J16" i="92"/>
  <c r="B16" i="92"/>
  <c r="B15" i="92"/>
  <c r="J15" i="92" s="1"/>
  <c r="J14" i="92"/>
  <c r="B14" i="92"/>
  <c r="I47" i="91"/>
  <c r="I46" i="91"/>
  <c r="B45" i="91"/>
  <c r="I45" i="91" s="1"/>
  <c r="R34" i="91"/>
  <c r="B34" i="91"/>
  <c r="I34" i="91" s="1"/>
  <c r="R33" i="91"/>
  <c r="B33" i="91"/>
  <c r="I33" i="91" s="1"/>
  <c r="R32" i="91"/>
  <c r="B32" i="91" s="1"/>
  <c r="I32" i="91"/>
  <c r="R31" i="91"/>
  <c r="I31" i="91"/>
  <c r="B31" i="91"/>
  <c r="B30" i="91"/>
  <c r="I30" i="91" s="1"/>
  <c r="I29" i="91"/>
  <c r="P28" i="91"/>
  <c r="I28" i="91"/>
  <c r="B23" i="91"/>
  <c r="Q17" i="91"/>
  <c r="B17" i="91" s="1"/>
  <c r="I17" i="91" s="1"/>
  <c r="Q16" i="91"/>
  <c r="B16" i="91"/>
  <c r="I16" i="91" s="1"/>
  <c r="U15" i="91"/>
  <c r="Q15" i="91"/>
  <c r="I15" i="91"/>
  <c r="B15" i="91"/>
  <c r="B14" i="91"/>
  <c r="I14" i="91" s="1"/>
  <c r="P13" i="91"/>
  <c r="I13" i="91"/>
  <c r="B13" i="91"/>
  <c r="T11" i="91"/>
  <c r="B7" i="91"/>
  <c r="I62" i="90"/>
  <c r="B61" i="90"/>
  <c r="I61" i="90" s="1"/>
  <c r="R60" i="90"/>
  <c r="B60" i="90" s="1"/>
  <c r="I60" i="90" s="1"/>
  <c r="I59" i="90"/>
  <c r="B54" i="90"/>
  <c r="R48" i="90"/>
  <c r="B48" i="90"/>
  <c r="I48" i="90" s="1"/>
  <c r="B47" i="90"/>
  <c r="I47" i="90" s="1"/>
  <c r="R46" i="90"/>
  <c r="B46" i="90"/>
  <c r="I46" i="90" s="1"/>
  <c r="R45" i="90"/>
  <c r="B45" i="90"/>
  <c r="I45" i="90" s="1"/>
  <c r="I44" i="90"/>
  <c r="B44" i="90"/>
  <c r="I43" i="90"/>
  <c r="I42" i="90"/>
  <c r="O36" i="90"/>
  <c r="Q107" i="93" s="1"/>
  <c r="R31" i="90"/>
  <c r="B31" i="90"/>
  <c r="I31" i="90" s="1"/>
  <c r="I30" i="90"/>
  <c r="B30" i="90"/>
  <c r="R29" i="90"/>
  <c r="B29" i="90"/>
  <c r="I29" i="90" s="1"/>
  <c r="I28" i="90"/>
  <c r="B23" i="90"/>
  <c r="Q17" i="90"/>
  <c r="B17" i="90"/>
  <c r="I17" i="90" s="1"/>
  <c r="Q16" i="90"/>
  <c r="B16" i="90"/>
  <c r="I16" i="90" s="1"/>
  <c r="I15" i="90"/>
  <c r="B15" i="90"/>
  <c r="I14" i="90"/>
  <c r="B14" i="90"/>
  <c r="R13" i="90"/>
  <c r="B13" i="90" s="1"/>
  <c r="I13" i="90" s="1"/>
  <c r="P13" i="90"/>
  <c r="I12" i="90"/>
  <c r="B7" i="90"/>
  <c r="B28" i="89"/>
  <c r="Z27" i="89"/>
  <c r="B27" i="89" s="1"/>
  <c r="Z26" i="89"/>
  <c r="B26" i="89"/>
  <c r="Z25" i="89"/>
  <c r="B25" i="89" s="1"/>
  <c r="Z24" i="89"/>
  <c r="Z23" i="89"/>
  <c r="B23" i="89" s="1"/>
  <c r="Z22" i="89"/>
  <c r="B22" i="89"/>
  <c r="Z21" i="89"/>
  <c r="B21" i="89" s="1"/>
  <c r="Z20" i="89"/>
  <c r="B20" i="89"/>
  <c r="Z19" i="89"/>
  <c r="B19" i="89" s="1"/>
  <c r="Z18" i="89"/>
  <c r="B18" i="89"/>
  <c r="Z16" i="89"/>
  <c r="B16" i="89" s="1"/>
  <c r="Z15" i="89"/>
  <c r="B15" i="89" s="1"/>
  <c r="Z14" i="89"/>
  <c r="B14" i="89" s="1"/>
  <c r="Z13" i="89"/>
  <c r="B13" i="89"/>
  <c r="N1" i="89"/>
  <c r="I362" i="88"/>
  <c r="B362" i="88"/>
  <c r="R361" i="88"/>
  <c r="B361" i="88" s="1"/>
  <c r="I361" i="88" s="1"/>
  <c r="R360" i="88"/>
  <c r="I360" i="88"/>
  <c r="B360" i="88"/>
  <c r="R359" i="88"/>
  <c r="B359" i="88" s="1"/>
  <c r="I359" i="88" s="1"/>
  <c r="R358" i="88"/>
  <c r="B358" i="88" s="1"/>
  <c r="I358" i="88" s="1"/>
  <c r="B357" i="88"/>
  <c r="I357" i="88" s="1"/>
  <c r="I356" i="88"/>
  <c r="B356" i="88"/>
  <c r="B355" i="88"/>
  <c r="I355" i="88" s="1"/>
  <c r="R354" i="88"/>
  <c r="B354" i="88"/>
  <c r="I354" i="88" s="1"/>
  <c r="B353" i="88"/>
  <c r="I353" i="88" s="1"/>
  <c r="I352" i="88"/>
  <c r="B352" i="88"/>
  <c r="I351" i="88"/>
  <c r="B351" i="88"/>
  <c r="B346" i="88" s="1"/>
  <c r="I340" i="88"/>
  <c r="B340" i="88"/>
  <c r="I339" i="88"/>
  <c r="B339" i="88"/>
  <c r="R338" i="88"/>
  <c r="I338" i="88"/>
  <c r="B338" i="88"/>
  <c r="R337" i="88"/>
  <c r="I337" i="88"/>
  <c r="B337" i="88"/>
  <c r="I336" i="88"/>
  <c r="B336" i="88"/>
  <c r="R335" i="88"/>
  <c r="B335" i="88" s="1"/>
  <c r="I335" i="88" s="1"/>
  <c r="B334" i="88"/>
  <c r="I334" i="88" s="1"/>
  <c r="B333" i="88"/>
  <c r="I333" i="88" s="1"/>
  <c r="B332" i="88"/>
  <c r="I332" i="88" s="1"/>
  <c r="R331" i="88"/>
  <c r="B331" i="88" s="1"/>
  <c r="I331" i="88" s="1"/>
  <c r="B330" i="88"/>
  <c r="I330" i="88" s="1"/>
  <c r="I329" i="88"/>
  <c r="B329" i="88"/>
  <c r="B324" i="88" s="1"/>
  <c r="I318" i="88"/>
  <c r="B318" i="88"/>
  <c r="B317" i="88"/>
  <c r="I317" i="88" s="1"/>
  <c r="B316" i="88"/>
  <c r="I316" i="88" s="1"/>
  <c r="B315" i="88"/>
  <c r="I315" i="88" s="1"/>
  <c r="I314" i="88"/>
  <c r="B314" i="88"/>
  <c r="B313" i="88"/>
  <c r="I313" i="88" s="1"/>
  <c r="I312" i="88"/>
  <c r="B312" i="88"/>
  <c r="B311" i="88"/>
  <c r="I311" i="88" s="1"/>
  <c r="I310" i="88"/>
  <c r="B310" i="88"/>
  <c r="B309" i="88"/>
  <c r="I309" i="88" s="1"/>
  <c r="B308" i="88"/>
  <c r="B303" i="88" s="1"/>
  <c r="R297" i="88"/>
  <c r="B297" i="88" s="1"/>
  <c r="I297" i="88" s="1"/>
  <c r="R296" i="88"/>
  <c r="B296" i="88"/>
  <c r="I296" i="88" s="1"/>
  <c r="I295" i="88"/>
  <c r="B295" i="88"/>
  <c r="I294" i="88"/>
  <c r="B294" i="88"/>
  <c r="P293" i="88"/>
  <c r="I293" i="88"/>
  <c r="P292" i="88"/>
  <c r="I292" i="88"/>
  <c r="S290" i="88"/>
  <c r="S291" i="88" s="1"/>
  <c r="T294" i="88" s="1"/>
  <c r="B287" i="88"/>
  <c r="R281" i="88"/>
  <c r="B281" i="88"/>
  <c r="I281" i="88" s="1"/>
  <c r="R280" i="88"/>
  <c r="B280" i="88" s="1"/>
  <c r="I280" i="88" s="1"/>
  <c r="R279" i="88"/>
  <c r="I279" i="88"/>
  <c r="B279" i="88"/>
  <c r="P278" i="88"/>
  <c r="B278" i="88"/>
  <c r="I278" i="88" s="1"/>
  <c r="I277" i="88"/>
  <c r="B277" i="88"/>
  <c r="B276" i="88"/>
  <c r="I276" i="88" s="1"/>
  <c r="R265" i="88"/>
  <c r="B265" i="88"/>
  <c r="I265" i="88" s="1"/>
  <c r="R264" i="88"/>
  <c r="B264" i="88" s="1"/>
  <c r="I264" i="88" s="1"/>
  <c r="R263" i="88"/>
  <c r="B263" i="88" s="1"/>
  <c r="I263" i="88" s="1"/>
  <c r="R262" i="88"/>
  <c r="B262" i="88" s="1"/>
  <c r="I262" i="88" s="1"/>
  <c r="R261" i="88"/>
  <c r="B261" i="88"/>
  <c r="I261" i="88" s="1"/>
  <c r="P260" i="88"/>
  <c r="B260" i="88"/>
  <c r="I260" i="88" s="1"/>
  <c r="B259" i="88"/>
  <c r="B254" i="88" s="1"/>
  <c r="B234" i="88" s="1"/>
  <c r="I234" i="88" s="1"/>
  <c r="S248" i="88"/>
  <c r="B248" i="88" s="1"/>
  <c r="I248" i="88" s="1"/>
  <c r="S247" i="88"/>
  <c r="B247" i="88"/>
  <c r="I247" i="88" s="1"/>
  <c r="B242" i="88"/>
  <c r="B236" i="88"/>
  <c r="I236" i="88" s="1"/>
  <c r="R222" i="88"/>
  <c r="B222" i="88"/>
  <c r="I222" i="88" s="1"/>
  <c r="R221" i="88"/>
  <c r="B221" i="88" s="1"/>
  <c r="I221" i="88" s="1"/>
  <c r="R220" i="88"/>
  <c r="B220" i="88" s="1"/>
  <c r="I220" i="88" s="1"/>
  <c r="R219" i="88"/>
  <c r="I219" i="88"/>
  <c r="B219" i="88"/>
  <c r="I218" i="88"/>
  <c r="B218" i="88"/>
  <c r="I217" i="88"/>
  <c r="B216" i="88"/>
  <c r="I216" i="88" s="1"/>
  <c r="B211" i="88"/>
  <c r="R205" i="88"/>
  <c r="B205" i="88" s="1"/>
  <c r="I205" i="88"/>
  <c r="R204" i="88"/>
  <c r="B204" i="88" s="1"/>
  <c r="I204" i="88" s="1"/>
  <c r="B203" i="88"/>
  <c r="I203" i="88" s="1"/>
  <c r="P201" i="88"/>
  <c r="I201" i="88"/>
  <c r="P200" i="88"/>
  <c r="I200" i="88"/>
  <c r="S197" i="88"/>
  <c r="T200" i="88" s="1"/>
  <c r="B202" i="88" s="1"/>
  <c r="I202" i="88" s="1"/>
  <c r="S196" i="88"/>
  <c r="B195" i="88"/>
  <c r="R189" i="88"/>
  <c r="B189" i="88"/>
  <c r="I189" i="88" s="1"/>
  <c r="R188" i="88"/>
  <c r="B188" i="88"/>
  <c r="I188" i="88" s="1"/>
  <c r="R187" i="88"/>
  <c r="B187" i="88" s="1"/>
  <c r="I187" i="88" s="1"/>
  <c r="P186" i="88"/>
  <c r="B186" i="88" s="1"/>
  <c r="I186" i="88" s="1"/>
  <c r="B185" i="88"/>
  <c r="I185" i="88" s="1"/>
  <c r="B184" i="88"/>
  <c r="B179" i="88" s="1"/>
  <c r="R173" i="88"/>
  <c r="B173" i="88" s="1"/>
  <c r="I173" i="88" s="1"/>
  <c r="R172" i="88"/>
  <c r="I172" i="88"/>
  <c r="B172" i="88"/>
  <c r="R171" i="88"/>
  <c r="B171" i="88" s="1"/>
  <c r="I171" i="88" s="1"/>
  <c r="R170" i="88"/>
  <c r="B170" i="88" s="1"/>
  <c r="I170" i="88" s="1"/>
  <c r="R169" i="88"/>
  <c r="I169" i="88"/>
  <c r="B169" i="88"/>
  <c r="B168" i="88"/>
  <c r="I168" i="88" s="1"/>
  <c r="I167" i="88"/>
  <c r="B167" i="88"/>
  <c r="B162" i="88" s="1"/>
  <c r="B156" i="88"/>
  <c r="I156" i="88" s="1"/>
  <c r="R155" i="88"/>
  <c r="B155" i="88"/>
  <c r="I155" i="88" s="1"/>
  <c r="I154" i="88"/>
  <c r="B154" i="88"/>
  <c r="B153" i="88"/>
  <c r="I153" i="88" s="1"/>
  <c r="I152" i="88"/>
  <c r="B152" i="88"/>
  <c r="B147" i="88" s="1"/>
  <c r="R141" i="88"/>
  <c r="B141" i="88" s="1"/>
  <c r="I141" i="88" s="1"/>
  <c r="R140" i="88"/>
  <c r="I140" i="88"/>
  <c r="B140" i="88"/>
  <c r="P139" i="88"/>
  <c r="B139" i="88" s="1"/>
  <c r="I139" i="88" s="1"/>
  <c r="P138" i="88"/>
  <c r="B138" i="88" s="1"/>
  <c r="I138" i="88" s="1"/>
  <c r="R127" i="88"/>
  <c r="B127" i="88" s="1"/>
  <c r="I127" i="88"/>
  <c r="R126" i="88"/>
  <c r="B126" i="88" s="1"/>
  <c r="I126" i="88" s="1"/>
  <c r="R125" i="88"/>
  <c r="B125" i="88"/>
  <c r="I125" i="88" s="1"/>
  <c r="R124" i="88"/>
  <c r="B124" i="88" s="1"/>
  <c r="I124" i="88" s="1"/>
  <c r="R112" i="88"/>
  <c r="B112" i="88" s="1"/>
  <c r="I112" i="88" s="1"/>
  <c r="I111" i="88"/>
  <c r="R110" i="88"/>
  <c r="T110" i="88" s="1"/>
  <c r="B110" i="88" s="1"/>
  <c r="I110" i="88" s="1"/>
  <c r="R97" i="88"/>
  <c r="B97" i="88"/>
  <c r="I97" i="88" s="1"/>
  <c r="I84" i="88"/>
  <c r="I83" i="88"/>
  <c r="I82" i="88"/>
  <c r="B77" i="88"/>
  <c r="R71" i="88"/>
  <c r="B71" i="88"/>
  <c r="I71" i="88" s="1"/>
  <c r="B69" i="88"/>
  <c r="I69" i="88" s="1"/>
  <c r="R57" i="88"/>
  <c r="B57" i="88"/>
  <c r="I57" i="88" s="1"/>
  <c r="R56" i="88"/>
  <c r="B56" i="88"/>
  <c r="I56" i="88" s="1"/>
  <c r="R55" i="88"/>
  <c r="I55" i="88"/>
  <c r="B55" i="88"/>
  <c r="B50" i="88" s="1"/>
  <c r="R44" i="88"/>
  <c r="B44" i="88" s="1"/>
  <c r="I44" i="88" s="1"/>
  <c r="I42" i="88"/>
  <c r="B42" i="88"/>
  <c r="R30" i="88"/>
  <c r="B30" i="88" s="1"/>
  <c r="I30" i="88" s="1"/>
  <c r="R29" i="88"/>
  <c r="B29" i="88" s="1"/>
  <c r="I29" i="88" s="1"/>
  <c r="R28" i="88"/>
  <c r="I28" i="88"/>
  <c r="B28" i="88"/>
  <c r="B27" i="88"/>
  <c r="I27" i="88" s="1"/>
  <c r="R15" i="88"/>
  <c r="B15" i="88" s="1"/>
  <c r="I15" i="88" s="1"/>
  <c r="B7" i="88"/>
  <c r="B57" i="87"/>
  <c r="J57" i="87" s="1"/>
  <c r="B56" i="87"/>
  <c r="J56" i="87" s="1"/>
  <c r="B55" i="87"/>
  <c r="J55" i="87" s="1"/>
  <c r="S54" i="87"/>
  <c r="B54" i="87"/>
  <c r="J54" i="87" s="1"/>
  <c r="S53" i="87"/>
  <c r="B53" i="87" s="1"/>
  <c r="J53" i="87" s="1"/>
  <c r="S52" i="87"/>
  <c r="B52" i="87" s="1"/>
  <c r="J52" i="87" s="1"/>
  <c r="B51" i="87"/>
  <c r="J51" i="87" s="1"/>
  <c r="S50" i="87"/>
  <c r="B50" i="87" s="1"/>
  <c r="J50" i="87" s="1"/>
  <c r="B49" i="87"/>
  <c r="J49" i="87" s="1"/>
  <c r="B48" i="87"/>
  <c r="J48" i="87" s="1"/>
  <c r="B43" i="87"/>
  <c r="B12" i="87" s="1"/>
  <c r="S37" i="87"/>
  <c r="B37" i="87" s="1"/>
  <c r="J37" i="87" s="1"/>
  <c r="S36" i="87"/>
  <c r="S35" i="87"/>
  <c r="B35" i="87"/>
  <c r="J35" i="87" s="1"/>
  <c r="B33" i="87"/>
  <c r="J33" i="87" s="1"/>
  <c r="S32" i="87"/>
  <c r="J32" i="87"/>
  <c r="B32" i="87"/>
  <c r="J31" i="87"/>
  <c r="B31" i="87"/>
  <c r="B30" i="87"/>
  <c r="J30" i="87" s="1"/>
  <c r="B19" i="87"/>
  <c r="S18" i="87"/>
  <c r="B18" i="87"/>
  <c r="J18" i="87" s="1"/>
  <c r="J17" i="87"/>
  <c r="B17" i="87"/>
  <c r="S16" i="87"/>
  <c r="B16" i="87"/>
  <c r="J16" i="87" s="1"/>
  <c r="B15" i="87"/>
  <c r="J15" i="87" s="1"/>
  <c r="B14" i="87"/>
  <c r="J14" i="87" s="1"/>
  <c r="I47" i="86"/>
  <c r="I46" i="86"/>
  <c r="B45" i="86"/>
  <c r="I45" i="86" s="1"/>
  <c r="B40" i="86"/>
  <c r="R34" i="86"/>
  <c r="B34" i="86" s="1"/>
  <c r="I34" i="86" s="1"/>
  <c r="R33" i="86"/>
  <c r="B33" i="86"/>
  <c r="I33" i="86" s="1"/>
  <c r="R32" i="86"/>
  <c r="B32" i="86" s="1"/>
  <c r="I32" i="86" s="1"/>
  <c r="R31" i="86"/>
  <c r="B31" i="86" s="1"/>
  <c r="I31" i="86" s="1"/>
  <c r="B30" i="86"/>
  <c r="I30" i="86" s="1"/>
  <c r="I29" i="86"/>
  <c r="P28" i="86"/>
  <c r="I28" i="86"/>
  <c r="B23" i="86"/>
  <c r="Q17" i="86"/>
  <c r="B17" i="86" s="1"/>
  <c r="I17" i="86" s="1"/>
  <c r="Q16" i="86"/>
  <c r="B16" i="86" s="1"/>
  <c r="I16" i="86" s="1"/>
  <c r="Q15" i="86"/>
  <c r="B15" i="86" s="1"/>
  <c r="I15" i="86" s="1"/>
  <c r="P13" i="86"/>
  <c r="I13" i="86"/>
  <c r="B13" i="86"/>
  <c r="T11" i="86"/>
  <c r="T12" i="86" s="1"/>
  <c r="U15" i="86" s="1"/>
  <c r="B14" i="86" s="1"/>
  <c r="I14" i="86" s="1"/>
  <c r="I62" i="85"/>
  <c r="B61" i="85"/>
  <c r="I61" i="85" s="1"/>
  <c r="R60" i="85"/>
  <c r="B60" i="85"/>
  <c r="I60" i="85" s="1"/>
  <c r="I59" i="85"/>
  <c r="B54" i="85"/>
  <c r="R48" i="85"/>
  <c r="B48" i="85" s="1"/>
  <c r="I48" i="85" s="1"/>
  <c r="B47" i="85"/>
  <c r="I47" i="85" s="1"/>
  <c r="R46" i="85"/>
  <c r="B46" i="85" s="1"/>
  <c r="I46" i="85" s="1"/>
  <c r="R45" i="85"/>
  <c r="B45" i="85"/>
  <c r="I45" i="85" s="1"/>
  <c r="I44" i="85"/>
  <c r="B44" i="85"/>
  <c r="I43" i="85"/>
  <c r="I42" i="85"/>
  <c r="B37" i="85"/>
  <c r="T36" i="85"/>
  <c r="O36" i="85"/>
  <c r="AB17" i="84" s="1"/>
  <c r="Z17" i="84" s="1"/>
  <c r="B17" i="84" s="1"/>
  <c r="R31" i="85"/>
  <c r="B31" i="85" s="1"/>
  <c r="I31" i="85" s="1"/>
  <c r="I30" i="85"/>
  <c r="B30" i="85"/>
  <c r="R29" i="85"/>
  <c r="B29" i="85"/>
  <c r="I29" i="85" s="1"/>
  <c r="I28" i="85"/>
  <c r="B23" i="85"/>
  <c r="Q17" i="85"/>
  <c r="B17" i="85" s="1"/>
  <c r="I17" i="85" s="1"/>
  <c r="Q16" i="85"/>
  <c r="B16" i="85"/>
  <c r="I16" i="85" s="1"/>
  <c r="I15" i="85"/>
  <c r="B15" i="85"/>
  <c r="I14" i="85"/>
  <c r="R13" i="85"/>
  <c r="P13" i="85"/>
  <c r="B13" i="85"/>
  <c r="I13" i="85" s="1"/>
  <c r="I12" i="85"/>
  <c r="B7" i="85"/>
  <c r="B28" i="84"/>
  <c r="Z27" i="84"/>
  <c r="Z26" i="84"/>
  <c r="B27" i="84" s="1"/>
  <c r="Z25" i="84"/>
  <c r="B26" i="84" s="1"/>
  <c r="Z24" i="84"/>
  <c r="Z23" i="84"/>
  <c r="B24" i="84" s="1"/>
  <c r="Z22" i="84"/>
  <c r="B23" i="84" s="1"/>
  <c r="B22" i="84"/>
  <c r="Z21" i="84"/>
  <c r="B21" i="84"/>
  <c r="Z20" i="84"/>
  <c r="B20" i="84" s="1"/>
  <c r="Z19" i="84"/>
  <c r="B19" i="84" s="1"/>
  <c r="Z18" i="84"/>
  <c r="B18" i="84"/>
  <c r="B12" i="86" s="1"/>
  <c r="B7" i="86" s="1"/>
  <c r="Z16" i="84"/>
  <c r="B16" i="84" s="1"/>
  <c r="Z15" i="84"/>
  <c r="B15" i="84"/>
  <c r="Z14" i="84"/>
  <c r="B14" i="84" s="1"/>
  <c r="Z13" i="84"/>
  <c r="B13" i="84" s="1"/>
  <c r="N1" i="84"/>
  <c r="T70" i="83"/>
  <c r="B70" i="83" s="1"/>
  <c r="J70" i="83" s="1"/>
  <c r="T69" i="83"/>
  <c r="B69" i="83"/>
  <c r="J69" i="83" s="1"/>
  <c r="T68" i="83"/>
  <c r="J68" i="83"/>
  <c r="B68" i="83"/>
  <c r="T67" i="83"/>
  <c r="B67" i="83"/>
  <c r="J67" i="83" s="1"/>
  <c r="T66" i="83"/>
  <c r="B66" i="83" s="1"/>
  <c r="J66" i="83"/>
  <c r="T65" i="83"/>
  <c r="B65" i="83" s="1"/>
  <c r="J65" i="83" s="1"/>
  <c r="T64" i="83"/>
  <c r="B64" i="83"/>
  <c r="J64" i="83" s="1"/>
  <c r="T63" i="83"/>
  <c r="B63" i="83"/>
  <c r="J63" i="83" s="1"/>
  <c r="T62" i="83"/>
  <c r="B62" i="83"/>
  <c r="J62" i="83" s="1"/>
  <c r="T61" i="83"/>
  <c r="B61" i="83" s="1"/>
  <c r="J61" i="83" s="1"/>
  <c r="T60" i="83"/>
  <c r="B60" i="83" s="1"/>
  <c r="J60" i="83"/>
  <c r="T59" i="83"/>
  <c r="B59" i="83"/>
  <c r="J59" i="83" s="1"/>
  <c r="T58" i="83"/>
  <c r="B58" i="83" s="1"/>
  <c r="J58" i="83"/>
  <c r="T57" i="83"/>
  <c r="B57" i="83" s="1"/>
  <c r="J57" i="83" s="1"/>
  <c r="J56" i="83"/>
  <c r="J45" i="83"/>
  <c r="J44" i="83"/>
  <c r="J43" i="83"/>
  <c r="J42" i="83"/>
  <c r="J41" i="83"/>
  <c r="J40" i="83"/>
  <c r="J39" i="83"/>
  <c r="J38" i="83"/>
  <c r="J37" i="83"/>
  <c r="J36" i="83"/>
  <c r="J35" i="83"/>
  <c r="B35" i="83"/>
  <c r="J34" i="83"/>
  <c r="B34" i="83"/>
  <c r="B33" i="83"/>
  <c r="J33" i="83" s="1"/>
  <c r="J32" i="83"/>
  <c r="J31" i="83"/>
  <c r="J30" i="83"/>
  <c r="S19" i="83"/>
  <c r="B19" i="83" s="1"/>
  <c r="J19" i="83" s="1"/>
  <c r="S18" i="83"/>
  <c r="B18" i="83"/>
  <c r="J18" i="83" s="1"/>
  <c r="S17" i="83"/>
  <c r="B17" i="83" s="1"/>
  <c r="J17" i="83" s="1"/>
  <c r="S16" i="83"/>
  <c r="B16" i="83" s="1"/>
  <c r="J16" i="83" s="1"/>
  <c r="S15" i="83"/>
  <c r="J15" i="83"/>
  <c r="B15" i="83"/>
  <c r="S14" i="83"/>
  <c r="B14" i="83"/>
  <c r="J14" i="83" s="1"/>
  <c r="S13" i="83"/>
  <c r="B13" i="83"/>
  <c r="J13" i="83" s="1"/>
  <c r="J12" i="83"/>
  <c r="T50" i="82"/>
  <c r="B50" i="82" s="1"/>
  <c r="J50" i="82"/>
  <c r="T49" i="82"/>
  <c r="B49" i="82" s="1"/>
  <c r="J49" i="82" s="1"/>
  <c r="T48" i="82"/>
  <c r="J48" i="82"/>
  <c r="B48" i="82"/>
  <c r="T47" i="82"/>
  <c r="B47" i="82"/>
  <c r="J47" i="82" s="1"/>
  <c r="T46" i="82"/>
  <c r="B46" i="82" s="1"/>
  <c r="J46" i="82" s="1"/>
  <c r="T45" i="82"/>
  <c r="B45" i="82"/>
  <c r="J45" i="82" s="1"/>
  <c r="T44" i="82"/>
  <c r="B44" i="82" s="1"/>
  <c r="J44" i="82" s="1"/>
  <c r="T43" i="82"/>
  <c r="B43" i="82"/>
  <c r="J43" i="82" s="1"/>
  <c r="T42" i="82"/>
  <c r="B42" i="82" s="1"/>
  <c r="J42" i="82"/>
  <c r="T41" i="82"/>
  <c r="B41" i="82" s="1"/>
  <c r="J41" i="82" s="1"/>
  <c r="T40" i="82"/>
  <c r="J40" i="82"/>
  <c r="B40" i="82"/>
  <c r="T39" i="82"/>
  <c r="B39" i="82"/>
  <c r="J39" i="82" s="1"/>
  <c r="J38" i="82"/>
  <c r="J27" i="82"/>
  <c r="J26" i="82"/>
  <c r="J25" i="82"/>
  <c r="J24" i="82"/>
  <c r="J23" i="82"/>
  <c r="J22" i="82"/>
  <c r="J21" i="82"/>
  <c r="J20" i="82"/>
  <c r="J19" i="82"/>
  <c r="J18" i="82"/>
  <c r="B17" i="82"/>
  <c r="J17" i="82" s="1"/>
  <c r="J16" i="82"/>
  <c r="B16" i="82"/>
  <c r="J15" i="82"/>
  <c r="B15" i="82"/>
  <c r="J14" i="82"/>
  <c r="J13" i="82"/>
  <c r="J12" i="82"/>
  <c r="I67" i="81"/>
  <c r="I66" i="81"/>
  <c r="I65" i="81"/>
  <c r="I64" i="81"/>
  <c r="I63" i="81"/>
  <c r="I52" i="81"/>
  <c r="I51" i="81"/>
  <c r="I50" i="81"/>
  <c r="I49" i="81"/>
  <c r="I38" i="81"/>
  <c r="I37" i="81"/>
  <c r="B37" i="81"/>
  <c r="B38" i="81" s="1"/>
  <c r="I36" i="81"/>
  <c r="E119" i="80"/>
  <c r="E118" i="80"/>
  <c r="E117" i="80"/>
  <c r="O116" i="80"/>
  <c r="E116" i="80"/>
  <c r="E115" i="80"/>
  <c r="A115" i="80"/>
  <c r="O114" i="80"/>
  <c r="E114" i="80"/>
  <c r="A114" i="80"/>
  <c r="O113" i="80"/>
  <c r="E113" i="80"/>
  <c r="A113" i="80"/>
  <c r="G112" i="80"/>
  <c r="E112" i="80"/>
  <c r="A112" i="80"/>
  <c r="G111" i="80"/>
  <c r="E111" i="80"/>
  <c r="O110" i="80"/>
  <c r="F110" i="80"/>
  <c r="D110" i="80"/>
  <c r="B110" i="80"/>
  <c r="A110" i="80"/>
  <c r="J99" i="80"/>
  <c r="O98" i="80"/>
  <c r="O119" i="80" s="1"/>
  <c r="G98" i="80"/>
  <c r="G119" i="80" s="1"/>
  <c r="F98" i="80"/>
  <c r="F119" i="80" s="1"/>
  <c r="D98" i="80"/>
  <c r="D119" i="80" s="1"/>
  <c r="B98" i="80"/>
  <c r="A98" i="80"/>
  <c r="A119" i="80" s="1"/>
  <c r="J87" i="80"/>
  <c r="O86" i="80"/>
  <c r="O118" i="80" s="1"/>
  <c r="G86" i="80"/>
  <c r="G118" i="80" s="1"/>
  <c r="F86" i="80"/>
  <c r="F118" i="80" s="1"/>
  <c r="D86" i="80"/>
  <c r="D118" i="80" s="1"/>
  <c r="B86" i="80"/>
  <c r="A86" i="80"/>
  <c r="A118" i="80" s="1"/>
  <c r="J75" i="80"/>
  <c r="J74" i="80"/>
  <c r="J73" i="80"/>
  <c r="J72" i="80"/>
  <c r="J71" i="80"/>
  <c r="O70" i="80"/>
  <c r="O117" i="80" s="1"/>
  <c r="G70" i="80"/>
  <c r="G117" i="80" s="1"/>
  <c r="F70" i="80"/>
  <c r="F117" i="80" s="1"/>
  <c r="D70" i="80"/>
  <c r="D117" i="80" s="1"/>
  <c r="B70" i="80"/>
  <c r="A70" i="80"/>
  <c r="A117" i="80" s="1"/>
  <c r="J59" i="80"/>
  <c r="J58" i="80"/>
  <c r="J57" i="80"/>
  <c r="J56" i="80"/>
  <c r="O55" i="80"/>
  <c r="G55" i="80"/>
  <c r="G116" i="80" s="1"/>
  <c r="F55" i="80"/>
  <c r="F116" i="80" s="1"/>
  <c r="D55" i="80"/>
  <c r="D116" i="80" s="1"/>
  <c r="B55" i="80"/>
  <c r="A55" i="80"/>
  <c r="A116" i="80" s="1"/>
  <c r="J44" i="80"/>
  <c r="J43" i="80"/>
  <c r="J42" i="80"/>
  <c r="J41" i="80"/>
  <c r="J40" i="80"/>
  <c r="J39" i="80"/>
  <c r="J38" i="80"/>
  <c r="O37" i="80"/>
  <c r="O115" i="80" s="1"/>
  <c r="G37" i="80"/>
  <c r="G115" i="80" s="1"/>
  <c r="F37" i="80"/>
  <c r="F115" i="80" s="1"/>
  <c r="D37" i="80"/>
  <c r="D115" i="80" s="1"/>
  <c r="B37" i="80"/>
  <c r="J26" i="80"/>
  <c r="J25" i="80"/>
  <c r="O24" i="80"/>
  <c r="O112" i="80" s="1"/>
  <c r="F24" i="80"/>
  <c r="F112" i="80" s="1"/>
  <c r="D24" i="80"/>
  <c r="D112" i="80" s="1"/>
  <c r="B24" i="80"/>
  <c r="A24" i="80"/>
  <c r="J13" i="80"/>
  <c r="O12" i="80"/>
  <c r="O111" i="80" s="1"/>
  <c r="F12" i="80"/>
  <c r="F111" i="80" s="1"/>
  <c r="D12" i="80"/>
  <c r="D111" i="80" s="1"/>
  <c r="B12" i="80"/>
  <c r="A12" i="80"/>
  <c r="A111" i="80" s="1"/>
  <c r="N33" i="84" l="1"/>
  <c r="J12" i="87"/>
  <c r="B7" i="87"/>
  <c r="B25" i="84" s="1"/>
  <c r="P234" i="88"/>
  <c r="P233" i="88" s="1"/>
  <c r="B233" i="88" s="1"/>
  <c r="I259" i="88"/>
  <c r="P152" i="93"/>
  <c r="I308" i="88"/>
  <c r="B40" i="91"/>
  <c r="B34" i="87"/>
  <c r="J34" i="87" s="1"/>
  <c r="B36" i="87"/>
  <c r="J36" i="87" s="1"/>
  <c r="B12" i="92"/>
  <c r="J48" i="92"/>
  <c r="P235" i="88"/>
  <c r="B235" i="88"/>
  <c r="I235" i="88" s="1"/>
  <c r="I184" i="88"/>
  <c r="B34" i="92"/>
  <c r="J34" i="92" s="1"/>
  <c r="B36" i="92"/>
  <c r="J36" i="92" s="1"/>
  <c r="B242" i="93"/>
  <c r="B235" i="93" s="1"/>
  <c r="I235" i="93" s="1"/>
  <c r="B133" i="88"/>
  <c r="B109" i="88" s="1"/>
  <c r="I109" i="88" s="1"/>
  <c r="B43" i="92"/>
  <c r="B30" i="92" s="1"/>
  <c r="J30" i="92" s="1"/>
  <c r="I167" i="93"/>
  <c r="B162" i="93"/>
  <c r="B271" i="88"/>
  <c r="AB17" i="89"/>
  <c r="Z17" i="89" s="1"/>
  <c r="B17" i="89" s="1"/>
  <c r="B271" i="93"/>
  <c r="B152" i="93" l="1"/>
  <c r="P139" i="93"/>
  <c r="I233" i="88"/>
  <c r="B228" i="88"/>
  <c r="J12" i="92"/>
  <c r="B7" i="92"/>
  <c r="B24" i="89" s="1"/>
  <c r="N33" i="89" s="1"/>
  <c r="B139" i="93" l="1"/>
  <c r="I139" i="93" s="1"/>
  <c r="P138" i="93"/>
  <c r="B138" i="93" s="1"/>
  <c r="B147" i="93"/>
  <c r="I152" i="93"/>
  <c r="I138" i="93" l="1"/>
  <c r="B133" i="93"/>
  <c r="B109" i="93" s="1"/>
  <c r="I109" i="93" s="1"/>
  <c r="B54" i="79" l="1"/>
  <c r="I54" i="79" s="1"/>
  <c r="B53" i="79"/>
  <c r="I53" i="79" s="1"/>
  <c r="F52" i="79"/>
  <c r="C52" i="79"/>
  <c r="B52" i="79"/>
  <c r="I52" i="79" s="1"/>
  <c r="B41" i="79"/>
  <c r="I41" i="79" s="1"/>
  <c r="B40" i="79"/>
  <c r="I40" i="79" s="1"/>
  <c r="F39" i="79"/>
  <c r="C39" i="79"/>
  <c r="B39" i="79"/>
  <c r="I39" i="79" s="1"/>
  <c r="B28" i="79"/>
  <c r="I28" i="79" s="1"/>
  <c r="B27" i="79"/>
  <c r="I27" i="79" s="1"/>
  <c r="F26" i="79"/>
  <c r="C26" i="79"/>
  <c r="B26" i="79"/>
  <c r="I26" i="79" s="1"/>
  <c r="B13" i="79"/>
  <c r="I13" i="79" s="1"/>
  <c r="I12" i="79"/>
  <c r="F12" i="79"/>
  <c r="C12" i="79"/>
  <c r="B12" i="79"/>
  <c r="Q8" i="79"/>
  <c r="B15" i="79" s="1"/>
  <c r="I15" i="79" s="1"/>
  <c r="Q7" i="79"/>
  <c r="B14" i="79" s="1"/>
  <c r="I14" i="79" s="1"/>
  <c r="Q6" i="79"/>
  <c r="Q5" i="79"/>
  <c r="I200" i="78"/>
  <c r="I199" i="78"/>
  <c r="F199" i="78"/>
  <c r="C199" i="78"/>
  <c r="B199" i="78"/>
  <c r="B188" i="78"/>
  <c r="I188" i="78" s="1"/>
  <c r="B187" i="78"/>
  <c r="I187" i="78" s="1"/>
  <c r="I186" i="78"/>
  <c r="B186" i="78"/>
  <c r="B185" i="78"/>
  <c r="I185" i="78" s="1"/>
  <c r="I182" i="78"/>
  <c r="B182" i="78"/>
  <c r="I181" i="78"/>
  <c r="F180" i="78"/>
  <c r="C180" i="78"/>
  <c r="B180" i="78"/>
  <c r="I180" i="78" s="1"/>
  <c r="B169" i="78"/>
  <c r="I169" i="78" s="1"/>
  <c r="I168" i="78"/>
  <c r="B168" i="78"/>
  <c r="B167" i="78"/>
  <c r="I167" i="78" s="1"/>
  <c r="B166" i="78"/>
  <c r="I166" i="78" s="1"/>
  <c r="B163" i="78"/>
  <c r="I163" i="78" s="1"/>
  <c r="I162" i="78"/>
  <c r="I161" i="78"/>
  <c r="F161" i="78"/>
  <c r="C161" i="78"/>
  <c r="B161" i="78"/>
  <c r="B150" i="78"/>
  <c r="I150" i="78" s="1"/>
  <c r="B149" i="78"/>
  <c r="I149" i="78" s="1"/>
  <c r="B148" i="78"/>
  <c r="I148" i="78" s="1"/>
  <c r="I147" i="78"/>
  <c r="B147" i="78"/>
  <c r="B144" i="78"/>
  <c r="I144" i="78" s="1"/>
  <c r="I143" i="78"/>
  <c r="F142" i="78"/>
  <c r="C142" i="78"/>
  <c r="B142" i="78"/>
  <c r="I142" i="78" s="1"/>
  <c r="B130" i="78"/>
  <c r="I128" i="78"/>
  <c r="F128" i="78"/>
  <c r="C128" i="78"/>
  <c r="B128" i="78"/>
  <c r="B116" i="78"/>
  <c r="I116" i="78" s="1"/>
  <c r="B115" i="78"/>
  <c r="F113" i="78"/>
  <c r="C113" i="78"/>
  <c r="B113" i="78"/>
  <c r="I113" i="78" s="1"/>
  <c r="B101" i="78"/>
  <c r="I101" i="78" s="1"/>
  <c r="B100" i="78"/>
  <c r="F98" i="78"/>
  <c r="C98" i="78"/>
  <c r="B98" i="78"/>
  <c r="I98" i="78" s="1"/>
  <c r="I87" i="78"/>
  <c r="I86" i="78"/>
  <c r="I85" i="78"/>
  <c r="I84" i="78"/>
  <c r="I83" i="78"/>
  <c r="I82" i="78"/>
  <c r="I81" i="78"/>
  <c r="F80" i="78"/>
  <c r="C80" i="78"/>
  <c r="B80" i="78"/>
  <c r="I80" i="78" s="1"/>
  <c r="B69" i="78"/>
  <c r="I69" i="78" s="1"/>
  <c r="F68" i="78"/>
  <c r="C68" i="78"/>
  <c r="B68" i="78"/>
  <c r="I68" i="78" s="1"/>
  <c r="B56" i="78"/>
  <c r="I56" i="78" s="1"/>
  <c r="I55" i="78"/>
  <c r="F54" i="78"/>
  <c r="C54" i="78"/>
  <c r="B54" i="78"/>
  <c r="I54" i="78" s="1"/>
  <c r="B42" i="78"/>
  <c r="I42" i="78" s="1"/>
  <c r="B41" i="78"/>
  <c r="I41" i="78" s="1"/>
  <c r="I40" i="78"/>
  <c r="I39" i="78"/>
  <c r="F39" i="78"/>
  <c r="C39" i="78"/>
  <c r="B39" i="78"/>
  <c r="I28" i="78"/>
  <c r="I27" i="78"/>
  <c r="I26" i="78"/>
  <c r="I25" i="78"/>
  <c r="F25" i="78"/>
  <c r="C25" i="78"/>
  <c r="B25" i="78"/>
  <c r="I14" i="78"/>
  <c r="I13" i="78"/>
  <c r="F12" i="78"/>
  <c r="C12" i="78"/>
  <c r="B12" i="78"/>
  <c r="I12" i="78" s="1"/>
  <c r="P7" i="78"/>
  <c r="B43" i="78" s="1"/>
  <c r="I43" i="78" s="1"/>
  <c r="I46" i="77"/>
  <c r="F45" i="77"/>
  <c r="C45" i="77"/>
  <c r="B45" i="77"/>
  <c r="I45" i="77" s="1"/>
  <c r="I34" i="77"/>
  <c r="F33" i="77"/>
  <c r="C33" i="77"/>
  <c r="B33" i="77"/>
  <c r="I33" i="77" s="1"/>
  <c r="B20" i="77"/>
  <c r="I20" i="77" s="1"/>
  <c r="B19" i="77"/>
  <c r="I19" i="77" s="1"/>
  <c r="I18" i="77"/>
  <c r="I17" i="77"/>
  <c r="B16" i="77"/>
  <c r="I16" i="77" s="1"/>
  <c r="I15" i="77"/>
  <c r="B14" i="77"/>
  <c r="F12" i="77"/>
  <c r="C12" i="77"/>
  <c r="B12" i="77"/>
  <c r="I12" i="77" s="1"/>
  <c r="Q7" i="77"/>
  <c r="B21" i="77" s="1"/>
  <c r="I21" i="77" s="1"/>
  <c r="Q6" i="77"/>
  <c r="B13" i="77" s="1"/>
  <c r="I13" i="77" s="1"/>
  <c r="Q5" i="77"/>
  <c r="B165" i="78" l="1"/>
  <c r="I165" i="78" s="1"/>
  <c r="B131" i="78"/>
  <c r="I131" i="78" s="1"/>
  <c r="B117" i="78"/>
  <c r="I117" i="78" s="1"/>
  <c r="B146" i="78"/>
  <c r="I146" i="78" s="1"/>
  <c r="B183" i="78"/>
  <c r="I183" i="78" s="1"/>
  <c r="B102" i="78"/>
  <c r="I102" i="78" s="1"/>
  <c r="B145" i="78"/>
  <c r="I145" i="78" s="1"/>
  <c r="B164" i="78"/>
  <c r="I164" i="78" s="1"/>
  <c r="B57" i="78"/>
  <c r="I57" i="78" s="1"/>
  <c r="B184" i="78"/>
  <c r="I184" i="78" s="1"/>
  <c r="N83" i="76" l="1"/>
  <c r="N84" i="76"/>
  <c r="N85" i="76"/>
  <c r="N86" i="76"/>
  <c r="N87" i="76"/>
  <c r="N82" i="76"/>
  <c r="A77" i="76"/>
  <c r="N66" i="76"/>
  <c r="N65" i="76"/>
  <c r="N64" i="76"/>
  <c r="N63" i="76"/>
  <c r="N62" i="76"/>
  <c r="N61" i="76"/>
  <c r="A56" i="76"/>
  <c r="N41" i="76"/>
  <c r="N42" i="76"/>
  <c r="N43" i="76"/>
  <c r="N44" i="76"/>
  <c r="N45" i="76"/>
  <c r="N40" i="76"/>
  <c r="I39" i="76"/>
  <c r="N19" i="76"/>
  <c r="N20" i="76"/>
  <c r="N21" i="76"/>
  <c r="N22" i="76"/>
  <c r="N23" i="76"/>
  <c r="N24" i="76"/>
  <c r="A35" i="76" l="1"/>
  <c r="A14" i="76"/>
  <c r="B87" i="76" l="1"/>
  <c r="I87" i="76" s="1"/>
  <c r="B86" i="76"/>
  <c r="I86" i="76" s="1"/>
  <c r="B85" i="76"/>
  <c r="I85" i="76" s="1"/>
  <c r="B84" i="76"/>
  <c r="I84" i="76" s="1"/>
  <c r="B83" i="76"/>
  <c r="I83" i="76" s="1"/>
  <c r="B82" i="76"/>
  <c r="I82" i="76" s="1"/>
  <c r="I80" i="76"/>
  <c r="B79" i="76"/>
  <c r="B78" i="76"/>
  <c r="B66" i="76"/>
  <c r="I66" i="76" s="1"/>
  <c r="B65" i="76"/>
  <c r="I65" i="76" s="1"/>
  <c r="B64" i="76"/>
  <c r="I64" i="76" s="1"/>
  <c r="B63" i="76"/>
  <c r="I63" i="76" s="1"/>
  <c r="B62" i="76"/>
  <c r="I62" i="76" s="1"/>
  <c r="B61" i="76"/>
  <c r="I61" i="76" s="1"/>
  <c r="I59" i="76"/>
  <c r="B58" i="76"/>
  <c r="B57" i="76"/>
  <c r="B45" i="76"/>
  <c r="I45" i="76" s="1"/>
  <c r="B44" i="76"/>
  <c r="I44" i="76" s="1"/>
  <c r="B43" i="76"/>
  <c r="I43" i="76" s="1"/>
  <c r="B42" i="76"/>
  <c r="I42" i="76" s="1"/>
  <c r="B41" i="76"/>
  <c r="I41" i="76" s="1"/>
  <c r="B40" i="76"/>
  <c r="I40" i="76" s="1"/>
  <c r="I38" i="76"/>
  <c r="B37" i="76"/>
  <c r="B36" i="76"/>
  <c r="B24" i="76"/>
  <c r="I24" i="76" s="1"/>
  <c r="B23" i="76"/>
  <c r="I23" i="76" s="1"/>
  <c r="B22" i="76"/>
  <c r="I22" i="76" s="1"/>
  <c r="B21" i="76"/>
  <c r="I21" i="76" s="1"/>
  <c r="B20" i="76"/>
  <c r="I20" i="76" s="1"/>
  <c r="B19" i="76"/>
  <c r="I19" i="76" s="1"/>
  <c r="I17" i="76"/>
  <c r="B16" i="76"/>
  <c r="B15" i="76"/>
  <c r="N1" i="76"/>
  <c r="I18" i="30" l="1"/>
  <c r="N246" i="75"/>
  <c r="M246" i="75"/>
  <c r="L246" i="75"/>
  <c r="K246" i="75"/>
  <c r="J246" i="75"/>
  <c r="I246" i="75"/>
  <c r="G246" i="75"/>
  <c r="E246" i="75"/>
  <c r="D246" i="75"/>
  <c r="B246" i="75"/>
  <c r="N245" i="75"/>
  <c r="M245" i="75"/>
  <c r="L245" i="75"/>
  <c r="K245" i="75"/>
  <c r="J245" i="75"/>
  <c r="I245" i="75"/>
  <c r="G245" i="75"/>
  <c r="E245" i="75"/>
  <c r="D245" i="75"/>
  <c r="B245" i="75"/>
  <c r="N244" i="75"/>
  <c r="M244" i="75"/>
  <c r="L244" i="75"/>
  <c r="K244" i="75"/>
  <c r="J244" i="75"/>
  <c r="I244" i="75"/>
  <c r="G244" i="75"/>
  <c r="E244" i="75"/>
  <c r="D244" i="75"/>
  <c r="B244" i="75"/>
  <c r="N243" i="75"/>
  <c r="M243" i="75"/>
  <c r="L243" i="75"/>
  <c r="K243" i="75"/>
  <c r="J243" i="75"/>
  <c r="I243" i="75"/>
  <c r="G243" i="75"/>
  <c r="E243" i="75"/>
  <c r="D243" i="75"/>
  <c r="B243" i="75"/>
  <c r="A242" i="75"/>
  <c r="A16" i="71" s="1"/>
  <c r="A224" i="75"/>
  <c r="A213" i="75"/>
  <c r="A212" i="75"/>
  <c r="A211" i="75"/>
  <c r="A210" i="75"/>
  <c r="A209" i="75"/>
  <c r="A208" i="75"/>
  <c r="A243" i="75" s="1"/>
  <c r="A197" i="75"/>
  <c r="A196" i="75"/>
  <c r="A195" i="75"/>
  <c r="A194" i="75"/>
  <c r="A244" i="75" s="1"/>
  <c r="A183" i="75"/>
  <c r="A182" i="75"/>
  <c r="A181" i="75"/>
  <c r="A180" i="75"/>
  <c r="A179" i="75"/>
  <c r="A245" i="75" s="1"/>
  <c r="A160" i="75"/>
  <c r="A159" i="75"/>
  <c r="A246" i="75" s="1"/>
  <c r="B148" i="75"/>
  <c r="U147" i="75"/>
  <c r="B147" i="75" s="1"/>
  <c r="S147" i="75"/>
  <c r="S146" i="75"/>
  <c r="U146" i="75" s="1"/>
  <c r="B146" i="75" s="1"/>
  <c r="A145" i="75"/>
  <c r="B134" i="75"/>
  <c r="B133" i="75"/>
  <c r="A131" i="75"/>
  <c r="B119" i="75"/>
  <c r="B118" i="75"/>
  <c r="A116" i="75"/>
  <c r="B105" i="75"/>
  <c r="B104" i="75"/>
  <c r="A101" i="75"/>
  <c r="B89" i="75"/>
  <c r="B88" i="75" s="1"/>
  <c r="A86" i="75"/>
  <c r="B74" i="75"/>
  <c r="B75" i="75" s="1"/>
  <c r="A71" i="75"/>
  <c r="B60" i="75"/>
  <c r="J59" i="75"/>
  <c r="B59" i="75"/>
  <c r="S58" i="75"/>
  <c r="U58" i="75" s="1"/>
  <c r="B58" i="75" s="1"/>
  <c r="U57" i="75"/>
  <c r="B57" i="75" s="1"/>
  <c r="S57" i="75"/>
  <c r="A56" i="75"/>
  <c r="B45" i="75"/>
  <c r="B44" i="75"/>
  <c r="A42" i="75"/>
  <c r="B30" i="75"/>
  <c r="B29" i="75"/>
  <c r="A27" i="75"/>
  <c r="B15" i="75"/>
  <c r="B16" i="75" s="1"/>
  <c r="A12" i="75"/>
  <c r="A135" i="74"/>
  <c r="A134" i="74"/>
  <c r="A133" i="74"/>
  <c r="A132" i="74"/>
  <c r="A131" i="74"/>
  <c r="A130" i="74"/>
  <c r="A129" i="74"/>
  <c r="A128" i="74"/>
  <c r="A127" i="74"/>
  <c r="A126" i="74"/>
  <c r="A125" i="74"/>
  <c r="A15" i="71" s="1"/>
  <c r="B114" i="74"/>
  <c r="A113" i="74"/>
  <c r="B102" i="74"/>
  <c r="B101" i="74"/>
  <c r="A99" i="74"/>
  <c r="B88" i="74"/>
  <c r="A85" i="74"/>
  <c r="B74" i="74"/>
  <c r="A71" i="74"/>
  <c r="B60" i="74"/>
  <c r="A57" i="74"/>
  <c r="B46" i="74"/>
  <c r="A42" i="74"/>
  <c r="B31" i="74"/>
  <c r="B30" i="74"/>
  <c r="B29" i="74"/>
  <c r="A27" i="74"/>
  <c r="B16" i="74"/>
  <c r="B15" i="74"/>
  <c r="J15" i="74" s="1"/>
  <c r="S14" i="74"/>
  <c r="U14" i="74" s="1"/>
  <c r="B14" i="74" s="1"/>
  <c r="S13" i="74"/>
  <c r="U13" i="74" s="1"/>
  <c r="B13" i="74" s="1"/>
  <c r="A12" i="74"/>
  <c r="N102" i="73"/>
  <c r="M102" i="73"/>
  <c r="L102" i="73"/>
  <c r="K102" i="73"/>
  <c r="J102" i="73"/>
  <c r="I102" i="73"/>
  <c r="G102" i="73"/>
  <c r="F102" i="73"/>
  <c r="E102" i="73"/>
  <c r="D102" i="73"/>
  <c r="B102" i="73"/>
  <c r="N101" i="73"/>
  <c r="M101" i="73"/>
  <c r="L101" i="73"/>
  <c r="K101" i="73"/>
  <c r="J101" i="73"/>
  <c r="I101" i="73"/>
  <c r="G101" i="73"/>
  <c r="F101" i="73"/>
  <c r="E101" i="73"/>
  <c r="D101" i="73"/>
  <c r="B101" i="73"/>
  <c r="A100" i="73"/>
  <c r="A14" i="71" s="1"/>
  <c r="A89" i="73"/>
  <c r="A88" i="73"/>
  <c r="A87" i="73"/>
  <c r="A86" i="73"/>
  <c r="A85" i="73"/>
  <c r="A101" i="73" s="1"/>
  <c r="A73" i="73"/>
  <c r="A72" i="73"/>
  <c r="A71" i="73"/>
  <c r="A70" i="73"/>
  <c r="A69" i="73"/>
  <c r="A102" i="73" s="1"/>
  <c r="B57" i="73"/>
  <c r="B58" i="73" s="1"/>
  <c r="A55" i="73"/>
  <c r="B43" i="73"/>
  <c r="B42" i="73"/>
  <c r="A41" i="73"/>
  <c r="B29" i="73"/>
  <c r="B28" i="73"/>
  <c r="B27" i="73"/>
  <c r="A26" i="73"/>
  <c r="B14" i="73"/>
  <c r="B13" i="73"/>
  <c r="B72" i="72"/>
  <c r="A71" i="72"/>
  <c r="A70" i="72"/>
  <c r="A69" i="72"/>
  <c r="A68" i="72"/>
  <c r="B56" i="72"/>
  <c r="B44" i="72"/>
  <c r="B43" i="72" s="1"/>
  <c r="B29" i="72"/>
  <c r="B30" i="72" s="1"/>
  <c r="B27" i="72"/>
  <c r="B13" i="72"/>
  <c r="N16" i="71"/>
  <c r="M16" i="71"/>
  <c r="L16" i="71"/>
  <c r="K16" i="71"/>
  <c r="J16" i="71"/>
  <c r="I16" i="71"/>
  <c r="G16" i="71"/>
  <c r="F16" i="71"/>
  <c r="E16" i="71"/>
  <c r="D16" i="71"/>
  <c r="B16" i="71"/>
  <c r="N15" i="71"/>
  <c r="M15" i="71"/>
  <c r="L15" i="71"/>
  <c r="K15" i="71"/>
  <c r="J15" i="71"/>
  <c r="I15" i="71"/>
  <c r="G15" i="71"/>
  <c r="F15" i="71"/>
  <c r="E15" i="71"/>
  <c r="D15" i="71"/>
  <c r="B15" i="71"/>
  <c r="N14" i="71"/>
  <c r="M14" i="71"/>
  <c r="L14" i="71"/>
  <c r="K14" i="71"/>
  <c r="J14" i="71"/>
  <c r="I14" i="71"/>
  <c r="G14" i="71"/>
  <c r="F14" i="71"/>
  <c r="E14" i="71"/>
  <c r="D14" i="71"/>
  <c r="B14" i="71"/>
  <c r="N13" i="71"/>
  <c r="M13" i="71"/>
  <c r="L13" i="71"/>
  <c r="K13" i="71"/>
  <c r="J13" i="71"/>
  <c r="I13" i="71"/>
  <c r="G13" i="71"/>
  <c r="F13" i="71"/>
  <c r="E13" i="71"/>
  <c r="D13" i="71"/>
  <c r="B13" i="71"/>
  <c r="A13" i="71"/>
  <c r="A12" i="71"/>
  <c r="B362" i="70" l="1"/>
  <c r="I362" i="70" s="1"/>
  <c r="R361" i="70"/>
  <c r="B361" i="70"/>
  <c r="I361" i="70" s="1"/>
  <c r="R360" i="70"/>
  <c r="B360" i="70"/>
  <c r="I360" i="70" s="1"/>
  <c r="R359" i="70"/>
  <c r="B359" i="70" s="1"/>
  <c r="I359" i="70" s="1"/>
  <c r="R358" i="70"/>
  <c r="B358" i="70" s="1"/>
  <c r="I358" i="70" s="1"/>
  <c r="B357" i="70"/>
  <c r="I357" i="70" s="1"/>
  <c r="I356" i="70"/>
  <c r="B356" i="70"/>
  <c r="B355" i="70"/>
  <c r="I355" i="70" s="1"/>
  <c r="R354" i="70"/>
  <c r="B354" i="70" s="1"/>
  <c r="I354" i="70" s="1"/>
  <c r="I353" i="70"/>
  <c r="B353" i="70"/>
  <c r="B352" i="70"/>
  <c r="I352" i="70" s="1"/>
  <c r="B351" i="70"/>
  <c r="B340" i="70"/>
  <c r="I340" i="70" s="1"/>
  <c r="I339" i="70"/>
  <c r="B339" i="70"/>
  <c r="R338" i="70"/>
  <c r="B338" i="70"/>
  <c r="I338" i="70" s="1"/>
  <c r="R337" i="70"/>
  <c r="B337" i="70"/>
  <c r="I337" i="70" s="1"/>
  <c r="I336" i="70"/>
  <c r="B336" i="70"/>
  <c r="R335" i="70"/>
  <c r="B335" i="70"/>
  <c r="I335" i="70" s="1"/>
  <c r="B334" i="70"/>
  <c r="I334" i="70" s="1"/>
  <c r="I333" i="70"/>
  <c r="B333" i="70"/>
  <c r="B332" i="70"/>
  <c r="I332" i="70" s="1"/>
  <c r="R331" i="70"/>
  <c r="B331" i="70" s="1"/>
  <c r="I331" i="70" s="1"/>
  <c r="B330" i="70"/>
  <c r="I330" i="70" s="1"/>
  <c r="I329" i="70"/>
  <c r="B329" i="70"/>
  <c r="B324" i="70"/>
  <c r="B318" i="70"/>
  <c r="I318" i="70" s="1"/>
  <c r="B317" i="70"/>
  <c r="I317" i="70" s="1"/>
  <c r="I316" i="70"/>
  <c r="B316" i="70"/>
  <c r="B315" i="70"/>
  <c r="I315" i="70" s="1"/>
  <c r="B314" i="70"/>
  <c r="I314" i="70" s="1"/>
  <c r="B313" i="70"/>
  <c r="I313" i="70" s="1"/>
  <c r="I312" i="70"/>
  <c r="B312" i="70"/>
  <c r="B311" i="70"/>
  <c r="I311" i="70" s="1"/>
  <c r="B310" i="70"/>
  <c r="I310" i="70" s="1"/>
  <c r="B309" i="70"/>
  <c r="I309" i="70" s="1"/>
  <c r="I308" i="70"/>
  <c r="B308" i="70"/>
  <c r="B303" i="70" s="1"/>
  <c r="R297" i="70"/>
  <c r="B297" i="70"/>
  <c r="I297" i="70" s="1"/>
  <c r="R296" i="70"/>
  <c r="B296" i="70"/>
  <c r="I296" i="70" s="1"/>
  <c r="I295" i="70"/>
  <c r="B295" i="70"/>
  <c r="P293" i="70"/>
  <c r="I293" i="70"/>
  <c r="P292" i="70"/>
  <c r="I292" i="70"/>
  <c r="S290" i="70"/>
  <c r="S291" i="70" s="1"/>
  <c r="T294" i="70" s="1"/>
  <c r="B294" i="70" s="1"/>
  <c r="I294" i="70" s="1"/>
  <c r="B287" i="70"/>
  <c r="R281" i="70"/>
  <c r="B281" i="70" s="1"/>
  <c r="I281" i="70" s="1"/>
  <c r="R280" i="70"/>
  <c r="B280" i="70" s="1"/>
  <c r="I280" i="70" s="1"/>
  <c r="R279" i="70"/>
  <c r="B279" i="70"/>
  <c r="I279" i="70" s="1"/>
  <c r="P278" i="70"/>
  <c r="B278" i="70"/>
  <c r="I278" i="70" s="1"/>
  <c r="I277" i="70"/>
  <c r="B277" i="70"/>
  <c r="B276" i="70"/>
  <c r="I276" i="70" s="1"/>
  <c r="B271" i="70"/>
  <c r="R265" i="70"/>
  <c r="B265" i="70"/>
  <c r="I265" i="70" s="1"/>
  <c r="R264" i="70"/>
  <c r="B264" i="70"/>
  <c r="I264" i="70" s="1"/>
  <c r="R263" i="70"/>
  <c r="B263" i="70"/>
  <c r="I263" i="70" s="1"/>
  <c r="R262" i="70"/>
  <c r="I262" i="70"/>
  <c r="B262" i="70"/>
  <c r="R261" i="70"/>
  <c r="B261" i="70"/>
  <c r="I261" i="70" s="1"/>
  <c r="P260" i="70"/>
  <c r="B260" i="70" s="1"/>
  <c r="B259" i="70" s="1"/>
  <c r="B254" i="70" s="1"/>
  <c r="B234" i="70" s="1"/>
  <c r="B233" i="70" s="1"/>
  <c r="B228" i="70" s="1"/>
  <c r="S248" i="70"/>
  <c r="B248" i="70"/>
  <c r="I248" i="70" s="1"/>
  <c r="S247" i="70"/>
  <c r="B247" i="70"/>
  <c r="B236" i="70"/>
  <c r="I236" i="70" s="1"/>
  <c r="R222" i="70"/>
  <c r="B222" i="70"/>
  <c r="I222" i="70" s="1"/>
  <c r="R221" i="70"/>
  <c r="B221" i="70"/>
  <c r="I221" i="70" s="1"/>
  <c r="R220" i="70"/>
  <c r="B220" i="70"/>
  <c r="I220" i="70" s="1"/>
  <c r="R219" i="70"/>
  <c r="I219" i="70"/>
  <c r="B219" i="70"/>
  <c r="B218" i="70"/>
  <c r="I218" i="70" s="1"/>
  <c r="B216" i="70"/>
  <c r="I216" i="70" s="1"/>
  <c r="B211" i="70"/>
  <c r="R205" i="70"/>
  <c r="B205" i="70" s="1"/>
  <c r="I205" i="70" s="1"/>
  <c r="R204" i="70"/>
  <c r="B204" i="70"/>
  <c r="I204" i="70" s="1"/>
  <c r="B203" i="70"/>
  <c r="I203" i="70" s="1"/>
  <c r="P201" i="70"/>
  <c r="I201" i="70"/>
  <c r="P200" i="70"/>
  <c r="I200" i="70"/>
  <c r="S196" i="70"/>
  <c r="S197" i="70" s="1"/>
  <c r="T200" i="70" s="1"/>
  <c r="B202" i="70" s="1"/>
  <c r="I202" i="70" s="1"/>
  <c r="B195" i="70"/>
  <c r="R189" i="70"/>
  <c r="B189" i="70" s="1"/>
  <c r="I189" i="70" s="1"/>
  <c r="R188" i="70"/>
  <c r="B188" i="70"/>
  <c r="I188" i="70" s="1"/>
  <c r="R187" i="70"/>
  <c r="B187" i="70" s="1"/>
  <c r="I187" i="70" s="1"/>
  <c r="P186" i="70"/>
  <c r="B186" i="70" s="1"/>
  <c r="I186" i="70" s="1"/>
  <c r="I185" i="70"/>
  <c r="I184" i="70"/>
  <c r="B179" i="70"/>
  <c r="R173" i="70"/>
  <c r="I173" i="70"/>
  <c r="B173" i="70"/>
  <c r="R172" i="70"/>
  <c r="B172" i="70"/>
  <c r="I172" i="70" s="1"/>
  <c r="R171" i="70"/>
  <c r="B171" i="70" s="1"/>
  <c r="I171" i="70" s="1"/>
  <c r="R170" i="70"/>
  <c r="B170" i="70" s="1"/>
  <c r="I170" i="70" s="1"/>
  <c r="R169" i="70"/>
  <c r="B169" i="70"/>
  <c r="I169" i="70" s="1"/>
  <c r="I168" i="70"/>
  <c r="B168" i="70"/>
  <c r="I167" i="70"/>
  <c r="B167" i="70"/>
  <c r="B162" i="70" s="1"/>
  <c r="B156" i="70"/>
  <c r="I156" i="70" s="1"/>
  <c r="R155" i="70"/>
  <c r="I155" i="70"/>
  <c r="B155" i="70"/>
  <c r="I154" i="70"/>
  <c r="B154" i="70"/>
  <c r="B153" i="70"/>
  <c r="I153" i="70" s="1"/>
  <c r="B152" i="70"/>
  <c r="I152" i="70" s="1"/>
  <c r="R141" i="70"/>
  <c r="I141" i="70"/>
  <c r="B141" i="70"/>
  <c r="R140" i="70"/>
  <c r="B140" i="70"/>
  <c r="I140" i="70" s="1"/>
  <c r="B139" i="70"/>
  <c r="I139" i="70" s="1"/>
  <c r="B138" i="70"/>
  <c r="R127" i="70"/>
  <c r="B127" i="70"/>
  <c r="I127" i="70" s="1"/>
  <c r="R126" i="70"/>
  <c r="B126" i="70" s="1"/>
  <c r="I126" i="70"/>
  <c r="R125" i="70"/>
  <c r="B125" i="70" s="1"/>
  <c r="I125" i="70" s="1"/>
  <c r="R124" i="70"/>
  <c r="I124" i="70"/>
  <c r="R112" i="70"/>
  <c r="B112" i="70" s="1"/>
  <c r="I112" i="70" s="1"/>
  <c r="I111" i="70"/>
  <c r="Q108" i="70"/>
  <c r="R110" i="70" s="1"/>
  <c r="B110" i="70" s="1"/>
  <c r="I110" i="70" s="1"/>
  <c r="R97" i="70"/>
  <c r="I97" i="70"/>
  <c r="B97" i="70"/>
  <c r="I84" i="70"/>
  <c r="I83" i="70"/>
  <c r="I82" i="70"/>
  <c r="B77" i="70"/>
  <c r="B69" i="70" s="1"/>
  <c r="I69" i="70" s="1"/>
  <c r="R71" i="70"/>
  <c r="B71" i="70" s="1"/>
  <c r="I71" i="70" s="1"/>
  <c r="R57" i="70"/>
  <c r="B57" i="70"/>
  <c r="I57" i="70" s="1"/>
  <c r="R56" i="70"/>
  <c r="B56" i="70" s="1"/>
  <c r="I56" i="70" s="1"/>
  <c r="R55" i="70"/>
  <c r="B55" i="70"/>
  <c r="B42" i="70" s="1"/>
  <c r="I42" i="70" s="1"/>
  <c r="B50" i="70"/>
  <c r="R44" i="70"/>
  <c r="B44" i="70" s="1"/>
  <c r="I44" i="70" s="1"/>
  <c r="R30" i="70"/>
  <c r="B30" i="70"/>
  <c r="I30" i="70" s="1"/>
  <c r="R29" i="70"/>
  <c r="B29" i="70" s="1"/>
  <c r="I29" i="70"/>
  <c r="R28" i="70"/>
  <c r="B28" i="70" s="1"/>
  <c r="I28" i="70" s="1"/>
  <c r="B27" i="70"/>
  <c r="I27" i="70" s="1"/>
  <c r="R15" i="70"/>
  <c r="B15" i="70" s="1"/>
  <c r="I15" i="70"/>
  <c r="B57" i="69"/>
  <c r="J57" i="69" s="1"/>
  <c r="B56" i="69"/>
  <c r="J56" i="69" s="1"/>
  <c r="J55" i="69"/>
  <c r="B55" i="69"/>
  <c r="S54" i="69"/>
  <c r="B54" i="69" s="1"/>
  <c r="J54" i="69" s="1"/>
  <c r="S53" i="69"/>
  <c r="B53" i="69"/>
  <c r="J53" i="69" s="1"/>
  <c r="S52" i="69"/>
  <c r="B52" i="69" s="1"/>
  <c r="J52" i="69" s="1"/>
  <c r="B51" i="69"/>
  <c r="J51" i="69" s="1"/>
  <c r="S50" i="69"/>
  <c r="B50" i="69"/>
  <c r="J50" i="69" s="1"/>
  <c r="J49" i="69"/>
  <c r="B49" i="69"/>
  <c r="J48" i="69"/>
  <c r="B48" i="69"/>
  <c r="B43" i="69"/>
  <c r="S37" i="69"/>
  <c r="B37" i="69"/>
  <c r="J37" i="69" s="1"/>
  <c r="S36" i="69"/>
  <c r="B36" i="69"/>
  <c r="J36" i="69" s="1"/>
  <c r="S35" i="69"/>
  <c r="B35" i="69"/>
  <c r="J35" i="69" s="1"/>
  <c r="B34" i="69"/>
  <c r="J34" i="69" s="1"/>
  <c r="J33" i="69"/>
  <c r="B33" i="69"/>
  <c r="S32" i="69"/>
  <c r="B32" i="69" s="1"/>
  <c r="J32" i="69" s="1"/>
  <c r="B31" i="69"/>
  <c r="J31" i="69" s="1"/>
  <c r="J30" i="69"/>
  <c r="B30" i="69"/>
  <c r="B19" i="69"/>
  <c r="S18" i="69"/>
  <c r="B18" i="69" s="1"/>
  <c r="J18" i="69" s="1"/>
  <c r="B17" i="69"/>
  <c r="J17" i="69" s="1"/>
  <c r="S16" i="69"/>
  <c r="B16" i="69" s="1"/>
  <c r="J16" i="69"/>
  <c r="J15" i="69"/>
  <c r="B15" i="69"/>
  <c r="B14" i="69"/>
  <c r="J14" i="69" s="1"/>
  <c r="B12" i="69"/>
  <c r="B9" i="69"/>
  <c r="I47" i="68"/>
  <c r="I46" i="68"/>
  <c r="B45" i="68"/>
  <c r="I45" i="68" s="1"/>
  <c r="B40" i="68"/>
  <c r="R34" i="68"/>
  <c r="B34" i="68" s="1"/>
  <c r="I34" i="68" s="1"/>
  <c r="R33" i="68"/>
  <c r="B33" i="68" s="1"/>
  <c r="I33" i="68" s="1"/>
  <c r="R32" i="68"/>
  <c r="B32" i="68"/>
  <c r="I32" i="68" s="1"/>
  <c r="R31" i="68"/>
  <c r="B31" i="68"/>
  <c r="I31" i="68" s="1"/>
  <c r="I30" i="68"/>
  <c r="B30" i="68"/>
  <c r="I29" i="68"/>
  <c r="P28" i="68"/>
  <c r="I28" i="68"/>
  <c r="B23" i="68"/>
  <c r="Q17" i="68"/>
  <c r="B17" i="68" s="1"/>
  <c r="I17" i="68"/>
  <c r="Q16" i="68"/>
  <c r="B16" i="68"/>
  <c r="I16" i="68" s="1"/>
  <c r="Q15" i="68"/>
  <c r="B15" i="68"/>
  <c r="I15" i="68" s="1"/>
  <c r="B13" i="68"/>
  <c r="T11" i="68"/>
  <c r="T12" i="68" s="1"/>
  <c r="U15" i="68" s="1"/>
  <c r="B14" i="68" s="1"/>
  <c r="I14" i="68" s="1"/>
  <c r="I104" i="67"/>
  <c r="I103" i="67"/>
  <c r="I102" i="67"/>
  <c r="B101" i="67"/>
  <c r="I101" i="67" s="1"/>
  <c r="I89" i="67"/>
  <c r="I88" i="67"/>
  <c r="I87" i="67"/>
  <c r="I86" i="67"/>
  <c r="B81" i="67"/>
  <c r="I75" i="67"/>
  <c r="I74" i="67"/>
  <c r="I73" i="67"/>
  <c r="B68" i="67"/>
  <c r="I62" i="67"/>
  <c r="B62" i="67"/>
  <c r="I61" i="67"/>
  <c r="B61" i="67"/>
  <c r="R60" i="67"/>
  <c r="B60" i="67" s="1"/>
  <c r="I60" i="67"/>
  <c r="I59" i="67"/>
  <c r="B54" i="67"/>
  <c r="R48" i="67"/>
  <c r="I48" i="67"/>
  <c r="B48" i="67"/>
  <c r="B47" i="67"/>
  <c r="I47" i="67" s="1"/>
  <c r="R46" i="67"/>
  <c r="B46" i="67"/>
  <c r="I46" i="67" s="1"/>
  <c r="R45" i="67"/>
  <c r="B45" i="67"/>
  <c r="I45" i="67" s="1"/>
  <c r="B44" i="67"/>
  <c r="I44" i="67" s="1"/>
  <c r="B43" i="67"/>
  <c r="I43" i="67" s="1"/>
  <c r="I42" i="67"/>
  <c r="B37" i="67"/>
  <c r="T36" i="67"/>
  <c r="O36" i="67"/>
  <c r="O13" i="67" s="1"/>
  <c r="Q13" i="67" s="1"/>
  <c r="R31" i="67"/>
  <c r="B31" i="67" s="1"/>
  <c r="I31" i="67"/>
  <c r="B30" i="67"/>
  <c r="I30" i="67" s="1"/>
  <c r="R29" i="67"/>
  <c r="I29" i="67"/>
  <c r="B29" i="67"/>
  <c r="I28" i="67"/>
  <c r="B23" i="67"/>
  <c r="Q17" i="67"/>
  <c r="B17" i="67"/>
  <c r="I17" i="67" s="1"/>
  <c r="Q16" i="67"/>
  <c r="I16" i="67"/>
  <c r="B16" i="67"/>
  <c r="B15" i="67"/>
  <c r="I15" i="67" s="1"/>
  <c r="I14" i="67"/>
  <c r="B13" i="67"/>
  <c r="I13" i="67" s="1"/>
  <c r="I12" i="67"/>
  <c r="B7" i="67"/>
  <c r="B28" i="66"/>
  <c r="Z27" i="66"/>
  <c r="B27" i="66" s="1"/>
  <c r="Z26" i="66"/>
  <c r="B26" i="66"/>
  <c r="Z25" i="66"/>
  <c r="B25" i="66" s="1"/>
  <c r="Z24" i="66"/>
  <c r="Z23" i="66"/>
  <c r="B23" i="66" s="1"/>
  <c r="Z22" i="66"/>
  <c r="B22" i="66"/>
  <c r="Z21" i="66"/>
  <c r="B21" i="66" s="1"/>
  <c r="Z20" i="66"/>
  <c r="B20" i="66" s="1"/>
  <c r="Z19" i="66"/>
  <c r="B19" i="66" s="1"/>
  <c r="Z18" i="66"/>
  <c r="B18" i="66"/>
  <c r="AB17" i="66"/>
  <c r="Z17" i="66" s="1"/>
  <c r="B17" i="66" s="1"/>
  <c r="Z16" i="66"/>
  <c r="B16" i="66" s="1"/>
  <c r="B12" i="70" s="1"/>
  <c r="B7" i="70" s="1"/>
  <c r="Z15" i="66"/>
  <c r="B15" i="66" s="1"/>
  <c r="Z14" i="66"/>
  <c r="B14" i="66"/>
  <c r="Z13" i="66"/>
  <c r="B13" i="66"/>
  <c r="N1" i="66"/>
  <c r="B362" i="65"/>
  <c r="I362" i="65" s="1"/>
  <c r="R361" i="65"/>
  <c r="B361" i="65"/>
  <c r="I361" i="65" s="1"/>
  <c r="R360" i="65"/>
  <c r="I360" i="65"/>
  <c r="B360" i="65"/>
  <c r="R359" i="65"/>
  <c r="B359" i="65" s="1"/>
  <c r="I359" i="65" s="1"/>
  <c r="R358" i="65"/>
  <c r="B358" i="65" s="1"/>
  <c r="I358" i="65" s="1"/>
  <c r="I357" i="65"/>
  <c r="B357" i="65"/>
  <c r="B356" i="65"/>
  <c r="I356" i="65" s="1"/>
  <c r="B355" i="65"/>
  <c r="I355" i="65" s="1"/>
  <c r="R354" i="65"/>
  <c r="B354" i="65"/>
  <c r="I354" i="65" s="1"/>
  <c r="I353" i="65"/>
  <c r="B353" i="65"/>
  <c r="B352" i="65"/>
  <c r="I352" i="65" s="1"/>
  <c r="B351" i="65"/>
  <c r="B346" i="65" s="1"/>
  <c r="I340" i="65"/>
  <c r="B340" i="65"/>
  <c r="B339" i="65"/>
  <c r="I339" i="65" s="1"/>
  <c r="R338" i="65"/>
  <c r="I338" i="65"/>
  <c r="B338" i="65"/>
  <c r="R337" i="65"/>
  <c r="I337" i="65"/>
  <c r="B337" i="65"/>
  <c r="B336" i="65"/>
  <c r="I336" i="65" s="1"/>
  <c r="R335" i="65"/>
  <c r="I335" i="65"/>
  <c r="B335" i="65"/>
  <c r="B334" i="65"/>
  <c r="I334" i="65" s="1"/>
  <c r="I333" i="65"/>
  <c r="B333" i="65"/>
  <c r="B332" i="65"/>
  <c r="I332" i="65" s="1"/>
  <c r="R331" i="65"/>
  <c r="B331" i="65" s="1"/>
  <c r="I331" i="65"/>
  <c r="I330" i="65"/>
  <c r="B330" i="65"/>
  <c r="B329" i="65"/>
  <c r="I329" i="65" s="1"/>
  <c r="B318" i="65"/>
  <c r="I318" i="65" s="1"/>
  <c r="B317" i="65"/>
  <c r="I317" i="65" s="1"/>
  <c r="I316" i="65"/>
  <c r="B316" i="65"/>
  <c r="B315" i="65"/>
  <c r="I315" i="65" s="1"/>
  <c r="I314" i="65"/>
  <c r="B314" i="65"/>
  <c r="B313" i="65"/>
  <c r="I313" i="65" s="1"/>
  <c r="I312" i="65"/>
  <c r="B312" i="65"/>
  <c r="B311" i="65"/>
  <c r="I311" i="65" s="1"/>
  <c r="B310" i="65"/>
  <c r="I310" i="65" s="1"/>
  <c r="B309" i="65"/>
  <c r="I309" i="65" s="1"/>
  <c r="I308" i="65"/>
  <c r="B308" i="65"/>
  <c r="B303" i="65" s="1"/>
  <c r="R297" i="65"/>
  <c r="I297" i="65"/>
  <c r="B297" i="65"/>
  <c r="R296" i="65"/>
  <c r="I296" i="65"/>
  <c r="B296" i="65"/>
  <c r="I295" i="65"/>
  <c r="B295" i="65"/>
  <c r="P293" i="65"/>
  <c r="I293" i="65"/>
  <c r="P292" i="65"/>
  <c r="I292" i="65"/>
  <c r="S290" i="65"/>
  <c r="S291" i="65" s="1"/>
  <c r="T294" i="65" s="1"/>
  <c r="B294" i="65" s="1"/>
  <c r="I294" i="65" s="1"/>
  <c r="B287" i="65"/>
  <c r="R281" i="65"/>
  <c r="B281" i="65" s="1"/>
  <c r="I281" i="65" s="1"/>
  <c r="R280" i="65"/>
  <c r="B280" i="65" s="1"/>
  <c r="I280" i="65" s="1"/>
  <c r="R279" i="65"/>
  <c r="I279" i="65"/>
  <c r="B279" i="65"/>
  <c r="P278" i="65"/>
  <c r="I278" i="65"/>
  <c r="B278" i="65"/>
  <c r="I277" i="65"/>
  <c r="B277" i="65"/>
  <c r="B276" i="65"/>
  <c r="I276" i="65" s="1"/>
  <c r="B271" i="65"/>
  <c r="R265" i="65"/>
  <c r="I265" i="65"/>
  <c r="B265" i="65"/>
  <c r="R264" i="65"/>
  <c r="B264" i="65" s="1"/>
  <c r="I264" i="65" s="1"/>
  <c r="R263" i="65"/>
  <c r="B263" i="65" s="1"/>
  <c r="I263" i="65" s="1"/>
  <c r="R262" i="65"/>
  <c r="B262" i="65" s="1"/>
  <c r="I262" i="65" s="1"/>
  <c r="R261" i="65"/>
  <c r="B261" i="65"/>
  <c r="I261" i="65" s="1"/>
  <c r="P260" i="65"/>
  <c r="B260" i="65" s="1"/>
  <c r="S248" i="65"/>
  <c r="B248" i="65"/>
  <c r="I248" i="65" s="1"/>
  <c r="S247" i="65"/>
  <c r="I247" i="65"/>
  <c r="B247" i="65"/>
  <c r="B242" i="65" s="1"/>
  <c r="B235" i="65" s="1"/>
  <c r="I235" i="65" s="1"/>
  <c r="B236" i="65"/>
  <c r="I236" i="65" s="1"/>
  <c r="R222" i="65"/>
  <c r="B222" i="65"/>
  <c r="I222" i="65" s="1"/>
  <c r="R221" i="65"/>
  <c r="I221" i="65"/>
  <c r="B221" i="65"/>
  <c r="R220" i="65"/>
  <c r="B220" i="65"/>
  <c r="I220" i="65" s="1"/>
  <c r="R219" i="65"/>
  <c r="B219" i="65" s="1"/>
  <c r="I219" i="65"/>
  <c r="I218" i="65"/>
  <c r="B218" i="65"/>
  <c r="B216" i="65"/>
  <c r="I216" i="65" s="1"/>
  <c r="R205" i="65"/>
  <c r="I205" i="65"/>
  <c r="B205" i="65"/>
  <c r="R204" i="65"/>
  <c r="I204" i="65"/>
  <c r="B204" i="65"/>
  <c r="I203" i="65"/>
  <c r="B203" i="65"/>
  <c r="I201" i="65"/>
  <c r="I200" i="65"/>
  <c r="R196" i="65"/>
  <c r="R197" i="65" s="1"/>
  <c r="S200" i="65" s="1"/>
  <c r="B202" i="65" s="1"/>
  <c r="I202" i="65" s="1"/>
  <c r="B195" i="65"/>
  <c r="R189" i="65"/>
  <c r="I189" i="65"/>
  <c r="B189" i="65"/>
  <c r="R188" i="65"/>
  <c r="B188" i="65" s="1"/>
  <c r="I188" i="65" s="1"/>
  <c r="R187" i="65"/>
  <c r="B187" i="65" s="1"/>
  <c r="I187" i="65" s="1"/>
  <c r="P186" i="65"/>
  <c r="B186" i="65" s="1"/>
  <c r="I186" i="65" s="1"/>
  <c r="I185" i="65"/>
  <c r="B185" i="65"/>
  <c r="I184" i="65"/>
  <c r="B184" i="65"/>
  <c r="B179" i="65" s="1"/>
  <c r="R173" i="65"/>
  <c r="B173" i="65" s="1"/>
  <c r="I173" i="65" s="1"/>
  <c r="R172" i="65"/>
  <c r="B172" i="65"/>
  <c r="I172" i="65" s="1"/>
  <c r="R171" i="65"/>
  <c r="B171" i="65" s="1"/>
  <c r="I171" i="65" s="1"/>
  <c r="R170" i="65"/>
  <c r="B170" i="65" s="1"/>
  <c r="I170" i="65" s="1"/>
  <c r="R169" i="65"/>
  <c r="B169" i="65"/>
  <c r="I169" i="65" s="1"/>
  <c r="P168" i="65"/>
  <c r="I168" i="65"/>
  <c r="B168" i="65"/>
  <c r="P167" i="65"/>
  <c r="B167" i="65" s="1"/>
  <c r="I156" i="65"/>
  <c r="B156" i="65"/>
  <c r="R155" i="65"/>
  <c r="I155" i="65"/>
  <c r="B155" i="65"/>
  <c r="R141" i="65"/>
  <c r="B141" i="65" s="1"/>
  <c r="I141" i="65" s="1"/>
  <c r="R140" i="65"/>
  <c r="B140" i="65" s="1"/>
  <c r="I140" i="65"/>
  <c r="R127" i="65"/>
  <c r="I127" i="65"/>
  <c r="B127" i="65"/>
  <c r="R126" i="65"/>
  <c r="B126" i="65" s="1"/>
  <c r="I126" i="65" s="1"/>
  <c r="R125" i="65"/>
  <c r="B125" i="65" s="1"/>
  <c r="I125" i="65" s="1"/>
  <c r="R124" i="65"/>
  <c r="B124" i="65" s="1"/>
  <c r="I124" i="65" s="1"/>
  <c r="I123" i="65"/>
  <c r="R112" i="65"/>
  <c r="I112" i="65"/>
  <c r="B112" i="65"/>
  <c r="I111" i="65"/>
  <c r="I108" i="65"/>
  <c r="R97" i="65"/>
  <c r="I97" i="65"/>
  <c r="B97" i="65"/>
  <c r="I96" i="65"/>
  <c r="I95" i="65"/>
  <c r="I84" i="65"/>
  <c r="I83" i="65"/>
  <c r="I82" i="65"/>
  <c r="B77" i="65"/>
  <c r="R71" i="65"/>
  <c r="B71" i="65" s="1"/>
  <c r="I71" i="65" s="1"/>
  <c r="I70" i="65"/>
  <c r="B69" i="65"/>
  <c r="I69" i="65" s="1"/>
  <c r="I68" i="65"/>
  <c r="R57" i="65"/>
  <c r="I57" i="65"/>
  <c r="B57" i="65"/>
  <c r="R56" i="65"/>
  <c r="B56" i="65"/>
  <c r="I56" i="65" s="1"/>
  <c r="R55" i="65"/>
  <c r="I55" i="65"/>
  <c r="B55" i="65"/>
  <c r="B50" i="65"/>
  <c r="R44" i="65"/>
  <c r="B44" i="65" s="1"/>
  <c r="I44" i="65" s="1"/>
  <c r="I43" i="65"/>
  <c r="B42" i="65"/>
  <c r="I42" i="65" s="1"/>
  <c r="I41" i="65"/>
  <c r="R30" i="65"/>
  <c r="B30" i="65" s="1"/>
  <c r="I30" i="65" s="1"/>
  <c r="R29" i="65"/>
  <c r="B29" i="65"/>
  <c r="I29" i="65" s="1"/>
  <c r="R28" i="65"/>
  <c r="B28" i="65" s="1"/>
  <c r="I28" i="65" s="1"/>
  <c r="I27" i="65"/>
  <c r="B27" i="65"/>
  <c r="I26" i="65"/>
  <c r="R15" i="65"/>
  <c r="B15" i="65"/>
  <c r="I15" i="65" s="1"/>
  <c r="I14" i="65"/>
  <c r="I13" i="65"/>
  <c r="B12" i="65"/>
  <c r="B7" i="65" s="1"/>
  <c r="B57" i="64"/>
  <c r="J57" i="64" s="1"/>
  <c r="B56" i="64"/>
  <c r="J56" i="64" s="1"/>
  <c r="B55" i="64"/>
  <c r="J55" i="64" s="1"/>
  <c r="S54" i="64"/>
  <c r="B54" i="64" s="1"/>
  <c r="J54" i="64" s="1"/>
  <c r="S53" i="64"/>
  <c r="B53" i="64"/>
  <c r="J53" i="64" s="1"/>
  <c r="S52" i="64"/>
  <c r="J52" i="64"/>
  <c r="B52" i="64"/>
  <c r="B51" i="64"/>
  <c r="J51" i="64" s="1"/>
  <c r="S50" i="64"/>
  <c r="B50" i="64"/>
  <c r="J50" i="64" s="1"/>
  <c r="B49" i="64"/>
  <c r="J49" i="64" s="1"/>
  <c r="J48" i="64"/>
  <c r="B48" i="64"/>
  <c r="B43" i="64"/>
  <c r="S37" i="64"/>
  <c r="J37" i="64"/>
  <c r="B37" i="64"/>
  <c r="S36" i="64"/>
  <c r="B36" i="64"/>
  <c r="J36" i="64" s="1"/>
  <c r="S35" i="64"/>
  <c r="J35" i="64"/>
  <c r="B35" i="64"/>
  <c r="J34" i="64"/>
  <c r="B34" i="64"/>
  <c r="B33" i="64"/>
  <c r="J33" i="64" s="1"/>
  <c r="S32" i="64"/>
  <c r="B32" i="64" s="1"/>
  <c r="J32" i="64" s="1"/>
  <c r="B31" i="64"/>
  <c r="J31" i="64" s="1"/>
  <c r="J30" i="64"/>
  <c r="B30" i="64"/>
  <c r="J29" i="64"/>
  <c r="B19" i="64"/>
  <c r="S18" i="64"/>
  <c r="B18" i="64" s="1"/>
  <c r="J18" i="64" s="1"/>
  <c r="B17" i="64"/>
  <c r="J17" i="64" s="1"/>
  <c r="S16" i="64"/>
  <c r="J16" i="64"/>
  <c r="B16" i="64"/>
  <c r="B15" i="64"/>
  <c r="J15" i="64" s="1"/>
  <c r="B14" i="64"/>
  <c r="J14" i="64" s="1"/>
  <c r="J13" i="64"/>
  <c r="B12" i="64"/>
  <c r="B9" i="64"/>
  <c r="I47" i="63"/>
  <c r="I46" i="63"/>
  <c r="B45" i="63"/>
  <c r="B40" i="63" s="1"/>
  <c r="R34" i="63"/>
  <c r="B34" i="63" s="1"/>
  <c r="I34" i="63" s="1"/>
  <c r="R33" i="63"/>
  <c r="B33" i="63"/>
  <c r="I33" i="63" s="1"/>
  <c r="R32" i="63"/>
  <c r="B32" i="63" s="1"/>
  <c r="I32" i="63" s="1"/>
  <c r="R31" i="63"/>
  <c r="B31" i="63" s="1"/>
  <c r="I31" i="63" s="1"/>
  <c r="B30" i="63"/>
  <c r="I30" i="63" s="1"/>
  <c r="I29" i="63"/>
  <c r="P28" i="63"/>
  <c r="I28" i="63"/>
  <c r="B23" i="63"/>
  <c r="Q17" i="63"/>
  <c r="B17" i="63" s="1"/>
  <c r="I17" i="63" s="1"/>
  <c r="Q16" i="63"/>
  <c r="B16" i="63" s="1"/>
  <c r="I16" i="63"/>
  <c r="Q15" i="63"/>
  <c r="B15" i="63" s="1"/>
  <c r="I15" i="63"/>
  <c r="B13" i="63"/>
  <c r="S9" i="63"/>
  <c r="S10" i="63" s="1"/>
  <c r="T13" i="63" s="1"/>
  <c r="B14" i="63" s="1"/>
  <c r="I14" i="63" s="1"/>
  <c r="I104" i="62"/>
  <c r="I103" i="62"/>
  <c r="I102" i="62"/>
  <c r="I101" i="62"/>
  <c r="B101" i="62"/>
  <c r="B100" i="62" s="1"/>
  <c r="I100" i="62" s="1"/>
  <c r="B95" i="62"/>
  <c r="I89" i="62"/>
  <c r="I88" i="62"/>
  <c r="I87" i="62"/>
  <c r="I86" i="62"/>
  <c r="B81" i="62"/>
  <c r="B217" i="65" s="1"/>
  <c r="I217" i="65" s="1"/>
  <c r="I75" i="62"/>
  <c r="I74" i="62"/>
  <c r="I73" i="62"/>
  <c r="B68" i="62"/>
  <c r="R62" i="62"/>
  <c r="B62" i="62"/>
  <c r="I62" i="62" s="1"/>
  <c r="B61" i="62"/>
  <c r="I61" i="62" s="1"/>
  <c r="R60" i="62"/>
  <c r="B60" i="62"/>
  <c r="I60" i="62" s="1"/>
  <c r="B59" i="62"/>
  <c r="I59" i="62" s="1"/>
  <c r="R48" i="62"/>
  <c r="B48" i="62" s="1"/>
  <c r="I48" i="62" s="1"/>
  <c r="B47" i="62"/>
  <c r="I47" i="62" s="1"/>
  <c r="R46" i="62"/>
  <c r="I46" i="62"/>
  <c r="B46" i="62"/>
  <c r="R45" i="62"/>
  <c r="B45" i="62" s="1"/>
  <c r="I45" i="62" s="1"/>
  <c r="B44" i="62"/>
  <c r="I44" i="62" s="1"/>
  <c r="I42" i="62"/>
  <c r="B42" i="62"/>
  <c r="B37" i="62" s="1"/>
  <c r="T36" i="62"/>
  <c r="R31" i="62"/>
  <c r="B31" i="62" s="1"/>
  <c r="I31" i="62" s="1"/>
  <c r="I30" i="62"/>
  <c r="B30" i="62"/>
  <c r="R29" i="62"/>
  <c r="B29" i="62"/>
  <c r="I29" i="62" s="1"/>
  <c r="I28" i="62"/>
  <c r="B23" i="62"/>
  <c r="Q17" i="62"/>
  <c r="B17" i="62" s="1"/>
  <c r="I17" i="62" s="1"/>
  <c r="Q16" i="62"/>
  <c r="B16" i="62"/>
  <c r="I16" i="62" s="1"/>
  <c r="I15" i="62"/>
  <c r="B15" i="62"/>
  <c r="I14" i="62"/>
  <c r="I12" i="62"/>
  <c r="B7" i="62"/>
  <c r="B28" i="61"/>
  <c r="Z27" i="61"/>
  <c r="B27" i="61" s="1"/>
  <c r="Z26" i="61"/>
  <c r="B26" i="61" s="1"/>
  <c r="Z25" i="61"/>
  <c r="B25" i="61"/>
  <c r="Z24" i="61"/>
  <c r="Z23" i="61"/>
  <c r="B23" i="61" s="1"/>
  <c r="Z22" i="61"/>
  <c r="B22" i="61" s="1"/>
  <c r="Z21" i="61"/>
  <c r="B21" i="61"/>
  <c r="Z20" i="61"/>
  <c r="B20" i="61"/>
  <c r="Z19" i="61"/>
  <c r="B19" i="61" s="1"/>
  <c r="Z18" i="61"/>
  <c r="B18" i="61" s="1"/>
  <c r="Z16" i="61"/>
  <c r="B16" i="61"/>
  <c r="Z15" i="61"/>
  <c r="B15" i="61" s="1"/>
  <c r="Z14" i="61"/>
  <c r="B14" i="61"/>
  <c r="Z13" i="61"/>
  <c r="B13" i="61" s="1"/>
  <c r="N1" i="61"/>
  <c r="I362" i="60"/>
  <c r="B362" i="60"/>
  <c r="R361" i="60"/>
  <c r="B361" i="60"/>
  <c r="I361" i="60" s="1"/>
  <c r="R360" i="60"/>
  <c r="B360" i="60" s="1"/>
  <c r="I360" i="60" s="1"/>
  <c r="R359" i="60"/>
  <c r="B359" i="60" s="1"/>
  <c r="I359" i="60" s="1"/>
  <c r="R358" i="60"/>
  <c r="B358" i="60"/>
  <c r="I358" i="60" s="1"/>
  <c r="B357" i="60"/>
  <c r="I357" i="60" s="1"/>
  <c r="I356" i="60"/>
  <c r="B356" i="60"/>
  <c r="B355" i="60"/>
  <c r="I355" i="60" s="1"/>
  <c r="R354" i="60"/>
  <c r="B354" i="60" s="1"/>
  <c r="I354" i="60"/>
  <c r="B353" i="60"/>
  <c r="I353" i="60" s="1"/>
  <c r="B352" i="60"/>
  <c r="I352" i="60" s="1"/>
  <c r="B351" i="60"/>
  <c r="I351" i="60" s="1"/>
  <c r="B346" i="60"/>
  <c r="B340" i="60"/>
  <c r="I340" i="60" s="1"/>
  <c r="I339" i="60"/>
  <c r="B339" i="60"/>
  <c r="R338" i="60"/>
  <c r="B338" i="60"/>
  <c r="I338" i="60" s="1"/>
  <c r="R337" i="60"/>
  <c r="B337" i="60" s="1"/>
  <c r="I337" i="60" s="1"/>
  <c r="I336" i="60"/>
  <c r="B336" i="60"/>
  <c r="R335" i="60"/>
  <c r="B335" i="60"/>
  <c r="I335" i="60" s="1"/>
  <c r="I334" i="60"/>
  <c r="B334" i="60"/>
  <c r="I333" i="60"/>
  <c r="B333" i="60"/>
  <c r="I332" i="60"/>
  <c r="B332" i="60"/>
  <c r="R331" i="60"/>
  <c r="I331" i="60"/>
  <c r="B331" i="60"/>
  <c r="B330" i="60"/>
  <c r="I330" i="60" s="1"/>
  <c r="I329" i="60"/>
  <c r="B329" i="60"/>
  <c r="B324" i="60" s="1"/>
  <c r="B318" i="60"/>
  <c r="I318" i="60" s="1"/>
  <c r="I317" i="60"/>
  <c r="B317" i="60"/>
  <c r="I316" i="60"/>
  <c r="B316" i="60"/>
  <c r="I315" i="60"/>
  <c r="B315" i="60"/>
  <c r="B314" i="60"/>
  <c r="I314" i="60" s="1"/>
  <c r="I313" i="60"/>
  <c r="B313" i="60"/>
  <c r="B312" i="60"/>
  <c r="I312" i="60" s="1"/>
  <c r="I311" i="60"/>
  <c r="B311" i="60"/>
  <c r="B310" i="60"/>
  <c r="I310" i="60" s="1"/>
  <c r="I309" i="60"/>
  <c r="B309" i="60"/>
  <c r="I308" i="60"/>
  <c r="B308" i="60"/>
  <c r="B303" i="60" s="1"/>
  <c r="R297" i="60"/>
  <c r="B297" i="60"/>
  <c r="I297" i="60" s="1"/>
  <c r="R296" i="60"/>
  <c r="B296" i="60"/>
  <c r="I296" i="60" s="1"/>
  <c r="I295" i="60"/>
  <c r="B295" i="60"/>
  <c r="B294" i="60"/>
  <c r="I294" i="60" s="1"/>
  <c r="P293" i="60"/>
  <c r="I293" i="60"/>
  <c r="P292" i="60"/>
  <c r="I292" i="60"/>
  <c r="S291" i="60"/>
  <c r="T294" i="60" s="1"/>
  <c r="S290" i="60"/>
  <c r="B287" i="60"/>
  <c r="R281" i="60"/>
  <c r="B281" i="60" s="1"/>
  <c r="I281" i="60" s="1"/>
  <c r="R280" i="60"/>
  <c r="B280" i="60" s="1"/>
  <c r="I280" i="60" s="1"/>
  <c r="R279" i="60"/>
  <c r="B279" i="60"/>
  <c r="I279" i="60" s="1"/>
  <c r="P278" i="60"/>
  <c r="B278" i="60" s="1"/>
  <c r="I278" i="60"/>
  <c r="I277" i="60"/>
  <c r="B277" i="60"/>
  <c r="B276" i="60"/>
  <c r="I276" i="60" s="1"/>
  <c r="R265" i="60"/>
  <c r="B265" i="60" s="1"/>
  <c r="I265" i="60" s="1"/>
  <c r="R264" i="60"/>
  <c r="B264" i="60" s="1"/>
  <c r="I264" i="60" s="1"/>
  <c r="R263" i="60"/>
  <c r="B263" i="60"/>
  <c r="I263" i="60" s="1"/>
  <c r="R262" i="60"/>
  <c r="B262" i="60" s="1"/>
  <c r="I262" i="60" s="1"/>
  <c r="R261" i="60"/>
  <c r="B261" i="60"/>
  <c r="I261" i="60" s="1"/>
  <c r="S248" i="60"/>
  <c r="I248" i="60"/>
  <c r="B248" i="60"/>
  <c r="S247" i="60"/>
  <c r="I247" i="60"/>
  <c r="B247" i="60"/>
  <c r="B242" i="60"/>
  <c r="B235" i="60" s="1"/>
  <c r="I235" i="60" s="1"/>
  <c r="B236" i="60"/>
  <c r="I236" i="60" s="1"/>
  <c r="B233" i="60"/>
  <c r="B228" i="60" s="1"/>
  <c r="B153" i="60" s="1"/>
  <c r="I153" i="60" s="1"/>
  <c r="R222" i="60"/>
  <c r="B222" i="60" s="1"/>
  <c r="I222" i="60" s="1"/>
  <c r="R221" i="60"/>
  <c r="B221" i="60" s="1"/>
  <c r="I221" i="60" s="1"/>
  <c r="R220" i="60"/>
  <c r="B220" i="60" s="1"/>
  <c r="I220" i="60" s="1"/>
  <c r="R219" i="60"/>
  <c r="B219" i="60"/>
  <c r="I219" i="60" s="1"/>
  <c r="I218" i="60"/>
  <c r="B218" i="60"/>
  <c r="B216" i="60"/>
  <c r="I216" i="60" s="1"/>
  <c r="R205" i="60"/>
  <c r="B205" i="60" s="1"/>
  <c r="I205" i="60" s="1"/>
  <c r="R204" i="60"/>
  <c r="B204" i="60" s="1"/>
  <c r="I204" i="60" s="1"/>
  <c r="I203" i="60"/>
  <c r="B203" i="60"/>
  <c r="T202" i="60"/>
  <c r="B202" i="60" s="1"/>
  <c r="I202" i="60"/>
  <c r="P201" i="60"/>
  <c r="I201" i="60"/>
  <c r="P200" i="60"/>
  <c r="I200" i="60"/>
  <c r="S198" i="60"/>
  <c r="B195" i="60"/>
  <c r="R189" i="60"/>
  <c r="B189" i="60" s="1"/>
  <c r="I189" i="60" s="1"/>
  <c r="R188" i="60"/>
  <c r="B188" i="60"/>
  <c r="I188" i="60" s="1"/>
  <c r="R187" i="60"/>
  <c r="I187" i="60"/>
  <c r="B187" i="60"/>
  <c r="P186" i="60"/>
  <c r="I186" i="60"/>
  <c r="B186" i="60"/>
  <c r="I185" i="60"/>
  <c r="I184" i="60"/>
  <c r="B179" i="60"/>
  <c r="R173" i="60"/>
  <c r="B173" i="60" s="1"/>
  <c r="I173" i="60" s="1"/>
  <c r="R172" i="60"/>
  <c r="B172" i="60" s="1"/>
  <c r="I172" i="60" s="1"/>
  <c r="R171" i="60"/>
  <c r="B171" i="60"/>
  <c r="I171" i="60" s="1"/>
  <c r="R170" i="60"/>
  <c r="B170" i="60" s="1"/>
  <c r="I170" i="60" s="1"/>
  <c r="R169" i="60"/>
  <c r="B169" i="60"/>
  <c r="I169" i="60" s="1"/>
  <c r="P168" i="60"/>
  <c r="I168" i="60"/>
  <c r="B168" i="60"/>
  <c r="P167" i="60"/>
  <c r="I167" i="60"/>
  <c r="B167" i="60"/>
  <c r="B162" i="60" s="1"/>
  <c r="I156" i="60"/>
  <c r="B156" i="60"/>
  <c r="R155" i="60"/>
  <c r="I155" i="60"/>
  <c r="B155" i="60"/>
  <c r="B152" i="60"/>
  <c r="B147" i="60" s="1"/>
  <c r="B138" i="60" s="1"/>
  <c r="R141" i="60"/>
  <c r="I141" i="60"/>
  <c r="B141" i="60"/>
  <c r="R140" i="60"/>
  <c r="B140" i="60" s="1"/>
  <c r="I140" i="60" s="1"/>
  <c r="I139" i="60"/>
  <c r="R127" i="60"/>
  <c r="B127" i="60"/>
  <c r="I127" i="60" s="1"/>
  <c r="R126" i="60"/>
  <c r="B126" i="60"/>
  <c r="I126" i="60" s="1"/>
  <c r="R125" i="60"/>
  <c r="I125" i="60"/>
  <c r="B125" i="60"/>
  <c r="R124" i="60"/>
  <c r="B124" i="60" s="1"/>
  <c r="I124" i="60" s="1"/>
  <c r="I123" i="60"/>
  <c r="R112" i="60"/>
  <c r="B112" i="60" s="1"/>
  <c r="I112" i="60" s="1"/>
  <c r="I111" i="60"/>
  <c r="Q110" i="60"/>
  <c r="S110" i="60" s="1"/>
  <c r="B110" i="60"/>
  <c r="I110" i="60" s="1"/>
  <c r="I108" i="60"/>
  <c r="R97" i="60"/>
  <c r="B97" i="60"/>
  <c r="I97" i="60" s="1"/>
  <c r="I96" i="60"/>
  <c r="I95" i="60"/>
  <c r="I84" i="60"/>
  <c r="I83" i="60"/>
  <c r="I82" i="60"/>
  <c r="B77" i="60"/>
  <c r="R71" i="60"/>
  <c r="B71" i="60" s="1"/>
  <c r="I71" i="60" s="1"/>
  <c r="I70" i="60"/>
  <c r="I69" i="60"/>
  <c r="B69" i="60"/>
  <c r="I68" i="60"/>
  <c r="R57" i="60"/>
  <c r="B57" i="60"/>
  <c r="I57" i="60" s="1"/>
  <c r="R56" i="60"/>
  <c r="I56" i="60"/>
  <c r="B56" i="60"/>
  <c r="R55" i="60"/>
  <c r="I55" i="60"/>
  <c r="B55" i="60"/>
  <c r="B50" i="60"/>
  <c r="R44" i="60"/>
  <c r="B44" i="60"/>
  <c r="I44" i="60" s="1"/>
  <c r="I43" i="60"/>
  <c r="B42" i="60"/>
  <c r="I42" i="60" s="1"/>
  <c r="I41" i="60"/>
  <c r="R30" i="60"/>
  <c r="B30" i="60" s="1"/>
  <c r="I30" i="60" s="1"/>
  <c r="R29" i="60"/>
  <c r="B29" i="60" s="1"/>
  <c r="I29" i="60" s="1"/>
  <c r="R28" i="60"/>
  <c r="B28" i="60" s="1"/>
  <c r="I28" i="60" s="1"/>
  <c r="B27" i="60"/>
  <c r="I27" i="60" s="1"/>
  <c r="I26" i="60"/>
  <c r="R15" i="60"/>
  <c r="B15" i="60" s="1"/>
  <c r="I15" i="60" s="1"/>
  <c r="I14" i="60"/>
  <c r="I13" i="60"/>
  <c r="J57" i="59"/>
  <c r="B57" i="59"/>
  <c r="B56" i="59"/>
  <c r="B55" i="59" s="1"/>
  <c r="J55" i="59" s="1"/>
  <c r="S54" i="59"/>
  <c r="B54" i="59"/>
  <c r="J54" i="59" s="1"/>
  <c r="S53" i="59"/>
  <c r="B53" i="59" s="1"/>
  <c r="J53" i="59" s="1"/>
  <c r="S52" i="59"/>
  <c r="B52" i="59"/>
  <c r="J52" i="59" s="1"/>
  <c r="B51" i="59"/>
  <c r="J51" i="59" s="1"/>
  <c r="S50" i="59"/>
  <c r="B50" i="59" s="1"/>
  <c r="J50" i="59" s="1"/>
  <c r="J49" i="59"/>
  <c r="B49" i="59"/>
  <c r="J48" i="59"/>
  <c r="B48" i="59"/>
  <c r="B43" i="59"/>
  <c r="B12" i="59" s="1"/>
  <c r="J12" i="59" s="1"/>
  <c r="S37" i="59"/>
  <c r="B37" i="59" s="1"/>
  <c r="J37" i="59" s="1"/>
  <c r="S36" i="59"/>
  <c r="B36" i="59"/>
  <c r="J36" i="59" s="1"/>
  <c r="S35" i="59"/>
  <c r="B35" i="59"/>
  <c r="J35" i="59" s="1"/>
  <c r="B34" i="59"/>
  <c r="J34" i="59" s="1"/>
  <c r="J33" i="59"/>
  <c r="B33" i="59"/>
  <c r="S32" i="59"/>
  <c r="B32" i="59"/>
  <c r="J32" i="59" s="1"/>
  <c r="J31" i="59"/>
  <c r="B31" i="59"/>
  <c r="J30" i="59"/>
  <c r="B30" i="59"/>
  <c r="J29" i="59"/>
  <c r="B19" i="59"/>
  <c r="S18" i="59"/>
  <c r="J18" i="59"/>
  <c r="B18" i="59"/>
  <c r="B17" i="59"/>
  <c r="J17" i="59" s="1"/>
  <c r="S16" i="59"/>
  <c r="B16" i="59"/>
  <c r="J16" i="59" s="1"/>
  <c r="B15" i="59"/>
  <c r="J15" i="59" s="1"/>
  <c r="J14" i="59"/>
  <c r="B14" i="59"/>
  <c r="J13" i="59"/>
  <c r="B7" i="59"/>
  <c r="I47" i="58"/>
  <c r="I46" i="58"/>
  <c r="I45" i="58"/>
  <c r="B45" i="58"/>
  <c r="B40" i="58"/>
  <c r="R34" i="58"/>
  <c r="B34" i="58"/>
  <c r="I34" i="58" s="1"/>
  <c r="R33" i="58"/>
  <c r="B33" i="58"/>
  <c r="I33" i="58" s="1"/>
  <c r="R32" i="58"/>
  <c r="B32" i="58" s="1"/>
  <c r="I32" i="58" s="1"/>
  <c r="R31" i="58"/>
  <c r="I31" i="58"/>
  <c r="B31" i="58"/>
  <c r="I30" i="58"/>
  <c r="B30" i="58"/>
  <c r="I29" i="58"/>
  <c r="P28" i="58"/>
  <c r="I28" i="58"/>
  <c r="B23" i="58"/>
  <c r="Q17" i="58"/>
  <c r="B17" i="58"/>
  <c r="I17" i="58" s="1"/>
  <c r="Q16" i="58"/>
  <c r="B16" i="58" s="1"/>
  <c r="I16" i="58" s="1"/>
  <c r="Q15" i="58"/>
  <c r="B15" i="58"/>
  <c r="I15" i="58" s="1"/>
  <c r="I13" i="58"/>
  <c r="B13" i="58"/>
  <c r="P13" i="58" s="1"/>
  <c r="B12" i="58"/>
  <c r="I12" i="58" s="1"/>
  <c r="S10" i="58"/>
  <c r="S11" i="58" s="1"/>
  <c r="T14" i="58" s="1"/>
  <c r="B14" i="58" s="1"/>
  <c r="I14" i="58" s="1"/>
  <c r="B7" i="58"/>
  <c r="I104" i="57"/>
  <c r="I103" i="57"/>
  <c r="I102" i="57"/>
  <c r="B100" i="57"/>
  <c r="I100" i="57" s="1"/>
  <c r="B95" i="57"/>
  <c r="I89" i="57"/>
  <c r="I88" i="57"/>
  <c r="I87" i="57"/>
  <c r="I86" i="57"/>
  <c r="B81" i="57"/>
  <c r="B217" i="60" s="1"/>
  <c r="I217" i="60" s="1"/>
  <c r="I75" i="57"/>
  <c r="I74" i="57"/>
  <c r="I73" i="57"/>
  <c r="B68" i="57"/>
  <c r="I62" i="57"/>
  <c r="I61" i="57"/>
  <c r="B61" i="57"/>
  <c r="R60" i="57"/>
  <c r="B60" i="57"/>
  <c r="I60" i="57" s="1"/>
  <c r="I59" i="57"/>
  <c r="B54" i="57"/>
  <c r="R48" i="57"/>
  <c r="B48" i="57" s="1"/>
  <c r="I48" i="57" s="1"/>
  <c r="I47" i="57"/>
  <c r="B47" i="57"/>
  <c r="R46" i="57"/>
  <c r="B46" i="57" s="1"/>
  <c r="I46" i="57"/>
  <c r="R45" i="57"/>
  <c r="B45" i="57" s="1"/>
  <c r="I45" i="57" s="1"/>
  <c r="I44" i="57"/>
  <c r="B44" i="57"/>
  <c r="B43" i="57"/>
  <c r="I43" i="57" s="1"/>
  <c r="S42" i="57"/>
  <c r="I42" i="57"/>
  <c r="P38" i="57"/>
  <c r="R31" i="57"/>
  <c r="I31" i="57"/>
  <c r="B31" i="57"/>
  <c r="B30" i="57"/>
  <c r="I30" i="57" s="1"/>
  <c r="R29" i="57"/>
  <c r="I29" i="57"/>
  <c r="B29" i="57"/>
  <c r="I28" i="57"/>
  <c r="B23" i="57"/>
  <c r="Q17" i="57"/>
  <c r="B17" i="57"/>
  <c r="I17" i="57" s="1"/>
  <c r="Q16" i="57"/>
  <c r="B16" i="57" s="1"/>
  <c r="I16" i="57" s="1"/>
  <c r="B15" i="57"/>
  <c r="I15" i="57" s="1"/>
  <c r="I14" i="57"/>
  <c r="Q13" i="57"/>
  <c r="B13" i="57" s="1"/>
  <c r="I13" i="57" s="1"/>
  <c r="O13" i="57"/>
  <c r="I12" i="57"/>
  <c r="B7" i="57"/>
  <c r="T3" i="57"/>
  <c r="B28" i="56"/>
  <c r="Z27" i="56"/>
  <c r="B27" i="56" s="1"/>
  <c r="Z26" i="56"/>
  <c r="B26" i="56" s="1"/>
  <c r="Z25" i="56"/>
  <c r="B25" i="56" s="1"/>
  <c r="Z24" i="56"/>
  <c r="B24" i="56"/>
  <c r="Z23" i="56"/>
  <c r="B23" i="56" s="1"/>
  <c r="Z22" i="56"/>
  <c r="B22" i="56" s="1"/>
  <c r="Z21" i="56"/>
  <c r="B21" i="56" s="1"/>
  <c r="Z20" i="56"/>
  <c r="B20" i="56"/>
  <c r="Z19" i="56"/>
  <c r="B19" i="56" s="1"/>
  <c r="Z18" i="56"/>
  <c r="B18" i="56" s="1"/>
  <c r="AB17" i="56"/>
  <c r="Z17" i="56" s="1"/>
  <c r="B17" i="56" s="1"/>
  <c r="Z16" i="56"/>
  <c r="B16" i="56"/>
  <c r="B12" i="60" s="1"/>
  <c r="B7" i="60" s="1"/>
  <c r="Z15" i="56"/>
  <c r="B15" i="56"/>
  <c r="Z14" i="56"/>
  <c r="B14" i="56"/>
  <c r="Z13" i="56"/>
  <c r="B13" i="56"/>
  <c r="N1" i="56"/>
  <c r="I361" i="55"/>
  <c r="B361" i="55"/>
  <c r="R360" i="55"/>
  <c r="B360" i="55" s="1"/>
  <c r="I360" i="55" s="1"/>
  <c r="R359" i="55"/>
  <c r="B359" i="55"/>
  <c r="I359" i="55" s="1"/>
  <c r="R358" i="55"/>
  <c r="B358" i="55" s="1"/>
  <c r="I358" i="55" s="1"/>
  <c r="R357" i="55"/>
  <c r="B357" i="55" s="1"/>
  <c r="I357" i="55" s="1"/>
  <c r="B356" i="55"/>
  <c r="I356" i="55" s="1"/>
  <c r="I355" i="55"/>
  <c r="B355" i="55"/>
  <c r="I354" i="55"/>
  <c r="B354" i="55"/>
  <c r="R353" i="55"/>
  <c r="B353" i="55" s="1"/>
  <c r="I353" i="55" s="1"/>
  <c r="B352" i="55"/>
  <c r="I352" i="55" s="1"/>
  <c r="B351" i="55"/>
  <c r="I351" i="55" s="1"/>
  <c r="I350" i="55"/>
  <c r="B339" i="55"/>
  <c r="I339" i="55" s="1"/>
  <c r="B338" i="55"/>
  <c r="I338" i="55" s="1"/>
  <c r="R337" i="55"/>
  <c r="B337" i="55" s="1"/>
  <c r="I337" i="55" s="1"/>
  <c r="R336" i="55"/>
  <c r="B336" i="55" s="1"/>
  <c r="I336" i="55" s="1"/>
  <c r="B335" i="55"/>
  <c r="I335" i="55" s="1"/>
  <c r="R334" i="55"/>
  <c r="B334" i="55" s="1"/>
  <c r="I334" i="55" s="1"/>
  <c r="I333" i="55"/>
  <c r="B333" i="55"/>
  <c r="I332" i="55"/>
  <c r="B332" i="55"/>
  <c r="I331" i="55"/>
  <c r="B331" i="55"/>
  <c r="R330" i="55"/>
  <c r="I330" i="55"/>
  <c r="B330" i="55"/>
  <c r="B329" i="55"/>
  <c r="I329" i="55" s="1"/>
  <c r="B328" i="55"/>
  <c r="I328" i="55" s="1"/>
  <c r="B317" i="55"/>
  <c r="I317" i="55" s="1"/>
  <c r="B316" i="55"/>
  <c r="I316" i="55" s="1"/>
  <c r="I315" i="55"/>
  <c r="B315" i="55"/>
  <c r="B314" i="55"/>
  <c r="I314" i="55" s="1"/>
  <c r="B313" i="55"/>
  <c r="I313" i="55" s="1"/>
  <c r="B312" i="55"/>
  <c r="I312" i="55" s="1"/>
  <c r="I311" i="55"/>
  <c r="B311" i="55"/>
  <c r="B310" i="55"/>
  <c r="I310" i="55" s="1"/>
  <c r="B309" i="55"/>
  <c r="I309" i="55" s="1"/>
  <c r="B308" i="55"/>
  <c r="I308" i="55" s="1"/>
  <c r="I307" i="55"/>
  <c r="B307" i="55"/>
  <c r="B302" i="55"/>
  <c r="R296" i="55"/>
  <c r="B296" i="55" s="1"/>
  <c r="I296" i="55" s="1"/>
  <c r="R295" i="55"/>
  <c r="B295" i="55" s="1"/>
  <c r="I295" i="55" s="1"/>
  <c r="B294" i="55"/>
  <c r="I294" i="55" s="1"/>
  <c r="I293" i="55"/>
  <c r="P292" i="55"/>
  <c r="I292" i="55"/>
  <c r="P291" i="55"/>
  <c r="I291" i="55"/>
  <c r="S289" i="55"/>
  <c r="T292" i="55" s="1"/>
  <c r="B293" i="55" s="1"/>
  <c r="S288" i="55"/>
  <c r="B286" i="55"/>
  <c r="R280" i="55"/>
  <c r="B280" i="55" s="1"/>
  <c r="I280" i="55" s="1"/>
  <c r="R279" i="55"/>
  <c r="B279" i="55"/>
  <c r="I279" i="55" s="1"/>
  <c r="R278" i="55"/>
  <c r="B278" i="55" s="1"/>
  <c r="I278" i="55" s="1"/>
  <c r="P277" i="55"/>
  <c r="B277" i="55"/>
  <c r="I277" i="55" s="1"/>
  <c r="B276" i="55"/>
  <c r="I276" i="55" s="1"/>
  <c r="I275" i="55"/>
  <c r="B270" i="55"/>
  <c r="R264" i="55"/>
  <c r="B264" i="55" s="1"/>
  <c r="I264" i="55" s="1"/>
  <c r="R263" i="55"/>
  <c r="B263" i="55"/>
  <c r="I263" i="55" s="1"/>
  <c r="R262" i="55"/>
  <c r="B262" i="55" s="1"/>
  <c r="I262" i="55" s="1"/>
  <c r="R261" i="55"/>
  <c r="B261" i="55"/>
  <c r="I261" i="55" s="1"/>
  <c r="R260" i="55"/>
  <c r="B260" i="55"/>
  <c r="I260" i="55" s="1"/>
  <c r="B259" i="55"/>
  <c r="B258" i="55" s="1"/>
  <c r="B247" i="55"/>
  <c r="I246" i="55"/>
  <c r="B246" i="55"/>
  <c r="B235" i="55"/>
  <c r="I235" i="55" s="1"/>
  <c r="I232" i="55"/>
  <c r="B227" i="55"/>
  <c r="R221" i="55"/>
  <c r="B221" i="55" s="1"/>
  <c r="I221" i="55" s="1"/>
  <c r="R220" i="55"/>
  <c r="I220" i="55"/>
  <c r="B220" i="55"/>
  <c r="R219" i="55"/>
  <c r="I219" i="55"/>
  <c r="B219" i="55"/>
  <c r="R218" i="55"/>
  <c r="B218" i="55"/>
  <c r="I218" i="55" s="1"/>
  <c r="B217" i="55"/>
  <c r="I217" i="55" s="1"/>
  <c r="B216" i="55"/>
  <c r="I216" i="55" s="1"/>
  <c r="P215" i="55"/>
  <c r="I215" i="55"/>
  <c r="B210" i="55"/>
  <c r="B204" i="55"/>
  <c r="I204" i="55" s="1"/>
  <c r="I203" i="55"/>
  <c r="P201" i="55"/>
  <c r="I201" i="55"/>
  <c r="P200" i="55"/>
  <c r="I200" i="55"/>
  <c r="R196" i="55"/>
  <c r="S199" i="55" s="1"/>
  <c r="B202" i="55" s="1"/>
  <c r="I202" i="55" s="1"/>
  <c r="R195" i="55"/>
  <c r="B195" i="55"/>
  <c r="R189" i="55"/>
  <c r="B189" i="55" s="1"/>
  <c r="I189" i="55" s="1"/>
  <c r="R188" i="55"/>
  <c r="B188" i="55"/>
  <c r="I188" i="55" s="1"/>
  <c r="R187" i="55"/>
  <c r="I187" i="55"/>
  <c r="B187" i="55"/>
  <c r="P186" i="55"/>
  <c r="B186" i="55"/>
  <c r="I186" i="55" s="1"/>
  <c r="I185" i="55"/>
  <c r="I184" i="55"/>
  <c r="B179" i="55"/>
  <c r="R173" i="55"/>
  <c r="B173" i="55" s="1"/>
  <c r="I173" i="55" s="1"/>
  <c r="R172" i="55"/>
  <c r="B172" i="55"/>
  <c r="I172" i="55" s="1"/>
  <c r="R171" i="55"/>
  <c r="B171" i="55" s="1"/>
  <c r="I171" i="55" s="1"/>
  <c r="R170" i="55"/>
  <c r="B170" i="55" s="1"/>
  <c r="I170" i="55" s="1"/>
  <c r="R169" i="55"/>
  <c r="B169" i="55"/>
  <c r="I169" i="55" s="1"/>
  <c r="I168" i="55"/>
  <c r="I167" i="55"/>
  <c r="B162" i="55"/>
  <c r="B156" i="55"/>
  <c r="I156" i="55" s="1"/>
  <c r="R155" i="55"/>
  <c r="I155" i="55"/>
  <c r="B155" i="55"/>
  <c r="I154" i="55"/>
  <c r="I153" i="55"/>
  <c r="I152" i="55"/>
  <c r="B147" i="55"/>
  <c r="R141" i="55"/>
  <c r="B141" i="55"/>
  <c r="I141" i="55" s="1"/>
  <c r="R140" i="55"/>
  <c r="B140" i="55" s="1"/>
  <c r="I140" i="55" s="1"/>
  <c r="I139" i="55"/>
  <c r="I138" i="55"/>
  <c r="B133" i="55"/>
  <c r="R127" i="55"/>
  <c r="I127" i="55"/>
  <c r="B127" i="55"/>
  <c r="R126" i="55"/>
  <c r="B126" i="55" s="1"/>
  <c r="I126" i="55" s="1"/>
  <c r="R125" i="55"/>
  <c r="B125" i="55"/>
  <c r="I125" i="55" s="1"/>
  <c r="B124" i="55"/>
  <c r="I124" i="55" s="1"/>
  <c r="I123" i="55"/>
  <c r="R112" i="55"/>
  <c r="B112" i="55" s="1"/>
  <c r="I112" i="55" s="1"/>
  <c r="I111" i="55"/>
  <c r="R110" i="55"/>
  <c r="I110" i="55"/>
  <c r="B110" i="55"/>
  <c r="B109" i="55"/>
  <c r="I109" i="55" s="1"/>
  <c r="I108" i="55"/>
  <c r="R97" i="55"/>
  <c r="B97" i="55"/>
  <c r="I97" i="55" s="1"/>
  <c r="I96" i="55"/>
  <c r="I95" i="55"/>
  <c r="I84" i="55"/>
  <c r="I83" i="55"/>
  <c r="I82" i="55"/>
  <c r="B77" i="55"/>
  <c r="R71" i="55"/>
  <c r="B71" i="55"/>
  <c r="I71" i="55" s="1"/>
  <c r="I70" i="55"/>
  <c r="B69" i="55"/>
  <c r="I69" i="55" s="1"/>
  <c r="I68" i="55"/>
  <c r="R57" i="55"/>
  <c r="B57" i="55" s="1"/>
  <c r="I57" i="55" s="1"/>
  <c r="R56" i="55"/>
  <c r="B56" i="55" s="1"/>
  <c r="I56" i="55"/>
  <c r="R55" i="55"/>
  <c r="B55" i="55"/>
  <c r="I55" i="55" s="1"/>
  <c r="R44" i="55"/>
  <c r="I44" i="55"/>
  <c r="B44" i="55"/>
  <c r="I43" i="55"/>
  <c r="R42" i="55"/>
  <c r="B42" i="55"/>
  <c r="I42" i="55" s="1"/>
  <c r="I41" i="55"/>
  <c r="R30" i="55"/>
  <c r="B30" i="55"/>
  <c r="I30" i="55" s="1"/>
  <c r="R29" i="55"/>
  <c r="B29" i="55" s="1"/>
  <c r="I29" i="55" s="1"/>
  <c r="R28" i="55"/>
  <c r="B28" i="55"/>
  <c r="I28" i="55" s="1"/>
  <c r="I27" i="55"/>
  <c r="I26" i="55"/>
  <c r="R15" i="55"/>
  <c r="B15" i="55" s="1"/>
  <c r="I15" i="55" s="1"/>
  <c r="I14" i="55"/>
  <c r="I13" i="55"/>
  <c r="J57" i="54"/>
  <c r="B57" i="54"/>
  <c r="J56" i="54"/>
  <c r="B56" i="54"/>
  <c r="B55" i="54"/>
  <c r="J55" i="54" s="1"/>
  <c r="S54" i="54"/>
  <c r="J54" i="54"/>
  <c r="B54" i="54"/>
  <c r="S53" i="54"/>
  <c r="B53" i="54" s="1"/>
  <c r="J53" i="54" s="1"/>
  <c r="S52" i="54"/>
  <c r="B52" i="54"/>
  <c r="J52" i="54" s="1"/>
  <c r="J51" i="54"/>
  <c r="B51" i="54"/>
  <c r="S50" i="54"/>
  <c r="B50" i="54" s="1"/>
  <c r="J50" i="54" s="1"/>
  <c r="J49" i="54"/>
  <c r="B49" i="54"/>
  <c r="B48" i="54"/>
  <c r="J48" i="54" s="1"/>
  <c r="B43" i="54"/>
  <c r="S37" i="54"/>
  <c r="B37" i="54" s="1"/>
  <c r="J37" i="54" s="1"/>
  <c r="S36" i="54"/>
  <c r="B36" i="54"/>
  <c r="J36" i="54" s="1"/>
  <c r="S35" i="54"/>
  <c r="B35" i="54" s="1"/>
  <c r="J35" i="54" s="1"/>
  <c r="J34" i="54"/>
  <c r="B33" i="54"/>
  <c r="J33" i="54" s="1"/>
  <c r="S32" i="54"/>
  <c r="B32" i="54"/>
  <c r="J32" i="54" s="1"/>
  <c r="J31" i="54"/>
  <c r="B31" i="54"/>
  <c r="J30" i="54"/>
  <c r="B30" i="54"/>
  <c r="J29" i="54"/>
  <c r="B19" i="54"/>
  <c r="S18" i="54"/>
  <c r="B18" i="54"/>
  <c r="J18" i="54" s="1"/>
  <c r="B17" i="54"/>
  <c r="J17" i="54" s="1"/>
  <c r="S16" i="54"/>
  <c r="B16" i="54"/>
  <c r="J16" i="54" s="1"/>
  <c r="B15" i="54"/>
  <c r="J15" i="54" s="1"/>
  <c r="J14" i="54"/>
  <c r="B14" i="54"/>
  <c r="J13" i="54"/>
  <c r="B12" i="54"/>
  <c r="J12" i="54" s="1"/>
  <c r="B9" i="54"/>
  <c r="B7" i="54"/>
  <c r="I47" i="53"/>
  <c r="I46" i="53"/>
  <c r="B45" i="53"/>
  <c r="B40" i="53" s="1"/>
  <c r="R34" i="53"/>
  <c r="B34" i="53" s="1"/>
  <c r="I34" i="53" s="1"/>
  <c r="R33" i="53"/>
  <c r="B33" i="53" s="1"/>
  <c r="I33" i="53"/>
  <c r="R32" i="53"/>
  <c r="B32" i="53" s="1"/>
  <c r="I32" i="53" s="1"/>
  <c r="R31" i="53"/>
  <c r="B31" i="53"/>
  <c r="I31" i="53" s="1"/>
  <c r="I30" i="53"/>
  <c r="B30" i="53"/>
  <c r="I29" i="53"/>
  <c r="P28" i="53"/>
  <c r="I28" i="53"/>
  <c r="Q17" i="53"/>
  <c r="B17" i="53"/>
  <c r="I17" i="53" s="1"/>
  <c r="Q16" i="53"/>
  <c r="B16" i="53" s="1"/>
  <c r="I16" i="53" s="1"/>
  <c r="Q15" i="53"/>
  <c r="B15" i="53"/>
  <c r="I15" i="53" s="1"/>
  <c r="B14" i="53"/>
  <c r="I14" i="53" s="1"/>
  <c r="P13" i="53"/>
  <c r="I13" i="53"/>
  <c r="P12" i="53"/>
  <c r="I12" i="53"/>
  <c r="S11" i="53"/>
  <c r="T14" i="53" s="1"/>
  <c r="S10" i="53"/>
  <c r="B7" i="53"/>
  <c r="I104" i="52"/>
  <c r="I103" i="52"/>
  <c r="I102" i="52"/>
  <c r="I101" i="52"/>
  <c r="I100" i="52"/>
  <c r="B95" i="52"/>
  <c r="I89" i="52"/>
  <c r="I88" i="52"/>
  <c r="I87" i="52"/>
  <c r="I86" i="52"/>
  <c r="I75" i="52"/>
  <c r="B75" i="52"/>
  <c r="I74" i="52"/>
  <c r="I73" i="52"/>
  <c r="B62" i="52"/>
  <c r="I62" i="52" s="1"/>
  <c r="I61" i="52"/>
  <c r="R60" i="52"/>
  <c r="I60" i="52"/>
  <c r="B60" i="52"/>
  <c r="B59" i="52"/>
  <c r="I59" i="52" s="1"/>
  <c r="R48" i="52"/>
  <c r="B48" i="52" s="1"/>
  <c r="I48" i="52" s="1"/>
  <c r="I47" i="52"/>
  <c r="B47" i="52"/>
  <c r="R46" i="52"/>
  <c r="B46" i="52" s="1"/>
  <c r="I46" i="52" s="1"/>
  <c r="R45" i="52"/>
  <c r="B45" i="52" s="1"/>
  <c r="I45" i="52" s="1"/>
  <c r="I44" i="52"/>
  <c r="B44" i="52"/>
  <c r="I43" i="52"/>
  <c r="I42" i="52"/>
  <c r="O37" i="52"/>
  <c r="B37" i="52"/>
  <c r="R31" i="52"/>
  <c r="B31" i="52" s="1"/>
  <c r="I31" i="52" s="1"/>
  <c r="B30" i="52"/>
  <c r="I30" i="52" s="1"/>
  <c r="R29" i="52"/>
  <c r="B29" i="52"/>
  <c r="I29" i="52" s="1"/>
  <c r="I28" i="52"/>
  <c r="B23" i="52"/>
  <c r="Q17" i="52"/>
  <c r="B17" i="52" s="1"/>
  <c r="I17" i="52" s="1"/>
  <c r="Q16" i="52"/>
  <c r="B16" i="52"/>
  <c r="I16" i="52" s="1"/>
  <c r="I15" i="52"/>
  <c r="B15" i="52"/>
  <c r="I14" i="52"/>
  <c r="Q13" i="52"/>
  <c r="B13" i="52"/>
  <c r="I13" i="52" s="1"/>
  <c r="I12" i="52"/>
  <c r="B7" i="52"/>
  <c r="Z27" i="51"/>
  <c r="B27" i="51"/>
  <c r="Z26" i="51"/>
  <c r="B26" i="51" s="1"/>
  <c r="Z25" i="51"/>
  <c r="B25" i="51" s="1"/>
  <c r="Z24" i="51"/>
  <c r="B24" i="51"/>
  <c r="Z23" i="51"/>
  <c r="B23" i="51"/>
  <c r="Z22" i="51"/>
  <c r="B22" i="51" s="1"/>
  <c r="Z21" i="51"/>
  <c r="B21" i="51" s="1"/>
  <c r="Z20" i="51"/>
  <c r="B20" i="51" s="1"/>
  <c r="Z19" i="51"/>
  <c r="B19" i="51"/>
  <c r="Z18" i="51"/>
  <c r="B18" i="51" s="1"/>
  <c r="AB17" i="51"/>
  <c r="Z17" i="51" s="1"/>
  <c r="B17" i="51" s="1"/>
  <c r="N32" i="51" s="1"/>
  <c r="Z16" i="51"/>
  <c r="B16" i="51" s="1"/>
  <c r="B12" i="55" s="1"/>
  <c r="B7" i="55" s="1"/>
  <c r="Z15" i="51"/>
  <c r="B15" i="51" s="1"/>
  <c r="Z14" i="51"/>
  <c r="B14" i="51"/>
  <c r="Z13" i="51"/>
  <c r="B13" i="51"/>
  <c r="N1" i="51"/>
  <c r="B362" i="50"/>
  <c r="I362" i="50" s="1"/>
  <c r="R361" i="50"/>
  <c r="B361" i="50" s="1"/>
  <c r="I361" i="50" s="1"/>
  <c r="R360" i="50"/>
  <c r="B360" i="50"/>
  <c r="I360" i="50" s="1"/>
  <c r="R359" i="50"/>
  <c r="B359" i="50" s="1"/>
  <c r="I359" i="50" s="1"/>
  <c r="R358" i="50"/>
  <c r="B358" i="50" s="1"/>
  <c r="I358" i="50" s="1"/>
  <c r="B357" i="50"/>
  <c r="I357" i="50" s="1"/>
  <c r="B356" i="50"/>
  <c r="I356" i="50" s="1"/>
  <c r="B355" i="50"/>
  <c r="I355" i="50" s="1"/>
  <c r="R354" i="50"/>
  <c r="B354" i="50"/>
  <c r="I354" i="50" s="1"/>
  <c r="I353" i="50"/>
  <c r="B353" i="50"/>
  <c r="I352" i="50"/>
  <c r="B352" i="50"/>
  <c r="B351" i="50"/>
  <c r="I351" i="50" s="1"/>
  <c r="B340" i="50"/>
  <c r="I340" i="50" s="1"/>
  <c r="B339" i="50"/>
  <c r="I339" i="50" s="1"/>
  <c r="R338" i="50"/>
  <c r="B338" i="50" s="1"/>
  <c r="I338" i="50" s="1"/>
  <c r="R337" i="50"/>
  <c r="B337" i="50"/>
  <c r="I337" i="50" s="1"/>
  <c r="B336" i="50"/>
  <c r="I336" i="50" s="1"/>
  <c r="R335" i="50"/>
  <c r="B335" i="50" s="1"/>
  <c r="I335" i="50" s="1"/>
  <c r="B334" i="50"/>
  <c r="I334" i="50" s="1"/>
  <c r="I333" i="50"/>
  <c r="B333" i="50"/>
  <c r="I332" i="50"/>
  <c r="B332" i="50"/>
  <c r="R331" i="50"/>
  <c r="I331" i="50"/>
  <c r="B331" i="50"/>
  <c r="B330" i="50"/>
  <c r="I330" i="50" s="1"/>
  <c r="B318" i="50"/>
  <c r="I318" i="50" s="1"/>
  <c r="B317" i="50"/>
  <c r="I317" i="50" s="1"/>
  <c r="I316" i="50"/>
  <c r="B316" i="50"/>
  <c r="I315" i="50"/>
  <c r="B315" i="50"/>
  <c r="B314" i="50"/>
  <c r="I314" i="50" s="1"/>
  <c r="B313" i="50"/>
  <c r="I313" i="50" s="1"/>
  <c r="I312" i="50"/>
  <c r="B312" i="50"/>
  <c r="I311" i="50"/>
  <c r="B311" i="50"/>
  <c r="B310" i="50"/>
  <c r="I310" i="50" s="1"/>
  <c r="I309" i="50"/>
  <c r="I308" i="50"/>
  <c r="B308" i="50"/>
  <c r="B303" i="50" s="1"/>
  <c r="I297" i="50"/>
  <c r="I296" i="50"/>
  <c r="I295" i="50"/>
  <c r="P293" i="50"/>
  <c r="I293" i="50"/>
  <c r="P292" i="50"/>
  <c r="I292" i="50"/>
  <c r="S289" i="50"/>
  <c r="S290" i="50" s="1"/>
  <c r="T293" i="50" s="1"/>
  <c r="B294" i="50" s="1"/>
  <c r="I294" i="50" s="1"/>
  <c r="B287" i="50"/>
  <c r="R281" i="50"/>
  <c r="B281" i="50" s="1"/>
  <c r="I281" i="50" s="1"/>
  <c r="R280" i="50"/>
  <c r="B280" i="50" s="1"/>
  <c r="I280" i="50" s="1"/>
  <c r="R279" i="50"/>
  <c r="B279" i="50"/>
  <c r="I279" i="50" s="1"/>
  <c r="P278" i="50"/>
  <c r="B278" i="50" s="1"/>
  <c r="I278" i="50" s="1"/>
  <c r="R265" i="50"/>
  <c r="B265" i="50" s="1"/>
  <c r="I265" i="50" s="1"/>
  <c r="R264" i="50"/>
  <c r="B264" i="50" s="1"/>
  <c r="I264" i="50" s="1"/>
  <c r="R263" i="50"/>
  <c r="I263" i="50"/>
  <c r="B263" i="50"/>
  <c r="R262" i="50"/>
  <c r="I262" i="50"/>
  <c r="B262" i="50"/>
  <c r="R261" i="50"/>
  <c r="B261" i="50" s="1"/>
  <c r="I261" i="50" s="1"/>
  <c r="R248" i="50"/>
  <c r="B248" i="50" s="1"/>
  <c r="I236" i="50"/>
  <c r="R222" i="50"/>
  <c r="B222" i="50" s="1"/>
  <c r="I222" i="50" s="1"/>
  <c r="R221" i="50"/>
  <c r="B221" i="50"/>
  <c r="I221" i="50" s="1"/>
  <c r="R220" i="50"/>
  <c r="B220" i="50" s="1"/>
  <c r="I220" i="50" s="1"/>
  <c r="R219" i="50"/>
  <c r="B219" i="50" s="1"/>
  <c r="I219" i="50" s="1"/>
  <c r="B218" i="50"/>
  <c r="I218" i="50" s="1"/>
  <c r="I217" i="50"/>
  <c r="B217" i="50"/>
  <c r="P216" i="50"/>
  <c r="I216" i="50"/>
  <c r="B216" i="50"/>
  <c r="I205" i="50"/>
  <c r="B205" i="50"/>
  <c r="I204" i="50"/>
  <c r="B204" i="50"/>
  <c r="I203" i="50"/>
  <c r="T202" i="50"/>
  <c r="B202" i="50" s="1"/>
  <c r="I202" i="50" s="1"/>
  <c r="P201" i="50"/>
  <c r="I201" i="50"/>
  <c r="P200" i="50"/>
  <c r="I200" i="50"/>
  <c r="S198" i="50"/>
  <c r="S199" i="50" s="1"/>
  <c r="B195" i="50"/>
  <c r="R189" i="50"/>
  <c r="B189" i="50" s="1"/>
  <c r="I189" i="50"/>
  <c r="R188" i="50"/>
  <c r="B188" i="50" s="1"/>
  <c r="I188" i="50" s="1"/>
  <c r="R187" i="50"/>
  <c r="B187" i="50"/>
  <c r="I187" i="50" s="1"/>
  <c r="P186" i="50"/>
  <c r="B186" i="50"/>
  <c r="I186" i="50" s="1"/>
  <c r="I185" i="50"/>
  <c r="I184" i="50"/>
  <c r="B179" i="50"/>
  <c r="R173" i="50"/>
  <c r="B173" i="50" s="1"/>
  <c r="I173" i="50" s="1"/>
  <c r="R172" i="50"/>
  <c r="B172" i="50"/>
  <c r="I172" i="50" s="1"/>
  <c r="R171" i="50"/>
  <c r="B171" i="50" s="1"/>
  <c r="I171" i="50" s="1"/>
  <c r="R170" i="50"/>
  <c r="B170" i="50"/>
  <c r="I170" i="50" s="1"/>
  <c r="R169" i="50"/>
  <c r="B169" i="50" s="1"/>
  <c r="I169" i="50" s="1"/>
  <c r="B168" i="50"/>
  <c r="I168" i="50" s="1"/>
  <c r="B162" i="50"/>
  <c r="B154" i="50" s="1"/>
  <c r="I156" i="50"/>
  <c r="R155" i="50"/>
  <c r="B155" i="50" s="1"/>
  <c r="I155" i="50" s="1"/>
  <c r="B152" i="50"/>
  <c r="I152" i="50" s="1"/>
  <c r="R141" i="50"/>
  <c r="B141" i="50"/>
  <c r="I141" i="50" s="1"/>
  <c r="R140" i="50"/>
  <c r="B140" i="50"/>
  <c r="I140" i="50" s="1"/>
  <c r="I139" i="50"/>
  <c r="I138" i="50"/>
  <c r="B133" i="50"/>
  <c r="R127" i="50"/>
  <c r="B127" i="50" s="1"/>
  <c r="I127" i="50" s="1"/>
  <c r="R126" i="50"/>
  <c r="B126" i="50"/>
  <c r="I126" i="50" s="1"/>
  <c r="R125" i="50"/>
  <c r="B125" i="50" s="1"/>
  <c r="I125" i="50" s="1"/>
  <c r="I124" i="50"/>
  <c r="I123" i="50"/>
  <c r="R112" i="50"/>
  <c r="I112" i="50"/>
  <c r="B112" i="50"/>
  <c r="I111" i="50"/>
  <c r="B109" i="50"/>
  <c r="I109" i="50" s="1"/>
  <c r="I108" i="50"/>
  <c r="R97" i="50"/>
  <c r="B97" i="50" s="1"/>
  <c r="I97" i="50" s="1"/>
  <c r="I96" i="50"/>
  <c r="I95" i="50"/>
  <c r="I84" i="50"/>
  <c r="I83" i="50"/>
  <c r="I82" i="50"/>
  <c r="R71" i="50"/>
  <c r="B71" i="50" s="1"/>
  <c r="I71" i="50" s="1"/>
  <c r="I70" i="50"/>
  <c r="I69" i="50"/>
  <c r="I68" i="50"/>
  <c r="R57" i="50"/>
  <c r="B57" i="50" s="1"/>
  <c r="I57" i="50"/>
  <c r="R56" i="50"/>
  <c r="I56" i="50"/>
  <c r="B56" i="50"/>
  <c r="R55" i="50"/>
  <c r="I55" i="50"/>
  <c r="R44" i="50"/>
  <c r="B44" i="50" s="1"/>
  <c r="I44" i="50"/>
  <c r="I43" i="50"/>
  <c r="R42" i="50"/>
  <c r="I42" i="50"/>
  <c r="I41" i="50"/>
  <c r="R30" i="50"/>
  <c r="I30" i="50"/>
  <c r="B30" i="50"/>
  <c r="R29" i="50"/>
  <c r="B29" i="50" s="1"/>
  <c r="I29" i="50" s="1"/>
  <c r="R28" i="50"/>
  <c r="B28" i="50"/>
  <c r="I28" i="50" s="1"/>
  <c r="I27" i="50"/>
  <c r="R15" i="50"/>
  <c r="B15" i="50" s="1"/>
  <c r="I15" i="50" s="1"/>
  <c r="B12" i="50"/>
  <c r="J57" i="49"/>
  <c r="B57" i="49"/>
  <c r="S55" i="49"/>
  <c r="B55" i="49" s="1"/>
  <c r="J55" i="49" s="1"/>
  <c r="S54" i="49"/>
  <c r="B54" i="49" s="1"/>
  <c r="J54" i="49" s="1"/>
  <c r="S53" i="49"/>
  <c r="B53" i="49"/>
  <c r="J53" i="49" s="1"/>
  <c r="S52" i="49"/>
  <c r="B52" i="49" s="1"/>
  <c r="J52" i="49" s="1"/>
  <c r="J51" i="49"/>
  <c r="B51" i="49"/>
  <c r="S50" i="49"/>
  <c r="J50" i="49"/>
  <c r="B50" i="49"/>
  <c r="J49" i="49"/>
  <c r="B49" i="49"/>
  <c r="J48" i="49"/>
  <c r="S37" i="49"/>
  <c r="B37" i="49"/>
  <c r="J37" i="49" s="1"/>
  <c r="S36" i="49"/>
  <c r="B36" i="49" s="1"/>
  <c r="J36" i="49" s="1"/>
  <c r="S35" i="49"/>
  <c r="J35" i="49"/>
  <c r="B35" i="49"/>
  <c r="B34" i="49"/>
  <c r="J34" i="49" s="1"/>
  <c r="B33" i="49"/>
  <c r="J33" i="49" s="1"/>
  <c r="S32" i="49"/>
  <c r="B32" i="49" s="1"/>
  <c r="J32" i="49" s="1"/>
  <c r="J31" i="49"/>
  <c r="B31" i="49"/>
  <c r="J30" i="49"/>
  <c r="J29" i="49"/>
  <c r="B19" i="49"/>
  <c r="S18" i="49"/>
  <c r="B18" i="49" s="1"/>
  <c r="J18" i="49" s="1"/>
  <c r="B17" i="49"/>
  <c r="J17" i="49" s="1"/>
  <c r="S16" i="49"/>
  <c r="J16" i="49"/>
  <c r="B16" i="49"/>
  <c r="J15" i="49"/>
  <c r="B15" i="49"/>
  <c r="J14" i="49"/>
  <c r="B14" i="49"/>
  <c r="B12" i="49"/>
  <c r="J12" i="49" s="1"/>
  <c r="B7" i="49"/>
  <c r="B23" i="46" s="1"/>
  <c r="I47" i="48"/>
  <c r="I46" i="48"/>
  <c r="B45" i="48"/>
  <c r="I45" i="48" s="1"/>
  <c r="B34" i="48"/>
  <c r="I34" i="48" s="1"/>
  <c r="I33" i="48"/>
  <c r="B33" i="48"/>
  <c r="R32" i="48"/>
  <c r="B32" i="48" s="1"/>
  <c r="I32" i="48" s="1"/>
  <c r="R31" i="48"/>
  <c r="B31" i="48"/>
  <c r="I31" i="48" s="1"/>
  <c r="B30" i="48"/>
  <c r="I30" i="48" s="1"/>
  <c r="I29" i="48"/>
  <c r="P28" i="48"/>
  <c r="I28" i="48"/>
  <c r="B23" i="48"/>
  <c r="I17" i="48"/>
  <c r="B17" i="48"/>
  <c r="I15" i="48"/>
  <c r="I14" i="48"/>
  <c r="P13" i="48"/>
  <c r="I13" i="48"/>
  <c r="B13" i="48"/>
  <c r="P12" i="48"/>
  <c r="I12" i="48"/>
  <c r="S10" i="48"/>
  <c r="T13" i="48" s="1"/>
  <c r="B16" i="48" s="1"/>
  <c r="I16" i="48" s="1"/>
  <c r="S9" i="48"/>
  <c r="I104" i="47"/>
  <c r="I103" i="47"/>
  <c r="I102" i="47"/>
  <c r="I101" i="47"/>
  <c r="I100" i="47"/>
  <c r="B95" i="47"/>
  <c r="I89" i="47"/>
  <c r="I88" i="47"/>
  <c r="I87" i="47"/>
  <c r="I86" i="47"/>
  <c r="B81" i="47"/>
  <c r="B75" i="47"/>
  <c r="I75" i="47" s="1"/>
  <c r="I74" i="47"/>
  <c r="I73" i="47"/>
  <c r="I62" i="47"/>
  <c r="B61" i="47"/>
  <c r="I61" i="47" s="1"/>
  <c r="R60" i="47"/>
  <c r="B60" i="47"/>
  <c r="I60" i="47" s="1"/>
  <c r="I59" i="47"/>
  <c r="R48" i="47"/>
  <c r="B48" i="47" s="1"/>
  <c r="I48" i="47" s="1"/>
  <c r="B47" i="47"/>
  <c r="I47" i="47" s="1"/>
  <c r="R46" i="47"/>
  <c r="B46" i="47"/>
  <c r="I46" i="47" s="1"/>
  <c r="R45" i="47"/>
  <c r="B45" i="47" s="1"/>
  <c r="I45" i="47" s="1"/>
  <c r="I44" i="47"/>
  <c r="B44" i="47"/>
  <c r="B43" i="47"/>
  <c r="I43" i="47" s="1"/>
  <c r="I42" i="47"/>
  <c r="O37" i="47"/>
  <c r="R31" i="47"/>
  <c r="B31" i="47"/>
  <c r="I31" i="47" s="1"/>
  <c r="B30" i="47"/>
  <c r="I30" i="47" s="1"/>
  <c r="R29" i="47"/>
  <c r="B29" i="47"/>
  <c r="I29" i="47" s="1"/>
  <c r="I28" i="47"/>
  <c r="B23" i="47"/>
  <c r="Q17" i="47"/>
  <c r="B17" i="47" s="1"/>
  <c r="I17" i="47" s="1"/>
  <c r="Q16" i="47"/>
  <c r="I16" i="47"/>
  <c r="B16" i="47"/>
  <c r="B15" i="47"/>
  <c r="I15" i="47" s="1"/>
  <c r="I14" i="47"/>
  <c r="I13" i="47"/>
  <c r="I12" i="47"/>
  <c r="B7" i="47"/>
  <c r="R27" i="46"/>
  <c r="B27" i="46"/>
  <c r="S26" i="46"/>
  <c r="R26" i="46"/>
  <c r="S25" i="46"/>
  <c r="R25" i="46"/>
  <c r="S24" i="46"/>
  <c r="R24" i="46"/>
  <c r="S23" i="46"/>
  <c r="R23" i="46"/>
  <c r="S22" i="46"/>
  <c r="R22" i="46"/>
  <c r="S21" i="46"/>
  <c r="R21" i="46"/>
  <c r="S20" i="46"/>
  <c r="R20" i="46"/>
  <c r="S19" i="46"/>
  <c r="R19" i="46"/>
  <c r="S18" i="46"/>
  <c r="R18" i="46"/>
  <c r="T17" i="46"/>
  <c r="S17" i="46" s="1"/>
  <c r="B17" i="46" s="1"/>
  <c r="O31" i="46" s="1"/>
  <c r="R17" i="46"/>
  <c r="S16" i="46"/>
  <c r="R16" i="46"/>
  <c r="S15" i="46"/>
  <c r="R15" i="46"/>
  <c r="S14" i="46"/>
  <c r="R14" i="46"/>
  <c r="S13" i="46"/>
  <c r="R13" i="46"/>
  <c r="T70" i="45"/>
  <c r="B70" i="45" s="1"/>
  <c r="J70" i="45" s="1"/>
  <c r="T69" i="45"/>
  <c r="J69" i="45"/>
  <c r="B69" i="45"/>
  <c r="T68" i="45"/>
  <c r="B68" i="45" s="1"/>
  <c r="J68" i="45" s="1"/>
  <c r="T67" i="45"/>
  <c r="B67" i="45"/>
  <c r="J67" i="45" s="1"/>
  <c r="T66" i="45"/>
  <c r="B66" i="45" s="1"/>
  <c r="J66" i="45"/>
  <c r="T65" i="45"/>
  <c r="B65" i="45" s="1"/>
  <c r="J65" i="45" s="1"/>
  <c r="T64" i="45"/>
  <c r="B64" i="45"/>
  <c r="J64" i="45" s="1"/>
  <c r="T63" i="45"/>
  <c r="B63" i="45" s="1"/>
  <c r="J63" i="45" s="1"/>
  <c r="T62" i="45"/>
  <c r="B62" i="45" s="1"/>
  <c r="J62" i="45" s="1"/>
  <c r="T61" i="45"/>
  <c r="B61" i="45"/>
  <c r="J61" i="45" s="1"/>
  <c r="T60" i="45"/>
  <c r="B60" i="45" s="1"/>
  <c r="J60" i="45" s="1"/>
  <c r="T59" i="45"/>
  <c r="B59" i="45"/>
  <c r="J59" i="45" s="1"/>
  <c r="T58" i="45"/>
  <c r="B58" i="45" s="1"/>
  <c r="J58" i="45" s="1"/>
  <c r="T57" i="45"/>
  <c r="B57" i="45" s="1"/>
  <c r="J57" i="45" s="1"/>
  <c r="J56" i="45"/>
  <c r="J45" i="45"/>
  <c r="J44" i="45"/>
  <c r="J43" i="45"/>
  <c r="J42" i="45"/>
  <c r="J41" i="45"/>
  <c r="J40" i="45"/>
  <c r="J39" i="45"/>
  <c r="J38" i="45"/>
  <c r="J37" i="45"/>
  <c r="J36" i="45"/>
  <c r="J35" i="45"/>
  <c r="B35" i="45"/>
  <c r="J34" i="45"/>
  <c r="B34" i="45"/>
  <c r="B33" i="45"/>
  <c r="J33" i="45" s="1"/>
  <c r="J32" i="45"/>
  <c r="J31" i="45"/>
  <c r="J30" i="45"/>
  <c r="S19" i="45"/>
  <c r="J19" i="45"/>
  <c r="B19" i="45"/>
  <c r="S18" i="45"/>
  <c r="B18" i="45"/>
  <c r="J18" i="45" s="1"/>
  <c r="S17" i="45"/>
  <c r="B17" i="45" s="1"/>
  <c r="J17" i="45"/>
  <c r="S16" i="45"/>
  <c r="B16" i="45" s="1"/>
  <c r="J16" i="45" s="1"/>
  <c r="S15" i="45"/>
  <c r="B15" i="45"/>
  <c r="J15" i="45" s="1"/>
  <c r="S14" i="45"/>
  <c r="B14" i="45" s="1"/>
  <c r="J14" i="45" s="1"/>
  <c r="S13" i="45"/>
  <c r="B13" i="45" s="1"/>
  <c r="J13" i="45" s="1"/>
  <c r="J12" i="45"/>
  <c r="T50" i="44"/>
  <c r="B50" i="44" s="1"/>
  <c r="J50" i="44"/>
  <c r="T49" i="44"/>
  <c r="B49" i="44" s="1"/>
  <c r="J49" i="44" s="1"/>
  <c r="T48" i="44"/>
  <c r="J48" i="44"/>
  <c r="B48" i="44"/>
  <c r="T47" i="44"/>
  <c r="B47" i="44" s="1"/>
  <c r="J47" i="44" s="1"/>
  <c r="T46" i="44"/>
  <c r="B46" i="44" s="1"/>
  <c r="J46" i="44" s="1"/>
  <c r="T45" i="44"/>
  <c r="J45" i="44"/>
  <c r="B45" i="44"/>
  <c r="T44" i="44"/>
  <c r="B44" i="44" s="1"/>
  <c r="J44" i="44" s="1"/>
  <c r="T43" i="44"/>
  <c r="B43" i="44"/>
  <c r="J43" i="44" s="1"/>
  <c r="T42" i="44"/>
  <c r="B42" i="44" s="1"/>
  <c r="J42" i="44"/>
  <c r="T41" i="44"/>
  <c r="B41" i="44" s="1"/>
  <c r="J41" i="44" s="1"/>
  <c r="T40" i="44"/>
  <c r="B40" i="44"/>
  <c r="J40" i="44" s="1"/>
  <c r="T39" i="44"/>
  <c r="B39" i="44" s="1"/>
  <c r="J39" i="44" s="1"/>
  <c r="J38" i="44"/>
  <c r="J27" i="44"/>
  <c r="J26" i="44"/>
  <c r="J25" i="44"/>
  <c r="J24" i="44"/>
  <c r="J23" i="44"/>
  <c r="J22" i="44"/>
  <c r="J21" i="44"/>
  <c r="J20" i="44"/>
  <c r="J19" i="44"/>
  <c r="J18" i="44"/>
  <c r="B17" i="44"/>
  <c r="J17" i="44" s="1"/>
  <c r="J16" i="44"/>
  <c r="B16" i="44"/>
  <c r="J15" i="44"/>
  <c r="B15" i="44"/>
  <c r="J14" i="44"/>
  <c r="J13" i="44"/>
  <c r="J12" i="44"/>
  <c r="I17" i="42"/>
  <c r="I16" i="42"/>
  <c r="I15" i="42"/>
  <c r="O14" i="42"/>
  <c r="I14" i="42"/>
  <c r="I13" i="42"/>
  <c r="J208" i="41"/>
  <c r="J207" i="41"/>
  <c r="J206" i="41"/>
  <c r="J205" i="41"/>
  <c r="J204" i="41"/>
  <c r="B203" i="41"/>
  <c r="J203" i="41" s="1"/>
  <c r="J202" i="41"/>
  <c r="J201" i="41"/>
  <c r="J200" i="41"/>
  <c r="J199" i="41"/>
  <c r="J198" i="41"/>
  <c r="J197" i="41"/>
  <c r="J196" i="41"/>
  <c r="J195" i="41"/>
  <c r="J194" i="41"/>
  <c r="J193" i="41"/>
  <c r="J192" i="41"/>
  <c r="J191" i="41"/>
  <c r="J190" i="41"/>
  <c r="J189" i="41"/>
  <c r="J188" i="41"/>
  <c r="B187" i="41"/>
  <c r="J187" i="41" s="1"/>
  <c r="B182" i="41"/>
  <c r="J176" i="41"/>
  <c r="J175" i="41"/>
  <c r="J174" i="41"/>
  <c r="J173" i="41"/>
  <c r="J172" i="41"/>
  <c r="J171" i="41"/>
  <c r="B165" i="41"/>
  <c r="B170" i="41" s="1"/>
  <c r="J170" i="41" s="1"/>
  <c r="J159" i="41"/>
  <c r="K158" i="41"/>
  <c r="B158" i="41"/>
  <c r="J158" i="41" s="1"/>
  <c r="J157" i="41"/>
  <c r="K156" i="41"/>
  <c r="B156" i="41"/>
  <c r="J156" i="41" s="1"/>
  <c r="J155" i="41"/>
  <c r="K154" i="41"/>
  <c r="J154" i="41"/>
  <c r="B154" i="41"/>
  <c r="J153" i="41"/>
  <c r="K152" i="41"/>
  <c r="B152" i="41"/>
  <c r="J152" i="41" s="1"/>
  <c r="J151" i="41"/>
  <c r="K150" i="41"/>
  <c r="B150" i="41"/>
  <c r="J150" i="41" s="1"/>
  <c r="J149" i="41"/>
  <c r="K148" i="41"/>
  <c r="B148" i="41"/>
  <c r="J148" i="41" s="1"/>
  <c r="J147" i="41"/>
  <c r="J146" i="41"/>
  <c r="J145" i="41"/>
  <c r="J144" i="41"/>
  <c r="J143" i="41"/>
  <c r="J142" i="41"/>
  <c r="J141" i="41"/>
  <c r="J140" i="41"/>
  <c r="J139" i="41"/>
  <c r="J138" i="41"/>
  <c r="J137" i="41"/>
  <c r="J136" i="41"/>
  <c r="B135" i="41"/>
  <c r="J135" i="41" s="1"/>
  <c r="B130" i="41"/>
  <c r="J124" i="41"/>
  <c r="J123" i="41"/>
  <c r="J122" i="41"/>
  <c r="J121" i="41"/>
  <c r="J110" i="41"/>
  <c r="J109" i="41"/>
  <c r="J108" i="41"/>
  <c r="J107" i="41"/>
  <c r="J106" i="41"/>
  <c r="J105" i="41"/>
  <c r="J104" i="41"/>
  <c r="J103" i="41"/>
  <c r="J102" i="41"/>
  <c r="J101" i="41"/>
  <c r="J100" i="41"/>
  <c r="J99" i="41"/>
  <c r="J98" i="41"/>
  <c r="J97" i="41"/>
  <c r="J96" i="41"/>
  <c r="J95" i="41"/>
  <c r="J94" i="41"/>
  <c r="J93" i="41"/>
  <c r="J92" i="41"/>
  <c r="B91" i="41"/>
  <c r="J91" i="41" s="1"/>
  <c r="B86" i="41"/>
  <c r="J80" i="41"/>
  <c r="J79" i="41"/>
  <c r="J78" i="41"/>
  <c r="J77" i="41"/>
  <c r="J76" i="41"/>
  <c r="B75" i="41"/>
  <c r="J75" i="41" s="1"/>
  <c r="B70" i="41"/>
  <c r="J64" i="41"/>
  <c r="K63" i="41"/>
  <c r="J63" i="41"/>
  <c r="B63" i="41"/>
  <c r="J62" i="41"/>
  <c r="K61" i="41"/>
  <c r="J61" i="41"/>
  <c r="B61" i="41"/>
  <c r="J60" i="41"/>
  <c r="K59" i="41"/>
  <c r="J59" i="41"/>
  <c r="B59" i="41"/>
  <c r="J58" i="41"/>
  <c r="K57" i="41"/>
  <c r="J57" i="41"/>
  <c r="B57" i="41"/>
  <c r="J56" i="41"/>
  <c r="K55" i="41"/>
  <c r="J55" i="41"/>
  <c r="B55" i="41"/>
  <c r="J54" i="41"/>
  <c r="K53" i="41"/>
  <c r="J53" i="41"/>
  <c r="B53" i="41"/>
  <c r="J52" i="41"/>
  <c r="J51" i="41"/>
  <c r="J50" i="41"/>
  <c r="J49" i="41"/>
  <c r="J48" i="41"/>
  <c r="J47" i="41"/>
  <c r="J46" i="41"/>
  <c r="J45" i="41"/>
  <c r="J44" i="41"/>
  <c r="J43" i="41"/>
  <c r="J42" i="41"/>
  <c r="J41" i="41"/>
  <c r="J40" i="41"/>
  <c r="B39" i="41"/>
  <c r="J39" i="41" s="1"/>
  <c r="B34" i="41"/>
  <c r="J28" i="41"/>
  <c r="J27" i="41"/>
  <c r="J26" i="41"/>
  <c r="J25" i="41"/>
  <c r="B126" i="39"/>
  <c r="B125" i="39"/>
  <c r="B124" i="39"/>
  <c r="N123" i="39"/>
  <c r="M123" i="39"/>
  <c r="J123" i="39"/>
  <c r="J122" i="39"/>
  <c r="N122" i="39" s="1"/>
  <c r="B122" i="39"/>
  <c r="J121" i="39"/>
  <c r="B121" i="39"/>
  <c r="N108" i="39"/>
  <c r="J108" i="39"/>
  <c r="M108" i="39" s="1"/>
  <c r="J107" i="39"/>
  <c r="N107" i="39" s="1"/>
  <c r="J95" i="39"/>
  <c r="J94" i="39"/>
  <c r="J91" i="39"/>
  <c r="J90" i="39"/>
  <c r="J74" i="39"/>
  <c r="N73" i="39"/>
  <c r="M73" i="39"/>
  <c r="J73" i="39"/>
  <c r="N72" i="39"/>
  <c r="M72" i="39"/>
  <c r="J72" i="39"/>
  <c r="M71" i="39"/>
  <c r="J71" i="39"/>
  <c r="N71" i="39" s="1"/>
  <c r="N70" i="39"/>
  <c r="M70" i="39"/>
  <c r="J70" i="39"/>
  <c r="B58" i="39"/>
  <c r="J58" i="39" s="1"/>
  <c r="B57" i="39"/>
  <c r="J57" i="39" s="1"/>
  <c r="M57" i="39" s="1"/>
  <c r="J56" i="39"/>
  <c r="J55" i="39"/>
  <c r="N54" i="39"/>
  <c r="M54" i="39"/>
  <c r="J54" i="39"/>
  <c r="B54" i="39"/>
  <c r="B53" i="39"/>
  <c r="J53" i="39" s="1"/>
  <c r="J52" i="39"/>
  <c r="B40" i="39"/>
  <c r="B39" i="39"/>
  <c r="J39" i="39" s="1"/>
  <c r="J38" i="39"/>
  <c r="J37" i="39"/>
  <c r="J24" i="39"/>
  <c r="J12" i="39"/>
  <c r="J206" i="38"/>
  <c r="B206" i="38"/>
  <c r="J205" i="38"/>
  <c r="J190" i="38"/>
  <c r="B181" i="38"/>
  <c r="J178" i="38"/>
  <c r="J176" i="38"/>
  <c r="B167" i="38"/>
  <c r="J164" i="38"/>
  <c r="B164" i="38"/>
  <c r="B155" i="38"/>
  <c r="B141" i="38"/>
  <c r="J138" i="38"/>
  <c r="B138" i="38"/>
  <c r="B137" i="38"/>
  <c r="J137" i="38" s="1"/>
  <c r="J136" i="38"/>
  <c r="B136" i="38"/>
  <c r="B135" i="38"/>
  <c r="J135" i="38" s="1"/>
  <c r="B126" i="38"/>
  <c r="J123" i="38"/>
  <c r="B123" i="38"/>
  <c r="J122" i="38"/>
  <c r="B122" i="38"/>
  <c r="B121" i="38"/>
  <c r="J121" i="38" s="1"/>
  <c r="B120" i="38"/>
  <c r="J120" i="38" s="1"/>
  <c r="J119" i="38"/>
  <c r="B119" i="38"/>
  <c r="J118" i="38"/>
  <c r="J117" i="38"/>
  <c r="J116" i="38"/>
  <c r="J115" i="38"/>
  <c r="J114" i="38"/>
  <c r="B105" i="38"/>
  <c r="J102" i="38"/>
  <c r="B102" i="38"/>
  <c r="J101" i="38"/>
  <c r="B101" i="38"/>
  <c r="B100" i="38"/>
  <c r="J100" i="38" s="1"/>
  <c r="J99" i="38"/>
  <c r="B99" i="38"/>
  <c r="J98" i="38"/>
  <c r="B98" i="38"/>
  <c r="B89" i="38"/>
  <c r="J86" i="38"/>
  <c r="B86" i="38"/>
  <c r="B77" i="38"/>
  <c r="J74" i="38"/>
  <c r="B74" i="38"/>
  <c r="B73" i="38"/>
  <c r="B72" i="38"/>
  <c r="A71" i="38"/>
  <c r="B63" i="38"/>
  <c r="B60" i="38"/>
  <c r="J60" i="38" s="1"/>
  <c r="B59" i="38"/>
  <c r="J59" i="38" s="1"/>
  <c r="J58" i="38"/>
  <c r="B58" i="38"/>
  <c r="J57" i="38"/>
  <c r="B57" i="38"/>
  <c r="B48" i="38"/>
  <c r="B45" i="38"/>
  <c r="J45" i="38" s="1"/>
  <c r="B44" i="38"/>
  <c r="B35" i="38"/>
  <c r="A27" i="38"/>
  <c r="B19" i="38"/>
  <c r="B16" i="38"/>
  <c r="B15" i="38"/>
  <c r="A15" i="38"/>
  <c r="J14" i="38"/>
  <c r="B14" i="38"/>
  <c r="B13" i="38"/>
  <c r="J13" i="38" s="1"/>
  <c r="B4" i="38"/>
  <c r="B33" i="37"/>
  <c r="B497" i="36"/>
  <c r="J497" i="36" s="1"/>
  <c r="B496" i="36"/>
  <c r="J496" i="36" s="1"/>
  <c r="B495" i="36"/>
  <c r="J495" i="36" s="1"/>
  <c r="B494" i="36"/>
  <c r="J494" i="36" s="1"/>
  <c r="J493" i="36"/>
  <c r="B493" i="36"/>
  <c r="B492" i="36"/>
  <c r="J492" i="36" s="1"/>
  <c r="T491" i="36"/>
  <c r="B491" i="36" s="1"/>
  <c r="J491" i="36" s="1"/>
  <c r="T490" i="36"/>
  <c r="V490" i="36" s="1"/>
  <c r="B490" i="36"/>
  <c r="J490" i="36" s="1"/>
  <c r="V489" i="36"/>
  <c r="B489" i="36" s="1"/>
  <c r="J489" i="36" s="1"/>
  <c r="T489" i="36"/>
  <c r="T488" i="36"/>
  <c r="V488" i="36" s="1"/>
  <c r="B488" i="36" s="1"/>
  <c r="J488" i="36" s="1"/>
  <c r="T487" i="36"/>
  <c r="B487" i="36" s="1"/>
  <c r="J487" i="36" s="1"/>
  <c r="T486" i="36"/>
  <c r="V486" i="36" s="1"/>
  <c r="B486" i="36" s="1"/>
  <c r="J486" i="36" s="1"/>
  <c r="B485" i="36"/>
  <c r="J485" i="36" s="1"/>
  <c r="B481" i="36"/>
  <c r="J481" i="36" s="1"/>
  <c r="B480" i="36"/>
  <c r="B482" i="36" s="1"/>
  <c r="J482" i="36" s="1"/>
  <c r="B479" i="36"/>
  <c r="J479" i="36" s="1"/>
  <c r="J478" i="36"/>
  <c r="B467" i="36"/>
  <c r="J467" i="36" s="1"/>
  <c r="B466" i="36"/>
  <c r="J466" i="36" s="1"/>
  <c r="J465" i="36"/>
  <c r="B465" i="36"/>
  <c r="B464" i="36"/>
  <c r="J464" i="36" s="1"/>
  <c r="B463" i="36"/>
  <c r="J463" i="36" s="1"/>
  <c r="B462" i="36"/>
  <c r="J462" i="36" s="1"/>
  <c r="T461" i="36"/>
  <c r="B461" i="36" s="1"/>
  <c r="J461" i="36"/>
  <c r="V460" i="36"/>
  <c r="B460" i="36" s="1"/>
  <c r="J460" i="36" s="1"/>
  <c r="T460" i="36"/>
  <c r="T459" i="36"/>
  <c r="V459" i="36" s="1"/>
  <c r="B459" i="36" s="1"/>
  <c r="J459" i="36" s="1"/>
  <c r="T458" i="36"/>
  <c r="V458" i="36" s="1"/>
  <c r="B458" i="36" s="1"/>
  <c r="J458" i="36" s="1"/>
  <c r="T457" i="36"/>
  <c r="B457" i="36" s="1"/>
  <c r="J457" i="36" s="1"/>
  <c r="T456" i="36"/>
  <c r="V456" i="36" s="1"/>
  <c r="B456" i="36"/>
  <c r="J456" i="36" s="1"/>
  <c r="J455" i="36"/>
  <c r="B455" i="36"/>
  <c r="B453" i="36"/>
  <c r="J453" i="36" s="1"/>
  <c r="B452" i="36"/>
  <c r="J452" i="36" s="1"/>
  <c r="B441" i="36"/>
  <c r="J441" i="36" s="1"/>
  <c r="B439" i="36"/>
  <c r="J439" i="36" s="1"/>
  <c r="B438" i="36"/>
  <c r="B451" i="36" s="1"/>
  <c r="J451" i="36" s="1"/>
  <c r="B437" i="36"/>
  <c r="J437" i="36" s="1"/>
  <c r="B435" i="36"/>
  <c r="B446" i="36" s="1"/>
  <c r="B447" i="36" s="1"/>
  <c r="J447" i="36" s="1"/>
  <c r="B434" i="36"/>
  <c r="B443" i="36" s="1"/>
  <c r="J443" i="36" s="1"/>
  <c r="B433" i="36"/>
  <c r="J433" i="36" s="1"/>
  <c r="J432" i="36"/>
  <c r="B421" i="36"/>
  <c r="J421" i="36" s="1"/>
  <c r="B420" i="36"/>
  <c r="J420" i="36" s="1"/>
  <c r="B419" i="36"/>
  <c r="J419" i="36" s="1"/>
  <c r="B418" i="36"/>
  <c r="J418" i="36" s="1"/>
  <c r="B417" i="36"/>
  <c r="J417" i="36" s="1"/>
  <c r="B416" i="36"/>
  <c r="J416" i="36" s="1"/>
  <c r="T415" i="36"/>
  <c r="B415" i="36" s="1"/>
  <c r="J415" i="36" s="1"/>
  <c r="T414" i="36"/>
  <c r="V414" i="36" s="1"/>
  <c r="B414" i="36" s="1"/>
  <c r="J414" i="36" s="1"/>
  <c r="T413" i="36"/>
  <c r="V413" i="36" s="1"/>
  <c r="B413" i="36" s="1"/>
  <c r="J413" i="36" s="1"/>
  <c r="T412" i="36"/>
  <c r="V412" i="36" s="1"/>
  <c r="B412" i="36" s="1"/>
  <c r="J412" i="36" s="1"/>
  <c r="T411" i="36"/>
  <c r="B411" i="36" s="1"/>
  <c r="J411" i="36" s="1"/>
  <c r="T410" i="36"/>
  <c r="V410" i="36" s="1"/>
  <c r="B410" i="36" s="1"/>
  <c r="J410" i="36" s="1"/>
  <c r="B409" i="36"/>
  <c r="J409" i="36" s="1"/>
  <c r="B407" i="36"/>
  <c r="J407" i="36" s="1"/>
  <c r="B406" i="36"/>
  <c r="J406" i="36" s="1"/>
  <c r="B402" i="36"/>
  <c r="B408" i="36" s="1"/>
  <c r="J408" i="36" s="1"/>
  <c r="B401" i="36"/>
  <c r="J401" i="36" s="1"/>
  <c r="B400" i="36"/>
  <c r="B404" i="36" s="1"/>
  <c r="J404" i="36" s="1"/>
  <c r="J399" i="36"/>
  <c r="B388" i="36"/>
  <c r="J388" i="36" s="1"/>
  <c r="J387" i="36"/>
  <c r="B387" i="36"/>
  <c r="B386" i="36"/>
  <c r="J386" i="36" s="1"/>
  <c r="B385" i="36"/>
  <c r="J385" i="36" s="1"/>
  <c r="B384" i="36"/>
  <c r="J384" i="36" s="1"/>
  <c r="B383" i="36"/>
  <c r="J383" i="36" s="1"/>
  <c r="T382" i="36"/>
  <c r="B382" i="36" s="1"/>
  <c r="J382" i="36" s="1"/>
  <c r="T381" i="36"/>
  <c r="V381" i="36" s="1"/>
  <c r="B381" i="36" s="1"/>
  <c r="J381" i="36" s="1"/>
  <c r="T380" i="36"/>
  <c r="V380" i="36" s="1"/>
  <c r="B380" i="36" s="1"/>
  <c r="J380" i="36"/>
  <c r="T379" i="36"/>
  <c r="V379" i="36" s="1"/>
  <c r="B379" i="36" s="1"/>
  <c r="J379" i="36" s="1"/>
  <c r="T378" i="36"/>
  <c r="J378" i="36"/>
  <c r="B378" i="36"/>
  <c r="T377" i="36"/>
  <c r="V377" i="36" s="1"/>
  <c r="B377" i="36"/>
  <c r="J377" i="36" s="1"/>
  <c r="J376" i="36"/>
  <c r="B376" i="36"/>
  <c r="B373" i="36"/>
  <c r="J373" i="36" s="1"/>
  <c r="J370" i="36"/>
  <c r="B370" i="36"/>
  <c r="B375" i="36" s="1"/>
  <c r="J375" i="36" s="1"/>
  <c r="B369" i="36"/>
  <c r="J369" i="36" s="1"/>
  <c r="B368" i="36"/>
  <c r="B372" i="36" s="1"/>
  <c r="J372" i="36" s="1"/>
  <c r="J367" i="36"/>
  <c r="B356" i="36"/>
  <c r="J356" i="36" s="1"/>
  <c r="J355" i="36"/>
  <c r="B355" i="36"/>
  <c r="B354" i="36"/>
  <c r="J354" i="36" s="1"/>
  <c r="B353" i="36"/>
  <c r="J353" i="36" s="1"/>
  <c r="B352" i="36"/>
  <c r="J352" i="36" s="1"/>
  <c r="B351" i="36"/>
  <c r="J351" i="36" s="1"/>
  <c r="T350" i="36"/>
  <c r="B350" i="36" s="1"/>
  <c r="J350" i="36" s="1"/>
  <c r="T349" i="36"/>
  <c r="V349" i="36" s="1"/>
  <c r="B349" i="36" s="1"/>
  <c r="J349" i="36" s="1"/>
  <c r="V348" i="36"/>
  <c r="B348" i="36" s="1"/>
  <c r="J348" i="36" s="1"/>
  <c r="T348" i="36"/>
  <c r="T347" i="36"/>
  <c r="V347" i="36" s="1"/>
  <c r="B347" i="36" s="1"/>
  <c r="J347" i="36" s="1"/>
  <c r="T346" i="36"/>
  <c r="B346" i="36" s="1"/>
  <c r="J346" i="36" s="1"/>
  <c r="T345" i="36"/>
  <c r="V345" i="36" s="1"/>
  <c r="B345" i="36" s="1"/>
  <c r="J345" i="36" s="1"/>
  <c r="B344" i="36"/>
  <c r="J344" i="36" s="1"/>
  <c r="J343" i="36"/>
  <c r="V342" i="36"/>
  <c r="B342" i="36" s="1"/>
  <c r="J342" i="36" s="1"/>
  <c r="R342" i="36"/>
  <c r="T342" i="36" s="1"/>
  <c r="J341" i="36"/>
  <c r="B341" i="36"/>
  <c r="B340" i="36"/>
  <c r="J340" i="36" s="1"/>
  <c r="R339" i="36"/>
  <c r="T339" i="36" s="1"/>
  <c r="V339" i="36" s="1"/>
  <c r="B339" i="36" s="1"/>
  <c r="J339" i="36" s="1"/>
  <c r="J338" i="36"/>
  <c r="B327" i="36"/>
  <c r="J327" i="36" s="1"/>
  <c r="B326" i="36"/>
  <c r="J326" i="36" s="1"/>
  <c r="J325" i="36"/>
  <c r="B325" i="36"/>
  <c r="B324" i="36"/>
  <c r="J324" i="36" s="1"/>
  <c r="B323" i="36"/>
  <c r="J323" i="36" s="1"/>
  <c r="B322" i="36"/>
  <c r="J322" i="36" s="1"/>
  <c r="T321" i="36"/>
  <c r="B321" i="36" s="1"/>
  <c r="J321" i="36" s="1"/>
  <c r="T320" i="36"/>
  <c r="V320" i="36" s="1"/>
  <c r="B320" i="36" s="1"/>
  <c r="J320" i="36" s="1"/>
  <c r="T319" i="36"/>
  <c r="V319" i="36" s="1"/>
  <c r="B319" i="36" s="1"/>
  <c r="J319" i="36" s="1"/>
  <c r="T318" i="36"/>
  <c r="V318" i="36" s="1"/>
  <c r="B318" i="36" s="1"/>
  <c r="J318" i="36" s="1"/>
  <c r="T317" i="36"/>
  <c r="B317" i="36" s="1"/>
  <c r="J317" i="36" s="1"/>
  <c r="T316" i="36"/>
  <c r="V316" i="36" s="1"/>
  <c r="B316" i="36" s="1"/>
  <c r="J316" i="36" s="1"/>
  <c r="B315" i="36"/>
  <c r="J315" i="36" s="1"/>
  <c r="B314" i="36"/>
  <c r="J314" i="36" s="1"/>
  <c r="B313" i="36"/>
  <c r="J313" i="36" s="1"/>
  <c r="J312" i="36"/>
  <c r="B312" i="36"/>
  <c r="J311" i="36"/>
  <c r="B300" i="36"/>
  <c r="J300" i="36" s="1"/>
  <c r="B299" i="36"/>
  <c r="J299" i="36" s="1"/>
  <c r="B298" i="36"/>
  <c r="J298" i="36" s="1"/>
  <c r="B297" i="36"/>
  <c r="J297" i="36" s="1"/>
  <c r="B296" i="36"/>
  <c r="J296" i="36" s="1"/>
  <c r="B295" i="36"/>
  <c r="J295" i="36" s="1"/>
  <c r="T294" i="36"/>
  <c r="B294" i="36" s="1"/>
  <c r="J294" i="36" s="1"/>
  <c r="T293" i="36"/>
  <c r="V293" i="36" s="1"/>
  <c r="B293" i="36" s="1"/>
  <c r="J293" i="36" s="1"/>
  <c r="T292" i="36"/>
  <c r="V292" i="36" s="1"/>
  <c r="B292" i="36" s="1"/>
  <c r="J292" i="36" s="1"/>
  <c r="T291" i="36"/>
  <c r="V291" i="36" s="1"/>
  <c r="B291" i="36"/>
  <c r="J291" i="36" s="1"/>
  <c r="T290" i="36"/>
  <c r="B290" i="36"/>
  <c r="J290" i="36" s="1"/>
  <c r="V289" i="36"/>
  <c r="B289" i="36" s="1"/>
  <c r="J289" i="36" s="1"/>
  <c r="T289" i="36"/>
  <c r="B288" i="36"/>
  <c r="J288" i="36" s="1"/>
  <c r="J287" i="36"/>
  <c r="J286" i="36"/>
  <c r="J285" i="36"/>
  <c r="J284" i="36"/>
  <c r="J283" i="36"/>
  <c r="J282" i="36"/>
  <c r="B271" i="36"/>
  <c r="J271" i="36" s="1"/>
  <c r="B270" i="36"/>
  <c r="J270" i="36" s="1"/>
  <c r="B269" i="36"/>
  <c r="J269" i="36" s="1"/>
  <c r="J268" i="36"/>
  <c r="B268" i="36"/>
  <c r="B267" i="36"/>
  <c r="J267" i="36" s="1"/>
  <c r="B266" i="36"/>
  <c r="J266" i="36" s="1"/>
  <c r="T265" i="36"/>
  <c r="B265" i="36" s="1"/>
  <c r="J265" i="36" s="1"/>
  <c r="T264" i="36"/>
  <c r="V264" i="36" s="1"/>
  <c r="B264" i="36" s="1"/>
  <c r="J264" i="36" s="1"/>
  <c r="T263" i="36"/>
  <c r="V263" i="36" s="1"/>
  <c r="B263" i="36" s="1"/>
  <c r="J263" i="36" s="1"/>
  <c r="T262" i="36"/>
  <c r="V262" i="36" s="1"/>
  <c r="B262" i="36" s="1"/>
  <c r="J262" i="36" s="1"/>
  <c r="T261" i="36"/>
  <c r="B261" i="36" s="1"/>
  <c r="J261" i="36" s="1"/>
  <c r="T260" i="36"/>
  <c r="V260" i="36" s="1"/>
  <c r="B260" i="36" s="1"/>
  <c r="J260" i="36" s="1"/>
  <c r="B259" i="36"/>
  <c r="J259" i="36" s="1"/>
  <c r="B258" i="36"/>
  <c r="J258" i="36" s="1"/>
  <c r="B257" i="36"/>
  <c r="J257" i="36" s="1"/>
  <c r="B256" i="36"/>
  <c r="J256" i="36" s="1"/>
  <c r="R254" i="36"/>
  <c r="B254" i="36"/>
  <c r="J254" i="36" s="1"/>
  <c r="R253" i="36"/>
  <c r="J252" i="36"/>
  <c r="R251" i="36"/>
  <c r="B251" i="36" s="1"/>
  <c r="B255" i="36" s="1"/>
  <c r="J255" i="36" s="1"/>
  <c r="J251" i="36"/>
  <c r="R250" i="36"/>
  <c r="B250" i="36" s="1"/>
  <c r="B253" i="36" s="1"/>
  <c r="J253" i="36" s="1"/>
  <c r="J249" i="36"/>
  <c r="B238" i="36"/>
  <c r="J238" i="36" s="1"/>
  <c r="J237" i="36"/>
  <c r="B237" i="36"/>
  <c r="B236" i="36"/>
  <c r="J236" i="36" s="1"/>
  <c r="B235" i="36"/>
  <c r="J235" i="36" s="1"/>
  <c r="B234" i="36"/>
  <c r="J234" i="36" s="1"/>
  <c r="B233" i="36"/>
  <c r="J233" i="36" s="1"/>
  <c r="T232" i="36"/>
  <c r="B232" i="36" s="1"/>
  <c r="J232" i="36" s="1"/>
  <c r="T231" i="36"/>
  <c r="V231" i="36" s="1"/>
  <c r="B231" i="36" s="1"/>
  <c r="J231" i="36" s="1"/>
  <c r="T230" i="36"/>
  <c r="V230" i="36" s="1"/>
  <c r="B230" i="36" s="1"/>
  <c r="J230" i="36" s="1"/>
  <c r="T229" i="36"/>
  <c r="V229" i="36" s="1"/>
  <c r="B229" i="36" s="1"/>
  <c r="J229" i="36" s="1"/>
  <c r="T228" i="36"/>
  <c r="B228" i="36" s="1"/>
  <c r="J228" i="36" s="1"/>
  <c r="T227" i="36"/>
  <c r="V227" i="36" s="1"/>
  <c r="B227" i="36" s="1"/>
  <c r="J227" i="36" s="1"/>
  <c r="B226" i="36"/>
  <c r="J226" i="36" s="1"/>
  <c r="R221" i="36"/>
  <c r="R220" i="36"/>
  <c r="B219" i="36"/>
  <c r="B224" i="36" s="1"/>
  <c r="J224" i="36" s="1"/>
  <c r="R218" i="36"/>
  <c r="B218" i="36"/>
  <c r="B222" i="36" s="1"/>
  <c r="J222" i="36" s="1"/>
  <c r="R217" i="36"/>
  <c r="B217" i="36"/>
  <c r="B220" i="36" s="1"/>
  <c r="J220" i="36" s="1"/>
  <c r="J216" i="36"/>
  <c r="B205" i="36"/>
  <c r="J205" i="36" s="1"/>
  <c r="B204" i="36"/>
  <c r="J204" i="36" s="1"/>
  <c r="B203" i="36"/>
  <c r="J203" i="36" s="1"/>
  <c r="B202" i="36"/>
  <c r="J202" i="36" s="1"/>
  <c r="B201" i="36"/>
  <c r="J201" i="36" s="1"/>
  <c r="B200" i="36"/>
  <c r="J200" i="36" s="1"/>
  <c r="T199" i="36"/>
  <c r="B199" i="36" s="1"/>
  <c r="J199" i="36" s="1"/>
  <c r="T198" i="36"/>
  <c r="V198" i="36" s="1"/>
  <c r="B198" i="36" s="1"/>
  <c r="J198" i="36" s="1"/>
  <c r="T197" i="36"/>
  <c r="V197" i="36" s="1"/>
  <c r="B197" i="36" s="1"/>
  <c r="J197" i="36" s="1"/>
  <c r="T196" i="36"/>
  <c r="V196" i="36" s="1"/>
  <c r="B196" i="36" s="1"/>
  <c r="J196" i="36" s="1"/>
  <c r="T195" i="36"/>
  <c r="B195" i="36" s="1"/>
  <c r="J195" i="36" s="1"/>
  <c r="T194" i="36"/>
  <c r="V194" i="36" s="1"/>
  <c r="B194" i="36" s="1"/>
  <c r="J194" i="36" s="1"/>
  <c r="J193" i="36"/>
  <c r="B193" i="36"/>
  <c r="B189" i="36"/>
  <c r="J189" i="36" s="1"/>
  <c r="B187" i="36"/>
  <c r="J187" i="36" s="1"/>
  <c r="B186" i="36"/>
  <c r="J186" i="36" s="1"/>
  <c r="J185" i="36"/>
  <c r="B174" i="36"/>
  <c r="J174" i="36" s="1"/>
  <c r="B173" i="36"/>
  <c r="J173" i="36" s="1"/>
  <c r="J172" i="36"/>
  <c r="B172" i="36"/>
  <c r="B171" i="36"/>
  <c r="J171" i="36" s="1"/>
  <c r="B170" i="36"/>
  <c r="J170" i="36" s="1"/>
  <c r="J169" i="36"/>
  <c r="B169" i="36"/>
  <c r="T168" i="36"/>
  <c r="B168" i="36"/>
  <c r="J168" i="36" s="1"/>
  <c r="V167" i="36"/>
  <c r="B167" i="36" s="1"/>
  <c r="J167" i="36" s="1"/>
  <c r="T167" i="36"/>
  <c r="T166" i="36"/>
  <c r="V166" i="36" s="1"/>
  <c r="B166" i="36" s="1"/>
  <c r="J166" i="36" s="1"/>
  <c r="V165" i="36"/>
  <c r="B165" i="36" s="1"/>
  <c r="J165" i="36" s="1"/>
  <c r="T165" i="36"/>
  <c r="T164" i="36"/>
  <c r="B164" i="36" s="1"/>
  <c r="J164" i="36" s="1"/>
  <c r="T163" i="36"/>
  <c r="V163" i="36" s="1"/>
  <c r="B163" i="36" s="1"/>
  <c r="J163" i="36" s="1"/>
  <c r="B162" i="36"/>
  <c r="J162" i="36" s="1"/>
  <c r="B160" i="36"/>
  <c r="J160" i="36" s="1"/>
  <c r="B159" i="36"/>
  <c r="J159" i="36" s="1"/>
  <c r="B156" i="36"/>
  <c r="B161" i="36" s="1"/>
  <c r="J161" i="36" s="1"/>
  <c r="B155" i="36"/>
  <c r="B158" i="36" s="1"/>
  <c r="J158" i="36" s="1"/>
  <c r="J154" i="36"/>
  <c r="B143" i="36"/>
  <c r="J143" i="36" s="1"/>
  <c r="B142" i="36"/>
  <c r="J142" i="36" s="1"/>
  <c r="B141" i="36"/>
  <c r="J141" i="36" s="1"/>
  <c r="B140" i="36"/>
  <c r="J140" i="36" s="1"/>
  <c r="B139" i="36"/>
  <c r="J139" i="36" s="1"/>
  <c r="B138" i="36"/>
  <c r="J138" i="36" s="1"/>
  <c r="T137" i="36"/>
  <c r="B137" i="36"/>
  <c r="J137" i="36" s="1"/>
  <c r="T136" i="36"/>
  <c r="V136" i="36" s="1"/>
  <c r="B136" i="36" s="1"/>
  <c r="J136" i="36" s="1"/>
  <c r="T135" i="36"/>
  <c r="V135" i="36" s="1"/>
  <c r="B135" i="36" s="1"/>
  <c r="J135" i="36" s="1"/>
  <c r="V134" i="36"/>
  <c r="B134" i="36" s="1"/>
  <c r="J134" i="36" s="1"/>
  <c r="T134" i="36"/>
  <c r="T133" i="36"/>
  <c r="B133" i="36"/>
  <c r="J133" i="36" s="1"/>
  <c r="T132" i="36"/>
  <c r="V132" i="36" s="1"/>
  <c r="B132" i="36" s="1"/>
  <c r="J132" i="36" s="1"/>
  <c r="J131" i="36"/>
  <c r="K128" i="36"/>
  <c r="B126" i="36"/>
  <c r="J126" i="36" s="1"/>
  <c r="B125" i="36"/>
  <c r="J125" i="36" s="1"/>
  <c r="B124" i="36"/>
  <c r="J124" i="36" s="1"/>
  <c r="B123" i="36"/>
  <c r="B129" i="36" s="1"/>
  <c r="J129" i="36" s="1"/>
  <c r="B122" i="36"/>
  <c r="J122" i="36" s="1"/>
  <c r="B121" i="36"/>
  <c r="J121" i="36" s="1"/>
  <c r="J120" i="36"/>
  <c r="B109" i="36"/>
  <c r="J109" i="36" s="1"/>
  <c r="J108" i="36"/>
  <c r="B108" i="36"/>
  <c r="B107" i="36"/>
  <c r="J107" i="36" s="1"/>
  <c r="B106" i="36"/>
  <c r="J106" i="36" s="1"/>
  <c r="B105" i="36"/>
  <c r="J105" i="36" s="1"/>
  <c r="B104" i="36"/>
  <c r="J104" i="36" s="1"/>
  <c r="T103" i="36"/>
  <c r="B103" i="36" s="1"/>
  <c r="J103" i="36" s="1"/>
  <c r="T102" i="36"/>
  <c r="V102" i="36" s="1"/>
  <c r="B102" i="36" s="1"/>
  <c r="J102" i="36" s="1"/>
  <c r="T101" i="36"/>
  <c r="V101" i="36" s="1"/>
  <c r="B101" i="36" s="1"/>
  <c r="J101" i="36" s="1"/>
  <c r="T100" i="36"/>
  <c r="V100" i="36" s="1"/>
  <c r="B100" i="36" s="1"/>
  <c r="J100" i="36" s="1"/>
  <c r="T99" i="36"/>
  <c r="B99" i="36" s="1"/>
  <c r="J99" i="36" s="1"/>
  <c r="T98" i="36"/>
  <c r="V98" i="36" s="1"/>
  <c r="B98" i="36" s="1"/>
  <c r="J98" i="36" s="1"/>
  <c r="J97" i="36"/>
  <c r="B95" i="36"/>
  <c r="J95" i="36" s="1"/>
  <c r="B91" i="36"/>
  <c r="J91" i="36" s="1"/>
  <c r="B81" i="36"/>
  <c r="J81" i="36" s="1"/>
  <c r="B79" i="36"/>
  <c r="B96" i="36" s="1"/>
  <c r="J96" i="36" s="1"/>
  <c r="B78" i="36"/>
  <c r="B92" i="36" s="1"/>
  <c r="J92" i="36" s="1"/>
  <c r="B77" i="36"/>
  <c r="J77" i="36" s="1"/>
  <c r="B76" i="36"/>
  <c r="B87" i="36" s="1"/>
  <c r="J87" i="36" s="1"/>
  <c r="B75" i="36"/>
  <c r="B85" i="36" s="1"/>
  <c r="B74" i="36"/>
  <c r="J74" i="36" s="1"/>
  <c r="J73" i="36"/>
  <c r="J62" i="36"/>
  <c r="J61" i="36"/>
  <c r="J60" i="36"/>
  <c r="J59" i="36"/>
  <c r="J58" i="36"/>
  <c r="J57" i="36"/>
  <c r="T56" i="36"/>
  <c r="B56" i="36" s="1"/>
  <c r="J56" i="36" s="1"/>
  <c r="T55" i="36"/>
  <c r="V55" i="36" s="1"/>
  <c r="B55" i="36" s="1"/>
  <c r="J55" i="36" s="1"/>
  <c r="T54" i="36"/>
  <c r="V54" i="36" s="1"/>
  <c r="B54" i="36" s="1"/>
  <c r="J54" i="36" s="1"/>
  <c r="T53" i="36"/>
  <c r="V53" i="36" s="1"/>
  <c r="B53" i="36" s="1"/>
  <c r="J53" i="36" s="1"/>
  <c r="T52" i="36"/>
  <c r="B52" i="36"/>
  <c r="J52" i="36" s="1"/>
  <c r="V51" i="36"/>
  <c r="B51" i="36" s="1"/>
  <c r="J51" i="36" s="1"/>
  <c r="T51" i="36"/>
  <c r="J50" i="36"/>
  <c r="J49" i="36"/>
  <c r="J48" i="36"/>
  <c r="J47" i="36"/>
  <c r="J36" i="36"/>
  <c r="J35" i="36"/>
  <c r="J34" i="36"/>
  <c r="J33" i="36"/>
  <c r="J32" i="36"/>
  <c r="J31" i="36"/>
  <c r="T30" i="36"/>
  <c r="B30" i="36"/>
  <c r="J30" i="36" s="1"/>
  <c r="T29" i="36"/>
  <c r="V29" i="36" s="1"/>
  <c r="B29" i="36" s="1"/>
  <c r="J29" i="36" s="1"/>
  <c r="V28" i="36"/>
  <c r="B28" i="36" s="1"/>
  <c r="J28" i="36" s="1"/>
  <c r="T28" i="36"/>
  <c r="T27" i="36"/>
  <c r="V27" i="36" s="1"/>
  <c r="B27" i="36" s="1"/>
  <c r="J27" i="36" s="1"/>
  <c r="T26" i="36"/>
  <c r="B26" i="36"/>
  <c r="J26" i="36" s="1"/>
  <c r="T25" i="36"/>
  <c r="V25" i="36" s="1"/>
  <c r="B25" i="36" s="1"/>
  <c r="J25" i="36" s="1"/>
  <c r="J24" i="36"/>
  <c r="J23" i="36"/>
  <c r="J22" i="36"/>
  <c r="A22" i="36"/>
  <c r="J21" i="36"/>
  <c r="G21" i="36"/>
  <c r="F21" i="36"/>
  <c r="E21" i="36"/>
  <c r="D21" i="36"/>
  <c r="B21" i="36"/>
  <c r="A21" i="36"/>
  <c r="B20" i="36"/>
  <c r="J20" i="36" s="1"/>
  <c r="J19" i="36"/>
  <c r="J18" i="36"/>
  <c r="J17" i="36"/>
  <c r="J16" i="36"/>
  <c r="J15" i="36"/>
  <c r="J14" i="36"/>
  <c r="J13" i="36"/>
  <c r="J12" i="36"/>
  <c r="J368" i="36" l="1"/>
  <c r="B84" i="36"/>
  <c r="J84" i="36" s="1"/>
  <c r="B89" i="36"/>
  <c r="J89" i="36" s="1"/>
  <c r="B188" i="36"/>
  <c r="J188" i="36" s="1"/>
  <c r="B225" i="36"/>
  <c r="J225" i="36" s="1"/>
  <c r="B405" i="36"/>
  <c r="J405" i="36" s="1"/>
  <c r="B436" i="36"/>
  <c r="J436" i="36" s="1"/>
  <c r="B94" i="36"/>
  <c r="J94" i="36" s="1"/>
  <c r="B190" i="36"/>
  <c r="J190" i="36" s="1"/>
  <c r="J400" i="36"/>
  <c r="B454" i="36"/>
  <c r="J454" i="36" s="1"/>
  <c r="B93" i="36"/>
  <c r="J93" i="36" s="1"/>
  <c r="J79" i="36"/>
  <c r="B192" i="36"/>
  <c r="J192" i="36" s="1"/>
  <c r="J217" i="36"/>
  <c r="J219" i="36"/>
  <c r="B80" i="36"/>
  <c r="J80" i="36" s="1"/>
  <c r="B127" i="36"/>
  <c r="B223" i="36"/>
  <c r="J223" i="36" s="1"/>
  <c r="B371" i="36"/>
  <c r="J371" i="36" s="1"/>
  <c r="B403" i="36"/>
  <c r="J403" i="36" s="1"/>
  <c r="B445" i="36"/>
  <c r="J445" i="36" s="1"/>
  <c r="J75" i="36"/>
  <c r="J218" i="36"/>
  <c r="J435" i="36"/>
  <c r="N53" i="39"/>
  <c r="M53" i="39"/>
  <c r="S84" i="36"/>
  <c r="U84" i="36" s="1"/>
  <c r="S83" i="36"/>
  <c r="U83" i="36" s="1"/>
  <c r="J85" i="36"/>
  <c r="S85" i="36"/>
  <c r="J76" i="36"/>
  <c r="B86" i="36"/>
  <c r="J86" i="36" s="1"/>
  <c r="B90" i="36"/>
  <c r="J90" i="36" s="1"/>
  <c r="J155" i="36"/>
  <c r="B221" i="36"/>
  <c r="J221" i="36" s="1"/>
  <c r="J250" i="36"/>
  <c r="B442" i="36"/>
  <c r="J442" i="36" s="1"/>
  <c r="N57" i="39"/>
  <c r="B277" i="50"/>
  <c r="I277" i="50" s="1"/>
  <c r="B276" i="50"/>
  <c r="B329" i="50"/>
  <c r="B56" i="49"/>
  <c r="J56" i="49" s="1"/>
  <c r="B130" i="36"/>
  <c r="J130" i="36" s="1"/>
  <c r="B448" i="36"/>
  <c r="J448" i="36" s="1"/>
  <c r="N58" i="39"/>
  <c r="M58" i="39"/>
  <c r="J156" i="36"/>
  <c r="J402" i="36"/>
  <c r="J438" i="36"/>
  <c r="I154" i="50"/>
  <c r="B147" i="50"/>
  <c r="B12" i="63"/>
  <c r="I13" i="63"/>
  <c r="P13" i="63"/>
  <c r="J480" i="36"/>
  <c r="B483" i="36"/>
  <c r="J483" i="36" s="1"/>
  <c r="J123" i="36"/>
  <c r="J446" i="36"/>
  <c r="I248" i="50"/>
  <c r="B247" i="50"/>
  <c r="B82" i="36"/>
  <c r="J82" i="36" s="1"/>
  <c r="B157" i="36"/>
  <c r="J157" i="36" s="1"/>
  <c r="B374" i="36"/>
  <c r="J374" i="36" s="1"/>
  <c r="J434" i="36"/>
  <c r="B444" i="36"/>
  <c r="J444" i="36" s="1"/>
  <c r="B449" i="36"/>
  <c r="J449" i="36" s="1"/>
  <c r="M107" i="39"/>
  <c r="B133" i="60"/>
  <c r="B109" i="60" s="1"/>
  <c r="I109" i="60" s="1"/>
  <c r="I138" i="60"/>
  <c r="J78" i="36"/>
  <c r="B88" i="36"/>
  <c r="J88" i="36" s="1"/>
  <c r="B128" i="36"/>
  <c r="J128" i="36" s="1"/>
  <c r="B191" i="36"/>
  <c r="J191" i="36" s="1"/>
  <c r="B450" i="36"/>
  <c r="J450" i="36" s="1"/>
  <c r="B484" i="36"/>
  <c r="J484" i="36" s="1"/>
  <c r="R110" i="50"/>
  <c r="U110" i="50" s="1"/>
  <c r="B110" i="50" s="1"/>
  <c r="I110" i="50" s="1"/>
  <c r="Q13" i="47"/>
  <c r="S13" i="47" s="1"/>
  <c r="B83" i="36"/>
  <c r="J83" i="36" s="1"/>
  <c r="B440" i="36"/>
  <c r="J440" i="36" s="1"/>
  <c r="N74" i="39"/>
  <c r="M74" i="39"/>
  <c r="I258" i="55"/>
  <c r="B253" i="55"/>
  <c r="B233" i="55" s="1"/>
  <c r="I233" i="55" s="1"/>
  <c r="O13" i="62"/>
  <c r="Q13" i="62" s="1"/>
  <c r="B13" i="62" s="1"/>
  <c r="I13" i="62" s="1"/>
  <c r="Q109" i="65"/>
  <c r="R110" i="65" s="1"/>
  <c r="B110" i="65" s="1"/>
  <c r="I110" i="65" s="1"/>
  <c r="AB17" i="61"/>
  <c r="Z17" i="61" s="1"/>
  <c r="B17" i="61" s="1"/>
  <c r="B242" i="70"/>
  <c r="B235" i="70" s="1"/>
  <c r="I235" i="70" s="1"/>
  <c r="I247" i="70"/>
  <c r="N33" i="56"/>
  <c r="B167" i="50"/>
  <c r="I167" i="50" s="1"/>
  <c r="B259" i="65"/>
  <c r="I260" i="65"/>
  <c r="M122" i="39"/>
  <c r="B40" i="48"/>
  <c r="B154" i="60"/>
  <c r="I154" i="60" s="1"/>
  <c r="I152" i="60"/>
  <c r="B241" i="55"/>
  <c r="B234" i="55" s="1"/>
  <c r="I234" i="55" s="1"/>
  <c r="I247" i="55"/>
  <c r="B323" i="55"/>
  <c r="I167" i="65"/>
  <c r="B162" i="65"/>
  <c r="B154" i="65" s="1"/>
  <c r="I45" i="53"/>
  <c r="I259" i="55"/>
  <c r="J56" i="59"/>
  <c r="I233" i="60"/>
  <c r="B217" i="70"/>
  <c r="I217" i="70" s="1"/>
  <c r="R43" i="62"/>
  <c r="B43" i="62" s="1"/>
  <c r="I43" i="62" s="1"/>
  <c r="B346" i="50"/>
  <c r="B54" i="52"/>
  <c r="B211" i="60"/>
  <c r="B271" i="60"/>
  <c r="P260" i="60" s="1"/>
  <c r="B260" i="60" s="1"/>
  <c r="B7" i="64"/>
  <c r="B24" i="61" s="1"/>
  <c r="J12" i="64"/>
  <c r="B50" i="55"/>
  <c r="B101" i="57"/>
  <c r="I101" i="57" s="1"/>
  <c r="B100" i="67"/>
  <c r="P13" i="68"/>
  <c r="I13" i="68"/>
  <c r="B12" i="68"/>
  <c r="B7" i="68" s="1"/>
  <c r="B133" i="70"/>
  <c r="B109" i="70" s="1"/>
  <c r="I109" i="70" s="1"/>
  <c r="I138" i="70"/>
  <c r="B147" i="70"/>
  <c r="B211" i="65"/>
  <c r="I351" i="65"/>
  <c r="J12" i="69"/>
  <c r="B7" i="69"/>
  <c r="B24" i="66" s="1"/>
  <c r="N33" i="66" s="1"/>
  <c r="I233" i="70"/>
  <c r="I259" i="70"/>
  <c r="B54" i="62"/>
  <c r="I45" i="63"/>
  <c r="I234" i="70"/>
  <c r="I260" i="70"/>
  <c r="I351" i="70"/>
  <c r="B346" i="70"/>
  <c r="B324" i="65"/>
  <c r="I55" i="70"/>
  <c r="S125" i="36" l="1"/>
  <c r="U125" i="36" s="1"/>
  <c r="S126" i="36"/>
  <c r="U126" i="36" s="1"/>
  <c r="J127" i="36"/>
  <c r="B95" i="67"/>
  <c r="I100" i="67"/>
  <c r="I259" i="65"/>
  <c r="B254" i="65"/>
  <c r="B234" i="65" s="1"/>
  <c r="B242" i="50"/>
  <c r="B235" i="50" s="1"/>
  <c r="I235" i="50" s="1"/>
  <c r="I247" i="50"/>
  <c r="B7" i="63"/>
  <c r="I12" i="63"/>
  <c r="N33" i="61"/>
  <c r="B324" i="50"/>
  <c r="I329" i="50"/>
  <c r="B259" i="60"/>
  <c r="I260" i="60"/>
  <c r="I154" i="65"/>
  <c r="B152" i="65"/>
  <c r="I276" i="50"/>
  <c r="B271" i="50"/>
  <c r="B254" i="60" l="1"/>
  <c r="B234" i="60" s="1"/>
  <c r="I234" i="60" s="1"/>
  <c r="I259" i="60"/>
  <c r="B233" i="65"/>
  <c r="I234" i="65"/>
  <c r="B147" i="65"/>
  <c r="P138" i="65"/>
  <c r="B138" i="65" s="1"/>
  <c r="I152" i="65"/>
  <c r="P139" i="65"/>
  <c r="B139" i="65" s="1"/>
  <c r="I139" i="65" s="1"/>
  <c r="B260" i="50"/>
  <c r="I260" i="50" s="1"/>
  <c r="B259" i="50"/>
  <c r="I138" i="65" l="1"/>
  <c r="B133" i="65"/>
  <c r="B109" i="65" s="1"/>
  <c r="I109" i="65" s="1"/>
  <c r="I233" i="65"/>
  <c r="B228" i="65"/>
  <c r="B153" i="65"/>
  <c r="I153" i="65" s="1"/>
  <c r="B254" i="50"/>
  <c r="B234" i="50" s="1"/>
  <c r="I259" i="50"/>
  <c r="I234" i="50" l="1"/>
  <c r="B233" i="50"/>
  <c r="B228" i="50" l="1"/>
  <c r="I233" i="50"/>
  <c r="B153" i="50"/>
  <c r="I153" i="50" s="1"/>
  <c r="B124" i="31" l="1"/>
  <c r="B123" i="31"/>
  <c r="B122" i="31"/>
  <c r="B121" i="31"/>
  <c r="B119" i="31"/>
  <c r="B118" i="31"/>
  <c r="B120" i="31"/>
  <c r="B117" i="31"/>
  <c r="B105" i="31"/>
  <c r="B104" i="31"/>
  <c r="B103" i="31"/>
  <c r="B102" i="31"/>
  <c r="B101" i="31"/>
  <c r="B100" i="31"/>
  <c r="B87" i="31"/>
  <c r="B86" i="31"/>
  <c r="B85" i="31"/>
  <c r="B73" i="31"/>
  <c r="B72" i="31"/>
  <c r="B71" i="31"/>
  <c r="B25" i="29"/>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I88" i="29"/>
  <c r="I87" i="29"/>
  <c r="I86" i="29"/>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<sst xmlns="http://schemas.openxmlformats.org/spreadsheetml/2006/main" count="44156" uniqueCount="1693">
  <si>
    <t>cutoff</t>
  </si>
  <si>
    <t>Database</t>
  </si>
  <si>
    <t>GENESIS_2040_GT-bat_NDC</t>
  </si>
  <si>
    <t>format</t>
  </si>
  <si>
    <t>Excel spreadsheet</t>
  </si>
  <si>
    <t>Activity</t>
  </si>
  <si>
    <t>aircraft usage, design mission, GT-bat</t>
  </si>
  <si>
    <t>categories</t>
  </si>
  <si>
    <t>Use</t>
  </si>
  <si>
    <t>code</t>
  </si>
  <si>
    <t>0808F060E0F94D1BB0380DFA4A9065F5</t>
  </si>
  <si>
    <t>comment</t>
  </si>
  <si>
    <t>Table B1 of GENESIS_LCI_powerplant_medium-term_GT-bat_v01.xlsx.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</si>
  <si>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</si>
  <si>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</si>
  <si>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</si>
  <si>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</si>
  <si>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</si>
  <si>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</si>
  <si>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</si>
  <si>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</si>
  <si>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</si>
  <si>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</si>
  <si>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</si>
  <si>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</si>
  <si>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</si>
  <si>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</si>
  <si>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</si>
  <si>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</si>
  <si>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</si>
  <si>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</si>
  <si>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</si>
  <si>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GT-bat</t>
  </si>
  <si>
    <t>technosphere</t>
  </si>
  <si>
    <t>airport use</t>
  </si>
  <si>
    <t>RER</t>
  </si>
  <si>
    <t>market for kerosene</t>
  </si>
  <si>
    <t>kilogram</t>
  </si>
  <si>
    <t>ecoinvent_remind_SSP2-NDC_2040</t>
  </si>
  <si>
    <t>Europe without Switzerland</t>
  </si>
  <si>
    <t>market group for electricity, low voltage</t>
  </si>
  <si>
    <t>kilowatt hour</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</si>
  <si>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</si>
  <si>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</si>
  <si>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</si>
  <si>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</si>
  <si>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</si>
  <si>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</si>
  <si>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</si>
  <si>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</si>
  <si>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</si>
  <si>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</si>
  <si>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GT-bat</t>
  </si>
  <si>
    <t>17D40CF28F3748DD8B56ED861593DA72</t>
  </si>
  <si>
    <t>Table B2 of GENESIS_LCI_powerplant_medium-term_GT-bat_v01.xlsx. 1 unit corresponds to 1 flight over 378.057 km (design mission) with 50 passengers</t>
  </si>
  <si>
    <t>aircraft usage, design mission, GT-bat, SAF</t>
  </si>
  <si>
    <t>E60BCC7BBBB44E729CCC8156F32F7793</t>
  </si>
  <si>
    <t>Table B1 of GENESIS_LCI_powerplant_medium-term_GT-bat_v01.xlsx. 1 unit corresponds to 1 flight over 1118.88 km (design mission) with 50 passengers using SAF</t>
  </si>
  <si>
    <t>GENESIS_2040_conventional</t>
  </si>
  <si>
    <t>SAF production, medium-term, proxy</t>
  </si>
  <si>
    <t>GLO</t>
  </si>
  <si>
    <t>aircraft usage, typical mission, GT-bat, SAF</t>
  </si>
  <si>
    <t>70E4280FBBC24DC09EB5512226D396F6</t>
  </si>
  <si>
    <t>Table B1 of GENESIS_LCI_powerplant_medium-term_GT-bat_v01.xlsx. 1 unit corresponds to 1 flight over 378.057 km (typical mission) with 50 passengers using SAF</t>
  </si>
  <si>
    <t>Airframe</t>
  </si>
  <si>
    <t>C6441B6A6002477888AADE6F0853A0E3</t>
  </si>
  <si>
    <t>Table 00 of GENESIS_LCI_airframe_medium-term_GT-bat_v01.xlsx. 1 unit corresponds to 16845.31257 kg of airframe structure</t>
  </si>
  <si>
    <t>Production of Power Plant, GT-bat</t>
  </si>
  <si>
    <t>production of structure/airframe, GT-bat</t>
  </si>
  <si>
    <t>production of systems, GT-bat</t>
  </si>
  <si>
    <t>production of furnishing, GT-bat</t>
  </si>
  <si>
    <t>production of operative equipment, GT-bat</t>
  </si>
  <si>
    <t>Decommissioning of aircraft, Gt-bat, Medium-Term</t>
  </si>
  <si>
    <t>Decommissioning of battery ch. station, Gt-bat, Medium-Term</t>
  </si>
  <si>
    <t>EoL, Gt-bat, Medium-Term</t>
  </si>
  <si>
    <t>2C8EF82A1B494E0E984240359A832208</t>
  </si>
  <si>
    <t xml:space="preserve">. </t>
  </si>
  <si>
    <t>full names</t>
  </si>
  <si>
    <t>reference product</t>
  </si>
  <si>
    <t>comment 2</t>
  </si>
  <si>
    <t>EoL power electronics, GT-bat, Medium-Term</t>
  </si>
  <si>
    <t>treatment of circuit components,Battery charging station, GT-bat, Medium-Term</t>
  </si>
  <si>
    <t>power electronics EoL, Gt-bat, Medium-Term</t>
  </si>
  <si>
    <t>44D639B9A9624FE3B2326F212F313265</t>
  </si>
  <si>
    <t>EoL for all connectors, transformers, capacitors, circuits, inductors, diodes, transistors and resistors</t>
  </si>
  <si>
    <t>treatment of electronics scrap from control units</t>
  </si>
  <si>
    <t>RoW</t>
  </si>
  <si>
    <t>sum of all connectors, transformers, capacitors, circuits, inductors, diodes, transistors and resistors in 2040 (see skipped power elec EoL calculation sheet)</t>
  </si>
  <si>
    <t>no crediting only treatment</t>
  </si>
  <si>
    <t>treatment of metals,Battery charging station, GT-bat, Medium-Term</t>
  </si>
  <si>
    <t>36A15B03C9444430A1AA3B5E47F86864</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</si>
  <si>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</si>
  <si>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</si>
  <si>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</si>
  <si>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</si>
  <si>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</si>
  <si>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</si>
  <si>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</si>
  <si>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substitution</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</si>
  <si>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</si>
  <si>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</si>
  <si>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</si>
  <si>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</si>
  <si>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</si>
  <si>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</si>
  <si>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plastics,Battery charging station, GT-bat, Medium-Term</t>
  </si>
  <si>
    <t>D7253A70ABB046FF800C75B38B06F5CA</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</si>
  <si>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</si>
  <si>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</si>
  <si>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</si>
  <si>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</si>
  <si>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</si>
  <si>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market group for heat, district or industrial, natural gas</t>
  </si>
  <si>
    <t>megajoule</t>
  </si>
  <si>
    <t>heat recovery from plastic packaging, We assume 50% of electricity recovery LHV = 34,78 MJ/kg</t>
  </si>
  <si>
    <t>treatment of remaining material components,Battery charging station, GT-bat, Medium-Term</t>
  </si>
  <si>
    <t>ED4A7AC248D34346BCF40531A4B83709</t>
  </si>
  <si>
    <t xml:space="preserve">all other materials: Silicon, Glass fiber, paint, Epoxy resin, nylon </t>
  </si>
  <si>
    <t>market for hazardous waste, for incineration</t>
  </si>
  <si>
    <t>no el, or heat  recovery</t>
  </si>
  <si>
    <t>treatment of power electronics,Battery charging station, GT-bat, Medium-Term</t>
  </si>
  <si>
    <t>16372C4786CB4988945B26A9DC2D790F</t>
  </si>
  <si>
    <t>main process</t>
  </si>
  <si>
    <t>accounting for the 48 stations</t>
  </si>
  <si>
    <t>treatment of scrap printed wiring boards, shredding and separation</t>
  </si>
  <si>
    <t>assumed proxy for dismantling - weight corresponds to total weight of all power electronics</t>
  </si>
  <si>
    <t>treatment of alu,Battery charging station, GT-bat, Medium-Term</t>
  </si>
  <si>
    <t>7B29AE60472C49F4B7D03972343DC2F3</t>
  </si>
  <si>
    <t>remaining alu and brass</t>
  </si>
  <si>
    <t>motors and drives EoL, Gt-bat, Medium-Term</t>
  </si>
  <si>
    <t>8D4CD0EFDD534655B8B6CA5F4517429B</t>
  </si>
  <si>
    <t>process used for both motor and generator</t>
  </si>
  <si>
    <t>treatment of steel,Battery charging station, Gt-bat, Medium-Term</t>
  </si>
  <si>
    <t>motors and drives, GT-bat, Medium-Term</t>
  </si>
  <si>
    <t>treatment of waste reinforcement steel, recycling</t>
  </si>
  <si>
    <t>recycled steel - 80%</t>
  </si>
  <si>
    <t>assumption from EoL provided in Engine/pamela project</t>
  </si>
  <si>
    <t>market for steel, low-alloyed, hot rolled</t>
  </si>
  <si>
    <t>remaining 20% slag to landfill</t>
  </si>
  <si>
    <t>D959DAB9C57A442791974BB06EEE9942</t>
  </si>
  <si>
    <t>treatment of ferrite ,Battery charging station, Gt-bat, Medium-Term</t>
  </si>
  <si>
    <t>treatment of scrap steel, municipal incineration</t>
  </si>
  <si>
    <t>market for ferrite</t>
  </si>
  <si>
    <t>from ecoinvent process for treatment</t>
  </si>
  <si>
    <t>E8731709F46B4F98B551A7F0488FDD19</t>
  </si>
  <si>
    <t>treatment of electronic components and cables ,Battery charging station, Gt-bat, Medium-Term</t>
  </si>
  <si>
    <t>market for wire drawing, copper</t>
  </si>
  <si>
    <t>assuming that half the wires will be reused</t>
  </si>
  <si>
    <t>FFB360AFD9E9413A8D80B6028A2A54ED</t>
  </si>
  <si>
    <t>treatment of remaining components,Battery charging station, GT-bat, Medium-Term</t>
  </si>
  <si>
    <t>52CA4D08086A4F73AB8C6096F9E73B94</t>
  </si>
  <si>
    <t>decomissioning master process for aiframe, powerplant and power electronics and drives</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</si>
  <si>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</si>
  <si>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</si>
  <si>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</si>
  <si>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</si>
  <si>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</si>
  <si>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</si>
  <si>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</si>
  <si>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</si>
  <si>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</si>
  <si>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</si>
  <si>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</si>
  <si>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</si>
  <si>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</si>
  <si>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</si>
  <si>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</si>
  <si>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</si>
  <si>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</si>
  <si>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</si>
  <si>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</si>
  <si>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</si>
  <si>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</si>
  <si>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</si>
  <si>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</si>
  <si>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</si>
  <si>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</si>
  <si>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</si>
  <si>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</si>
  <si>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</si>
  <si>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medium-term</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</si>
  <si>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</si>
  <si>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</si>
  <si>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</si>
  <si>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</si>
  <si>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</si>
  <si>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</si>
  <si>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</si>
  <si>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</si>
  <si>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</si>
  <si>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</si>
  <si>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</si>
  <si>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</si>
  <si>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</si>
  <si>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</si>
  <si>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</si>
  <si>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</si>
  <si>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</si>
  <si>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</si>
  <si>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</si>
  <si>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</si>
  <si>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</si>
  <si>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</si>
  <si>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</si>
  <si>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</si>
  <si>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</si>
  <si>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</si>
  <si>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</si>
  <si>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</si>
  <si>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</si>
  <si>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</si>
  <si>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</si>
  <si>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</si>
  <si>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</si>
  <si>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</si>
  <si>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</si>
  <si>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</si>
  <si>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</si>
  <si>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</si>
  <si>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</si>
  <si>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</si>
  <si>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</si>
  <si>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</si>
  <si>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</si>
  <si>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</si>
  <si>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</si>
  <si>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</si>
  <si>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</si>
  <si>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</si>
  <si>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</si>
  <si>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</si>
  <si>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</si>
  <si>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</si>
  <si>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</si>
  <si>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</si>
  <si>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</si>
  <si>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</si>
  <si>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</si>
  <si>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</si>
  <si>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</si>
  <si>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</si>
  <si>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</si>
  <si>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</si>
  <si>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</si>
  <si>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</si>
  <si>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</si>
  <si>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</si>
  <si>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</si>
  <si>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</si>
  <si>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</si>
  <si>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</si>
  <si>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</si>
  <si>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</si>
  <si>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</si>
  <si>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</si>
  <si>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</si>
  <si>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</si>
  <si>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</si>
  <si>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</si>
  <si>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</si>
  <si>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</si>
  <si>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</si>
  <si>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</si>
  <si>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</si>
  <si>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</si>
  <si>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</si>
  <si>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</si>
  <si>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</si>
  <si>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</si>
  <si>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</si>
  <si>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</si>
  <si>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</si>
  <si>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</si>
  <si>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</si>
  <si>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</si>
  <si>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</si>
  <si>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</si>
  <si>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</si>
  <si>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</si>
  <si>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</si>
  <si>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</si>
  <si>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</si>
  <si>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</si>
  <si>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</si>
  <si>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</si>
  <si>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treatment of circuit components, EoL power electronics, GT-bat, Medium-Term</t>
  </si>
  <si>
    <t>FD17E85865CD407CB1B62D122273BE1D</t>
  </si>
  <si>
    <t>treatment of metals, EoL power electronics, GT-bat, Medium-Term</t>
  </si>
  <si>
    <t>452D397D84A246599B202EE10AD66818</t>
  </si>
  <si>
    <t>treatment of plastics, EoL power electronics, GT-bat, Medium-Term</t>
  </si>
  <si>
    <t>B63D0EF8BB114630B426A1CB239262B2</t>
  </si>
  <si>
    <t>treatment of remaining material components, EoL power electronics, GT-bat, Medium-Term</t>
  </si>
  <si>
    <t>539D954D1C234E638B57687925CD1B6C</t>
  </si>
  <si>
    <t>treatment of power electronics, EoL power electronics, GT-bat, Medium-Term</t>
  </si>
  <si>
    <t>E7D2805B360A458883672573E24E4813</t>
  </si>
  <si>
    <t>treatment of steel, motors and drives, Gt-bat, Medium-Term</t>
  </si>
  <si>
    <t>3A8473780D5649D8B28449C026A50287</t>
  </si>
  <si>
    <t>treatment of aluminium, motors and drives, Gt-bat, Medium-Term</t>
  </si>
  <si>
    <t>3386A861E5A3444985FDB94A3811DF7F</t>
  </si>
  <si>
    <t>assuming same EoL percentages as specified for engine for steel in pamela project</t>
  </si>
  <si>
    <t>treatment of copper, motors and drives, Gt-bat, Medium-Term</t>
  </si>
  <si>
    <t>CB101AE5F08B49369DB2DE5BABBE0BE1</t>
  </si>
  <si>
    <t>treatment of permanent magnet, motors and drives, Gt-bat, Medium-Term</t>
  </si>
  <si>
    <t>BF6EDF3B2B564FA0905CB3F0E98B7209</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</si>
  <si>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</si>
  <si>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</si>
  <si>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</si>
  <si>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</si>
  <si>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</si>
  <si>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</si>
  <si>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</si>
  <si>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</si>
  <si>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generator, motors and drives, Gt-bat, Medium-Term</t>
  </si>
  <si>
    <t>D6282020C8F6409BA1A38C4E3AC80485</t>
  </si>
  <si>
    <t>generator EoL</t>
  </si>
  <si>
    <t>treatment of motor, motors and drives, Gt-bat, Medium-Term</t>
  </si>
  <si>
    <t>F988194737F44828ACD3E30095C68770</t>
  </si>
  <si>
    <t>motors EoL</t>
  </si>
  <si>
    <t>treatment of motors and drives, Gt-bat, Medium-Term</t>
  </si>
  <si>
    <t>F03A5F025181448EB09D0E6447C95739</t>
  </si>
  <si>
    <t>EoL for motors and drives</t>
  </si>
  <si>
    <t>treatment of titanium,powerplant, Gt-bat, Medium-Term</t>
  </si>
  <si>
    <t>powerplant EoL, Gt-bat, Medium-Term</t>
  </si>
  <si>
    <t>8221D7D0B2AC435A99A69411C6EEFDE4</t>
  </si>
  <si>
    <t>powerplant</t>
  </si>
  <si>
    <t>powerplant EoL, GT-bat, Medium-Term</t>
  </si>
  <si>
    <t>from pamela: 50% recycled and 50% landfilled</t>
  </si>
  <si>
    <t>waste amounts= input mass*ratio - input mass</t>
  </si>
  <si>
    <t>assumed proxy LHV: 114MJ/kg, Rupcic et al. https://doi.org/10.1016/j.cirp.2022.04.047 , 50% goes to be melted and recycled</t>
  </si>
  <si>
    <t>-</t>
  </si>
  <si>
    <t>60% el</t>
  </si>
  <si>
    <t>MJ</t>
  </si>
  <si>
    <t>kWh</t>
  </si>
  <si>
    <t>World</t>
  </si>
  <si>
    <t>40% natural gas</t>
  </si>
  <si>
    <t>m3</t>
  </si>
  <si>
    <t>market for titanium</t>
  </si>
  <si>
    <t>kg</t>
  </si>
  <si>
    <t>remaining 50% slag to landfill</t>
  </si>
  <si>
    <t>treatment of CFRP,powerplant, Gt-bat, Medium-Term</t>
  </si>
  <si>
    <t>ABF50420835B4D7597FB4AE57C5B1E73</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</si>
  <si>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</si>
  <si>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</si>
  <si>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</si>
  <si>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</si>
  <si>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</si>
  <si>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Gt-bat, Medium-Term</t>
  </si>
  <si>
    <t>BBCD7A7725874043BAF85E6949722371</t>
  </si>
  <si>
    <t>from pamela: (using aluminium in "all materials") 85% recycled and 15% landfilled</t>
  </si>
  <si>
    <t>includes remelting</t>
  </si>
  <si>
    <t>treatment of iron-nickel chromium alloy,powerplant, Gt-bat, Medium-Term</t>
  </si>
  <si>
    <t>52C6A148A6C5449C9714402B0D1DED40</t>
  </si>
  <si>
    <t>market for iron-nickel-chromium alloy</t>
  </si>
  <si>
    <t>treatment of nickel,powerplant, Gt-bat, Medium-Term</t>
  </si>
  <si>
    <t>2C0705435A6C4D46B26901FAC9814E7F</t>
  </si>
  <si>
    <t>market for nickel, class 1</t>
  </si>
  <si>
    <t>treatment of copper,powerplant, Gt-bat, Medium-Term</t>
  </si>
  <si>
    <t>0868E6565F0646C9AA1B651CA3AFB565</t>
  </si>
  <si>
    <t>treatment of magnesium alloy powerplant, Gt-bat, Medium-Term</t>
  </si>
  <si>
    <t>52DDEC9C6A0E4741853D0B853BD0715C</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</si>
  <si>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</si>
  <si>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</si>
  <si>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</si>
  <si>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</si>
  <si>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Gt-bat, Medium-Term</t>
  </si>
  <si>
    <t>A3F5900BFD6340BA846014D440332B4A</t>
  </si>
  <si>
    <t>no el or heat recovery</t>
  </si>
  <si>
    <t>treatment of powerplant, Gt-bat, Medium-Term</t>
  </si>
  <si>
    <t>DE14E10F42FB4CE693BCB9DB3817990F</t>
  </si>
  <si>
    <t>treatment of aluminium, wing, airframe, Gt-bat, Medium-Term</t>
  </si>
  <si>
    <t>6DC01092DD554895BDBB5A570A3F77C2</t>
  </si>
  <si>
    <t>airframe EoL, same for all configs</t>
  </si>
  <si>
    <t>airframe EoL, GT-bat, Medium-Term</t>
  </si>
  <si>
    <t>assuming % for wing aluminium -project Pamela</t>
  </si>
  <si>
    <t>assuming 90% of that is recovered</t>
  </si>
  <si>
    <t>treatment of CFRP, wing, airframe, Gt-bat, Medium-Term</t>
  </si>
  <si>
    <t>28500295DC2744F3927D2A964A627CAD</t>
  </si>
  <si>
    <t>assuming % for wing composites -project Pamela</t>
  </si>
  <si>
    <t>heat recovery from plastic , We assume 50% of electricity recovery from incinertion LHV = 34,78 MJ/kg</t>
  </si>
  <si>
    <t>treatment of steel, wing, airframe, Gt-bat, Medium-Term</t>
  </si>
  <si>
    <t>775C10CCB13843D7A77B680F4DA65233</t>
  </si>
  <si>
    <t>assuming % for wing steel -project Pamela</t>
  </si>
  <si>
    <t>rest to slag landfill</t>
  </si>
  <si>
    <t>treatment of titanium, wing, airframe, Gt-bat, Medium-Term</t>
  </si>
  <si>
    <t>9A2A6D54AA014FA8B021C331E5BC2E73</t>
  </si>
  <si>
    <t>required el from rupcic et al.</t>
  </si>
  <si>
    <t>required heat from Rupcic et al.</t>
  </si>
  <si>
    <t>treatment of aluminium, tail, airframe, Gt-bat, Medium-Term</t>
  </si>
  <si>
    <t>D8A39963AF6F42F4896BBDA602C6FC05</t>
  </si>
  <si>
    <t>assuming % for tail aluminium -project Pamela</t>
  </si>
  <si>
    <t>treatment of composites, tail, airframe, Gt-bat, Medium-Term</t>
  </si>
  <si>
    <t>EDFC2C08DD85423AAF275A0CE25C8E40</t>
  </si>
  <si>
    <t>airframe EoL, works for CFRP and GFRP, same for all configs</t>
  </si>
  <si>
    <t>assuming % for stabilising part composites -project Pamela</t>
  </si>
  <si>
    <t>treatment of aluminium, fuselage, airframe, Gt-bat, Medium-Term</t>
  </si>
  <si>
    <t>798A1A7E1EFF468A8ACBE85863267278</t>
  </si>
  <si>
    <t>assuming % for fuselage aluminium -project Pamela</t>
  </si>
  <si>
    <t>treatment of composites, fuselage, airframe, Gt-bat, Medium-Term</t>
  </si>
  <si>
    <t>BF84B4D2D4004D0AB3A6961F54B01FD7</t>
  </si>
  <si>
    <t>assuming % for fuesalage composites -project Pamela</t>
  </si>
  <si>
    <t>treatment of steel, fuselage, airframe, Gt-bat, Medium-Term</t>
  </si>
  <si>
    <t>CA69CF34250D449CBDCF8302E73A6BC0</t>
  </si>
  <si>
    <t>assuming % for fuselage steel -project Pamela</t>
  </si>
  <si>
    <t>treatment of titanium, fuselage, airframe, Gt-bat, Medium-Term</t>
  </si>
  <si>
    <t>EBF9BF0BDD06476086FE94887ABFCD62</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</si>
  <si>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</si>
  <si>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</si>
  <si>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</si>
  <si>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</si>
  <si>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</si>
  <si>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Gt-bat, Medium-Term</t>
  </si>
  <si>
    <t>56FC076921874599ACA5309BB46821E2</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</si>
  <si>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</si>
  <si>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</si>
  <si>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</si>
  <si>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</si>
  <si>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</si>
  <si>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</si>
  <si>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</si>
  <si>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</si>
  <si>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</si>
  <si>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Gt-bat, Medium-Term</t>
  </si>
  <si>
    <t>4D2C2E626729437B9E91AF7C4B847CDA</t>
  </si>
  <si>
    <t>airframe EoL, changes for different config</t>
  </si>
  <si>
    <t>treatment tail , airframe, Gt-bat, Medium-Term</t>
  </si>
  <si>
    <t>11CFD653D8C64630B9203BC6F1EBE0B9</t>
  </si>
  <si>
    <t>CFRP</t>
  </si>
  <si>
    <t>GFRP</t>
  </si>
  <si>
    <t>treatment fuselage , airframe, Gt-bat, Medium-Term</t>
  </si>
  <si>
    <t>83BE8DD3959747789C41B4745B576967</t>
  </si>
  <si>
    <t>treatment systems, airframe, Gt-bat, Medium-Term</t>
  </si>
  <si>
    <t>DE920326A1B94D70AE5593C0C144FC22</t>
  </si>
  <si>
    <t>airframe EoL, Gt-bat, Medium-Term</t>
  </si>
  <si>
    <t>assuming same percentages as for fuselage</t>
  </si>
  <si>
    <t>assuming same tratment for copper as in powerplant</t>
  </si>
  <si>
    <t>treatment of airframe , Gt-bat, Medium-Term</t>
  </si>
  <si>
    <t>36E7568B2D534435A269999106ADE4A3</t>
  </si>
  <si>
    <t xml:space="preserve">  </t>
  </si>
  <si>
    <t>Aircraft</t>
  </si>
  <si>
    <t>F15B520F7A87441AAC540D9CCBA6F59E</t>
  </si>
  <si>
    <t>Table 7 of GENESIS_LCI_airframe_medium-term_GT-bat_v01.xlsx. 1 unit corresponds to 2676.1 kg of systems</t>
  </si>
  <si>
    <t>production of air conditioning system for systems, GT-bat</t>
  </si>
  <si>
    <t>production of electrical systems for systems, GT-bat</t>
  </si>
  <si>
    <t>production of pneumatic/hydraulic systems for systems, GT-bat</t>
  </si>
  <si>
    <t>production of instruments for systems, GT-bat</t>
  </si>
  <si>
    <t>production of APU for systems, GT-bat</t>
  </si>
  <si>
    <t>Systems</t>
  </si>
  <si>
    <t>F250EF2D0725415CAB4A2B5A2550CE5A</t>
  </si>
  <si>
    <t>Table 10 of GENESIS_LCI_airframe_medium-term_GT-bat_v01.xlsx. 1 unit corresponds to 691.7 kg of the AC system.</t>
  </si>
  <si>
    <t>market for aluminium alloy, AlMg3</t>
  </si>
  <si>
    <t>market for copper, cathode</t>
  </si>
  <si>
    <t>market for polypropylene, granulate</t>
  </si>
  <si>
    <t>86B7D2AF21DE43A4B9B7088D7EF1D6CB</t>
  </si>
  <si>
    <t>Table 7 of GENESIS_LCI_airframe_medium-term_GT-bat_v01.xlsx. 1 unit corresponds to 881.9 kg of the electrical systems.</t>
  </si>
  <si>
    <t>market for electronics, for control units</t>
  </si>
  <si>
    <t>D87F785724E042868AB749C1778D1A35</t>
  </si>
  <si>
    <t>Table 11 of GENESIS_LCI_airframe_medium-term_GT-bat_v01.xlsx. 1 unit corresponds to 499.6 kg of the pneumatic/hydraulic systems.</t>
  </si>
  <si>
    <t>production of valves for pneumatic/hydraulic systems, GT-bat</t>
  </si>
  <si>
    <t>production of filters for pneumatic/hydraulic systems, GT-bat</t>
  </si>
  <si>
    <t>production of pumps for pneumatic/hydraulic systems, GT-bat</t>
  </si>
  <si>
    <t>production of lines/pipes for pneumatic/hydraulic systems, GT-bat</t>
  </si>
  <si>
    <t>Pneumatic/hydraulic systems</t>
  </si>
  <si>
    <t>07B1AE8A3A794F409E0FAC2C9283E4BC</t>
  </si>
  <si>
    <t>Table 11 of GENESIS_LCI_airframe_medium-term_GT-bat_v01.xlsx. 1 unit corresponds to 118.655 kg of the valves.</t>
  </si>
  <si>
    <t>market for steel, low-alloyed</t>
  </si>
  <si>
    <t>7964A55B9A7C49DE8684966D1870C8C1</t>
  </si>
  <si>
    <t>Table 11 of GENESIS_LCI_airframe_medium-term_GT-bat_v01.xlsx. 1 unit corresponds to 43.715 kg of the filters.</t>
  </si>
  <si>
    <t>market for cellulose fibre</t>
  </si>
  <si>
    <t>88141BF49F9A406181FD989C39EE9DF7</t>
  </si>
  <si>
    <t>Table 11 of GENESIS_LCI_airframe_medium-term_GT-bat_v01.xlsx. 1 unit corresponds to 118.655 kg of the pumps.</t>
  </si>
  <si>
    <t>treatment of aluminium scrap, post-consumer, prepared for recycling, at remelter</t>
  </si>
  <si>
    <t>4255E2D0AC6F4230B9FB11D941A5A976</t>
  </si>
  <si>
    <t>Table 11 of GENESIS_LCI_airframe_medium-term_GT-bat_v01.xlsx. 1 unit corresponds to 218.575 kg of the lines/pipes.</t>
  </si>
  <si>
    <t>market for synthetic rubber</t>
  </si>
  <si>
    <t>treatment of waste rubber, unspecified, municipal incineration</t>
  </si>
  <si>
    <t>6BEE9EE8E1614C5EA8658CF080FD43EE</t>
  </si>
  <si>
    <t>Table 7 of GENESIS_LCI_airframe_medium-term_GT-bat_v01.xlsx. 1 unit corresponds to 421.3 kg of the instruments.</t>
  </si>
  <si>
    <t>68974D131C0D45B48A59A439A14E562B</t>
  </si>
  <si>
    <t>Table 12 of GENESIS_LCI_airframe_medium-term_GT-bat_v01.xlsx. 1 unit corresponds to 181.6 kg of the APU.</t>
  </si>
  <si>
    <t>market for magnesium-alloy, AZ91</t>
  </si>
  <si>
    <t>7754647F37D14FE1BFC7948D227502D5</t>
  </si>
  <si>
    <t>Table 0 of GENESIS_LCI_airframe_medium-term_GT-bat_v01.xlsx. 1 unit corresponds to 5917.4 kg of airframe structure</t>
  </si>
  <si>
    <t>production of wings and control surfaces for airframe, GT-bat</t>
  </si>
  <si>
    <t>production of horizontal Tail for airframe, GT-bat</t>
  </si>
  <si>
    <t>production of vertical Tail for airframe, GT-bat</t>
  </si>
  <si>
    <t>production of fuselage for airframe, GT-bat</t>
  </si>
  <si>
    <t>production of main undercarriage for airframe, GT-bat</t>
  </si>
  <si>
    <t>production of nose undercarriage for airframe, GT-bat</t>
  </si>
  <si>
    <t>market for diesel</t>
  </si>
  <si>
    <t>market for wastewater, average</t>
  </si>
  <si>
    <t>VOC, volatile organic compounds, unspecified origin</t>
  </si>
  <si>
    <t>treatment of waste plastic, industrial electronics, municipal incineration</t>
  </si>
  <si>
    <t>757FE4CA57214692BF66D9E233FB0352</t>
  </si>
  <si>
    <t>Table 1 of GENESIS_LCI_airframe_medium-term_GT-bat_v01.xlsx. 1 unit corresponds to 1976.8 kg of airframe structure</t>
  </si>
  <si>
    <t>market for carbon fibre reinforced plastic, injection moulded</t>
  </si>
  <si>
    <t>6B6DF32EB55D49238D50AAD6C4AC8BDD</t>
  </si>
  <si>
    <t>Table 2 of GENESIS_LCI_airframe_medium-term_GT-bat_v01.xlsx. 1 unit corresponds to 210.9 kg of the horizontal tail</t>
  </si>
  <si>
    <t>market for glass fibre reinforced plastic, polyamide, injection moulded</t>
  </si>
  <si>
    <t>3A80C07AF6C5473088039AAF61C948F4</t>
  </si>
  <si>
    <t>Table 3 of GENESIS_LCI_airframe_medium-term_GT-bat_v01.xlsx. 1 unit corresponds to 309.3 kg of the vertical tail</t>
  </si>
  <si>
    <t>ED3007A1D51B45278F2AEAD3BF942720</t>
  </si>
  <si>
    <t>Table 4 of GENESIS_LCI_airframe_medium-term_GT-bat_v01.xlsx. 1 unit corresponds to 2397.5 kg of the fuselage. Amount of misc material distributed evenly on the remaining materials</t>
  </si>
  <si>
    <t>35736FC7F12B419EB1B0DEBA9BBFF1CD</t>
  </si>
  <si>
    <t>Table 5 of GENESIS_LCI_airframe_medium-term_GT-bat_v01.xlsx. 1 unit corresponds to 837 kg of the main undercarriage.</t>
  </si>
  <si>
    <t>9EA592E309894BC7A1CC12F214C973C7</t>
  </si>
  <si>
    <t>Table 5 of GENESIS_LCI_airframe_medium-term_GT-bat_v01.xlsx. 1 unit corresponds to 185.9 kg of the nose undercarriage.</t>
  </si>
  <si>
    <t>34D5621629674A92A6E709A7E5624082</t>
  </si>
  <si>
    <t>Table 8 of GENESIS_LCI_airframe_medium-term_GT-bat_v01.xlsx. 1 unit corresponds to 1158.8 kg of furnishing</t>
  </si>
  <si>
    <t>market for nylon 6</t>
  </si>
  <si>
    <t>market for fibre, viscose</t>
  </si>
  <si>
    <t>market for polyurethane, flexible foam, flame retardant</t>
  </si>
  <si>
    <t>F841B7C6F49947BE8CA6AA54C3138B5C</t>
  </si>
  <si>
    <t>Table 9 of GENESIS_LCI_airframe_medium-term_GT-bat_v01.xlsx.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</si>
  <si>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</si>
  <si>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</si>
  <si>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</si>
  <si>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</si>
  <si>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</si>
  <si>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</si>
  <si>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</si>
  <si>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</si>
  <si>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GENESIS_LCI_airframe_medium-term_GT-bat_v01.xlsx. 1 unit corresponds to 19 kg of trolleys</t>
  </si>
  <si>
    <t>9A62A69E58654EB0A6FCE9AA42854760</t>
  </si>
  <si>
    <t>Table 9 of GENESIS_LCI_airframe_medium-term_GT-bat_v01.xlsx. 1 unit corresponds to 301.190 kg of galley</t>
  </si>
  <si>
    <t>8A93430D2E8149A58246FB4CD9022F90</t>
  </si>
  <si>
    <t>Table 9 of GENESIS_LCI_airframe_medium-term_GT-bat_v01.xlsx. 1 unit corresponds to 10 kg of Manuals</t>
  </si>
  <si>
    <t>market for printed paper</t>
  </si>
  <si>
    <t>EDB7566B606C4485AA21094DDD474EC5</t>
  </si>
  <si>
    <t>Table 9 of GENESIS_LCI_airframe_medium-term_GT-bat_v01.xlsx. 1 unit corresponds to 18.060 kg of fire extinguishers</t>
  </si>
  <si>
    <t>market for 1,1-difluoroethane, HFC-152a</t>
  </si>
  <si>
    <t>as proxy for HFC-227</t>
  </si>
  <si>
    <t>93FF1FC5E2954585AF303666E74C451B</t>
  </si>
  <si>
    <t>Table 9 of GENESIS_LCI_airframe_medium-term_GT-bat_v01.xlsx. 1 unit corresponds to 21 kg of oxygen masks</t>
  </si>
  <si>
    <t>market for silicone product</t>
  </si>
  <si>
    <t>market for polyvinylchloride, emulsion polymerised</t>
  </si>
  <si>
    <t>49FF7F6BE6524F7FB7816DACBDE2BABB</t>
  </si>
  <si>
    <t>Table 9 of GENESIS_LCI_airframe_medium-term_GT-bat_v01.xlsx. 1 unit corresponds to 61.6 kg of life vests</t>
  </si>
  <si>
    <t>You can tell the importer to ignore some columns, where you can do calculations or take notes.</t>
  </si>
  <si>
    <t>SAF</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</si>
  <si>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</si>
  <si>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</si>
  <si>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</si>
  <si>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</si>
  <si>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</si>
  <si>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</si>
  <si>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</si>
  <si>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</si>
  <si>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</si>
  <si>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</si>
  <si>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</si>
  <si>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</si>
  <si>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</si>
  <si>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corresponding inputs</t>
  </si>
  <si>
    <t>2E91C70BDEAD4A75B4C57A939D5B6E9D</t>
  </si>
  <si>
    <t>Table 00 (lifetime: 20 years) of GENESIS_LCI_powerplant_medium-term_GT-bat_16.01.2023_DTU</t>
  </si>
  <si>
    <t>additional comment/assumptions</t>
  </si>
  <si>
    <t>Power plant</t>
  </si>
  <si>
    <t>Proudction of Engine (GT), GT-bat</t>
  </si>
  <si>
    <t xml:space="preserve">Details for production of power electronics and drives </t>
  </si>
  <si>
    <t>Production of Gearbox (GT), GT-bat</t>
  </si>
  <si>
    <t>E-motor drives (secondary electric machines)</t>
  </si>
  <si>
    <t>8 units (53,43 kg x 8)</t>
  </si>
  <si>
    <t>Production of Gearbox (EM), GT-bat</t>
  </si>
  <si>
    <t>Generator (primary electric machine)</t>
  </si>
  <si>
    <t>2 units (163,36 kg x2)</t>
  </si>
  <si>
    <t>Production of Propellers (GT), GT-bat</t>
  </si>
  <si>
    <t>Power electronics</t>
  </si>
  <si>
    <t>227 kg (see power electronics file)</t>
  </si>
  <si>
    <t>Production of Propellers (EM), GT-bat</t>
  </si>
  <si>
    <t>Battery</t>
  </si>
  <si>
    <t>Production of Fuel System, GT-bat</t>
  </si>
  <si>
    <t>Production of Nacelle (EM), GT-bat</t>
  </si>
  <si>
    <t>battery pack production, Li-S, GT-bat</t>
  </si>
  <si>
    <t>output. Aggregated process for producting a battery pack of 3357 kg. The energy is assumed to be 100% electricity and based on the nominal energy content of the pack. The remaining unknown materials in the battery were assumed to be PP.</t>
  </si>
  <si>
    <t>1 battery pack with lifetime 2,25 y flows for 20y</t>
  </si>
  <si>
    <t>market for cable, unspecified</t>
  </si>
  <si>
    <t>assumption for process</t>
  </si>
  <si>
    <t>market group for electricity, high voltage</t>
  </si>
  <si>
    <t xml:space="preserve">conversions: </t>
  </si>
  <si>
    <t>Assumed water density of 997.42788 kg/m3</t>
  </si>
  <si>
    <t>Wastewater</t>
  </si>
  <si>
    <t>Incineration of CFRP</t>
  </si>
  <si>
    <t>D408B52AF32C4A268979FDC668C509BF</t>
  </si>
  <si>
    <t>Table A1 of GENESIS_LCI_powerplant_medium-term_GT-bat_16.01.2023_DTU</t>
  </si>
  <si>
    <t>Production of Turboprop Engine (GT), GT-bat</t>
  </si>
  <si>
    <t>Unspecified "Further technological correlation"</t>
  </si>
  <si>
    <t>Production of Nacelle (GT), GT-bat</t>
  </si>
  <si>
    <t>Assumed water density of 997.77 kg/m3</t>
  </si>
  <si>
    <t>24BAF8436AE04CD888F54153A45C3156</t>
  </si>
  <si>
    <t>Table A1.1  of GENESIS_LCI_powerplant_medium-term_GT-bat_16.01.2023_DTU</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</si>
  <si>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</si>
  <si>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</si>
  <si>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</si>
  <si>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</si>
  <si>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</si>
  <si>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</si>
  <si>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</si>
  <si>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</si>
  <si>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</si>
  <si>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</si>
  <si>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</si>
  <si>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</si>
  <si>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 alloy</t>
  </si>
  <si>
    <t>ecoinvent_remind_SSP2-NDC_2031</t>
  </si>
  <si>
    <t>substituted scraps of magnesium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</si>
  <si>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</si>
  <si>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</si>
  <si>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</si>
  <si>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</si>
  <si>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</si>
  <si>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</si>
  <si>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E6445BB5CE5744FD84F19AF3AD95234F</t>
  </si>
  <si>
    <t>Table A.1.2 of GENESIS_LCI_powerplant_medium-term_GT-bat_16.01.2023_DTU</t>
  </si>
  <si>
    <t>market for titanium, triple-melt</t>
  </si>
  <si>
    <t>assumed proxy for titanium alloy</t>
  </si>
  <si>
    <t>assumed proxy for Aluminium alloy (Al2023/Al2019/Al7000)</t>
  </si>
  <si>
    <t>assumed proxy for treatment of CFRP</t>
  </si>
  <si>
    <t>assumed proxy for substituted scraps of titanium alloy</t>
  </si>
  <si>
    <t>ecoinvent_remind_SSP2-NDC_2029</t>
  </si>
  <si>
    <t>assumed proxy for treatment of Aluminium alloy (Al2023/Al2019/Al7000)</t>
  </si>
  <si>
    <t>assumed proxy for substituted scraps of Aluminium alloy (Al2023/Al2019/Al7000)</t>
  </si>
  <si>
    <t>20DFAB3821B845CD80BCBD89DD1C8603</t>
  </si>
  <si>
    <t>Table B1 of GENESIS_LCI_powerplant_medium-term_GT-bat_16.01.2023_DTU</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</si>
  <si>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</si>
  <si>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</si>
  <si>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</si>
  <si>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</si>
  <si>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</si>
  <si>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</si>
  <si>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D431D53A8A4E4A0A9BED23911D7421EA</t>
  </si>
  <si>
    <t>Table B2 of GENESIS_LCI_powerplant_medium-term_GT-bat_16.01.2023_DTU</t>
  </si>
  <si>
    <t>31A1CE3E3C5A40D19B0AD356C29733AF</t>
  </si>
  <si>
    <t>Table C.1 of GENESIS_LCI_powerplant_medium-term_GT-bat_16.01.2023_DTU</t>
  </si>
  <si>
    <t>material scaling - see LCI excel D281</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</si>
  <si>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</si>
  <si>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</si>
  <si>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</si>
  <si>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</si>
  <si>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</si>
  <si>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</si>
  <si>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</si>
  <si>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07451D812F34475F9262C31B69902A42</t>
  </si>
  <si>
    <t>Table C.2 of GENESIS_LCI_powerplant_medium-term_GT-bat_16.01.2023_DTU</t>
  </si>
  <si>
    <t>material scaling - see LCI excel D319</t>
  </si>
  <si>
    <t>1511B3D31CF841AEB8B7961E7FC2E009</t>
  </si>
  <si>
    <t>Table D.1 of GENESIS_LCI_powerplant_medium-term_GT-bat_16.01.2023_DTU</t>
  </si>
  <si>
    <t>Production of Fuel Valves, GT-bat</t>
  </si>
  <si>
    <t>Production of Fuel Filters, GT-bat</t>
  </si>
  <si>
    <t>Production of Fuel Pump, GT-bat</t>
  </si>
  <si>
    <t>Production of Fuel Lines, GT-bat</t>
  </si>
  <si>
    <t>Production of Fuel Heater, GT-bat</t>
  </si>
  <si>
    <t>8578B6CCACB846C68C3691B3F325999C</t>
  </si>
  <si>
    <t>Table D1.2 of GENESIS_LCI_powerplant_medium-term_GT-bat_16.01.2023_DTU</t>
  </si>
  <si>
    <t>assumed proxy for steel low alloyed</t>
  </si>
  <si>
    <t>7F4F7C1BC4EF4375972C0E9640219571</t>
  </si>
  <si>
    <t>Table D1.3 of GENESIS_LCI_powerplant_medium-term_GT-bat_16.01.2023_DTU</t>
  </si>
  <si>
    <t xml:space="preserve">market for tin plated chromium steel sheet, 2 mm </t>
  </si>
  <si>
    <t>assumed proxy for coated steel 68,8437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</si>
  <si>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</si>
  <si>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</si>
  <si>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</si>
  <si>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64,2541 kg converted to square metres based on density of 7300</t>
  </si>
  <si>
    <t>treatment of biowaste, municipal incineration</t>
  </si>
  <si>
    <t>assumed proxy for treatment of Resin impregnated microfiberglass/cellulose media</t>
  </si>
  <si>
    <t>2FDAC9F34E1D4F74B6998679BF016CAA</t>
  </si>
  <si>
    <t>Table D1.5 of GENESIS_LCI_powerplant_medium-term_GT-bat_16.01.2023_DTU</t>
  </si>
  <si>
    <t>market for casting, steel, lost-wax</t>
  </si>
  <si>
    <t>assumed proxy for steel casting process (does not include steel input)</t>
  </si>
  <si>
    <t>2</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</si>
  <si>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</si>
  <si>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</si>
  <si>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</si>
  <si>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</si>
  <si>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</si>
  <si>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</si>
  <si>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1DF8BCC77A7742BF973B082CA0D4AA9D</t>
  </si>
  <si>
    <t>Table D1.6 of GENESIS_LCI_powerplant_medium-term_GT-bat_16.01.2023_DTU</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</si>
  <si>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</si>
  <si>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</si>
  <si>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</si>
  <si>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</si>
  <si>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</si>
  <si>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</si>
  <si>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</si>
  <si>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979D0D94F9C44C6EA361B327F76A5C5C</t>
  </si>
  <si>
    <t>Table D1.7 of GENESIS_LCI_powerplant_medium-term_GT-bat_16.01.2023_DTU</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</si>
  <si>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</si>
  <si>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</si>
  <si>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</si>
  <si>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</si>
  <si>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</si>
  <si>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</si>
  <si>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</si>
  <si>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</si>
  <si>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</si>
  <si>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</si>
  <si>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</si>
  <si>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</si>
  <si>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</si>
  <si>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</si>
  <si>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</si>
  <si>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</si>
  <si>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</si>
  <si>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</si>
  <si>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</si>
  <si>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</si>
  <si>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</si>
  <si>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61DCF4AC971F41319A4299226011CCAC</t>
  </si>
  <si>
    <t>Table E.1 of GENESIS_LCI_powerplant_medium-term_GT-bat_16.01.2023_DTU</t>
  </si>
  <si>
    <t>14</t>
  </si>
  <si>
    <t>455E911D7E0E4A74917A7D87083C0773</t>
  </si>
  <si>
    <t>powerplant negative treatment processes</t>
  </si>
  <si>
    <t>Incineration of biowaste</t>
  </si>
  <si>
    <t>6E04E00AEFA0415E933E877A372D71F5</t>
  </si>
  <si>
    <t>40BAC6F4A00441BC878154263A7239E7</t>
  </si>
  <si>
    <t> </t>
  </si>
  <si>
    <t>41BAC6F4A00441BC878154263A7239E7</t>
  </si>
  <si>
    <t>cathode production, Li-S, GT-bat</t>
  </si>
  <si>
    <t>battery including EoL</t>
  </si>
  <si>
    <t>production of battery Li-S for the medium term and GT-bat configuration</t>
  </si>
  <si>
    <t>output</t>
  </si>
  <si>
    <t>CATHODE + Positive foil + Positive tab - Electricity mix</t>
  </si>
  <si>
    <t>market for carbon black</t>
  </si>
  <si>
    <t>proxy for polyvinylfluoride</t>
  </si>
  <si>
    <t>market for vinyl fluoride</t>
  </si>
  <si>
    <t>graphene sulfur composite</t>
  </si>
  <si>
    <t>output. Based on reference 5 (see lci file) https://doi.org/10.1016/j.jpowsour.2017.01.036</t>
  </si>
  <si>
    <t>market for synthetic graphite, battery grade</t>
  </si>
  <si>
    <t>PROXY: for graphene oxyde</t>
  </si>
  <si>
    <t>market for sodium sulfite</t>
  </si>
  <si>
    <t>sodium sulfite</t>
  </si>
  <si>
    <t>PROXY for sodium thiosulfate</t>
  </si>
  <si>
    <t>polyvinylchloride production, emulsion polymerisation</t>
  </si>
  <si>
    <t>proxy for polyvinypyrrolidone</t>
  </si>
  <si>
    <t>market for chlorine, liquid</t>
  </si>
  <si>
    <t>mass balance</t>
  </si>
  <si>
    <t>anode, Li-S, GT-bat</t>
  </si>
  <si>
    <t>market for lithium</t>
  </si>
  <si>
    <t>ANODE + Negative foil + Negative tab - Electricity mix</t>
  </si>
  <si>
    <t>electrolyte, Li-S, GT-bat</t>
  </si>
  <si>
    <t>market for sulfur</t>
  </si>
  <si>
    <t>market for phosphorus, white, liquid</t>
  </si>
  <si>
    <t>germanium</t>
  </si>
  <si>
    <t>proxy for primary germanium production (not in ecoinvent).</t>
  </si>
  <si>
    <t>output. This process is a proxy for germanium production from zinc mining residues. According to the literature (DOI: 10.1007/s11837-014-1267-6 and https://doi.org/10.1007/s40831-020-00277-4), the CC impact of primary production varies between 901-5771 kgCo2eq / kg (coal route) and 1370 kg/CO2eq (baseling, from Zn production). Based on the references above, economic allocation of 25% for the impact of germanium based on zinc production was used. Titanium chlorination process )chlorine amount and energy demand) was used as a proxy for estimating the impacts of the germanium chlorination. GeCl4 produciton is expected to account for 80% of the impacts of pure Ge cristals production. further processes of refining were not included here due to lack of data.</t>
  </si>
  <si>
    <t>zinc mine operation</t>
  </si>
  <si>
    <t>bulk lead-zinc concentrate</t>
  </si>
  <si>
    <t>proxy for primary germanium production (not in ecoinvent). Germanium can be produced as a by-product of zinc metallurgy using lead and germanium rich residues. The proxy underestimates the germanium contribution because only part of hte refining process could be modeled here (no LCI data). sources suggest an economic allocation of 25%. we assume that the germanium content is identical to the zinc lead content</t>
  </si>
  <si>
    <t>proxy: estimated chlorine for the chlorination process to obtain GeCl4</t>
  </si>
  <si>
    <t>proxy: estiamted energy demand for germanium based on our own calculations (data available on demand) using the estiamte carbon footprint of Ge produciton, the contribution of electricity in the carbon fooprint, and taking an average carbon intensity of the electricity mix</t>
  </si>
  <si>
    <t>separator, Li-S, GT-bat</t>
  </si>
  <si>
    <t>market for polyvinylfluoride</t>
  </si>
  <si>
    <t>casing for battery cell, Li-S, GT-bat</t>
  </si>
  <si>
    <t>output for the total battery pack : 146 kg</t>
  </si>
  <si>
    <t>market for packaging film, low density polyethylene</t>
  </si>
  <si>
    <t>market for polyethylene terephthalate, granulate, amorphous</t>
  </si>
  <si>
    <t>polyethylene terephthalate, granulate, amorphous</t>
  </si>
  <si>
    <t>battery cell production, Li-S, GT-bat</t>
  </si>
  <si>
    <t>output for the total amount of cells in the battery pack: 3004.72 kg (0.53 kg/cell * 1420 cells/modules * 4 modules / pack)</t>
  </si>
  <si>
    <t>aluminium collector foil production, for Li-ion battery</t>
  </si>
  <si>
    <t>positive foil, Li-S, GT-bat</t>
  </si>
  <si>
    <t>copper collector foil production, for Li-ion battery</t>
  </si>
  <si>
    <t>negative foil, Li-S, GT-bat</t>
  </si>
  <si>
    <t>positive terminal, Li-S, GT-bat</t>
  </si>
  <si>
    <t>negative terminal, Li-S, GT-bat</t>
  </si>
  <si>
    <t>total energy for the battery assembly (7.5 kWh/kg component)</t>
  </si>
  <si>
    <t>casing for battery module, Li-S, GT-bat</t>
  </si>
  <si>
    <t xml:space="preserve">output for 4 modules </t>
  </si>
  <si>
    <t>raw material production is considered global though the battery manufacturing is assumed to be EUR or CN</t>
  </si>
  <si>
    <t>market for polyethylene, high density, granulate</t>
  </si>
  <si>
    <t>diverse plastics</t>
  </si>
  <si>
    <t>insulating material</t>
  </si>
  <si>
    <t>raw material production is considered global though the battery anufacturing is assumed to be EUR or CN</t>
  </si>
  <si>
    <t>battery module production, Li-S, GT-bat</t>
  </si>
  <si>
    <t>Battery module management system production, Li-S, GT-bat</t>
  </si>
  <si>
    <t>BMS for the module</t>
  </si>
  <si>
    <t xml:space="preserve">output for 1 battery pack of 4 modules. </t>
  </si>
  <si>
    <t>battery management system production, for Li-ion battery</t>
  </si>
  <si>
    <t>casing for battery pack, Li-S, GT-bat</t>
  </si>
  <si>
    <t>Battery pack management system production, Li-S, GT-bat</t>
  </si>
  <si>
    <t>BMS for the pack</t>
  </si>
  <si>
    <t>All columns past the first two for database and activity definitions are ignored in any case.</t>
  </si>
  <si>
    <t>E6CB33AE174F46258B23D76D14CDCAEC</t>
  </si>
  <si>
    <t>other materials are assumed to be plastics</t>
  </si>
  <si>
    <t>total energy for the battery assembly (0.03 KWh/kg component)</t>
  </si>
  <si>
    <t>BMS treatment, GT-bat</t>
  </si>
  <si>
    <t>D78FAF551BE944999A4C19774A9ECA0D</t>
  </si>
  <si>
    <t>recycling of battery LiS for the short term and GT-bat configuration</t>
  </si>
  <si>
    <t>no creditting, only treatment</t>
  </si>
  <si>
    <t>other LiS battery components treatment, GT-bat</t>
  </si>
  <si>
    <t>FB45A0890C524C58989DFE808A2D5138</t>
  </si>
  <si>
    <t>output.</t>
  </si>
  <si>
    <t>casing scrap treatment, GT-bat</t>
  </si>
  <si>
    <t>000BA1797134487484D255AC768B902E</t>
  </si>
  <si>
    <t>output. Only aluminium content is recovered</t>
  </si>
  <si>
    <t>aluminium content in the casing scrap 90% and recycling efficiency 95%</t>
  </si>
  <si>
    <t>credits</t>
  </si>
  <si>
    <t>proxy for treating the other materials that went to slags (copper and fire losses of aluminium recycling). Uncertainty cannot be added based on the pedigree due to negative flows (undefined log normal distribution)</t>
  </si>
  <si>
    <t>packaging treatment, GT-bat</t>
  </si>
  <si>
    <t>263505BC9F7340C281D37779595F3003</t>
  </si>
  <si>
    <t>recycling of battery liS for the short term and GT-bat configuration</t>
  </si>
  <si>
    <t>treatment of waste paperboard, municipal incineration</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</si>
  <si>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</si>
  <si>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</si>
  <si>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</si>
  <si>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</si>
  <si>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</si>
  <si>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</si>
  <si>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</si>
  <si>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LiS battery pack dismantling, GT-bat</t>
  </si>
  <si>
    <t>C0B6B295E6044246A8CA57894EBD1FBA</t>
  </si>
  <si>
    <t>output for treating 3357.8 kg of battery packes</t>
  </si>
  <si>
    <t>market for carton board box production, with gravure printing</t>
  </si>
  <si>
    <t>packaging</t>
  </si>
  <si>
    <t>packaging, isolation band</t>
  </si>
  <si>
    <t>packaging, bag</t>
  </si>
  <si>
    <t>energy for moving the battery</t>
  </si>
  <si>
    <t>energy for compressed air</t>
  </si>
  <si>
    <t>LiS battery module pyrolysis, GT-bat</t>
  </si>
  <si>
    <t>C03C4F243CA24B838811BB1C6D2488B0</t>
  </si>
  <si>
    <t>output for treating 3236.99 kg of battery modules. The process starts with the dismantled battery packs and ends with the pyrolysed cells.</t>
  </si>
  <si>
    <t>market for oxygen, liquid</t>
  </si>
  <si>
    <t>oxygen, liquid</t>
  </si>
  <si>
    <t>energy for pyrolysis</t>
  </si>
  <si>
    <t>water for cooling is not needed here</t>
  </si>
  <si>
    <t>no energy reuse here. We assume that the recovered energy is used to treat the sulfur emissions from Li-S combustion</t>
  </si>
  <si>
    <t>emissions to air</t>
  </si>
  <si>
    <t>Sulfur dioxide</t>
  </si>
  <si>
    <t>Multi-step mechanical treatment of pyrolysed modules, LiS, GT-bat</t>
  </si>
  <si>
    <t>012F646DE3774438882F2B91F9C774FC</t>
  </si>
  <si>
    <t>output for 2492.84 kg of pyrolysed cells. The process starts with the pyrolysed cells and ends with the production of the active material fraction and the cu/al fraction. No recycling is included..</t>
  </si>
  <si>
    <t>energy for mechanical treatment</t>
  </si>
  <si>
    <t>emissions to air. No water is emitted here</t>
  </si>
  <si>
    <t>active material and cu/al fractions treatment, LiS, GT-bat</t>
  </si>
  <si>
    <t>9C7FC6F42E74463D9217BE359B210D32</t>
  </si>
  <si>
    <t>output for treatment and recycling of 1465 kg of Li concentrate (active material fraction) and 1027 kg of cu/al fraction</t>
  </si>
  <si>
    <t>treatment of used Li-ion battery, hydrometallurgical treatment</t>
  </si>
  <si>
    <t>used Li-ion battery</t>
  </si>
  <si>
    <t>the active material fraction is treated by hydrometallurgical process (Cu/La/Li extraction).This process is a proxy for LiS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</si>
  <si>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</si>
  <si>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</si>
  <si>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50%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</si>
  <si>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</si>
  <si>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</si>
  <si>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</si>
  <si>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</si>
  <si>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fraction.We assume that the uncertainty on metal content declared in the lci applies to this process.</t>
  </si>
  <si>
    <t>treatment of battery LiS, GT-bat</t>
  </si>
  <si>
    <t>C7567F33A0EC4AD9BCB6F5705E3A07D4</t>
  </si>
  <si>
    <t>output, this process can be added to treat the battery pack directly</t>
  </si>
  <si>
    <t>includes credits from BMS, packaging, and casing recycling</t>
  </si>
  <si>
    <t>includes crediting</t>
  </si>
  <si>
    <t>production of casing</t>
  </si>
  <si>
    <t>airport</t>
  </si>
  <si>
    <t>7973BE31C4BF4485AEDFFDAAEC40A2F4</t>
  </si>
  <si>
    <t>total weight : 2494 kg</t>
  </si>
  <si>
    <t>9b20aabdab5590c519bb3d717c77acf2</t>
  </si>
  <si>
    <t>this process models all the steel plates components of the casing</t>
  </si>
  <si>
    <t>production of display unit</t>
  </si>
  <si>
    <t>34291682699047F69508C77059B21350</t>
  </si>
  <si>
    <t>total weight 257 kg</t>
  </si>
  <si>
    <t>market for electronic component, active, unspecified</t>
  </si>
  <si>
    <t>52c4f6d2e1ec507b1ccc96056a761c0d</t>
  </si>
  <si>
    <t>6a887870a4c93245f87c847a969ea18f</t>
  </si>
  <si>
    <t>production of plug</t>
  </si>
  <si>
    <t>ECA7B740F26344F0A234B5C1E2F2CD8E</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</si>
  <si>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</si>
  <si>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</si>
  <si>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</si>
  <si>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</si>
  <si>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</si>
  <si>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</si>
  <si>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</si>
  <si>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A838D77AFB304C2382F68188BB083898</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</si>
  <si>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</si>
  <si>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</si>
  <si>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</si>
  <si>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</si>
  <si>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</si>
  <si>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</si>
  <si>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</si>
  <si>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</si>
  <si>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</si>
  <si>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D62B3CC5360949A3AD8278945B4E7494</t>
  </si>
  <si>
    <t>output. Total 85.62 kg. Insulation fabric material is declared in the LCI but unspecified mass and material type. Hence it was not reported here</t>
  </si>
  <si>
    <t>683c18c43d5d1a5b067eb690cc9eb9f2</t>
  </si>
  <si>
    <t>market for brass</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</si>
  <si>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</si>
  <si>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</si>
  <si>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</si>
  <si>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</si>
  <si>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</si>
  <si>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</si>
  <si>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3694FE4A1D7A44618FD5A5A7AE3F2355</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</si>
  <si>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</si>
  <si>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</si>
  <si>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</si>
  <si>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</si>
  <si>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DDAB2684BD164E5296FDF98BD9933314</t>
  </si>
  <si>
    <t>output. Total 33 kg.</t>
  </si>
  <si>
    <t>E42C38D1C5274D05AFC4835D87E12958</t>
  </si>
  <si>
    <t>total weight : 178559.59 kg. Please use 1 unit of this process to model the total amount of charging stations needed for the medium term scenario</t>
  </si>
  <si>
    <t>Battery Charging modules</t>
  </si>
  <si>
    <t>Solder paste waste, battery charging, medium-term</t>
  </si>
  <si>
    <t>this sheet is the same for each component</t>
  </si>
  <si>
    <t>F338735A30F74C138FED678697F95BB0</t>
  </si>
  <si>
    <t>negative</t>
  </si>
  <si>
    <t>market for spent solvent mixture</t>
  </si>
  <si>
    <t>Hazardous waste incineration, battery charging, medium-term</t>
  </si>
  <si>
    <t>1E83C8DB055641918EC1A812B10785A1</t>
  </si>
  <si>
    <t>production of Steel terminals, screws and washers, battery charging, medium-term</t>
  </si>
  <si>
    <t>SAME SCALE!</t>
  </si>
  <si>
    <t>96FC306032C4448487E1741F2D6F6023</t>
  </si>
  <si>
    <t xml:space="preserve">Based on Scalable power electronic inverter unit LCI Model, version 1.01 from Nörderlof et al. </t>
  </si>
  <si>
    <t>market for section bar rolling, steel</t>
  </si>
  <si>
    <t>production of copper bus bars, contacts, plates and foils, battery charging, medium-term</t>
  </si>
  <si>
    <t>00239D91A8B6408B866AF36CA9EAD60F</t>
  </si>
  <si>
    <t xml:space="preserve">production </t>
  </si>
  <si>
    <t>market for copper, anode</t>
  </si>
  <si>
    <t>market for sheet rolling, copper</t>
  </si>
  <si>
    <t>metal working, average for copper product manufacturing</t>
  </si>
  <si>
    <t>Bus bar, laminated, battery charging, medium-term</t>
  </si>
  <si>
    <t>821A384A709945C8B6E025CE83EC3C10</t>
  </si>
  <si>
    <t>same scale</t>
  </si>
  <si>
    <t>extrusion, co-extrusion of plastic sheets</t>
  </si>
  <si>
    <t>market for laminating service, foil, with acrylic binder</t>
  </si>
  <si>
    <t>market for polyethylene terephthalate, granulate, bottle grade</t>
  </si>
  <si>
    <t>production of driver board, assembled, battery charging, medium-term</t>
  </si>
  <si>
    <t>92AED1CC7706410EB74C63EFD752343B</t>
  </si>
  <si>
    <t>SAME!</t>
  </si>
  <si>
    <t>production of driver board, unassembled, battery charging, medium-term</t>
  </si>
  <si>
    <t>market for dipropylene glycol monomethyl ether</t>
  </si>
  <si>
    <t>market for monoethanolamine</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</si>
  <si>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</si>
  <si>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</si>
  <si>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</si>
  <si>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</si>
  <si>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</si>
  <si>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</si>
  <si>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</si>
  <si>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Ethanol</t>
  </si>
  <si>
    <t>NMVOC, non-methane volatile organic compounds, unspecified origin</t>
  </si>
  <si>
    <t>D0DCFC065C404E52A73366FF222191DE</t>
  </si>
  <si>
    <t>printed wiring board production, for surface mounting, Pb free surface</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</si>
  <si>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</si>
  <si>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</si>
  <si>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</si>
  <si>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</si>
  <si>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</si>
  <si>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</si>
  <si>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</si>
  <si>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</si>
  <si>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</si>
  <si>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</si>
  <si>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</si>
  <si>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</si>
  <si>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</si>
  <si>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</si>
  <si>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</si>
  <si>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battery charging, medium-term</t>
  </si>
  <si>
    <t>556FD1EDCFDD479B83B3997524BB7B3B</t>
  </si>
  <si>
    <t>here kilograms are required for further assembly, I assume the square meterage and weight correspond</t>
  </si>
  <si>
    <t>production of logic board, assembled, without connector, battery charging, medium-term</t>
  </si>
  <si>
    <t>m²</t>
  </si>
  <si>
    <t>market for electric connector, peripheral component interconnect buss</t>
  </si>
  <si>
    <t>market for adipic acid</t>
  </si>
  <si>
    <t>E022ED8B8FB04A4CAC25A7D5F7EA4928</t>
  </si>
  <si>
    <t>production of logic board, unassembled, battery charging, medium-term</t>
  </si>
  <si>
    <t>CE7BCC05046D434C82BFD571811B9728</t>
  </si>
  <si>
    <t>market for switch, toggle type</t>
  </si>
  <si>
    <t>market for integrated circuit, memory type</t>
  </si>
  <si>
    <t>market for inductor, low value multilayer chip</t>
  </si>
  <si>
    <t>market for inductor, ring core choke type</t>
  </si>
  <si>
    <t>production of ACDC power module, battery charging, medium-term</t>
  </si>
  <si>
    <t>F5EEF73B89C948DC9C8FA9CA6469F21F</t>
  </si>
  <si>
    <t>Table B1 of GENESIS_LCI_power_elec_drives_medium-term_v01.xlsx. 1 unit corresponds to 4.4 kg of DC/AC grid inverter</t>
  </si>
  <si>
    <t>Driver board, assembled</t>
  </si>
  <si>
    <t>Logic board, assembled, with connector</t>
  </si>
  <si>
    <t>capacitor production, auxilliaries and energy use</t>
  </si>
  <si>
    <t>DC link capacitor</t>
  </si>
  <si>
    <t>production of  IGBT power module, complete, ACDC power module, battery charging, medium-term</t>
  </si>
  <si>
    <t>IGBT power module, complete</t>
  </si>
  <si>
    <t>production of Galvanized terminals, screws and washers, ACDC power module, battery charging, medium-term</t>
  </si>
  <si>
    <t>see assumption about kg/m2 in "Reusable"</t>
  </si>
  <si>
    <t>Galvanized screws and washers</t>
  </si>
  <si>
    <t>kg/m2</t>
  </si>
  <si>
    <t>production of plated cable glands, ACDC power module, battery charging, medium-term</t>
  </si>
  <si>
    <t>Plated cable glands</t>
  </si>
  <si>
    <t>market for nylon 6, glass-filled</t>
  </si>
  <si>
    <t>Lamellar inserts(for glands)</t>
  </si>
  <si>
    <t>O-rings and gland seals (for glands)</t>
  </si>
  <si>
    <t>Nylon distance spacers</t>
  </si>
  <si>
    <t>extrusion, plastic pipes</t>
  </si>
  <si>
    <t>production of machined casing, DCDC power module, battery charging, medium-term</t>
  </si>
  <si>
    <t>Machined casing, surface treated</t>
  </si>
  <si>
    <t>market for aluminium oxide, metallurgical</t>
  </si>
  <si>
    <t>TIM - aluminium oxide</t>
  </si>
  <si>
    <t>market for zinc oxide</t>
  </si>
  <si>
    <t>TIM - zinc oxide</t>
  </si>
  <si>
    <t>TIM - silicone oil</t>
  </si>
  <si>
    <t>electricity demand for building services in PCB assembly and for final inverter unit assembly</t>
  </si>
  <si>
    <t>electricity demand for building services in the DCB and power module assembly</t>
  </si>
  <si>
    <t>electricity demand for buiding services in casing manufacturing</t>
  </si>
  <si>
    <t>weight check 22 kg</t>
  </si>
  <si>
    <t>B5D5240A0C9D468DB8A50D60A1231452</t>
  </si>
  <si>
    <t>production of Galvanization layer, ACDC power module, battery charging, medium-term</t>
  </si>
  <si>
    <t xml:space="preserve">assuming </t>
  </si>
  <si>
    <t>production of Cleaned terminals, screws and washers, ACDC power module, battery charging, medium-term</t>
  </si>
  <si>
    <t>market for zinc</t>
  </si>
  <si>
    <t>dm³</t>
  </si>
  <si>
    <t>M3</t>
  </si>
  <si>
    <t>B6CBB2F0C1A04026991B627284F73490</t>
  </si>
  <si>
    <t>Hazardous waste disposed</t>
  </si>
  <si>
    <t>inventory indicator::waste</t>
  </si>
  <si>
    <t>D259EA62D9DD4233AF7447CD58B85C6F</t>
  </si>
  <si>
    <t>so 0,05 m2 = 0,3 kg</t>
  </si>
  <si>
    <t>so 0,16 kg screws corresponds to 0,25 m2</t>
  </si>
  <si>
    <t>market for sodium hydroxide, without water, in 50% solution state</t>
  </si>
  <si>
    <t>market for sulfuric acid</t>
  </si>
  <si>
    <t>production of nickel in plated layer, ACDC power module, battery charging, medium-term</t>
  </si>
  <si>
    <t>68A5D40F5C7C4CF38F356425E914E543</t>
  </si>
  <si>
    <t>market for nickel-rich materials</t>
  </si>
  <si>
    <t>AEB1E136C5914FE994792E20B4E2D95F</t>
  </si>
  <si>
    <t>nickel</t>
  </si>
  <si>
    <t>density</t>
  </si>
  <si>
    <t>kg/m3</t>
  </si>
  <si>
    <t>layer thickness</t>
  </si>
  <si>
    <t>m</t>
  </si>
  <si>
    <t>assuming that the area is equivbalent to teh weight in mother process</t>
  </si>
  <si>
    <t>so</t>
  </si>
  <si>
    <t>production of cleaned cable glands, ACDC power module, battery charging, medium-term</t>
  </si>
  <si>
    <t>dm2</t>
  </si>
  <si>
    <t>conversion</t>
  </si>
  <si>
    <t>76D778E7B6DD4636B881AD8698D8B25B</t>
  </si>
  <si>
    <t>production of brass cable glands, ACDC power module, battery charging, medium-term</t>
  </si>
  <si>
    <t>59D6FDE202714EA6ACA1248DE18E6B78</t>
  </si>
  <si>
    <t>assuming that the weight of 3,13kg is equivalent to area in mother process</t>
  </si>
  <si>
    <t>casting, brass</t>
  </si>
  <si>
    <t>market for brass removed by turning, average, conventional</t>
  </si>
  <si>
    <t>production of machined casing, ACDC power module, battery charging, medium-term</t>
  </si>
  <si>
    <t>97DDF1AAE6FF458087A2FFD6F2BE1952</t>
  </si>
  <si>
    <t>production of machined casing, mass scaled activities, ACDC power module, battery charging, medium-term</t>
  </si>
  <si>
    <t>market for naphtha</t>
  </si>
  <si>
    <t>market for tap water</t>
  </si>
  <si>
    <t>market for waste mineral oil</t>
  </si>
  <si>
    <t>FF935E172C864179A4B3522D0C1441E5</t>
  </si>
  <si>
    <t>production of die cast casing parts, ACDC power module, battery charging, medium-term</t>
  </si>
  <si>
    <t>aluminium ingot, primary, to aluminium, wrought alloy market</t>
  </si>
  <si>
    <t>E286264486444AB9BC6FDBECFFE8B72E</t>
  </si>
  <si>
    <t>market for lubricating oil</t>
  </si>
  <si>
    <t>Aluminium</t>
  </si>
  <si>
    <t>E4E3C52F53074910BC5593DD8B701EE7</t>
  </si>
  <si>
    <t>ASSUMING THAT 1 unit is equivalent to the weight in mother processs</t>
  </si>
  <si>
    <t>production of Power module, open, potted, ACDC power module, battery charging, medium-term</t>
  </si>
  <si>
    <t>production of Lid, injection moulded, ACDC power module, battery charging, medium-term</t>
  </si>
  <si>
    <t>E134782B9C774C5994F0ABD58948C2C1</t>
  </si>
  <si>
    <t>market for injection moulding</t>
  </si>
  <si>
    <t>market for polyphenylene sulfide</t>
  </si>
  <si>
    <t>market for antimony</t>
  </si>
  <si>
    <t>market for glass fibre</t>
  </si>
  <si>
    <t>188B41A6EDC1411D82BF732503656302</t>
  </si>
  <si>
    <t>production of potting gel layer, ACDC power module, battery charging, medium-term</t>
  </si>
  <si>
    <t>production of power module, open, wire bonded, ACDC power module, battery charging, medium-term</t>
  </si>
  <si>
    <t>506D69CD7AAF4D3A8D6D286DF54297E1</t>
  </si>
  <si>
    <t>A260082C98924709802C317209B8F290</t>
  </si>
  <si>
    <t>production of Copper Wire, ACDC power module, battery charging, medium-term</t>
  </si>
  <si>
    <t>production of baseplate module with frame, cleaned, ACDC power module, battery charging, medium-term</t>
  </si>
  <si>
    <t>42009B9E0E554B5A867D0FFC3C169ADC</t>
  </si>
  <si>
    <t>C71CE5B58865491D98FAE266E1712BC1</t>
  </si>
  <si>
    <t>production of baseplate module with frame, ACDC power module, battery charging, medium-term</t>
  </si>
  <si>
    <t>E5E82BFD7E0843AFAF4DE3A8238A0AF0</t>
  </si>
  <si>
    <t>production of baseplate module without frame, cleaned, ACDC power module, battery charging, medium-term</t>
  </si>
  <si>
    <t>assuming</t>
  </si>
  <si>
    <t>Prodcution of frame with bonded terminals, ACDC power module, battery charging, medium-term</t>
  </si>
  <si>
    <t>DA9F1A0D9FCB4D138CA07054DA897F5A</t>
  </si>
  <si>
    <t>8461B7A34FAD4517BCCD2EBCBD87566E</t>
  </si>
  <si>
    <t>production of baseplate module without frame, ACDC power module, battery charging, medium-term</t>
  </si>
  <si>
    <t>market for acetone, liquid</t>
  </si>
  <si>
    <t>market for isopropanol</t>
  </si>
  <si>
    <t>7DAEFB92BFDF4437B0681824D27CB3EC</t>
  </si>
  <si>
    <t>production of DCB, with IGBT chips attached, ACDC power module, battery charging, medium-term</t>
  </si>
  <si>
    <t>production of baseplate, to furnace, ACDC power module, battery charging, medium-term</t>
  </si>
  <si>
    <t>0C9B992F0DBE4C46AE190EBBC4AB4CAC</t>
  </si>
  <si>
    <t>production of baseplate, cleaned and baked, ACDC power module, battery charging, medium-term</t>
  </si>
  <si>
    <t>4FC05DCAA9ED4D14A792C04720B49A1C</t>
  </si>
  <si>
    <t>production of baseplate, nickel plated, ACDC power module, battery charging, medium-term</t>
  </si>
  <si>
    <t>70FA19E585344797B53F77CA1A955782</t>
  </si>
  <si>
    <t>production of cleaned bus bars, contacts, plates and foils, ACDC power module, battery charging, medium-term</t>
  </si>
  <si>
    <t>CB223CE871954C9C96ACE40D6A8C2446</t>
  </si>
  <si>
    <t xml:space="preserve">error in their units assuming the weight and area they give corresponds - yes it seems like a high amount </t>
  </si>
  <si>
    <t>077B3FF59A1C4C5E838831AC91DBEF1E</t>
  </si>
  <si>
    <t>production of DCB substrate, to furnace, ACDC power module, battery charging, medium-term</t>
  </si>
  <si>
    <t>production of diced IGBT chips, ACDC power module, battery charging, medium-term</t>
  </si>
  <si>
    <t>AE62076E113F49EFB81F32C4FBDC57A7</t>
  </si>
  <si>
    <t>cm²</t>
  </si>
  <si>
    <t>wafer production, fabricated, for integrated circuit</t>
  </si>
  <si>
    <t>EF5B437E37464BEB8A88430FF63E26AD</t>
  </si>
  <si>
    <t>production of DCB substrate, cleaned and baked, ACDC power module, battery charging, medium-term</t>
  </si>
  <si>
    <t>B48C6C52A3534B958203B5252A81EA70</t>
  </si>
  <si>
    <t>production of DCB, patterned, nickel plated, ACDC power module, battery charging, medium-term</t>
  </si>
  <si>
    <t>09036873D5AE482DB68E999A439E4817</t>
  </si>
  <si>
    <t>production of DCB, patterned, ACDC power module, battery charging, medium-term</t>
  </si>
  <si>
    <t>DB7172F455814A6C9DDCEC83428C34E1</t>
  </si>
  <si>
    <t>production of DCB, before etching, ACDC power module, battery charging, medium-term</t>
  </si>
  <si>
    <t>market for potassium carbonate</t>
  </si>
  <si>
    <t>market for chemical, organic</t>
  </si>
  <si>
    <t>market for potassium hydroxide</t>
  </si>
  <si>
    <t>4CA0AD53872E49DDB1D80EB5D0FDA389</t>
  </si>
  <si>
    <t>production of Alumina substrate, ACDC power module, battery charging, medium-term</t>
  </si>
  <si>
    <t>market for hydrochloric acid, without water, in 30% solution state</t>
  </si>
  <si>
    <t>A8A6637017E24FDD9D327EC42E3A200B</t>
  </si>
  <si>
    <t>acrylic dispersion production, product in 65% solution state</t>
  </si>
  <si>
    <t>market for glycerine</t>
  </si>
  <si>
    <t>acrylic binder production, product in 34% solution state</t>
  </si>
  <si>
    <t>market for water, ultrapure</t>
  </si>
  <si>
    <t>Ammonia</t>
  </si>
  <si>
    <t>production of DCDC power module, battery charging, medium-term</t>
  </si>
  <si>
    <t>E1BEB9AFA9134BEAA4FD2DEFCE863217</t>
  </si>
  <si>
    <t>production of  IGBT power module, complete, DCDC power module, battery charging, medium-term</t>
  </si>
  <si>
    <t>production of Galvanized terminals, screws and washers, DCDC power module, battery charging, medium-term</t>
  </si>
  <si>
    <t>production of plated cable glands, DCDC power module, battery charging, medium-term</t>
  </si>
  <si>
    <t>assuming 1kg is one unit?</t>
  </si>
  <si>
    <t>weight check 17 kg</t>
  </si>
  <si>
    <t>4C2494B816BC450C950A903271E07BAA</t>
  </si>
  <si>
    <t>production of Galvanization layer, DCDC power module, battery charging, medium-term</t>
  </si>
  <si>
    <t>assuming (see below)</t>
  </si>
  <si>
    <t>production of Cleaned terminals, screws and washers, DCDC power module, battery charging, medium-term</t>
  </si>
  <si>
    <t>3C7FF888E74F4B0A867221B2782AE00C</t>
  </si>
  <si>
    <t>7D72D1893DC343299B1F37EFF59A5BDD</t>
  </si>
  <si>
    <t>so 0,29 kg screws corresponds to 0,05 m2</t>
  </si>
  <si>
    <t>production of nickel in plated layer, DCDC power module, battery charging, medium-term</t>
  </si>
  <si>
    <t>066CCCDF39884883AADF46252F6E7DF9</t>
  </si>
  <si>
    <t>FA7F925A0698425D999D395087EDE2D7</t>
  </si>
  <si>
    <t>production of cleaned cable glands, DCDC power module, battery charging, medium-term</t>
  </si>
  <si>
    <t>FF2330FB4FB644729493305CB96F2B7C</t>
  </si>
  <si>
    <t>production of brass cable glands, DCDC power module, battery charging, medium-term</t>
  </si>
  <si>
    <t>ECF7304D161F41099711C1757C2DEAC7</t>
  </si>
  <si>
    <t>FD8619D8BAAE44AD882ED3D84FC1AF55</t>
  </si>
  <si>
    <t>production of machined casing, mass scaled activities, DCDC power module, battery charging, medium-term</t>
  </si>
  <si>
    <t>68C9A1C25B5A4C489F043432A612EF97</t>
  </si>
  <si>
    <t>production of die cast casing parts, DCDC power module, battery charging, medium-term</t>
  </si>
  <si>
    <t>783A44F8CF0C4E83872D653849C0A357</t>
  </si>
  <si>
    <t>35D5AA520195417BB45F7F20B5EBA6DA</t>
  </si>
  <si>
    <t>production of Power module, open, potted, DCDC power module, battery charging, medium-term</t>
  </si>
  <si>
    <t>production of Lid, injection moulded, DCDC power module, battery charging, medium-term</t>
  </si>
  <si>
    <t>B61DB6A80A6A4F63B73D6CA928FF8FE3</t>
  </si>
  <si>
    <t>1F13FCE1839E43CE90FC7F0832A2BE1A</t>
  </si>
  <si>
    <t>production of potting gel layer, DCDC power module, battery charging, medium-term</t>
  </si>
  <si>
    <t>production of power module, open, wire bonded, DCDC power module, battery charging, medium-term</t>
  </si>
  <si>
    <t>C83582E918F64B56AF4E85B2D2B35958</t>
  </si>
  <si>
    <t>38ADDB217FA04D7D92D9C8DE55E7AE1C</t>
  </si>
  <si>
    <t>production of Copper Wire, DCDC power module, battery charging, medium-term</t>
  </si>
  <si>
    <t>production of baseplate module with frame, cleaned, DCDC power module, battery charging, medium-term</t>
  </si>
  <si>
    <t>090313BF9B0B4CCB80E2DAD8C42B2F72</t>
  </si>
  <si>
    <t>045F852F2BE847EAAEF4F102DCDCD0CF</t>
  </si>
  <si>
    <t>production of baseplate module with frame, DCDC power module, battery charging, medium-term</t>
  </si>
  <si>
    <t>BC97066E10624194918E7D7CBF04A0BE</t>
  </si>
  <si>
    <t>production of baseplate module without frame, cleaned, DCDC power module, battery charging, medium-term</t>
  </si>
  <si>
    <t>assuming 0,7272 kg/m2  - see reusable sheet</t>
  </si>
  <si>
    <t>Prodcution of frame with bonded terminals, DCDC power module, battery charging, medium-term</t>
  </si>
  <si>
    <t>71BC32B625E948839B20B5ADDCC17D61</t>
  </si>
  <si>
    <t>C348912F5D1A4FA2BD76C7E55F795B85</t>
  </si>
  <si>
    <t>production of baseplate module without frame, DCDC power module, battery charging, medium-term</t>
  </si>
  <si>
    <t>D3CE8FC8BACB4B93AD25DE5374D952D8</t>
  </si>
  <si>
    <t>production of DCB, with IGBT chips attached, DCDC power module, battery charging, medium-term</t>
  </si>
  <si>
    <t>production of baseplate, to furnace, DCDC power module, battery charging, medium-term</t>
  </si>
  <si>
    <t>9FB6745AB0414A148C1E601A39C64122</t>
  </si>
  <si>
    <t>production of baseplate, cleaned and baked, DCDC power module, battery charging, medium-term</t>
  </si>
  <si>
    <t>7FC6DD587DA542EE96ACF94A1D60F603</t>
  </si>
  <si>
    <t>production of baseplate, nickel plated, DCDC power module, battery charging, medium-term</t>
  </si>
  <si>
    <t>72D0A965393F40AF839C1E374A14CB96</t>
  </si>
  <si>
    <t>production of cleaned bus bars, contacts, plates and foils, DCDC power module, battery charging, medium-term</t>
  </si>
  <si>
    <t>A977ACE036B541F08C3E565DAFF2D313</t>
  </si>
  <si>
    <t>error in their units assuming the weight and area they give corresponds - yes it seems like a lot</t>
  </si>
  <si>
    <t>19D8D28F9A7C4AE4B36E30C96FF64274</t>
  </si>
  <si>
    <t>production of DCB substrate, to furnace, DCDC power module, battery charging, medium-term</t>
  </si>
  <si>
    <t>production of diced IGBT chips, DCDC power module, battery charging, medium-term</t>
  </si>
  <si>
    <t>3817F1F6557343E2B2212A45A6960345</t>
  </si>
  <si>
    <t>87DD6FD6C7644F00B689B72F80F67F19</t>
  </si>
  <si>
    <t>production of DCB substrate, cleaned and baked, DCDC power module, battery charging, medium-term</t>
  </si>
  <si>
    <t>DD910279FB1D4275B03581175B61BB5F</t>
  </si>
  <si>
    <t>production of DCB, patterned, nickel plated, DCDC power module, battery charging, medium-term</t>
  </si>
  <si>
    <t>56515896DE394A2FB3FAD3D33356F7B4</t>
  </si>
  <si>
    <t>production of DCB, patterned, DCDC power module, battery charging, medium-term</t>
  </si>
  <si>
    <t>8EF32EAF6CB643018FFEC591B6C573AC</t>
  </si>
  <si>
    <t>production of DCB, before etching, DCDC power module, battery charging, medium-term</t>
  </si>
  <si>
    <t>9DC36DE4F9F847E5A18D3BCB11DF0663</t>
  </si>
  <si>
    <t>production of Alumina substrate, DCDC power module, battery charging, medium-term</t>
  </si>
  <si>
    <t>F336B58A72BE4C61854F843CF8AF6B54</t>
  </si>
  <si>
    <t>production of power electronics and  motors and drives, GT-bat, Medium-Term</t>
  </si>
  <si>
    <t>Power Electronics &amp; Motors and Drives</t>
  </si>
  <si>
    <t>EBC07EA3866D4286AD3C2F9C12293A2C</t>
  </si>
  <si>
    <t>production of motors and drives, GT-bat, Medium-Term</t>
  </si>
  <si>
    <t>production of power electronics, GT-bat, Medium-Term</t>
  </si>
  <si>
    <t>Motors and Drives</t>
  </si>
  <si>
    <t>61AF4A57B28544B8B26E71B7BF60BEC9</t>
  </si>
  <si>
    <t>Table 0 of GENESIS_LCI_power_elec_drives_medium-term, GT-bat_v01.xlsx</t>
  </si>
  <si>
    <t>all lifetimes are 15+</t>
  </si>
  <si>
    <t>production of electric generator, GT-bat, Medium Term</t>
  </si>
  <si>
    <t>production of electric motor, GT-bat, Medium-Term</t>
  </si>
  <si>
    <t>F0BD6BA9FF1345AFBFFD9A6F1842D768</t>
  </si>
  <si>
    <t>Table G1 of GENESIS_LCI_power_elec_drives_medium-term, GT-bat_v01.xlsx</t>
  </si>
  <si>
    <t>production of stator and rotor, generator, GT-bat, Medium-Term</t>
  </si>
  <si>
    <t>production of bearings, generator, GT-bat, Medium-Term</t>
  </si>
  <si>
    <t>production of housing, generator, GT-bat, Medium-Term</t>
  </si>
  <si>
    <t>E48CB553BF3946FCB5CCE6024A431B4C</t>
  </si>
  <si>
    <t>Table G1.1 of GENESIS_LCI_power_elec_drives_medium-term, GT-bat_v01.xlsx</t>
  </si>
  <si>
    <t>stator</t>
  </si>
  <si>
    <t>rotor</t>
  </si>
  <si>
    <t>assumption for copper coil</t>
  </si>
  <si>
    <t>market for epoxy resin, liquid</t>
  </si>
  <si>
    <t>Direct cooled stator, POTTING WINDING EPOXY RESIN</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</si>
  <si>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</si>
  <si>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</si>
  <si>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</si>
  <si>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</si>
  <si>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</si>
  <si>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</si>
  <si>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</si>
  <si>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</si>
  <si>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</si>
  <si>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</si>
  <si>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</si>
  <si>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</si>
  <si>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</si>
  <si>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</si>
  <si>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</si>
  <si>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</si>
  <si>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</si>
  <si>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</si>
  <si>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</si>
  <si>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</si>
  <si>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assumption for hydrocarbons (impregnation and curing) to air</t>
  </si>
  <si>
    <t>368196466C1B46A2BA4C143E96DAFFC1</t>
  </si>
  <si>
    <t>Table G1.2 of GENESIS_LCI_power_elec_drives_medium-term, GT-bat_v01.xlsx</t>
  </si>
  <si>
    <t xml:space="preserve">one process for Bearing; SKF_6013_2Z_PART2 - Steel-M270-35A 
Bearing; SKF_6013_2Z_PART3 - Steel-M270-35A 
Bearing_Bush_Loose_Bearing; Steel-M270-35A 
Bearing_Bush_Fixed_Bearing; Steel-M270-35A </t>
  </si>
  <si>
    <t>Electricity, Spline milling of 3.5 com of the shaft end</t>
  </si>
  <si>
    <t>Electricity, Induction surface hardening of 3.5 cm of the shaft end</t>
  </si>
  <si>
    <t>Waste Oil</t>
  </si>
  <si>
    <t>Waste oil, conc. share in dilution; Turning</t>
  </si>
  <si>
    <t>Waste oil, conc. share in dilution; Spline milling of 3.5 com of the shaft end</t>
  </si>
  <si>
    <t>CA568EB6B2C94DC39A2CA45AB36B1F1B</t>
  </si>
  <si>
    <t>Table G1.3 of GENESIS_LCI_power_elec_drives_medium-term, GT-bat_v01.xlsx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</si>
  <si>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</si>
  <si>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</si>
  <si>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</si>
  <si>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</si>
  <si>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</si>
  <si>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</si>
  <si>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</si>
  <si>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</si>
  <si>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</si>
  <si>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heating</t>
  </si>
  <si>
    <t>Electricity, Technical building services - basic functions</t>
  </si>
  <si>
    <t>Electricity, Technical building services - general work</t>
  </si>
  <si>
    <t>Electricity, Technical building services - compressed air</t>
  </si>
  <si>
    <t xml:space="preserve">Waste quenching fluid, conc. share, Induction surface hardening of 3.5 cm of the shaft end </t>
  </si>
  <si>
    <t>Aluminum scrap, Machining of housing parts</t>
  </si>
  <si>
    <t>treatment for Aluminum scrap, Machining of housing parts</t>
  </si>
  <si>
    <t>Waste oil, conc. share in dilution, Machining of housing parts</t>
  </si>
  <si>
    <t>VOC; Painting</t>
  </si>
  <si>
    <t>DF751D2CD2624254B0E09F97A358E538</t>
  </si>
  <si>
    <t>Table H1 of GENESIS_LCI_power_elec_drives_medium-term, GT-bat_v01.xlsx</t>
  </si>
  <si>
    <t>production of stator and rotor, motor, GT-bat, Medium-Term</t>
  </si>
  <si>
    <t>production of bearings, motor, GT-bat, Medium-Term</t>
  </si>
  <si>
    <t>production of housing, motor, GT-bat, Medium-Term</t>
  </si>
  <si>
    <t>B090900EF9314929A968442355E99147</t>
  </si>
  <si>
    <t>Table H1.1 of GENESIS_LCI_power_elec_drives_medium-term, GT-bat_v01.xlsx</t>
  </si>
  <si>
    <t>EA783AAAA6614684A6463788C78FF64B</t>
  </si>
  <si>
    <t>Table H1.2 of GENESIS_LCI_power_elec_drives_medium-term, GT-bat_v01.xlsx</t>
  </si>
  <si>
    <t>asusmption for Bearing; SKF_6013_2Z_PART1-Aluminium- ENAW-AlMg4,5Mn0,7</t>
  </si>
  <si>
    <t>341FA574392647638FA64AD186922986</t>
  </si>
  <si>
    <t>45A08829690D49F3A03496DAE151EE2C</t>
  </si>
  <si>
    <t>Table 0 of GENESIS_LCI_power_elec_drives_medium-term, GT-bat_v01.xlsx. 1 unit corresponds to 226.91 kg of power electronics</t>
  </si>
  <si>
    <t>weight 1 unit</t>
  </si>
  <si>
    <t>production of generator traction drive inverter ACDC, GT-bat, Medium-Term</t>
  </si>
  <si>
    <t>C</t>
  </si>
  <si>
    <t>production of DC/AC grid inverter, GT-bat, Medium-Term</t>
  </si>
  <si>
    <t>A</t>
  </si>
  <si>
    <t>production of isolating DC/DC grid converter, GT-bat, Medium-Term</t>
  </si>
  <si>
    <t>B</t>
  </si>
  <si>
    <t>production of motor traction drive inverter DCAC, GT-bat, Medium-Term</t>
  </si>
  <si>
    <t>D</t>
  </si>
  <si>
    <t>production of bidirectional battery DCDC converter, GT-bat, Medium-Term</t>
  </si>
  <si>
    <t>E</t>
  </si>
  <si>
    <t>Solder paste waste</t>
  </si>
  <si>
    <t>07E6730CAC8C4333BFC7302BBE1F13F9</t>
  </si>
  <si>
    <t>Hazardous waste incineration</t>
  </si>
  <si>
    <t>3774C937CFDF455DB8C3097AFC50CB7A</t>
  </si>
  <si>
    <t>D58D38BB85E3409FADFAB146A006EFAB</t>
  </si>
  <si>
    <t>production of driver board, assembled</t>
  </si>
  <si>
    <t>045FEB3E0390481BB04017F95C37AC70</t>
  </si>
  <si>
    <t>production of driver board, unassembled</t>
  </si>
  <si>
    <t>4426072750EF408581C8FE07047C150D</t>
  </si>
  <si>
    <t>production of logic board, assembled, with connector</t>
  </si>
  <si>
    <t>2BA50098A2B148DE8B6BBE13884262D7</t>
  </si>
  <si>
    <t>production of logic board, assembled, without connector</t>
  </si>
  <si>
    <t>10D0FACFE1CA4D58929AF4278FF6FAE0</t>
  </si>
  <si>
    <t>production of logic board, unassembled</t>
  </si>
  <si>
    <t>1FDDC7970FB04D618859D0EC3CB1B064</t>
  </si>
  <si>
    <t>54926C7F27C44C6F954810B796EC6987</t>
  </si>
  <si>
    <t>Table B1 of GENESIS_LCI_power_elec_drives_medium-term, GT-bat_v01.xlsx. 1 unit corresponds to 4.4 kg of DC/AC grid inverter</t>
  </si>
  <si>
    <t>production of  IGBT power module, complete, DCAC grid inverter, GT-bat, Medium-Term</t>
  </si>
  <si>
    <t>production of Galvanized terminals, screws and washers, DCAC grid inverter, GT-bat, Medium-Term</t>
  </si>
  <si>
    <t>m2/kg</t>
  </si>
  <si>
    <t>production of plated cable glands, DCAC grid inverter, GT-bat, Medium-Term</t>
  </si>
  <si>
    <t>Bus bar, laminated, DCAC grid inverter, GT-bat, Medium-Term</t>
  </si>
  <si>
    <t>production of machined casing, DCAC grid inverter, GT-bat, Medium-Term</t>
  </si>
  <si>
    <t>assuming unit = kg</t>
  </si>
  <si>
    <t>electricity demand for building services in PCB assembly and for final unit assembly</t>
  </si>
  <si>
    <t>4,4 kg</t>
  </si>
  <si>
    <t>weight check</t>
  </si>
  <si>
    <t>F208F779EAFE4C759E59D30E2B614B8A</t>
  </si>
  <si>
    <t>production of Galvanization layer, DCAC grid inverter, GT-bat, Medium-Term</t>
  </si>
  <si>
    <t>m2/KG</t>
  </si>
  <si>
    <t>production of Cleaned terminals, screws and washers, DCAC grid inverter, GT-bat, Medium-Term</t>
  </si>
  <si>
    <t>see below</t>
  </si>
  <si>
    <t>E322B53339C348908D38DB6B686A6BB7</t>
  </si>
  <si>
    <t>6644841267454B01B32FC41229820CC0</t>
  </si>
  <si>
    <t>so 0,25 kg screws corresponds to 0,05m2</t>
  </si>
  <si>
    <t>production of Steel terminals, screws and washers, DCAC grid inverter, GT-bat, Medium-Term</t>
  </si>
  <si>
    <t>production of nickel in plated layer, DCAC grid inverter, GT-bat, Medium-Term</t>
  </si>
  <si>
    <t>2D21747B8D87489ABA8D6F3EA9CF135E</t>
  </si>
  <si>
    <t>4DB024DCB6B046779263F70D484CF308</t>
  </si>
  <si>
    <t>production of copper bus bars, contacts, plates and foils, DCAC grid inverter, GT-bat, Medium-Term</t>
  </si>
  <si>
    <t>44E120C473C74286A3352A072CC29D9F</t>
  </si>
  <si>
    <t>B9A3D7EF32B24293BDFE91DAA1CB1F18</t>
  </si>
  <si>
    <t>2040C8191806474BBA3CB675F050E3F5</t>
  </si>
  <si>
    <t>production of cleaned cable glands, DCAC grid inverter, GT-bat, Medium-Term</t>
  </si>
  <si>
    <t>EB37024A90B44554A76363131A9D99C0</t>
  </si>
  <si>
    <t>production of brass cable glands, DCAC grid inverter, GT-bat, Medium-Term</t>
  </si>
  <si>
    <t>CDDF30DBD5C34D93A0747CF43B15F2A7</t>
  </si>
  <si>
    <t>4A02B241A5274D24834CB56329DFD6A8</t>
  </si>
  <si>
    <t>production of machined casing, mass scaled activities, DCAC grid inverter, GT-bat, Medium-Term</t>
  </si>
  <si>
    <t>91251A3C2EDD4789BA4BC699E8C31D8D</t>
  </si>
  <si>
    <t>production of die cast casing parts, DCAC grid inverter, GT-bat, Medium-Term</t>
  </si>
  <si>
    <t>D397A5B819784A79A2632F960ABEB0CF</t>
  </si>
  <si>
    <t>8CFA4C87D6FE48ADBEFD175A15824519</t>
  </si>
  <si>
    <t>production of Power module, open, potted, DCAC grid inverter, GT-bat, Medium-Term</t>
  </si>
  <si>
    <t>production of Lid, injection moulded, DCAC grid inverter, GT-bat, Medium-Term</t>
  </si>
  <si>
    <t>A664552A5D6C4D32A22231B7CB6F2A84</t>
  </si>
  <si>
    <t>BC1F3E45ADC04E64B63751DC7F433968</t>
  </si>
  <si>
    <t>production of potting gel layer, DCAC grid inverter, GT-bat, Medium-Term</t>
  </si>
  <si>
    <t>production of power module, open, wire bonded, DCAC grid inverter, GT-bat, Medium-Term</t>
  </si>
  <si>
    <t>ADEBD79CFC6C4823AB26D333B99E1721</t>
  </si>
  <si>
    <t>17F5E7CD1AEF4463A703999F5824CCA3</t>
  </si>
  <si>
    <t>production of Copper Wire, DCAC grid inverter, GT-bat, Medium-Term</t>
  </si>
  <si>
    <t>production of baseplate module with frame, cleaned, DCAC grid inverter, GT-bat, Medium-Term</t>
  </si>
  <si>
    <t>83A43284493340E884E88226D118FCFA</t>
  </si>
  <si>
    <t>639F26F3D5D942B49FFA928DCD0E3C44</t>
  </si>
  <si>
    <t>production of baseplate module with frame, DCAC grid inverter, GT-bat, Medium-Term</t>
  </si>
  <si>
    <t>A9CE91737F1945BBAD143D6B6235EDD8</t>
  </si>
  <si>
    <t>production of baseplate module without frame, cleaned, DCAC grid inverter, GT-bat, Medium-Term</t>
  </si>
  <si>
    <t>Prodcution of frame with bonded terminals, DCAC grid inverter, GT-bat, Medium-Term, DCAC grid inverter, GT-bat, Medium-Term</t>
  </si>
  <si>
    <t>E32B0F5CB0524A5A9DC948E23BFF5C30</t>
  </si>
  <si>
    <t>975C855DE7DC4EF999F37F3B6AE78389</t>
  </si>
  <si>
    <t>production of baseplate module without frame, DCAC grid inverter, GT-bat, Medium-Term</t>
  </si>
  <si>
    <t>75A0B6624CA2461EAFF3CCAA550C4A22</t>
  </si>
  <si>
    <t>production of DCB, with IGBT chips attached, DCAC grid inverter, GT-bat, Medium-Term</t>
  </si>
  <si>
    <t>production of baseplate, to furnace, DCAC grid inverter, GT-bat, Medium-Term, DCAC grid inverter, GT-bat, Medium-Term</t>
  </si>
  <si>
    <t>C0E17C812A594C57923355D72ADD9787</t>
  </si>
  <si>
    <t>production of baseplate, cleaned and baked, DCAC grid inverter, GT-bat, Medium-Term</t>
  </si>
  <si>
    <t>9C3BB9578F2E43B0BC1DC6D1E9CC39B0</t>
  </si>
  <si>
    <t>production of baseplate, nickel plated, DCAC grid inverter, GT-bat, Medium-Term</t>
  </si>
  <si>
    <t>CF2865A1EEAB4EAABD02C3048D06448F</t>
  </si>
  <si>
    <t>production of cleaned bus bars, contacts, plates and foils, DCAC grid inverter, GT-bat, Medium-Term</t>
  </si>
  <si>
    <t>B290223353F84EC3BA159BCFEEB72683</t>
  </si>
  <si>
    <t>EB6D2930EBCD4D11B16736ACD9F14395</t>
  </si>
  <si>
    <t>production of DCB substrate, to furnace, DCAC grid inverter, GT-bat, Medium-Term</t>
  </si>
  <si>
    <t>production of diced IGBT chips, DCAC grid inverter, GT-bat, Medium-Term</t>
  </si>
  <si>
    <t>6FDFB57BCBA747C797BDC158C6966F3F</t>
  </si>
  <si>
    <t>cm2</t>
  </si>
  <si>
    <t>87CD69F0F3AE43A396D6E9E35E890077</t>
  </si>
  <si>
    <t>production of DCB substrate, cleaned and baked, DCAC grid inverter, GT-bat, Medium-Term</t>
  </si>
  <si>
    <t>07B3EA9F3747446AABD69B1C6330ED25</t>
  </si>
  <si>
    <t>production of DCB, patterned, nickel plated, DCAC grid inverter, GT-bat, Medium-Term</t>
  </si>
  <si>
    <t>AEE6DB1519324249BFF1F6DBAF1BBFCE</t>
  </si>
  <si>
    <t>production of DCB, patterned, DCAC grid inverter, GT-bat, Medium-Term</t>
  </si>
  <si>
    <t>4CD8D22379FA45F99BAA8C776E2AA4BA</t>
  </si>
  <si>
    <t>production of DCB, before etching, DCAC grid inverter, GT-bat, Medium-Term</t>
  </si>
  <si>
    <t>336BB8A83C3B454E93CD4A7F253AB9AB</t>
  </si>
  <si>
    <t>production of Alumina substrate, DCAC grid inverter, GT-bat, Medium-Term</t>
  </si>
  <si>
    <t>3D0E0486B7C048F6956436076DA6E167</t>
  </si>
  <si>
    <t>7BF1BC5101E04B2DA9B21521EBDB538C</t>
  </si>
  <si>
    <t>production of  IGBT power module, complete, isolating DCDC converter, GT-bat, Medium-Term</t>
  </si>
  <si>
    <t>production of Galvanized terminals, screws and washers, isolating DCDC converter, GT-bat, Medium-Term</t>
  </si>
  <si>
    <t>production of plated cable glands, isolating DCDC converter, GT-bat, Medium-Term</t>
  </si>
  <si>
    <t>Bus bar, laminated, isolating DCDC converter, GT-bat, Medium-Term</t>
  </si>
  <si>
    <t xml:space="preserve">Bus bar, laminated </t>
  </si>
  <si>
    <t>production of machined casing, isolating DCDC converter, GT-bat, Medium-Term</t>
  </si>
  <si>
    <t>A953540EF5C6430CB31FBA249EDDE178</t>
  </si>
  <si>
    <t>production of Galvanization layer, isolating DCDC converter, GT-bat, Medium-Term</t>
  </si>
  <si>
    <t>assuming 0,1875 m2/kg</t>
  </si>
  <si>
    <t>production of Cleaned terminals, screws and washers, isolating DCDC converter, GT-bat, Medium-Term</t>
  </si>
  <si>
    <t>7814EBD9699C47358178B9A4B8D51352</t>
  </si>
  <si>
    <t>1C73C43E9CE84791927362A44EDB15B6</t>
  </si>
  <si>
    <t>so 0,2 kg screws corresponds to 0,03 m2</t>
  </si>
  <si>
    <t>so 0,03 m2= 0,16kg</t>
  </si>
  <si>
    <t>production of Steel terminals, screws and washers, isolating DCDC converter, GT-bat, Medium-Term</t>
  </si>
  <si>
    <t>production of nickel in plated layer, isolating DCDC converter, GT-bat, Medium-Term</t>
  </si>
  <si>
    <t>149F2CA45BBF48F8ADEFFBBA8EC0BCE6</t>
  </si>
  <si>
    <t>F7FBC325986D4F4C9646C3CFDBB10852</t>
  </si>
  <si>
    <t>production of copper bus bars, contacts, plates and foils, isolating DCDC converter, GT-bat, Medium-Term</t>
  </si>
  <si>
    <t>044EBA1D76FA4074920CE4251D970BFE</t>
  </si>
  <si>
    <t>EA4862E6A74F4364957AAD9D56847465</t>
  </si>
  <si>
    <t>9D3F58E57A8E47619216AF966AAB59B2</t>
  </si>
  <si>
    <t>production of cleaned cable glands, isolating DCDC converter, GT-bat, Medium-Term</t>
  </si>
  <si>
    <t>EFF3CFEB61B94C18BE38976CA905E4B2</t>
  </si>
  <si>
    <t>production of brass cable glands, isolating DCDC converter, GT-bat, Medium-Term</t>
  </si>
  <si>
    <t>A4FAED95EB0F4056AF7C6082A86E2786</t>
  </si>
  <si>
    <t>assuming that the weight is equivbalent to area in mother process</t>
  </si>
  <si>
    <t>395D23B864D2476DA3025E26EA259CFA</t>
  </si>
  <si>
    <t>production of machined casing, mass scaled activities, isolating DCDC converter, GT-bat, Medium-Term</t>
  </si>
  <si>
    <t>FD909A4CD82540FA9A9DBAA29E1C2870</t>
  </si>
  <si>
    <t>production of die cast casing parts, isolating DCDC converter, GT-bat, Medium-Term</t>
  </si>
  <si>
    <t>8AC209EBE6894BCCBEBC5703AFDBDB11</t>
  </si>
  <si>
    <t>D58F96F0940D4C0E8B851834EAE506CE</t>
  </si>
  <si>
    <t>ASSUMING THAT 1 unit is equivalent given in the overall assembly</t>
  </si>
  <si>
    <t>production of Power module, open, potted, isolating DCDC converter, GT-bat, Medium-Term</t>
  </si>
  <si>
    <t>production of Lid, injection moulded, isolating DCDC converter, GT-bat, Medium-Term</t>
  </si>
  <si>
    <t>FF012CBB562D48888899991F6CE14B16</t>
  </si>
  <si>
    <t>AAFDA31AA96D4042849AAE70F0CBB36E</t>
  </si>
  <si>
    <t>production of potting gel layer, isolating DCDC converter, GT-bat, Medium-Term</t>
  </si>
  <si>
    <t>production of power module, open, wire bonded, isolating DCDC converter, GT-bat, Medium-Term</t>
  </si>
  <si>
    <t>25278DF7642F4ECCB72BB213814B91D4</t>
  </si>
  <si>
    <t>5F0B897E74604F89A2CEB25B631E52BC</t>
  </si>
  <si>
    <t>production of Copper Wire, isolating DCDC converter, GT-bat, Medium-Term</t>
  </si>
  <si>
    <t>production of baseplate module with frame, cleaned, isolating DCDC converter, GT-bat, Medium-Term</t>
  </si>
  <si>
    <t>C7463461399B42B09135CCA5D02E45D8</t>
  </si>
  <si>
    <t>BB27F66B232142899590DEDF369C58D2</t>
  </si>
  <si>
    <t>production of baseplate module with frame, isolating DCDC converter, GT-bat, Medium-Term</t>
  </si>
  <si>
    <t>F667BB39040F4D568DC66CB426273C35</t>
  </si>
  <si>
    <t>production of baseplate module without frame, cleaned, isolating DCDC converter, GT-bat, Medium-Term</t>
  </si>
  <si>
    <t>Prodcution of frame with bonded terminals, isolating DCDC converter, GT-bat, Medium-Term</t>
  </si>
  <si>
    <t>CF87BAF53A93458B8C106F546DCB7F35</t>
  </si>
  <si>
    <t>B21A453A48264C4E82F4EDFC351089BB</t>
  </si>
  <si>
    <t>production of baseplate module without frame, isolating DCDC converter, GT-bat, Medium-Term</t>
  </si>
  <si>
    <t>5F298C5153E744BA81F99F0FD5DBFB23</t>
  </si>
  <si>
    <t>production of DCB, with IGBT chips attached, isolating DCDC converter, GT-bat, Medium-Term</t>
  </si>
  <si>
    <t>production of baseplate, to furnace, isolating DCDC converter, GT-bat, Medium-Term</t>
  </si>
  <si>
    <t>EA6AE3F7F8F04A8BBBEFE6E8B6E1EFC7</t>
  </si>
  <si>
    <t>production of baseplate, cleaned and baked, isolating DCDC converter, GT-bat, Medium-Term</t>
  </si>
  <si>
    <t>B2F2BD3ED4D047E0B288159CD989C25C</t>
  </si>
  <si>
    <t>production of baseplate, nickel plated, isolating DCDC converter, GT-bat, Medium-Term</t>
  </si>
  <si>
    <t>9E731C0F09574A54BBE7ABAF168D1D98</t>
  </si>
  <si>
    <t>production of cleaned bus bars, contacts, plates and foils, isolating DCDC converter, GT-bat, Medium-Term</t>
  </si>
  <si>
    <t>nickel in sulfanate is zero</t>
  </si>
  <si>
    <t>16AE818FF7A94C1FBED9D39070F2DE48</t>
  </si>
  <si>
    <t>error in their units assuming the weight and area they give corresponds</t>
  </si>
  <si>
    <t>8B0E44E25D2A41E4B2B2405337D9E189</t>
  </si>
  <si>
    <t>production of DCB substrate, to furnace, isolating DCDC converter, GT-bat, Medium-Term</t>
  </si>
  <si>
    <t>production of diced IGBT chips, isolating DCDC converter, GT-bat, Medium-Term</t>
  </si>
  <si>
    <t>F6681A04D531411586E5F424E49ACC7D</t>
  </si>
  <si>
    <t>DA0C7EDBBE064AEE9C209C3353A3CCF4</t>
  </si>
  <si>
    <t>production of DCB substrate, cleaned and baked, isolating DCDC converter, GT-bat, Medium-Term</t>
  </si>
  <si>
    <t>43706A3057FD44B69D52FE881AABEDEE</t>
  </si>
  <si>
    <t>production of DCB, patterned, nickel plated, isolating DCDC converter, GT-bat, Medium-Term</t>
  </si>
  <si>
    <t>9CFDA18C2CB14DF4821932EECAA11150</t>
  </si>
  <si>
    <t>production of DCB, patterned, isolating DCDC converter, GT-bat, Medium-Term</t>
  </si>
  <si>
    <t>94DF845C809140959B7266AE969E7B52</t>
  </si>
  <si>
    <t>production of DCB, before etching, isolating DCDC converter, GT-bat, Medium-Term</t>
  </si>
  <si>
    <t>16E6239C5F7C454887EA9D66DBD2BC1B</t>
  </si>
  <si>
    <t>production of Alumina substrate, isolating DCDC converter, GT-bat, Medium-Term</t>
  </si>
  <si>
    <t>9BF520848FDF464F8F5396480E62E26C</t>
  </si>
  <si>
    <t>9C27F2B5825F4AC790E153E94F1EC396</t>
  </si>
  <si>
    <t>production of  IGBT power module, complete,generator traction drive inverter ACDC, GT-bat, Medium-Term</t>
  </si>
  <si>
    <t>production of Galvanized terminals, screws and washers,generator traction drive inverter ACDC, GT-bat, Medium-Term</t>
  </si>
  <si>
    <t>production of plated cable glands,generator traction drive inverter ACDC, GT-bat, Medium-Term</t>
  </si>
  <si>
    <t>Bus bar, laminated,generator traction drive inverter ACDC, GT-bat, Medium-Term</t>
  </si>
  <si>
    <t>production of machined casing,generator traction drive inverter ACDC, GT-bat, Medium-Term</t>
  </si>
  <si>
    <t>issue here, the weight of machined casing process does not match the 13,73 kg given here - we consider this 13,73 to match the weight check</t>
  </si>
  <si>
    <t>weight check 32,1 kg</t>
  </si>
  <si>
    <t>2191BD5CB92F454EB52BC70833B5CD9C</t>
  </si>
  <si>
    <t>production of Galvanization layer,generator traction drive inverter ACDC, GT-bat, Medium-Term</t>
  </si>
  <si>
    <t>production of Cleaned terminals, screws and washers,generator traction drive inverter ACDC, GT-bat, Medium-Term</t>
  </si>
  <si>
    <t>FA23FEEF8D1742FDA34140AE0C287047</t>
  </si>
  <si>
    <t>9FA2C330DCD94FF4AD2B404CE02BA28F</t>
  </si>
  <si>
    <t>so 0,33 kg screws per 0.05 m2</t>
  </si>
  <si>
    <t>production of Steel terminals, screws and washers,generator traction drive inverter ACDC, GT-bat, Medium-Term</t>
  </si>
  <si>
    <t>production of nickel in plated layer,generator traction drive inverter ACDC, GT-bat, Medium-Term</t>
  </si>
  <si>
    <t>D303FB2EA9494D60A05612A5E62F8B7F</t>
  </si>
  <si>
    <t>B7F64AFB01024DCC8671617DAABA13C9</t>
  </si>
  <si>
    <t>production of copper bus bars, contacts, plates and foils,generator traction drive inverter ACDC, GT-bat, Medium-Term</t>
  </si>
  <si>
    <t>E5C7296BD1FE4A15A178EDFED0A8114A</t>
  </si>
  <si>
    <t>4F0ABD7065EA4CB187CA32C8EB736493</t>
  </si>
  <si>
    <t>F6178EE1F16B489CB0B1C60CA5DDB7D6</t>
  </si>
  <si>
    <t>production of cleaned cable glands,generator traction drive inverter ACDC, GT-bat, Medium-Term</t>
  </si>
  <si>
    <t>06F5E297E5DA414587403FACB6961FDF</t>
  </si>
  <si>
    <t>production of brass cable glands,generator traction drive inverter ACDC, GT-bat, Medium-Term</t>
  </si>
  <si>
    <t>6E0441820CDA441581226DD030CD04EF</t>
  </si>
  <si>
    <t>82FD6A2ACEE044EA8CC667DE5BC648E7</t>
  </si>
  <si>
    <t>production of machined casing, mass scaled activities,generator traction drive inverter ACDC, GT-bat, Medium-Term</t>
  </si>
  <si>
    <t>3B33BBEACDB44E9FADE679D7CD0A5717</t>
  </si>
  <si>
    <t>production of die cast casing parts,generator traction drive inverter ACDC, GT-bat, Medium-Term</t>
  </si>
  <si>
    <t>EC334A0B8E374B35AD60A50B67288B64</t>
  </si>
  <si>
    <t>798BA56FE96C4188AD270DABB630D520</t>
  </si>
  <si>
    <t>production of Power module, open, potted,generator traction drive inverter ACDC, GT-bat, Medium-Term</t>
  </si>
  <si>
    <t>production of Lid, injection moulded,generator traction drive inverter ACDC, GT-bat, Medium-Term</t>
  </si>
  <si>
    <t>F8C5DF4CCC994A51B01BEBE7EF10C26D</t>
  </si>
  <si>
    <t>A2E3B91ECF214E39810A1FA646F87FBF</t>
  </si>
  <si>
    <t>production of potting gel layer,generator traction drive inverter ACDC, GT-bat, Medium-Term</t>
  </si>
  <si>
    <t>production of power module, open, wire bonded,generator traction drive inverter ACDC, GT-bat, Medium-Term</t>
  </si>
  <si>
    <t>A710884062B242D8938C03AC87468FEA</t>
  </si>
  <si>
    <t>2BD0370950C8409C9E8AE5D0FD5EE086</t>
  </si>
  <si>
    <t>production of Copper Wire,generator traction drive inverter ACDC, GT-bat, Medium-Term</t>
  </si>
  <si>
    <t>production of baseplate module with frame, cleaned,generator traction drive inverter ACDC, GT-bat, Medium-Term</t>
  </si>
  <si>
    <t>702DE7D90B6641C188A91FA8051850D5</t>
  </si>
  <si>
    <t>81167D251FE7463AA82158A697DC79DC</t>
  </si>
  <si>
    <t>production of baseplate module with frame,generator traction drive inverter ACDC, GT-bat, Medium-Term</t>
  </si>
  <si>
    <t>A697E14954F74B28BDFFD98672D0264D</t>
  </si>
  <si>
    <t>production of baseplate module without frame, cleaned,generator traction drive inverter ACDC, GT-bat, Medium-Term</t>
  </si>
  <si>
    <t>assuming (from sheet reusable)</t>
  </si>
  <si>
    <t>Prodcution of frame with bonded terminals,generator traction drive inverter ACDC, GT-bat, Medium-Term</t>
  </si>
  <si>
    <t>09AE1D438EC94A64B8F3CDA054A24D55</t>
  </si>
  <si>
    <t>267EA5ED5530498893FB60226DFAA213</t>
  </si>
  <si>
    <t>production of baseplate module without frame,generator traction drive inverter ACDC, GT-bat, Medium-Term</t>
  </si>
  <si>
    <t>3094628943B343D090C4558654B12D70</t>
  </si>
  <si>
    <t>production of DCB, with IGBT chips attached,generator traction drive inverter ACDC, GT-bat, Medium-Term</t>
  </si>
  <si>
    <t>production of baseplate, to furnace,generator traction drive inverter ACDC, GT-bat, Medium-Term</t>
  </si>
  <si>
    <t>57B6874743F847149F19934D53EB54C9</t>
  </si>
  <si>
    <t>production of baseplate, cleaned and baked,generator traction drive inverter ACDC, GT-bat, Medium-Term</t>
  </si>
  <si>
    <t>437A6356FB8046099E50FE9DFE1FAB6D</t>
  </si>
  <si>
    <t>production of baseplate, nickel plated,generator traction drive inverter ACDC, GT-bat, Medium-Term</t>
  </si>
  <si>
    <t>A517E079F36849D6893B64F85D910721</t>
  </si>
  <si>
    <t>production of cleaned bus bars, contacts, plates and foils,generator traction drive inverter ACDC, GT-bat, Medium-Term</t>
  </si>
  <si>
    <t>69FD62C76AAE499EB09E6A6E16625550</t>
  </si>
  <si>
    <t>BD9E5408512B4209A246FC4E9C1D1FC1</t>
  </si>
  <si>
    <t>production of DCB substrate, to furnace,generator traction drive inverter ACDC, GT-bat, Medium-Term</t>
  </si>
  <si>
    <t>production of diced IGBT chips,generator traction drive inverter ACDC, GT-bat, Medium-Term</t>
  </si>
  <si>
    <t>F35377E972B842A9AD374BF4285B0520</t>
  </si>
  <si>
    <t>7B5F248CBCE341DABBECA367535FF56E</t>
  </si>
  <si>
    <t>production of DCB substrate, cleaned and baked,generator traction drive inverter ACDC, GT-bat, Medium-Term</t>
  </si>
  <si>
    <t>46B6D1DF307547BDAD126AFFCD8D67E1</t>
  </si>
  <si>
    <t>production of DCB, patterned, nickel plated,generator traction drive inverter ACDC, GT-bat, Medium-Term</t>
  </si>
  <si>
    <t>75F57368A06740029B4661D5E8876AFA</t>
  </si>
  <si>
    <t>production of DCB, patterned,generator traction drive inverter ACDC, GT-bat, Medium-Term</t>
  </si>
  <si>
    <t>418A40CD19F5466F94FED0364C2B1CDD</t>
  </si>
  <si>
    <t>production of DCB, before etching,generator traction drive inverter ACDC, GT-bat, Medium-Term</t>
  </si>
  <si>
    <t>26918D9F67024F2EA12D179B926B8F79</t>
  </si>
  <si>
    <t>production of Alumina substrate,generator traction drive inverter ACDC, GT-bat, Medium-Term</t>
  </si>
  <si>
    <t>C68B914E60BA424A8E8028948D6EC4CC</t>
  </si>
  <si>
    <t>42781CA6922246039EB241D2E80FEF12</t>
  </si>
  <si>
    <t>production of  IGBT power module, complete, motor traction drive inverter DCAC, GT-bat, Medium-Term</t>
  </si>
  <si>
    <t>production of Galvanized terminals, screws and washers, motor traction drive inverter DCAC, GT-bat, Medium-Term</t>
  </si>
  <si>
    <t>production of plated cable glands, motor traction drive inverter DCAC, GT-bat, Medium-Term</t>
  </si>
  <si>
    <t>Bus bar, laminated, motor traction drive inverter DCAC, GT-bat, Medium-Term</t>
  </si>
  <si>
    <t>production of machined casing, motor traction drive inverter DCAC, GT-bat, Medium-Term</t>
  </si>
  <si>
    <t>weight check 6.521 kg</t>
  </si>
  <si>
    <t>4A1762C2B4FA49B9A49D61B2B08DD841</t>
  </si>
  <si>
    <t>Assuming (see below) that</t>
  </si>
  <si>
    <t>production of Galvanization layer, motor traction drive inverter DCAC, GT-bat, Medium-Term</t>
  </si>
  <si>
    <t>production of Cleaned terminals, screws and washers, motor traction drive inverter DCAC, GT-bat, Medium-Term</t>
  </si>
  <si>
    <t>1048807B489E4119902B9D2CE7957D8B</t>
  </si>
  <si>
    <t>FC7D9331C5314327AB92442B7CF40E0A</t>
  </si>
  <si>
    <t>production of Steel terminals, screws and washers, motor traction drive inverter DCAC, GT-bat, Medium-Term</t>
  </si>
  <si>
    <t>we assume that the input to this process is equal to the output in kg of the previous steel terminals process</t>
  </si>
  <si>
    <t>production of nickel in plated layer, motor traction drive inverter DCAC, GT-bat, Medium-Term</t>
  </si>
  <si>
    <t>8EAC1C9DB9364D95A88C29FDC437843F</t>
  </si>
  <si>
    <t>3E1AC64D8655420ABAB204AC02587E11</t>
  </si>
  <si>
    <t>production of copper bus bars, contacts, plates and foils, motor traction drive inverter DCAC, GT-bat, Medium-Term</t>
  </si>
  <si>
    <t>D270E4431AB741E48CA5B3193549A39E</t>
  </si>
  <si>
    <t>2231E96B22DD499E969EDB38A1184CFF</t>
  </si>
  <si>
    <t>93E4F0ABD0C540FC9BFB110DD96C2D65</t>
  </si>
  <si>
    <t>production of cleaned cable glands, motor traction drive inverter DCAC, GT-bat, Medium-Term</t>
  </si>
  <si>
    <t>1EFDE8735EF94BFAB865A1546B95F927</t>
  </si>
  <si>
    <t>production of brass cable glands, motor traction drive inverter DCAC, GT-bat, Medium-Term</t>
  </si>
  <si>
    <t>28EEC74C910E45DE9B05182E57E30A7A</t>
  </si>
  <si>
    <t>BE51A61386A34337AE81090D53C015A7</t>
  </si>
  <si>
    <t>production of machined casing, mass scaled activities, motor traction drive inverter DCAC, GT-bat, Medium-Term</t>
  </si>
  <si>
    <t>70602A388A19430BBC797E799C56BAED</t>
  </si>
  <si>
    <t>production of die cast casing parts, motor traction drive inverter DCAC, GT-bat, Medium-Term</t>
  </si>
  <si>
    <t>7403B57664F442AC8B7A31FE30FECD8D</t>
  </si>
  <si>
    <t>EB38B3391A0D4C5590EFFA35CF3B00F6</t>
  </si>
  <si>
    <t>production of Power module, open, potted, motor traction drive inverter DCAC, GT-bat, Medium-Term</t>
  </si>
  <si>
    <t>production of Lid, injection moulded, motor traction drive inverter DCAC, GT-bat, Medium-Term</t>
  </si>
  <si>
    <t>4AE4E0C082564B47A6ABE603EE1B8BC8</t>
  </si>
  <si>
    <t>010E6ACBFFA1436CB5C15A16CC66EB01</t>
  </si>
  <si>
    <t>production of potting gel layer, motor traction drive inverter DCAC, GT-bat, Medium-Term</t>
  </si>
  <si>
    <t>production of power module, open, wire bonded, motor traction drive inverter DCAC, GT-bat, Medium-Term</t>
  </si>
  <si>
    <t>1591851EC5CE4881ABBE11D18C0FC5BC</t>
  </si>
  <si>
    <t>D2878775F5864BE791FB419D13C05355</t>
  </si>
  <si>
    <t>production of Copper Wire, motor traction drive inverter DCAC, GT-bat, Medium-Term</t>
  </si>
  <si>
    <t>production of baseplate module with frame, cleaned, motor traction drive inverter DCAC, GT-bat, Medium-Term</t>
  </si>
  <si>
    <t>5DCC4AB5B35F45958EB27D3F0E328286</t>
  </si>
  <si>
    <t>4E475845036847DBA9AC6A1677703461</t>
  </si>
  <si>
    <t>production of baseplate module with frame, motor traction drive inverter DCAC, GT-bat, Medium-Term</t>
  </si>
  <si>
    <t>602E1FFC02614EEDAC06DB9F0474ADE0</t>
  </si>
  <si>
    <t>assuming (see sheet "reusable")</t>
  </si>
  <si>
    <t>production of baseplate module without frame, cleaned, motor traction drive inverter DCAC, GT-bat, Medium-Term</t>
  </si>
  <si>
    <t>Prodcution of frame with bonded terminals, motor traction drive inverter DCAC, GT-bat, Medium-Term</t>
  </si>
  <si>
    <t>CC135A291D0C48CDB606E599FDFCC466</t>
  </si>
  <si>
    <t>44539090F7344E398F8D4CF4A43F2C72</t>
  </si>
  <si>
    <t>production of baseplate module without frame, motor traction drive inverter DCAC, GT-bat, Medium-Term</t>
  </si>
  <si>
    <t>9BB492FA45FD4C20AE23C3AA12D27F06</t>
  </si>
  <si>
    <t>production of DCB, with IGBT chips attached, motor traction drive inverter DCAC, GT-bat, Medium-Term</t>
  </si>
  <si>
    <t>production of baseplate, to furnace, motor traction drive inverter DCAC, GT-bat, Medium-Term</t>
  </si>
  <si>
    <t>538247CAABE44911BFC21DEA220961AB</t>
  </si>
  <si>
    <t>production of baseplate, cleaned and baked, motor traction drive inverter DCAC, GT-bat, Medium-Term</t>
  </si>
  <si>
    <t>E302BC2C15114410AE0FAEE1C4FD0589</t>
  </si>
  <si>
    <t>production of baseplate, nickel plated, motor traction drive inverter DCAC, GT-bat, Medium-Term</t>
  </si>
  <si>
    <t>1C0FD73EC8144E808CC962BC2ABB9C41</t>
  </si>
  <si>
    <t>production of cleaned bus bars, contacts, plates and foils, motor traction drive inverter DCAC, GT-bat, Medium-Term</t>
  </si>
  <si>
    <t>8F49808F51F14FE1A39CF7130C675B67</t>
  </si>
  <si>
    <t>DCA5AAFFF54A45ED9E5D04EDAF69FBD0</t>
  </si>
  <si>
    <t>production of DCB substrate, to furnace, motor traction drive inverter DCAC, GT-bat, Medium-Term</t>
  </si>
  <si>
    <t>production of diced IGBT chips, motor traction drive inverter DCAC, GT-bat, Medium-Term</t>
  </si>
  <si>
    <t>7756799FCBD74DC08A7E45EB17D3B0A6</t>
  </si>
  <si>
    <t>B00552AB303D4C4BAEB6EBEDF7996943</t>
  </si>
  <si>
    <t>production of DCB substrate, cleaned and baked, motor traction drive inverter DCAC, GT-bat, Medium-Term</t>
  </si>
  <si>
    <t>2F2DF73E658F4433B392F747630154DC</t>
  </si>
  <si>
    <t>production of DCB, patterned, nickel plated, motor traction drive inverter DCAC, GT-bat, Medium-Term</t>
  </si>
  <si>
    <t>1BEF81DE827F4CDF92479AAD6B335183</t>
  </si>
  <si>
    <t>production of DCB, patterned, motor traction drive inverter DCAC, GT-bat, Medium-Term</t>
  </si>
  <si>
    <t>CE56380514B64547A0A5E0A1B1332658</t>
  </si>
  <si>
    <t>production of DCB, before etching, motor traction drive inverter DCAC, GT-bat, Medium-Term</t>
  </si>
  <si>
    <t>A73F5E1E57D740B0A261D1196752B4DA</t>
  </si>
  <si>
    <t>production of Alumina substrate, motor traction drive inverter DCAC, GT-bat, Medium-Term</t>
  </si>
  <si>
    <t>BC347023EAF14DF2AC03EA0B71193E43</t>
  </si>
  <si>
    <t>E2C27DBA3C924C9E86BD86B5E8AE5BCC</t>
  </si>
  <si>
    <t>production of  IGBT power module, complete, bidirectional battery DCDC converter, GT-bat, Medium-Term</t>
  </si>
  <si>
    <t>production of Galvanized terminals, screws and washers, bidirectional battery DCDC converter, GT-bat, Medium-Term</t>
  </si>
  <si>
    <t>production of plated cable glands, bidirectional battery DCDC converter, GT-bat, Medium-Term</t>
  </si>
  <si>
    <t>Bus bar, laminated, bidirectional battery DCDC converter, GT-bat, Medium-Term</t>
  </si>
  <si>
    <t>production of machined casing, bidirectional battery DCDC converter, GT-bat, Medium-Term</t>
  </si>
  <si>
    <t>weight check 22.3 kg</t>
  </si>
  <si>
    <t>18F0DB523F294B60B5BDEA5D637767D9</t>
  </si>
  <si>
    <t>production of Galvanization layer, bidirectional battery DCDC converter, GT-bat, Medium-Term</t>
  </si>
  <si>
    <t>production of Cleaned terminals, screws and washers, bidirectional battery DCDC converter, GT-bat, Medium-Term</t>
  </si>
  <si>
    <t>A48AB1F89B174F5586B2E188DC1BC009</t>
  </si>
  <si>
    <t>5037FDB10E7143F287C113338366F37A</t>
  </si>
  <si>
    <t>production of Steel terminals, screws and washers, bidirectional battery DCDC converter, GT-bat, Medium-Term</t>
  </si>
  <si>
    <t>production of nickel in plated layer, bidirectional battery DCDC converter, GT-bat, Medium-Term</t>
  </si>
  <si>
    <t>DD21C98DC69743B3B9AA558068BA3154</t>
  </si>
  <si>
    <t>C0AF25723C844F519C1D9E448743F3E1</t>
  </si>
  <si>
    <t>production of copper bus bars, contacts, plates and foils, bidirectional battery DCDC converter, GT-bat, Medium-Term</t>
  </si>
  <si>
    <t>D912B9333EDA4DC69332495C126515D9</t>
  </si>
  <si>
    <t>B16815F3F9C64D148D78A53C0BFBC911</t>
  </si>
  <si>
    <t>6A4BFF5FD0C24117B0D670B32D0BB5A8</t>
  </si>
  <si>
    <t>production of cleaned cable glands, bidirectional battery DCDC converter, GT-bat, Medium-Term</t>
  </si>
  <si>
    <t>366D5C36C82E4F48AAE58C92EC273C66</t>
  </si>
  <si>
    <t>production of brass cable glands, bidirectional battery DCDC converter, GT-bat, Medium-Term</t>
  </si>
  <si>
    <t>92F9B9029AB64140A4E7E8AFA625CF7E</t>
  </si>
  <si>
    <t>822B73EB52A04BCFA1233B8E5201ED24</t>
  </si>
  <si>
    <t>production of machined casing, mass scaled activities, bidirectional battery DCDC converter, GT-bat, Medium-Term</t>
  </si>
  <si>
    <t>0F49CAC5C65F437DA38696970E094EA6</t>
  </si>
  <si>
    <t>production of die cast casing parts, bidirectional battery DCDC converter, GT-bat, Medium-Term</t>
  </si>
  <si>
    <t>2A00426E5E7047A8ADD904D0142CE32A</t>
  </si>
  <si>
    <t>F946DF0AC72646AEB309965682B31322</t>
  </si>
  <si>
    <t>production of Power module, open, potted, bidirectional battery DCDC converter, GT-bat, Medium-Term</t>
  </si>
  <si>
    <t>production of Lid, injection moulded, bidirectional battery DCDC converter, GT-bat, Medium-Term</t>
  </si>
  <si>
    <t>EC60E2275BA94DF39A2482988A37352C</t>
  </si>
  <si>
    <t>55A09BB349244C2A84818F5104436E40</t>
  </si>
  <si>
    <t>production of potting gel layer, bidirectional battery DCDC converter, GT-bat, Medium-Term</t>
  </si>
  <si>
    <t>production of power module, open, wire bonded, bidirectional battery DCDC converter, GT-bat, Medium-Term</t>
  </si>
  <si>
    <t>BD944685C91C41D3A14B99EDEA820626</t>
  </si>
  <si>
    <t>20A24612A487470AA230218CC8C755E5</t>
  </si>
  <si>
    <t>production of Copper Wire, bidirectional battery DCDC converter, GT-bat, Medium-Term</t>
  </si>
  <si>
    <t>production of baseplate module with frame, cleaned, bidirectional battery DCDC converter, GT-bat, Medium-Term</t>
  </si>
  <si>
    <t>2B2882A5C23A4CCDB3E1B41A2DFD8C82</t>
  </si>
  <si>
    <t>1663D46BBB6F4A27AAC152EE0C7975B7</t>
  </si>
  <si>
    <t>production of baseplate module with frame, bidirectional battery DCDC converter, GT-bat, Medium-Term</t>
  </si>
  <si>
    <t>2E2A5F0083E24128AA2CBDDF728BED37</t>
  </si>
  <si>
    <t>production of baseplate module without frame, cleaned, bidirectional battery DCDC converter, GT-bat, Medium-Term</t>
  </si>
  <si>
    <t>Prodcution of frame with bonded terminals, bidirectional battery DCDC converter, GT-bat, Medium-Term</t>
  </si>
  <si>
    <t>FC61DE56ECC5463AB5BB1F5D84135DB0</t>
  </si>
  <si>
    <t>0,68</t>
  </si>
  <si>
    <t>4476F49C2FAA40A880404EA3EE4D5A18</t>
  </si>
  <si>
    <t>production of baseplate module without frame, bidirectional battery DCDC converter, GT-bat, Medium-Term</t>
  </si>
  <si>
    <t>7D0DB16679A94061BD45986DC9632F9F</t>
  </si>
  <si>
    <t>production of DCB, with IGBT chips attached, bidirectional battery DCDC converter, GT-bat, Medium-Term</t>
  </si>
  <si>
    <t>production of baseplate, to furnace, bidirectional battery DCDC converter, GT-bat, Medium-Term</t>
  </si>
  <si>
    <t>E843795890244C048B6DFC60531A687A</t>
  </si>
  <si>
    <t>production of baseplate, cleaned and baked, bidirectional battery DCDC converter, GT-bat, Medium-Term</t>
  </si>
  <si>
    <t>6C21AD37E99D4E74BF886E2928D630E3</t>
  </si>
  <si>
    <t>production of baseplate, nickel plated, bidirectional battery DCDC converter, GT-bat, Medium-Term</t>
  </si>
  <si>
    <t>46D3845B862D42FA9CCF827ACA3103CC</t>
  </si>
  <si>
    <t>production of cleaned bus bars, contacts, plates and foils, bidirectional battery DCDC converter, GT-bat, Medium-Term</t>
  </si>
  <si>
    <t>1BA144E74D18476AA815964DEC1FC68F</t>
  </si>
  <si>
    <t>FA58BA9A15DD4C8F8A73DB1F6BE149E7</t>
  </si>
  <si>
    <t>production of DCB substrate, to furnace, bidirectional battery DCDC converter, GT-bat, Medium-Term</t>
  </si>
  <si>
    <t>production of diced IGBT chips, bidirectional battery DCDC converter, GT-bat, Medium-Term</t>
  </si>
  <si>
    <t>DB5112A6B1C94220A3AA31D1F4DCC80E</t>
  </si>
  <si>
    <t>ECCB1C1DE96F4EE2AC1B5DDB3C6C0163</t>
  </si>
  <si>
    <t>production of DCB substrate, cleaned and baked, bidirectional battery DCDC converter, GT-bat, Medium-Term</t>
  </si>
  <si>
    <t>33279973389D42438BE2C765E15FCDCB</t>
  </si>
  <si>
    <t>production of DCB, patterned, nickel plated, bidirectional battery DCDC converter, GT-bat, Medium-Term</t>
  </si>
  <si>
    <t>58ED87398D534EE3B91D6433BF758606</t>
  </si>
  <si>
    <t>production of DCB, patterned, bidirectional battery DCDC converter, GT-bat, Medium-Term</t>
  </si>
  <si>
    <t>DD73812765F343E8BC335B9833F09BAF</t>
  </si>
  <si>
    <t>production of DCB, before etching, bidirectional battery DCDC converter, GT-bat, Medium-Term</t>
  </si>
  <si>
    <t>DD7F4414DAB54ACFBB629C61F17B13E2</t>
  </si>
  <si>
    <t>production of Alumina substrate, bidirectional battery DCDC converter, GT-bat, Medium-Term</t>
  </si>
  <si>
    <t>214A6AEB2C8F463EB0EF635B8248B39F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</si>
</sst>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0000"/>
    <numFmt numFmtId="166" formatCode="0.000"/>
    <numFmt numFmtId="167" formatCode="0.0000"/>
    <numFmt numFmtId="168" formatCode="0.0E+00"/>
    <numFmt numFmtId="169" formatCode="0E+00"/>
    <numFmt numFmtId="170" formatCode="_-* #,##0.0000000_-;\-* #,##0.0000000_-;_-* &quot;-&quot;??_-;_-@_-"/>
    <numFmt numFmtId="171" formatCode="_-* #,##0.00000000_-;\-* #,##0.00000000_-;_-* &quot;-&quot;??_-;_-@_-"/>
    <numFmt numFmtId="172" formatCode="_-* #,##0.0000_-;\-* #,##0.0000_-;_-* &quot;-&quot;??_-;_-@_-"/>
  </numFmts>
  <fonts count="5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0"/>
      <color theme="1"/>
      <name val="Arial Unicode MS"/>
    </font>
    <font>
      <sz val="11"/>
      <color rgb="FF000000"/>
      <name val="Calibri"/>
      <family val="2"/>
      <scheme val="minor"/>
    </font>
    <font>
      <b/>
      <sz val="11"/>
      <name val="Calibri"/>
      <family val="2"/>
      <scheme val="minor"/>
    </font>
    <font>
      <i/>
      <sz val="11"/>
      <name val="Calibri"/>
      <family val="2"/>
      <scheme val="minor"/>
    </font>
    <font>
      <sz val="10"/>
      <name val="Var(--jp-code-font-family)"/>
    </font>
    <font>
      <b/>
      <sz val="11"/>
      <color rgb="FFFF0000"/>
      <name val="Calibri"/>
      <family val="2"/>
      <scheme val="minor"/>
    </font>
    <font>
      <sz val="10"/>
      <color theme="1"/>
      <name val="Var(--jp-code-font-family)"/>
    </font>
    <font>
      <b/>
      <sz val="11"/>
      <color rgb="FF000000"/>
      <name val="Calibri"/>
      <family val="2"/>
    </font>
    <font>
      <i/>
      <sz val="11"/>
      <color rgb="FFFF0000"/>
      <name val="Calibri"/>
      <family val="2"/>
    </font>
    <font>
      <sz val="11"/>
      <color rgb="FF000000"/>
      <name val="Calibri"/>
      <family val="2"/>
    </font>
    <font>
      <sz val="11"/>
      <name val="Calibri"/>
      <family val="2"/>
    </font>
    <font>
      <b/>
      <sz val="11"/>
      <name val="Calibri"/>
      <family val="2"/>
    </font>
    <font>
      <b/>
      <sz val="10"/>
      <color theme="1"/>
      <name val="Calibri"/>
      <family val="2"/>
      <scheme val="minor"/>
    </font>
    <font>
      <i/>
      <sz val="10"/>
      <color rgb="FFFF0000"/>
      <name val="Calibri"/>
      <family val="2"/>
      <scheme val="minor"/>
    </font>
    <font>
      <sz val="10"/>
      <name val="Calibri"/>
      <family val="2"/>
      <scheme val="minor"/>
    </font>
    <font>
      <b/>
      <sz val="11"/>
      <color rgb="FF000000"/>
      <name val="Calibri"/>
      <family val="2"/>
      <scheme val="minor"/>
    </font>
    <font>
      <sz val="10"/>
      <color rgb="FF000000"/>
      <name val="Calibri"/>
      <family val="2"/>
      <scheme val="minor"/>
    </font>
    <font>
      <b/>
      <i/>
      <sz val="11"/>
      <color rgb="FF00000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i/>
      <sz val="11"/>
      <color rgb="FF000000"/>
      <name val="Calibri"/>
      <family val="2"/>
      <scheme val="minor"/>
    </font>
    <font>
      <b/>
      <sz val="10"/>
      <name val="Calibri"/>
      <family val="2"/>
      <scheme val="minor"/>
    </font>
    <font>
      <sz val="10"/>
      <color rgb="FF222222"/>
      <name val="Calibri"/>
      <family val="2"/>
      <scheme val="minor"/>
    </font>
    <font>
      <sz val="12"/>
      <color rgb="FF000000"/>
      <name val="Calibri"/>
      <family val="2"/>
      <scheme val="minor"/>
    </font>
    <font>
      <b/>
      <sz val="12"/>
      <name val="Calibri"/>
      <family val="2"/>
      <scheme val="minor"/>
    </font>
    <font>
      <b/>
      <sz val="10"/>
      <color theme="1"/>
      <name val="Var(--jp-code-font-family)"/>
    </font>
    <font>
      <sz val="11"/>
      <color rgb="FF222222"/>
      <name val="Helvetica LT Pro Light"/>
      <family val="2"/>
    </font>
    <font>
      <sz val="10"/>
      <color rgb="FF222222"/>
      <name val="Helvetica LT Pro Light"/>
      <family val="2"/>
    </font>
    <font>
      <b/>
      <sz val="12"/>
      <color rgb="FF000000"/>
      <name val="Calibri"/>
      <family val="2"/>
      <scheme val="minor"/>
    </font>
    <font>
      <sz val="10"/>
      <color theme="1"/>
      <name val="Var(--Jp-Code-Font-Family)"/>
      <charset val="1"/>
    </font>
    <font>
      <sz val="11"/>
      <color theme="1"/>
      <name val="Times New Roman"/>
      <family val="1"/>
    </font>
    <font>
      <sz val="11"/>
      <color theme="1"/>
      <name val="Arial"/>
      <family val="2"/>
    </font>
    <font>
      <i/>
      <sz val="11"/>
      <color theme="1"/>
      <name val="Calibri"/>
      <family val="2"/>
    </font>
    <font>
      <sz val="10"/>
      <color rgb="FF000000"/>
      <name val="Var(--jp-code-font-family)"/>
    </font>
    <font>
      <sz val="11"/>
      <color rgb="FF000000"/>
      <name val="Times New Roman"/>
      <family val="1"/>
    </font>
  </fonts>
  <fills count="37">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0"/>
        <bgColor indexed="64"/>
      </patternFill>
    </fill>
    <fill>
      <patternFill patternType="solid">
        <fgColor rgb="FFEFDECD"/>
        <bgColor rgb="FFD9D9D9"/>
      </patternFill>
    </fill>
    <fill>
      <patternFill patternType="solid">
        <fgColor theme="6" tint="0.79998168889431442"/>
        <bgColor indexed="64"/>
      </patternFill>
    </fill>
    <fill>
      <patternFill patternType="solid">
        <fgColor rgb="FFDDEBF7"/>
        <bgColor rgb="FF000000"/>
      </patternFill>
    </fill>
    <fill>
      <patternFill patternType="solid">
        <fgColor theme="0"/>
        <bgColor rgb="FF000000"/>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0"/>
        <bgColor rgb="FFD9D9D9"/>
      </patternFill>
    </fill>
    <fill>
      <patternFill patternType="solid">
        <fgColor theme="0" tint="-4.9989318521683403E-2"/>
        <bgColor indexed="64"/>
      </patternFill>
    </fill>
    <fill>
      <patternFill patternType="solid">
        <fgColor theme="8"/>
        <bgColor indexed="64"/>
      </patternFill>
    </fill>
    <fill>
      <patternFill patternType="solid">
        <fgColor theme="6" tint="0.59999389629810485"/>
        <bgColor indexed="64"/>
      </patternFill>
    </fill>
    <fill>
      <patternFill patternType="solid">
        <fgColor rgb="FFFFC000"/>
        <bgColor rgb="FFFFC000"/>
      </patternFill>
    </fill>
    <fill>
      <patternFill patternType="solid">
        <fgColor theme="6"/>
        <bgColor indexed="64"/>
      </patternFill>
    </fill>
    <fill>
      <patternFill patternType="solid">
        <fgColor rgb="FFFFFFFF"/>
        <bgColor rgb="FFFFFFFF"/>
      </patternFill>
    </fill>
    <fill>
      <patternFill patternType="solid">
        <fgColor rgb="FF4BACC6"/>
        <bgColor rgb="FF4BACC6"/>
      </patternFill>
    </fill>
    <fill>
      <patternFill patternType="solid">
        <fgColor rgb="FFB8CCE4"/>
        <bgColor rgb="FFB8CCE4"/>
      </patternFill>
    </fill>
    <fill>
      <patternFill patternType="solid">
        <fgColor theme="9" tint="0.39997558519241921"/>
        <bgColor indexed="64"/>
      </patternFill>
    </fill>
    <fill>
      <patternFill patternType="solid">
        <fgColor rgb="FFFFFF00"/>
        <bgColor rgb="FFFFFFFF"/>
      </patternFill>
    </fill>
    <fill>
      <patternFill patternType="solid">
        <fgColor theme="8" tint="0.39997558519241921"/>
        <bgColor indexed="64"/>
      </patternFill>
    </fill>
    <fill>
      <patternFill patternType="solid">
        <fgColor rgb="FFFFC000"/>
        <bgColor indexed="64"/>
      </patternFill>
    </fill>
    <fill>
      <patternFill patternType="solid">
        <fgColor theme="9" tint="-0.249977111117893"/>
        <bgColor indexed="64"/>
      </patternFill>
    </fill>
    <fill>
      <patternFill patternType="solid">
        <fgColor theme="6" tint="0.39997558519241921"/>
        <bgColor rgb="FFFFFFFF"/>
      </patternFill>
    </fill>
    <fill>
      <patternFill patternType="solid">
        <fgColor rgb="FFFFFFFF"/>
        <bgColor indexed="64"/>
      </patternFill>
    </fill>
    <fill>
      <patternFill patternType="solid">
        <fgColor rgb="FF92D050"/>
        <bgColor rgb="FF92D050"/>
      </patternFill>
    </fill>
    <fill>
      <patternFill patternType="solid">
        <fgColor rgb="FFFF0000"/>
        <bgColor rgb="FF000000"/>
      </patternFill>
    </fill>
    <fill>
      <patternFill patternType="solid">
        <fgColor rgb="FFFFFFFF"/>
        <bgColor rgb="FF000000"/>
      </patternFill>
    </fill>
  </fills>
  <borders count="3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bottom/>
      <diagonal/>
    </border>
    <border>
      <left/>
      <right style="medium">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488">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5" fillId="0" borderId="0" xfId="0" applyFont="1"/>
    <xf numFmtId="0" fontId="13" fillId="0" borderId="0" xfId="0" applyFont="1" applyAlignment="1">
      <alignment vertical="center"/>
    </xf>
    <xf numFmtId="0" fontId="0" fillId="0" borderId="4" xfId="0" applyBorder="1"/>
    <xf numFmtId="0" fontId="0" fillId="0" borderId="5" xfId="0" applyBorder="1"/>
    <xf numFmtId="0" fontId="9" fillId="0" borderId="4" xfId="0" applyFont="1" applyBorder="1"/>
    <xf numFmtId="0" fontId="9" fillId="0" borderId="0" xfId="0" applyFont="1"/>
    <xf numFmtId="0" fontId="9" fillId="0" borderId="5" xfId="0" applyFont="1" applyBorder="1"/>
    <xf numFmtId="0" fontId="14" fillId="0" borderId="0" xfId="0" applyFont="1"/>
    <xf numFmtId="0" fontId="6" fillId="0" borderId="0" xfId="0" applyFont="1"/>
    <xf numFmtId="0" fontId="15" fillId="0" borderId="0" xfId="0" applyFont="1"/>
    <xf numFmtId="0" fontId="16" fillId="0" borderId="0" xfId="0" applyFont="1"/>
    <xf numFmtId="0" fontId="6" fillId="5" borderId="0" xfId="0" applyFont="1" applyFill="1"/>
    <xf numFmtId="0" fontId="6" fillId="6" borderId="0" xfId="0" applyFont="1" applyFill="1"/>
    <xf numFmtId="0" fontId="15" fillId="7" borderId="2" xfId="0" applyFont="1" applyFill="1" applyBorder="1"/>
    <xf numFmtId="0" fontId="16" fillId="0" borderId="2" xfId="0" applyFont="1" applyBorder="1"/>
    <xf numFmtId="0" fontId="6" fillId="0" borderId="2" xfId="0" applyFont="1" applyBorder="1"/>
    <xf numFmtId="0" fontId="0" fillId="0" borderId="6" xfId="0" applyBorder="1" applyAlignment="1">
      <alignment vertical="center"/>
    </xf>
    <xf numFmtId="0" fontId="0" fillId="0" borderId="0" xfId="0" applyAlignment="1">
      <alignment horizontal="center" vertical="center"/>
    </xf>
    <xf numFmtId="164" fontId="0" fillId="0" borderId="0" xfId="0" applyNumberFormat="1" applyAlignment="1">
      <alignment horizontal="right" vertical="center"/>
    </xf>
    <xf numFmtId="0" fontId="0" fillId="0" borderId="2" xfId="0" applyBorder="1"/>
    <xf numFmtId="0" fontId="6" fillId="8" borderId="0" xfId="0" applyFont="1" applyFill="1"/>
    <xf numFmtId="49" fontId="6" fillId="0" borderId="0" xfId="0" applyNumberFormat="1" applyFont="1"/>
    <xf numFmtId="0" fontId="6" fillId="0" borderId="0" xfId="0" applyFont="1" applyAlignment="1">
      <alignment vertical="center"/>
    </xf>
    <xf numFmtId="1" fontId="6" fillId="0" borderId="0" xfId="0" applyNumberFormat="1" applyFont="1" applyAlignment="1">
      <alignment horizontal="right" vertical="center"/>
    </xf>
    <xf numFmtId="49" fontId="6" fillId="6" borderId="0" xfId="0" applyNumberFormat="1" applyFont="1" applyFill="1"/>
    <xf numFmtId="0" fontId="15" fillId="0" borderId="1" xfId="0" applyFont="1" applyBorder="1" applyAlignment="1">
      <alignment vertical="center"/>
    </xf>
    <xf numFmtId="164" fontId="6" fillId="0" borderId="2" xfId="0" applyNumberFormat="1" applyFont="1" applyBorder="1" applyAlignment="1">
      <alignment horizontal="right" vertical="center"/>
    </xf>
    <xf numFmtId="0" fontId="0" fillId="0" borderId="7" xfId="0" applyBorder="1"/>
    <xf numFmtId="0" fontId="6" fillId="0" borderId="0" xfId="0" applyFont="1" applyAlignment="1">
      <alignment horizontal="left" vertical="center"/>
    </xf>
    <xf numFmtId="0" fontId="6" fillId="0" borderId="3" xfId="0" applyFont="1" applyBorder="1" applyAlignment="1">
      <alignment vertical="center"/>
    </xf>
    <xf numFmtId="164" fontId="6" fillId="0" borderId="0" xfId="0" applyNumberFormat="1" applyFont="1" applyAlignment="1">
      <alignment horizontal="right" vertical="center"/>
    </xf>
    <xf numFmtId="0" fontId="0" fillId="0" borderId="6" xfId="0" applyBorder="1"/>
    <xf numFmtId="0" fontId="6" fillId="0" borderId="8" xfId="0" applyFont="1" applyBorder="1" applyAlignment="1">
      <alignment vertical="center"/>
    </xf>
    <xf numFmtId="164" fontId="6" fillId="0" borderId="9" xfId="0" applyNumberFormat="1" applyFont="1" applyBorder="1" applyAlignment="1">
      <alignment horizontal="right" vertical="center"/>
    </xf>
    <xf numFmtId="0" fontId="6" fillId="0" borderId="9" xfId="0" applyFont="1" applyBorder="1"/>
    <xf numFmtId="0" fontId="0" fillId="0" borderId="10" xfId="0" applyBorder="1"/>
    <xf numFmtId="164" fontId="0" fillId="9" borderId="0" xfId="0" applyNumberFormat="1" applyFill="1" applyAlignment="1">
      <alignment horizontal="right" vertical="center"/>
    </xf>
    <xf numFmtId="1" fontId="6" fillId="0" borderId="0" xfId="0" applyNumberFormat="1" applyFont="1" applyAlignment="1">
      <alignment horizontal="left" vertical="center"/>
    </xf>
    <xf numFmtId="0" fontId="1" fillId="10" borderId="0" xfId="0" applyFont="1" applyFill="1"/>
    <xf numFmtId="0" fontId="0" fillId="10" borderId="0" xfId="0" applyFill="1"/>
    <xf numFmtId="0" fontId="12" fillId="0" borderId="0" xfId="0" applyFont="1"/>
    <xf numFmtId="0" fontId="15" fillId="0" borderId="0" xfId="0" applyFont="1" applyAlignment="1">
      <alignment vertical="center"/>
    </xf>
    <xf numFmtId="0" fontId="11" fillId="0" borderId="0" xfId="0" applyFont="1"/>
    <xf numFmtId="165" fontId="6" fillId="0" borderId="0" xfId="0" applyNumberFormat="1" applyFont="1" applyAlignment="1">
      <alignment horizontal="right" vertical="center"/>
    </xf>
    <xf numFmtId="166" fontId="6" fillId="0" borderId="0" xfId="0" applyNumberFormat="1" applyFont="1" applyAlignment="1">
      <alignment horizontal="right" vertical="center"/>
    </xf>
    <xf numFmtId="0" fontId="6" fillId="6" borderId="0" xfId="0" applyFont="1" applyFill="1" applyAlignment="1">
      <alignment horizontal="left" vertical="center"/>
    </xf>
    <xf numFmtId="0" fontId="6" fillId="6" borderId="0" xfId="0" applyFont="1" applyFill="1" applyAlignment="1">
      <alignment vertical="center"/>
    </xf>
    <xf numFmtId="0" fontId="6" fillId="5" borderId="1" xfId="0" applyFont="1" applyFill="1" applyBorder="1" applyAlignment="1">
      <alignment horizontal="left" vertical="center"/>
    </xf>
    <xf numFmtId="0" fontId="6" fillId="5" borderId="2" xfId="0" applyFont="1" applyFill="1" applyBorder="1" applyAlignment="1">
      <alignment vertical="center"/>
    </xf>
    <xf numFmtId="0" fontId="6" fillId="5" borderId="2" xfId="0" applyFont="1" applyFill="1" applyBorder="1"/>
    <xf numFmtId="0" fontId="6" fillId="5" borderId="3" xfId="0" applyFont="1" applyFill="1" applyBorder="1" applyAlignment="1">
      <alignment horizontal="left" vertical="center"/>
    </xf>
    <xf numFmtId="0" fontId="6" fillId="5" borderId="0" xfId="0" applyFont="1" applyFill="1" applyAlignment="1">
      <alignment vertical="center"/>
    </xf>
    <xf numFmtId="0" fontId="6" fillId="5" borderId="0" xfId="0" applyFont="1" applyFill="1" applyAlignment="1">
      <alignment horizontal="right"/>
    </xf>
    <xf numFmtId="0" fontId="6" fillId="5" borderId="8" xfId="0" applyFont="1" applyFill="1" applyBorder="1" applyAlignment="1">
      <alignment horizontal="left" vertical="center"/>
    </xf>
    <xf numFmtId="0" fontId="6" fillId="5" borderId="9" xfId="0" applyFont="1" applyFill="1" applyBorder="1" applyAlignment="1">
      <alignment vertical="center"/>
    </xf>
    <xf numFmtId="0" fontId="6" fillId="5" borderId="9" xfId="0" applyFont="1" applyFill="1" applyBorder="1"/>
    <xf numFmtId="0" fontId="0" fillId="0" borderId="9" xfId="0" applyBorder="1"/>
    <xf numFmtId="0" fontId="6" fillId="0" borderId="7" xfId="0" applyFont="1" applyBorder="1"/>
    <xf numFmtId="0" fontId="6" fillId="0" borderId="6" xfId="0" applyFont="1" applyBorder="1"/>
    <xf numFmtId="0" fontId="6" fillId="0" borderId="10" xfId="0" applyFont="1" applyBorder="1"/>
    <xf numFmtId="0" fontId="17" fillId="0" borderId="0" xfId="0" applyFont="1" applyAlignment="1">
      <alignment horizontal="left" vertical="center"/>
    </xf>
    <xf numFmtId="0" fontId="15" fillId="0" borderId="2" xfId="0" applyFont="1" applyBorder="1"/>
    <xf numFmtId="0" fontId="6" fillId="11" borderId="11" xfId="0" applyFont="1" applyFill="1" applyBorder="1"/>
    <xf numFmtId="0" fontId="6" fillId="5" borderId="12" xfId="0" applyFont="1" applyFill="1" applyBorder="1" applyAlignment="1">
      <alignment horizontal="right" vertical="center"/>
    </xf>
    <xf numFmtId="0" fontId="6" fillId="5" borderId="12" xfId="0" applyFont="1" applyFill="1" applyBorder="1"/>
    <xf numFmtId="0" fontId="6" fillId="0" borderId="13" xfId="0" applyFont="1" applyBorder="1"/>
    <xf numFmtId="0" fontId="6" fillId="0" borderId="12" xfId="0" applyFont="1" applyBorder="1"/>
    <xf numFmtId="0" fontId="0" fillId="0" borderId="12" xfId="0" applyBorder="1"/>
    <xf numFmtId="0" fontId="6" fillId="5" borderId="9" xfId="0" applyFont="1" applyFill="1" applyBorder="1" applyAlignment="1">
      <alignment horizontal="right" vertical="center"/>
    </xf>
    <xf numFmtId="0" fontId="6" fillId="5" borderId="0" xfId="0" applyFont="1" applyFill="1" applyAlignment="1">
      <alignment horizontal="right" vertical="center"/>
    </xf>
    <xf numFmtId="0" fontId="6" fillId="5" borderId="0" xfId="0" applyFont="1" applyFill="1" applyAlignment="1">
      <alignment horizontal="left" vertical="center"/>
    </xf>
    <xf numFmtId="0" fontId="6" fillId="5" borderId="8" xfId="0" applyFont="1" applyFill="1" applyBorder="1"/>
    <xf numFmtId="49" fontId="6" fillId="5" borderId="12" xfId="0" applyNumberFormat="1" applyFont="1" applyFill="1" applyBorder="1"/>
    <xf numFmtId="49" fontId="6" fillId="5" borderId="12" xfId="0" applyNumberFormat="1" applyFont="1" applyFill="1" applyBorder="1" applyAlignment="1">
      <alignment horizontal="right"/>
    </xf>
    <xf numFmtId="0" fontId="6" fillId="5" borderId="1" xfId="0" applyFont="1" applyFill="1" applyBorder="1"/>
    <xf numFmtId="0" fontId="11" fillId="0" borderId="0" xfId="0" applyFont="1" applyAlignment="1">
      <alignment vertical="center"/>
    </xf>
    <xf numFmtId="49" fontId="11" fillId="6" borderId="0" xfId="0" applyNumberFormat="1" applyFont="1" applyFill="1"/>
    <xf numFmtId="0" fontId="18" fillId="0" borderId="0" xfId="0" applyFont="1"/>
    <xf numFmtId="164" fontId="6" fillId="0" borderId="0" xfId="0" applyNumberFormat="1" applyFont="1"/>
    <xf numFmtId="49" fontId="6" fillId="5" borderId="0" xfId="0" applyNumberFormat="1" applyFont="1" applyFill="1"/>
    <xf numFmtId="49" fontId="6" fillId="5" borderId="0" xfId="0" applyNumberFormat="1" applyFont="1" applyFill="1" applyAlignment="1">
      <alignment horizontal="right"/>
    </xf>
    <xf numFmtId="167" fontId="6" fillId="0" borderId="0" xfId="0" applyNumberFormat="1" applyFont="1" applyAlignment="1">
      <alignment horizontal="right" vertical="center"/>
    </xf>
    <xf numFmtId="167" fontId="6" fillId="0" borderId="0" xfId="0" applyNumberFormat="1" applyFont="1"/>
    <xf numFmtId="0" fontId="11" fillId="6" borderId="0" xfId="0" applyFont="1" applyFill="1" applyAlignment="1">
      <alignment horizontal="left" vertical="center"/>
    </xf>
    <xf numFmtId="0" fontId="11" fillId="6" borderId="0" xfId="0" applyFont="1" applyFill="1"/>
    <xf numFmtId="49" fontId="11" fillId="12" borderId="0" xfId="0" applyNumberFormat="1" applyFont="1" applyFill="1" applyAlignment="1">
      <alignment horizontal="left" vertical="center"/>
    </xf>
    <xf numFmtId="49" fontId="11" fillId="6" borderId="0" xfId="0" applyNumberFormat="1" applyFont="1" applyFill="1" applyAlignment="1">
      <alignment horizontal="right"/>
    </xf>
    <xf numFmtId="49" fontId="11" fillId="0" borderId="0" xfId="0" applyNumberFormat="1" applyFont="1"/>
    <xf numFmtId="0" fontId="15" fillId="0" borderId="9" xfId="0" applyFont="1" applyBorder="1"/>
    <xf numFmtId="49" fontId="6" fillId="12" borderId="0" xfId="0" applyNumberFormat="1" applyFont="1" applyFill="1" applyAlignment="1">
      <alignment horizontal="left" vertical="center"/>
    </xf>
    <xf numFmtId="49" fontId="6" fillId="6" borderId="0" xfId="0" applyNumberFormat="1" applyFont="1" applyFill="1" applyAlignment="1">
      <alignment horizontal="right"/>
    </xf>
    <xf numFmtId="49" fontId="6" fillId="0" borderId="0" xfId="0" applyNumberFormat="1" applyFont="1" applyAlignment="1">
      <alignment horizontal="right"/>
    </xf>
    <xf numFmtId="0" fontId="17" fillId="0" borderId="2" xfId="0" applyFont="1" applyBorder="1" applyAlignment="1">
      <alignment horizontal="left" vertical="center"/>
    </xf>
    <xf numFmtId="0" fontId="6" fillId="0" borderId="12" xfId="0" applyFont="1" applyBorder="1" applyAlignment="1">
      <alignment horizontal="right"/>
    </xf>
    <xf numFmtId="0" fontId="6" fillId="5" borderId="2" xfId="0" applyFont="1" applyFill="1" applyBorder="1" applyAlignment="1">
      <alignment horizontal="right" vertical="center"/>
    </xf>
    <xf numFmtId="49" fontId="0" fillId="0" borderId="0" xfId="0" applyNumberFormat="1"/>
    <xf numFmtId="0" fontId="9" fillId="7" borderId="2" xfId="0" applyFont="1" applyFill="1" applyBorder="1"/>
    <xf numFmtId="0" fontId="5" fillId="0" borderId="2" xfId="0" applyFont="1" applyBorder="1"/>
    <xf numFmtId="0" fontId="0" fillId="6" borderId="0" xfId="0" applyFill="1"/>
    <xf numFmtId="0" fontId="0" fillId="0" borderId="9" xfId="0" applyBorder="1" applyAlignment="1">
      <alignment horizontal="left" vertical="center"/>
    </xf>
    <xf numFmtId="0" fontId="19" fillId="0" borderId="9" xfId="0" applyFont="1" applyBorder="1" applyAlignment="1">
      <alignment horizontal="left" vertical="center"/>
    </xf>
    <xf numFmtId="0" fontId="0" fillId="6" borderId="9" xfId="0" applyFill="1" applyBorder="1"/>
    <xf numFmtId="0" fontId="20" fillId="13" borderId="2" xfId="0" applyFont="1" applyFill="1" applyBorder="1"/>
    <xf numFmtId="0" fontId="20" fillId="13" borderId="0" xfId="0" applyFont="1" applyFill="1"/>
    <xf numFmtId="0" fontId="21" fillId="0" borderId="2" xfId="0" applyFont="1" applyBorder="1"/>
    <xf numFmtId="0" fontId="22" fillId="0" borderId="2" xfId="0" applyFont="1" applyBorder="1"/>
    <xf numFmtId="0" fontId="22" fillId="0" borderId="2" xfId="0" quotePrefix="1" applyFont="1" applyBorder="1"/>
    <xf numFmtId="0" fontId="23" fillId="0" borderId="2" xfId="0" applyFont="1" applyBorder="1"/>
    <xf numFmtId="0" fontId="22" fillId="0" borderId="0" xfId="0" applyFont="1"/>
    <xf numFmtId="0" fontId="22" fillId="0" borderId="0" xfId="0" quotePrefix="1" applyFont="1"/>
    <xf numFmtId="0" fontId="23" fillId="0" borderId="0" xfId="0" applyFont="1"/>
    <xf numFmtId="0" fontId="20" fillId="0" borderId="0" xfId="0" applyFont="1"/>
    <xf numFmtId="0" fontId="24" fillId="0" borderId="0" xfId="0" applyFont="1"/>
    <xf numFmtId="0" fontId="22" fillId="0" borderId="9" xfId="0" applyFont="1" applyBorder="1"/>
    <xf numFmtId="0" fontId="23" fillId="0" borderId="0" xfId="0" quotePrefix="1" applyFont="1"/>
    <xf numFmtId="166" fontId="0" fillId="10" borderId="0" xfId="0" applyNumberFormat="1" applyFill="1"/>
    <xf numFmtId="0" fontId="5" fillId="10" borderId="0" xfId="0" applyFont="1" applyFill="1"/>
    <xf numFmtId="2" fontId="0" fillId="10" borderId="0" xfId="0" applyNumberFormat="1" applyFill="1"/>
    <xf numFmtId="0" fontId="2" fillId="10" borderId="2" xfId="0" applyFont="1" applyFill="1" applyBorder="1"/>
    <xf numFmtId="0" fontId="5" fillId="10" borderId="2" xfId="0" applyFont="1" applyFill="1" applyBorder="1"/>
    <xf numFmtId="0" fontId="0" fillId="10" borderId="2" xfId="0" applyFill="1" applyBorder="1"/>
    <xf numFmtId="0" fontId="2" fillId="10" borderId="0" xfId="0" applyFont="1" applyFill="1"/>
    <xf numFmtId="166" fontId="2" fillId="10" borderId="0" xfId="0" applyNumberFormat="1" applyFont="1" applyFill="1"/>
    <xf numFmtId="2" fontId="2" fillId="10" borderId="0" xfId="0" applyNumberFormat="1" applyFont="1" applyFill="1"/>
    <xf numFmtId="166" fontId="1" fillId="10" borderId="0" xfId="0" applyNumberFormat="1" applyFont="1" applyFill="1"/>
    <xf numFmtId="2" fontId="1" fillId="10" borderId="0" xfId="0" applyNumberFormat="1" applyFont="1" applyFill="1"/>
    <xf numFmtId="0" fontId="19" fillId="10" borderId="0" xfId="0" applyFont="1" applyFill="1" applyAlignment="1">
      <alignment horizontal="left" vertical="center"/>
    </xf>
    <xf numFmtId="166" fontId="14" fillId="14" borderId="6" xfId="0" applyNumberFormat="1" applyFont="1" applyFill="1" applyBorder="1" applyAlignment="1">
      <alignment vertical="center"/>
    </xf>
    <xf numFmtId="0" fontId="13" fillId="10" borderId="0" xfId="0" applyFont="1" applyFill="1" applyAlignment="1">
      <alignment vertical="center"/>
    </xf>
    <xf numFmtId="0" fontId="14" fillId="14" borderId="0" xfId="0" applyFont="1" applyFill="1" applyAlignment="1">
      <alignment horizontal="right" vertical="center"/>
    </xf>
    <xf numFmtId="0" fontId="2" fillId="15" borderId="2" xfId="0" applyFont="1" applyFill="1" applyBorder="1"/>
    <xf numFmtId="166" fontId="2" fillId="10" borderId="2" xfId="0" applyNumberFormat="1" applyFont="1" applyFill="1" applyBorder="1"/>
    <xf numFmtId="2" fontId="0" fillId="10" borderId="2" xfId="0" applyNumberFormat="1" applyFill="1" applyBorder="1"/>
    <xf numFmtId="166" fontId="1" fillId="10" borderId="9" xfId="0" applyNumberFormat="1" applyFont="1" applyFill="1" applyBorder="1"/>
    <xf numFmtId="0" fontId="2" fillId="16" borderId="0" xfId="0" applyFont="1" applyFill="1"/>
    <xf numFmtId="0" fontId="14" fillId="10" borderId="0" xfId="0" applyFont="1" applyFill="1" applyAlignment="1">
      <alignment vertical="center"/>
    </xf>
    <xf numFmtId="1" fontId="1" fillId="10" borderId="0" xfId="0" applyNumberFormat="1" applyFont="1" applyFill="1"/>
    <xf numFmtId="0" fontId="0" fillId="10" borderId="0" xfId="0" applyFill="1" applyAlignment="1">
      <alignment wrapText="1"/>
    </xf>
    <xf numFmtId="2" fontId="0" fillId="17" borderId="0" xfId="0" applyNumberFormat="1" applyFill="1"/>
    <xf numFmtId="0" fontId="14" fillId="10" borderId="0" xfId="0" applyFont="1" applyFill="1"/>
    <xf numFmtId="164" fontId="0" fillId="10" borderId="0" xfId="0" applyNumberFormat="1" applyFill="1"/>
    <xf numFmtId="11" fontId="0" fillId="10" borderId="0" xfId="0" applyNumberFormat="1" applyFill="1"/>
    <xf numFmtId="0" fontId="0" fillId="10" borderId="0" xfId="0" applyFill="1" applyAlignment="1">
      <alignment vertical="center"/>
    </xf>
    <xf numFmtId="0" fontId="14" fillId="18" borderId="0" xfId="0" applyFont="1" applyFill="1"/>
    <xf numFmtId="0" fontId="2" fillId="17" borderId="2" xfId="0" applyFont="1" applyFill="1" applyBorder="1"/>
    <xf numFmtId="0" fontId="14" fillId="10" borderId="0" xfId="0" applyFont="1" applyFill="1" applyAlignment="1">
      <alignment wrapText="1"/>
    </xf>
    <xf numFmtId="3" fontId="0" fillId="10" borderId="0" xfId="0" applyNumberFormat="1" applyFill="1"/>
    <xf numFmtId="0" fontId="1" fillId="10" borderId="0" xfId="0" applyFont="1" applyFill="1" applyAlignment="1">
      <alignment vertical="center"/>
    </xf>
    <xf numFmtId="0" fontId="0" fillId="9" borderId="0" xfId="0" applyFill="1" applyAlignment="1">
      <alignment horizontal="center" vertical="center"/>
    </xf>
    <xf numFmtId="167" fontId="0" fillId="10" borderId="0" xfId="0" applyNumberFormat="1" applyFill="1"/>
    <xf numFmtId="0" fontId="8" fillId="0" borderId="0" xfId="0" applyFont="1"/>
    <xf numFmtId="0" fontId="25" fillId="0" borderId="3" xfId="0" applyFont="1" applyBorder="1"/>
    <xf numFmtId="0" fontId="25" fillId="0" borderId="0" xfId="0" applyFont="1"/>
    <xf numFmtId="0" fontId="26" fillId="0" borderId="0" xfId="0" applyFont="1"/>
    <xf numFmtId="0" fontId="8" fillId="0" borderId="3" xfId="0" applyFont="1" applyBorder="1"/>
    <xf numFmtId="0" fontId="27" fillId="0" borderId="0" xfId="0" applyFont="1"/>
    <xf numFmtId="0" fontId="8" fillId="0" borderId="0" xfId="0" applyFont="1" applyAlignment="1">
      <alignment wrapText="1"/>
    </xf>
    <xf numFmtId="0" fontId="28" fillId="0" borderId="0" xfId="0" applyFont="1"/>
    <xf numFmtId="0" fontId="8" fillId="19" borderId="0" xfId="0" applyFont="1" applyFill="1"/>
    <xf numFmtId="0" fontId="8" fillId="0" borderId="9" xfId="0" applyFont="1" applyBorder="1"/>
    <xf numFmtId="0" fontId="8" fillId="0" borderId="14" xfId="0" applyFont="1" applyBorder="1"/>
    <xf numFmtId="166" fontId="8" fillId="0" borderId="0" xfId="0" applyNumberFormat="1" applyFont="1"/>
    <xf numFmtId="0" fontId="8" fillId="0" borderId="0" xfId="0" applyFont="1" applyAlignment="1">
      <alignment horizontal="left" vertical="center"/>
    </xf>
    <xf numFmtId="0" fontId="29" fillId="0" borderId="0" xfId="0" applyFont="1" applyAlignment="1">
      <alignment vertical="center"/>
    </xf>
    <xf numFmtId="0" fontId="8" fillId="3" borderId="1" xfId="0" applyFont="1" applyFill="1" applyBorder="1"/>
    <xf numFmtId="0" fontId="8" fillId="0" borderId="2" xfId="0" applyFont="1" applyBorder="1"/>
    <xf numFmtId="2" fontId="8" fillId="0" borderId="2" xfId="0" applyNumberFormat="1" applyFont="1" applyBorder="1"/>
    <xf numFmtId="0" fontId="17" fillId="3" borderId="3" xfId="0" applyFont="1" applyFill="1" applyBorder="1" applyAlignment="1">
      <alignment horizontal="left" vertical="center"/>
    </xf>
    <xf numFmtId="2" fontId="8" fillId="0" borderId="0" xfId="0" applyNumberFormat="1" applyFont="1"/>
    <xf numFmtId="0" fontId="17" fillId="3" borderId="8" xfId="0" applyFont="1" applyFill="1" applyBorder="1" applyAlignment="1">
      <alignment horizontal="left" vertical="center"/>
    </xf>
    <xf numFmtId="0" fontId="8" fillId="3" borderId="0" xfId="0" applyFont="1" applyFill="1"/>
    <xf numFmtId="0" fontId="8" fillId="3" borderId="0" xfId="0" applyFont="1" applyFill="1" applyAlignment="1">
      <alignment horizontal="left" vertical="center"/>
    </xf>
    <xf numFmtId="0" fontId="8" fillId="3" borderId="8" xfId="0" applyFont="1" applyFill="1" applyBorder="1" applyAlignment="1">
      <alignment horizontal="left" vertical="center"/>
    </xf>
    <xf numFmtId="0" fontId="8" fillId="0" borderId="9" xfId="0" applyFont="1" applyBorder="1" applyAlignment="1">
      <alignment horizontal="left" vertical="center"/>
    </xf>
    <xf numFmtId="0" fontId="19" fillId="12" borderId="14" xfId="0" applyFont="1" applyFill="1" applyBorder="1" applyAlignment="1">
      <alignment horizontal="left" vertical="center"/>
    </xf>
    <xf numFmtId="0" fontId="8" fillId="0" borderId="15" xfId="0" applyFont="1" applyBorder="1"/>
    <xf numFmtId="0" fontId="8" fillId="0" borderId="14" xfId="0" applyFont="1" applyBorder="1" applyAlignment="1">
      <alignment horizontal="left" vertical="center"/>
    </xf>
    <xf numFmtId="0" fontId="8" fillId="0" borderId="16" xfId="0" applyFont="1" applyBorder="1"/>
    <xf numFmtId="0" fontId="8" fillId="0" borderId="1" xfId="0" applyFont="1" applyBorder="1"/>
    <xf numFmtId="0" fontId="29" fillId="0" borderId="2" xfId="0" applyFont="1" applyBorder="1" applyAlignment="1">
      <alignment vertical="center"/>
    </xf>
    <xf numFmtId="0" fontId="8" fillId="3" borderId="2" xfId="0" applyFont="1" applyFill="1" applyBorder="1"/>
    <xf numFmtId="0" fontId="8" fillId="3" borderId="3" xfId="0" applyFont="1" applyFill="1" applyBorder="1" applyAlignment="1">
      <alignment horizontal="left" vertical="center"/>
    </xf>
    <xf numFmtId="0" fontId="19" fillId="12" borderId="15" xfId="0" applyFont="1" applyFill="1" applyBorder="1" applyAlignment="1">
      <alignment horizontal="left" vertical="center"/>
    </xf>
    <xf numFmtId="0" fontId="8" fillId="0" borderId="2" xfId="0" applyFont="1" applyBorder="1" applyAlignment="1">
      <alignment horizontal="left" vertical="center"/>
    </xf>
    <xf numFmtId="0" fontId="8" fillId="3" borderId="3" xfId="0" applyFont="1" applyFill="1" applyBorder="1"/>
    <xf numFmtId="0" fontId="8" fillId="3" borderId="8" xfId="0" applyFont="1" applyFill="1" applyBorder="1"/>
    <xf numFmtId="0" fontId="25" fillId="0" borderId="1" xfId="0" applyFont="1" applyBorder="1"/>
    <xf numFmtId="0" fontId="25" fillId="0" borderId="2" xfId="0" applyFont="1" applyBorder="1"/>
    <xf numFmtId="0" fontId="26" fillId="0" borderId="2" xfId="0" applyFont="1" applyBorder="1"/>
    <xf numFmtId="0" fontId="29" fillId="16" borderId="6" xfId="0" applyFont="1" applyFill="1" applyBorder="1" applyAlignment="1">
      <alignment vertical="center"/>
    </xf>
    <xf numFmtId="0" fontId="8" fillId="16" borderId="0" xfId="0" applyFont="1" applyFill="1"/>
    <xf numFmtId="0" fontId="8" fillId="15" borderId="0" xfId="0" applyFont="1" applyFill="1"/>
    <xf numFmtId="0" fontId="8" fillId="20" borderId="0" xfId="0" applyFont="1" applyFill="1"/>
    <xf numFmtId="0" fontId="8" fillId="4" borderId="0" xfId="0" applyFont="1" applyFill="1"/>
    <xf numFmtId="0" fontId="8" fillId="21" borderId="0" xfId="0" applyFont="1" applyFill="1"/>
    <xf numFmtId="0" fontId="30" fillId="0" borderId="0" xfId="0" applyFont="1" applyAlignment="1">
      <alignment vertical="center"/>
    </xf>
    <xf numFmtId="0" fontId="14" fillId="0" borderId="0" xfId="0" applyFont="1" applyAlignment="1">
      <alignment horizontal="left" vertical="center"/>
    </xf>
    <xf numFmtId="0" fontId="14" fillId="0" borderId="0" xfId="0" applyFont="1" applyAlignment="1">
      <alignment vertical="center"/>
    </xf>
    <xf numFmtId="0" fontId="31" fillId="0" borderId="0" xfId="0" applyFont="1"/>
    <xf numFmtId="0" fontId="8" fillId="22" borderId="17" xfId="0" applyFont="1" applyFill="1" applyBorder="1"/>
    <xf numFmtId="164" fontId="8" fillId="22" borderId="17" xfId="0" applyNumberFormat="1" applyFont="1" applyFill="1" applyBorder="1" applyAlignment="1">
      <alignment horizontal="center"/>
    </xf>
    <xf numFmtId="0" fontId="8" fillId="22" borderId="18" xfId="0" applyFont="1" applyFill="1" applyBorder="1"/>
    <xf numFmtId="164" fontId="8" fillId="22" borderId="18" xfId="0" applyNumberFormat="1" applyFont="1" applyFill="1" applyBorder="1" applyAlignment="1">
      <alignment horizontal="center"/>
    </xf>
    <xf numFmtId="1" fontId="8" fillId="22" borderId="18" xfId="0" applyNumberFormat="1" applyFont="1" applyFill="1" applyBorder="1" applyAlignment="1">
      <alignment horizontal="center"/>
    </xf>
    <xf numFmtId="1" fontId="8" fillId="22" borderId="17" xfId="0" applyNumberFormat="1" applyFont="1" applyFill="1" applyBorder="1" applyAlignment="1">
      <alignment horizontal="center"/>
    </xf>
    <xf numFmtId="0" fontId="32" fillId="0" borderId="0" xfId="0" applyFont="1"/>
    <xf numFmtId="0" fontId="33" fillId="0" borderId="17" xfId="0" applyFont="1" applyBorder="1" applyAlignment="1">
      <alignment horizontal="left" vertical="top" wrapText="1"/>
    </xf>
    <xf numFmtId="168" fontId="33" fillId="0" borderId="17" xfId="0" applyNumberFormat="1" applyFont="1" applyBorder="1" applyAlignment="1">
      <alignment horizontal="center" vertical="top" wrapText="1"/>
    </xf>
    <xf numFmtId="168" fontId="8" fillId="0" borderId="0" xfId="0" applyNumberFormat="1" applyFont="1"/>
    <xf numFmtId="0" fontId="19" fillId="0" borderId="0" xfId="0" applyFont="1" applyAlignment="1">
      <alignment horizontal="left" vertical="center"/>
    </xf>
    <xf numFmtId="2" fontId="8" fillId="22" borderId="17" xfId="0" applyNumberFormat="1" applyFont="1" applyFill="1" applyBorder="1" applyAlignment="1">
      <alignment horizontal="center"/>
    </xf>
    <xf numFmtId="168" fontId="8" fillId="22" borderId="17" xfId="0" applyNumberFormat="1" applyFont="1" applyFill="1" applyBorder="1" applyAlignment="1">
      <alignment horizontal="center"/>
    </xf>
    <xf numFmtId="0" fontId="8" fillId="23" borderId="3" xfId="0" applyFont="1" applyFill="1" applyBorder="1"/>
    <xf numFmtId="0" fontId="34" fillId="24" borderId="17" xfId="0" applyFont="1" applyFill="1" applyBorder="1"/>
    <xf numFmtId="0" fontId="34" fillId="0" borderId="17" xfId="0" applyFont="1" applyBorder="1" applyAlignment="1">
      <alignment horizontal="center" vertical="center" wrapText="1"/>
    </xf>
    <xf numFmtId="0" fontId="8" fillId="23" borderId="0" xfId="0" applyFont="1" applyFill="1" applyAlignment="1">
      <alignment horizontal="left" vertical="center"/>
    </xf>
    <xf numFmtId="0" fontId="8" fillId="23" borderId="2" xfId="0" applyFont="1" applyFill="1" applyBorder="1" applyAlignment="1">
      <alignment horizontal="left" vertical="center"/>
    </xf>
    <xf numFmtId="0" fontId="35" fillId="0" borderId="17" xfId="0" applyFont="1" applyBorder="1"/>
    <xf numFmtId="0" fontId="34" fillId="24" borderId="19" xfId="0" applyFont="1" applyFill="1" applyBorder="1"/>
    <xf numFmtId="0" fontId="29" fillId="22" borderId="17" xfId="0" applyFont="1" applyFill="1" applyBorder="1"/>
    <xf numFmtId="0" fontId="34" fillId="22" borderId="17" xfId="0" applyFont="1" applyFill="1" applyBorder="1" applyAlignment="1">
      <alignment horizontal="center" vertical="center" wrapText="1"/>
    </xf>
    <xf numFmtId="0" fontId="8" fillId="2" borderId="3" xfId="0" applyFont="1" applyFill="1" applyBorder="1"/>
    <xf numFmtId="0" fontId="2" fillId="0" borderId="1" xfId="0" applyFont="1" applyBorder="1"/>
    <xf numFmtId="0" fontId="2" fillId="0" borderId="2" xfId="0" applyFont="1" applyBorder="1"/>
    <xf numFmtId="0" fontId="0" fillId="0" borderId="3" xfId="0" applyBorder="1"/>
    <xf numFmtId="0" fontId="0" fillId="23" borderId="0" xfId="0" applyFill="1"/>
    <xf numFmtId="0" fontId="0" fillId="0" borderId="0" xfId="0" applyAlignment="1">
      <alignment wrapText="1"/>
    </xf>
    <xf numFmtId="169" fontId="0" fillId="0" borderId="0" xfId="0" applyNumberFormat="1"/>
    <xf numFmtId="0" fontId="0" fillId="0" borderId="0" xfId="0" applyAlignment="1">
      <alignment horizontal="left" vertical="center"/>
    </xf>
    <xf numFmtId="0" fontId="2" fillId="0" borderId="3" xfId="0" applyFont="1" applyBorder="1"/>
    <xf numFmtId="0" fontId="1" fillId="0" borderId="3" xfId="0" applyFont="1" applyBorder="1"/>
    <xf numFmtId="0" fontId="36" fillId="0" borderId="1" xfId="0" applyFont="1" applyBorder="1"/>
    <xf numFmtId="0" fontId="25" fillId="0" borderId="2" xfId="0" applyFont="1" applyBorder="1" applyAlignment="1">
      <alignment horizontal="left" vertical="center"/>
    </xf>
    <xf numFmtId="0" fontId="27" fillId="0" borderId="3" xfId="0" applyFont="1" applyBorder="1"/>
    <xf numFmtId="0" fontId="36" fillId="0" borderId="3" xfId="0" applyFont="1" applyBorder="1"/>
    <xf numFmtId="0" fontId="8" fillId="23" borderId="0" xfId="0" applyFont="1" applyFill="1"/>
    <xf numFmtId="0" fontId="34" fillId="0" borderId="0" xfId="0" applyFont="1"/>
    <xf numFmtId="0" fontId="34" fillId="0" borderId="0" xfId="0" applyFont="1" applyAlignment="1">
      <alignment horizontal="center"/>
    </xf>
    <xf numFmtId="0" fontId="32" fillId="4" borderId="0" xfId="0" applyFont="1" applyFill="1"/>
    <xf numFmtId="0" fontId="27" fillId="0" borderId="0" xfId="0" applyFont="1" applyAlignment="1">
      <alignment horizontal="left" vertical="center"/>
    </xf>
    <xf numFmtId="0" fontId="37" fillId="0" borderId="0" xfId="0" applyFont="1"/>
    <xf numFmtId="0" fontId="29" fillId="22" borderId="17" xfId="0" applyFont="1" applyFill="1" applyBorder="1" applyAlignment="1">
      <alignment horizontal="center"/>
    </xf>
    <xf numFmtId="11" fontId="8" fillId="0" borderId="0" xfId="0" applyNumberFormat="1" applyFont="1"/>
    <xf numFmtId="0" fontId="29" fillId="25" borderId="17" xfId="0" applyFont="1" applyFill="1" applyBorder="1"/>
    <xf numFmtId="11" fontId="29" fillId="25" borderId="17" xfId="0" applyNumberFormat="1" applyFont="1" applyFill="1" applyBorder="1" applyAlignment="1">
      <alignment horizontal="center"/>
    </xf>
    <xf numFmtId="0" fontId="29" fillId="26" borderId="17" xfId="0" applyFont="1" applyFill="1" applyBorder="1"/>
    <xf numFmtId="0" fontId="29" fillId="26" borderId="17" xfId="0" applyFont="1" applyFill="1" applyBorder="1" applyAlignment="1">
      <alignment horizontal="center"/>
    </xf>
    <xf numFmtId="169" fontId="8" fillId="0" borderId="0" xfId="0" applyNumberFormat="1" applyFont="1"/>
    <xf numFmtId="0" fontId="29" fillId="0" borderId="0" xfId="0" applyFont="1"/>
    <xf numFmtId="0" fontId="29" fillId="0" borderId="0" xfId="0" applyFont="1" applyAlignment="1">
      <alignment horizontal="center"/>
    </xf>
    <xf numFmtId="0" fontId="1" fillId="0" borderId="2" xfId="0" applyFont="1" applyBorder="1"/>
    <xf numFmtId="0" fontId="38" fillId="0" borderId="0" xfId="0" applyFont="1"/>
    <xf numFmtId="0" fontId="38" fillId="0" borderId="0" xfId="0" applyFont="1" applyAlignment="1">
      <alignment horizontal="center"/>
    </xf>
    <xf numFmtId="0" fontId="32" fillId="0" borderId="3" xfId="0" applyFont="1" applyBorder="1"/>
    <xf numFmtId="167" fontId="29" fillId="0" borderId="0" xfId="0" applyNumberFormat="1" applyFont="1" applyAlignment="1">
      <alignment horizontal="center" vertical="center" wrapText="1"/>
    </xf>
    <xf numFmtId="11" fontId="1" fillId="0" borderId="0" xfId="0" applyNumberFormat="1" applyFont="1"/>
    <xf numFmtId="0" fontId="19" fillId="2" borderId="0" xfId="0" applyFont="1" applyFill="1" applyAlignment="1">
      <alignment horizontal="left" vertical="center"/>
    </xf>
    <xf numFmtId="0" fontId="25" fillId="0" borderId="11" xfId="0" applyFont="1" applyBorder="1"/>
    <xf numFmtId="0" fontId="8" fillId="0" borderId="12" xfId="0" applyFont="1" applyBorder="1"/>
    <xf numFmtId="0" fontId="8" fillId="0" borderId="13" xfId="0" applyFont="1" applyBorder="1"/>
    <xf numFmtId="11" fontId="0" fillId="0" borderId="0" xfId="0" applyNumberFormat="1"/>
    <xf numFmtId="11" fontId="8" fillId="0" borderId="20" xfId="0" applyNumberFormat="1" applyFont="1" applyBorder="1"/>
    <xf numFmtId="0" fontId="8" fillId="0" borderId="20" xfId="0" applyFont="1" applyBorder="1"/>
    <xf numFmtId="0" fontId="29" fillId="22" borderId="0" xfId="0" applyFont="1" applyFill="1"/>
    <xf numFmtId="0" fontId="29" fillId="22" borderId="0" xfId="0" applyFont="1" applyFill="1" applyAlignment="1">
      <alignment horizontal="center"/>
    </xf>
    <xf numFmtId="170" fontId="8" fillId="0" borderId="0" xfId="29" applyNumberFormat="1" applyFont="1"/>
    <xf numFmtId="0" fontId="8" fillId="0" borderId="0" xfId="0" applyFont="1" applyAlignment="1">
      <alignment textRotation="90" wrapText="1"/>
    </xf>
    <xf numFmtId="0" fontId="29" fillId="0" borderId="2" xfId="0" applyFont="1" applyBorder="1"/>
    <xf numFmtId="0" fontId="29" fillId="0" borderId="2" xfId="0" applyFont="1" applyBorder="1" applyAlignment="1">
      <alignment horizontal="center"/>
    </xf>
    <xf numFmtId="0" fontId="29" fillId="0" borderId="3" xfId="0" applyFont="1" applyBorder="1" applyAlignment="1">
      <alignment horizontal="left" vertical="center"/>
    </xf>
    <xf numFmtId="0" fontId="8" fillId="0" borderId="0" xfId="0" applyFont="1" applyAlignment="1">
      <alignment vertical="center"/>
    </xf>
    <xf numFmtId="49" fontId="6" fillId="0" borderId="0" xfId="0" applyNumberFormat="1" applyFont="1" applyAlignment="1">
      <alignment horizontal="right" vertical="center"/>
    </xf>
    <xf numFmtId="0" fontId="29" fillId="25" borderId="17" xfId="0" applyFont="1" applyFill="1" applyBorder="1" applyAlignment="1">
      <alignment horizontal="center"/>
    </xf>
    <xf numFmtId="0" fontId="14" fillId="22" borderId="17" xfId="0" applyFont="1" applyFill="1" applyBorder="1" applyAlignment="1">
      <alignment horizontal="center"/>
    </xf>
    <xf numFmtId="166" fontId="8" fillId="22" borderId="17" xfId="0" applyNumberFormat="1" applyFont="1" applyFill="1" applyBorder="1" applyAlignment="1">
      <alignment horizontal="center"/>
    </xf>
    <xf numFmtId="167" fontId="8" fillId="0" borderId="0" xfId="0" applyNumberFormat="1" applyFont="1"/>
    <xf numFmtId="0" fontId="8" fillId="22" borderId="21" xfId="0" applyFont="1" applyFill="1" applyBorder="1"/>
    <xf numFmtId="168" fontId="8" fillId="22" borderId="21" xfId="0" applyNumberFormat="1" applyFont="1" applyFill="1" applyBorder="1" applyAlignment="1">
      <alignment horizontal="center"/>
    </xf>
    <xf numFmtId="0" fontId="8" fillId="27" borderId="0" xfId="0" applyFont="1" applyFill="1"/>
    <xf numFmtId="11" fontId="14" fillId="22" borderId="17" xfId="0" applyNumberFormat="1" applyFont="1" applyFill="1" applyBorder="1" applyAlignment="1">
      <alignment horizontal="center"/>
    </xf>
    <xf numFmtId="167" fontId="29" fillId="0" borderId="0" xfId="0" applyNumberFormat="1" applyFont="1" applyAlignment="1">
      <alignment horizontal="right" vertical="center" wrapText="1"/>
    </xf>
    <xf numFmtId="0" fontId="31" fillId="0" borderId="2" xfId="0" applyFont="1" applyBorder="1"/>
    <xf numFmtId="0" fontId="29" fillId="26" borderId="22" xfId="0" applyFont="1" applyFill="1" applyBorder="1"/>
    <xf numFmtId="0" fontId="14" fillId="26" borderId="17" xfId="0" applyFont="1" applyFill="1" applyBorder="1" applyAlignment="1">
      <alignment horizontal="center"/>
    </xf>
    <xf numFmtId="0" fontId="29" fillId="26" borderId="22" xfId="0" applyFont="1" applyFill="1" applyBorder="1" applyAlignment="1">
      <alignment horizontal="center"/>
    </xf>
    <xf numFmtId="0" fontId="29" fillId="0" borderId="17" xfId="0" applyFont="1" applyBorder="1"/>
    <xf numFmtId="11" fontId="29" fillId="0" borderId="17" xfId="0" applyNumberFormat="1" applyFont="1" applyBorder="1" applyAlignment="1">
      <alignment horizontal="center"/>
    </xf>
    <xf numFmtId="171" fontId="8" fillId="0" borderId="0" xfId="29" applyNumberFormat="1" applyFont="1"/>
    <xf numFmtId="11" fontId="29" fillId="22" borderId="17" xfId="0" applyNumberFormat="1" applyFont="1" applyFill="1" applyBorder="1" applyAlignment="1">
      <alignment horizontal="center"/>
    </xf>
    <xf numFmtId="11" fontId="29" fillId="26" borderId="17" xfId="0" applyNumberFormat="1" applyFont="1" applyFill="1" applyBorder="1" applyAlignment="1">
      <alignment horizontal="center"/>
    </xf>
    <xf numFmtId="11" fontId="34" fillId="24" borderId="17" xfId="0" applyNumberFormat="1" applyFont="1" applyFill="1" applyBorder="1" applyAlignment="1">
      <alignment horizontal="center"/>
    </xf>
    <xf numFmtId="0" fontId="34" fillId="24" borderId="17" xfId="0" applyFont="1" applyFill="1" applyBorder="1" applyAlignment="1">
      <alignment horizontal="center"/>
    </xf>
    <xf numFmtId="11" fontId="14" fillId="26" borderId="17" xfId="0" applyNumberFormat="1" applyFont="1" applyFill="1" applyBorder="1" applyAlignment="1">
      <alignment horizontal="center"/>
    </xf>
    <xf numFmtId="0" fontId="8" fillId="4" borderId="2" xfId="0" applyFont="1" applyFill="1" applyBorder="1" applyAlignment="1">
      <alignment horizontal="left" vertical="center"/>
    </xf>
    <xf numFmtId="0" fontId="8" fillId="4" borderId="0" xfId="0" applyFont="1" applyFill="1" applyAlignment="1">
      <alignment horizontal="left" vertical="center"/>
    </xf>
    <xf numFmtId="0" fontId="34" fillId="4" borderId="17" xfId="0" applyFont="1" applyFill="1" applyBorder="1"/>
    <xf numFmtId="0" fontId="34" fillId="28" borderId="17" xfId="0" applyFont="1" applyFill="1" applyBorder="1"/>
    <xf numFmtId="0" fontId="34" fillId="0" borderId="17" xfId="0" applyFont="1" applyBorder="1"/>
    <xf numFmtId="0" fontId="8" fillId="29" borderId="3" xfId="0" applyFont="1" applyFill="1" applyBorder="1"/>
    <xf numFmtId="0" fontId="39" fillId="0" borderId="1" xfId="0" applyFont="1" applyBorder="1"/>
    <xf numFmtId="0" fontId="40" fillId="0" borderId="2" xfId="0" applyFont="1" applyBorder="1" applyAlignment="1">
      <alignment horizontal="left" vertical="center"/>
    </xf>
    <xf numFmtId="0" fontId="6" fillId="0" borderId="3" xfId="0" applyFont="1" applyBorder="1"/>
    <xf numFmtId="0" fontId="39" fillId="0" borderId="3" xfId="0" applyFont="1" applyBorder="1"/>
    <xf numFmtId="0" fontId="1" fillId="23" borderId="0" xfId="0" applyFont="1" applyFill="1"/>
    <xf numFmtId="0" fontId="35" fillId="0" borderId="0" xfId="0" applyFont="1"/>
    <xf numFmtId="0" fontId="35" fillId="0" borderId="0" xfId="0" applyFont="1" applyAlignment="1">
      <alignment horizontal="center"/>
    </xf>
    <xf numFmtId="0" fontId="0" fillId="15" borderId="0" xfId="0" applyFill="1"/>
    <xf numFmtId="0" fontId="41" fillId="0" borderId="0" xfId="0" applyFont="1"/>
    <xf numFmtId="0" fontId="14" fillId="22" borderId="17" xfId="0" applyFont="1" applyFill="1" applyBorder="1"/>
    <xf numFmtId="0" fontId="14" fillId="25" borderId="17" xfId="0" applyFont="1" applyFill="1" applyBorder="1"/>
    <xf numFmtId="11" fontId="14" fillId="25" borderId="17" xfId="0" applyNumberFormat="1" applyFont="1" applyFill="1" applyBorder="1" applyAlignment="1">
      <alignment horizontal="center"/>
    </xf>
    <xf numFmtId="0" fontId="14" fillId="26" borderId="17" xfId="0" applyFont="1" applyFill="1" applyBorder="1"/>
    <xf numFmtId="0" fontId="7" fillId="0" borderId="3" xfId="0" applyFont="1" applyBorder="1"/>
    <xf numFmtId="166" fontId="0" fillId="0" borderId="0" xfId="0" applyNumberFormat="1"/>
    <xf numFmtId="0" fontId="9" fillId="0" borderId="2" xfId="0" applyFont="1" applyBorder="1"/>
    <xf numFmtId="0" fontId="14" fillId="0" borderId="0" xfId="0" applyFont="1" applyAlignment="1">
      <alignment horizontal="center"/>
    </xf>
    <xf numFmtId="0" fontId="7" fillId="0" borderId="0" xfId="0" applyFont="1"/>
    <xf numFmtId="11" fontId="8" fillId="30" borderId="20" xfId="0" applyNumberFormat="1" applyFont="1" applyFill="1" applyBorder="1"/>
    <xf numFmtId="0" fontId="29" fillId="0" borderId="17" xfId="0" applyFont="1" applyBorder="1" applyAlignment="1">
      <alignment horizontal="center"/>
    </xf>
    <xf numFmtId="164" fontId="8" fillId="0" borderId="0" xfId="0" applyNumberFormat="1" applyFont="1"/>
    <xf numFmtId="0" fontId="42" fillId="0" borderId="0" xfId="0" applyFont="1"/>
    <xf numFmtId="0" fontId="34" fillId="0" borderId="19" xfId="0" applyFont="1" applyBorder="1" applyAlignment="1">
      <alignment horizontal="center"/>
    </xf>
    <xf numFmtId="49" fontId="27" fillId="0" borderId="0" xfId="0" applyNumberFormat="1" applyFont="1" applyAlignment="1">
      <alignment horizontal="right" vertical="center"/>
    </xf>
    <xf numFmtId="49" fontId="27" fillId="0" borderId="0" xfId="0" applyNumberFormat="1" applyFont="1"/>
    <xf numFmtId="166" fontId="8" fillId="0" borderId="0" xfId="0" applyNumberFormat="1" applyFont="1" applyAlignment="1">
      <alignment horizontal="center"/>
    </xf>
    <xf numFmtId="11" fontId="34" fillId="0" borderId="19" xfId="0" applyNumberFormat="1" applyFont="1" applyBorder="1" applyAlignment="1">
      <alignment horizontal="center"/>
    </xf>
    <xf numFmtId="11" fontId="34" fillId="0" borderId="17" xfId="0" applyNumberFormat="1" applyFont="1" applyBorder="1" applyAlignment="1">
      <alignment horizontal="center" vertical="center" wrapText="1"/>
    </xf>
    <xf numFmtId="0" fontId="34" fillId="0" borderId="17" xfId="0" applyFont="1" applyBorder="1" applyAlignment="1">
      <alignment horizontal="left" vertical="top" wrapText="1"/>
    </xf>
    <xf numFmtId="11" fontId="34" fillId="0" borderId="17" xfId="0" applyNumberFormat="1" applyFont="1" applyBorder="1" applyAlignment="1">
      <alignment horizontal="center" vertical="top" wrapText="1"/>
    </xf>
    <xf numFmtId="0" fontId="34" fillId="24" borderId="17" xfId="0" applyFont="1" applyFill="1" applyBorder="1" applyAlignment="1">
      <alignment horizontal="right"/>
    </xf>
    <xf numFmtId="0" fontId="34" fillId="0" borderId="0" xfId="0" applyFont="1" applyAlignment="1">
      <alignment horizontal="left" vertical="top" wrapText="1"/>
    </xf>
    <xf numFmtId="11" fontId="34" fillId="0" borderId="0" xfId="0" applyNumberFormat="1" applyFont="1" applyAlignment="1">
      <alignment horizontal="center" vertical="top" wrapText="1"/>
    </xf>
    <xf numFmtId="11" fontId="34" fillId="0" borderId="0" xfId="0" applyNumberFormat="1" applyFont="1" applyAlignment="1">
      <alignment horizontal="center"/>
    </xf>
    <xf numFmtId="0" fontId="29" fillId="22" borderId="23" xfId="0" applyFont="1" applyFill="1" applyBorder="1"/>
    <xf numFmtId="0" fontId="29" fillId="22" borderId="23" xfId="0" applyFont="1" applyFill="1" applyBorder="1" applyAlignment="1">
      <alignment horizontal="center"/>
    </xf>
    <xf numFmtId="11" fontId="35" fillId="0" borderId="19" xfId="0" applyNumberFormat="1" applyFont="1" applyBorder="1" applyAlignment="1">
      <alignment horizontal="center"/>
    </xf>
    <xf numFmtId="0" fontId="35" fillId="0" borderId="17" xfId="0" applyFont="1" applyBorder="1" applyAlignment="1">
      <alignment horizontal="center" vertical="center" wrapText="1"/>
    </xf>
    <xf numFmtId="0" fontId="19" fillId="23" borderId="0" xfId="0" applyFont="1" applyFill="1" applyAlignment="1">
      <alignment horizontal="left" vertical="center"/>
    </xf>
    <xf numFmtId="0" fontId="19" fillId="23" borderId="2" xfId="0" applyFont="1" applyFill="1" applyBorder="1" applyAlignment="1">
      <alignment horizontal="left" vertical="center"/>
    </xf>
    <xf numFmtId="0" fontId="8" fillId="31" borderId="3" xfId="0" applyFont="1" applyFill="1" applyBorder="1"/>
    <xf numFmtId="0" fontId="35" fillId="22" borderId="17" xfId="0" applyFont="1" applyFill="1" applyBorder="1" applyAlignment="1">
      <alignment horizontal="center" vertical="center" wrapText="1"/>
    </xf>
    <xf numFmtId="167" fontId="29" fillId="0" borderId="0" xfId="0" applyNumberFormat="1" applyFont="1"/>
    <xf numFmtId="0" fontId="14" fillId="25" borderId="17" xfId="0" applyFont="1" applyFill="1" applyBorder="1" applyAlignment="1">
      <alignment horizontal="center"/>
    </xf>
    <xf numFmtId="0" fontId="14" fillId="0" borderId="17" xfId="0" applyFont="1" applyBorder="1" applyAlignment="1">
      <alignment horizontal="center"/>
    </xf>
    <xf numFmtId="0" fontId="29" fillId="0" borderId="24" xfId="0" applyFont="1" applyBorder="1"/>
    <xf numFmtId="0" fontId="34" fillId="0" borderId="13" xfId="0" applyFont="1" applyBorder="1" applyAlignment="1">
      <alignment horizontal="center"/>
    </xf>
    <xf numFmtId="0" fontId="8" fillId="22" borderId="23" xfId="0" applyFont="1" applyFill="1" applyBorder="1"/>
    <xf numFmtId="0" fontId="29" fillId="24" borderId="17" xfId="0" applyFont="1" applyFill="1" applyBorder="1" applyAlignment="1">
      <alignment horizontal="right"/>
    </xf>
    <xf numFmtId="0" fontId="35" fillId="24" borderId="17" xfId="0" applyFont="1" applyFill="1" applyBorder="1" applyAlignment="1">
      <alignment horizontal="center"/>
    </xf>
    <xf numFmtId="11" fontId="35" fillId="0" borderId="17" xfId="0" applyNumberFormat="1" applyFont="1" applyBorder="1" applyAlignment="1">
      <alignment horizontal="center" vertical="top" wrapText="1"/>
    </xf>
    <xf numFmtId="0" fontId="19" fillId="2" borderId="2" xfId="0" applyFont="1" applyFill="1" applyBorder="1" applyAlignment="1">
      <alignment horizontal="left" vertical="center"/>
    </xf>
    <xf numFmtId="0" fontId="8" fillId="2" borderId="0" xfId="0" applyFont="1" applyFill="1"/>
    <xf numFmtId="0" fontId="34" fillId="2" borderId="17" xfId="0" applyFont="1" applyFill="1" applyBorder="1"/>
    <xf numFmtId="0" fontId="34" fillId="32" borderId="17" xfId="0" applyFont="1" applyFill="1" applyBorder="1"/>
    <xf numFmtId="0" fontId="34" fillId="2" borderId="17" xfId="0" applyFont="1" applyFill="1" applyBorder="1" applyAlignment="1">
      <alignment horizontal="center" vertical="center" wrapText="1"/>
    </xf>
    <xf numFmtId="0" fontId="34" fillId="0" borderId="25" xfId="0" applyFont="1" applyBorder="1" applyAlignment="1">
      <alignment horizontal="center" vertical="center" wrapText="1"/>
    </xf>
    <xf numFmtId="2" fontId="29" fillId="0" borderId="0" xfId="0" applyNumberFormat="1" applyFont="1"/>
    <xf numFmtId="11" fontId="29" fillId="0" borderId="26" xfId="0" applyNumberFormat="1" applyFont="1" applyBorder="1" applyAlignment="1">
      <alignment horizontal="right"/>
    </xf>
    <xf numFmtId="11" fontId="29" fillId="0" borderId="27" xfId="0" applyNumberFormat="1" applyFont="1" applyBorder="1" applyAlignment="1">
      <alignment horizontal="right" vertical="top" wrapText="1"/>
    </xf>
    <xf numFmtId="11" fontId="29" fillId="0" borderId="28" xfId="0" applyNumberFormat="1" applyFont="1" applyBorder="1" applyAlignment="1">
      <alignment horizontal="right"/>
    </xf>
    <xf numFmtId="11" fontId="29" fillId="0" borderId="19" xfId="0" applyNumberFormat="1" applyFont="1" applyBorder="1" applyAlignment="1">
      <alignment horizontal="right"/>
    </xf>
    <xf numFmtId="0" fontId="17" fillId="23" borderId="2" xfId="0" applyFont="1" applyFill="1" applyBorder="1" applyAlignment="1">
      <alignment horizontal="left" vertical="center"/>
    </xf>
    <xf numFmtId="0" fontId="19" fillId="2" borderId="29" xfId="0" applyFont="1" applyFill="1" applyBorder="1" applyAlignment="1">
      <alignment horizontal="left" vertical="center"/>
    </xf>
    <xf numFmtId="0" fontId="19" fillId="2" borderId="28" xfId="0" applyFont="1" applyFill="1" applyBorder="1" applyAlignment="1">
      <alignment horizontal="left" vertical="center"/>
    </xf>
    <xf numFmtId="0" fontId="19" fillId="2" borderId="20" xfId="0" applyFont="1" applyFill="1" applyBorder="1" applyAlignment="1">
      <alignment horizontal="left" vertical="center"/>
    </xf>
    <xf numFmtId="0" fontId="8" fillId="29" borderId="20" xfId="0" applyFont="1" applyFill="1" applyBorder="1"/>
    <xf numFmtId="2" fontId="8" fillId="0" borderId="0" xfId="0" applyNumberFormat="1" applyFont="1" applyAlignment="1">
      <alignment horizontal="right"/>
    </xf>
    <xf numFmtId="0" fontId="8" fillId="0" borderId="0" xfId="0" applyFont="1" applyAlignment="1">
      <alignment horizontal="right"/>
    </xf>
    <xf numFmtId="11" fontId="29" fillId="0" borderId="20" xfId="0" applyNumberFormat="1" applyFont="1" applyBorder="1" applyAlignment="1">
      <alignment horizontal="right"/>
    </xf>
    <xf numFmtId="0" fontId="43" fillId="0" borderId="2" xfId="0" applyFont="1" applyBorder="1"/>
    <xf numFmtId="0" fontId="14" fillId="0" borderId="2" xfId="0" applyFont="1" applyBorder="1"/>
    <xf numFmtId="0" fontId="14" fillId="8" borderId="0" xfId="0" applyFont="1" applyFill="1"/>
    <xf numFmtId="0" fontId="43" fillId="0" borderId="0" xfId="0" applyFont="1"/>
    <xf numFmtId="0" fontId="43" fillId="4" borderId="2" xfId="0" applyFont="1" applyFill="1" applyBorder="1"/>
    <xf numFmtId="0" fontId="5" fillId="4" borderId="2" xfId="0" applyFont="1" applyFill="1" applyBorder="1"/>
    <xf numFmtId="0" fontId="14" fillId="4" borderId="2" xfId="0" applyFont="1" applyFill="1" applyBorder="1"/>
    <xf numFmtId="0" fontId="0" fillId="4" borderId="2" xfId="0" applyFill="1" applyBorder="1"/>
    <xf numFmtId="172" fontId="9" fillId="4" borderId="0" xfId="29" applyNumberFormat="1" applyFont="1" applyFill="1"/>
    <xf numFmtId="2" fontId="0" fillId="4" borderId="0" xfId="0" applyNumberFormat="1" applyFill="1"/>
    <xf numFmtId="0" fontId="0" fillId="4" borderId="0" xfId="0" applyFill="1"/>
    <xf numFmtId="0" fontId="22" fillId="0" borderId="5" xfId="0" applyFont="1" applyBorder="1"/>
    <xf numFmtId="0" fontId="22" fillId="0" borderId="30" xfId="0" applyFont="1" applyBorder="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26"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25" fillId="0" borderId="3" xfId="0" applyFont="1" applyBorder="1" applyAlignment="1">
      <alignment horizontal="center" vertical="center"/>
    </xf>
    <xf numFmtId="0" fontId="25" fillId="0" borderId="0" xfId="0" applyFont="1" applyAlignment="1">
      <alignment horizontal="center" vertical="center"/>
    </xf>
    <xf numFmtId="0" fontId="25" fillId="0" borderId="6"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6" xfId="0" applyFont="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6" xfId="0" applyFont="1" applyBorder="1" applyAlignment="1">
      <alignment vertical="center"/>
    </xf>
    <xf numFmtId="0" fontId="8" fillId="0" borderId="10" xfId="0" applyFont="1" applyBorder="1" applyAlignment="1">
      <alignment vertical="center"/>
    </xf>
    <xf numFmtId="0" fontId="8" fillId="0" borderId="8" xfId="0" applyFont="1" applyBorder="1" applyAlignment="1">
      <alignment vertical="center"/>
    </xf>
    <xf numFmtId="0" fontId="8" fillId="4" borderId="0" xfId="0" applyFont="1" applyFill="1" applyAlignment="1">
      <alignment vertical="center"/>
    </xf>
    <xf numFmtId="0" fontId="25" fillId="0" borderId="29" xfId="0" applyFont="1" applyBorder="1" applyAlignment="1">
      <alignment horizontal="center" vertical="center"/>
    </xf>
    <xf numFmtId="0" fontId="8" fillId="0" borderId="28" xfId="0" applyFont="1" applyBorder="1" applyAlignment="1">
      <alignment horizontal="center" vertical="center"/>
    </xf>
    <xf numFmtId="0" fontId="44" fillId="33" borderId="0" xfId="0" applyFont="1" applyFill="1"/>
    <xf numFmtId="0" fontId="45" fillId="10" borderId="0" xfId="0" applyFont="1" applyFill="1"/>
    <xf numFmtId="0" fontId="46" fillId="10" borderId="0" xfId="0" applyFont="1" applyFill="1"/>
    <xf numFmtId="0" fontId="45" fillId="0" borderId="0" xfId="0" applyFont="1"/>
    <xf numFmtId="0" fontId="11" fillId="0" borderId="3" xfId="0" applyFont="1" applyBorder="1"/>
    <xf numFmtId="167" fontId="14" fillId="0" borderId="0" xfId="0" applyNumberFormat="1" applyFont="1" applyAlignment="1">
      <alignment horizontal="center" vertical="center" wrapText="1"/>
    </xf>
    <xf numFmtId="0" fontId="14" fillId="22" borderId="0" xfId="0" applyFont="1" applyFill="1"/>
    <xf numFmtId="0" fontId="14" fillId="22" borderId="0" xfId="0" applyFont="1" applyFill="1" applyAlignment="1">
      <alignment horizontal="center"/>
    </xf>
    <xf numFmtId="0" fontId="0" fillId="22" borderId="17" xfId="0" applyFill="1" applyBorder="1"/>
    <xf numFmtId="164" fontId="0" fillId="22" borderId="17" xfId="0" applyNumberFormat="1" applyFill="1" applyBorder="1" applyAlignment="1">
      <alignment horizontal="center"/>
    </xf>
    <xf numFmtId="0" fontId="0" fillId="22" borderId="18" xfId="0" applyFill="1" applyBorder="1"/>
    <xf numFmtId="164" fontId="0" fillId="22" borderId="18" xfId="0" applyNumberFormat="1" applyFill="1" applyBorder="1" applyAlignment="1">
      <alignment horizontal="center"/>
    </xf>
    <xf numFmtId="1" fontId="0" fillId="22" borderId="18" xfId="0" applyNumberFormat="1" applyFill="1" applyBorder="1" applyAlignment="1">
      <alignment horizontal="center"/>
    </xf>
    <xf numFmtId="1" fontId="0" fillId="22" borderId="17" xfId="0" applyNumberFormat="1" applyFill="1" applyBorder="1" applyAlignment="1">
      <alignment horizontal="center"/>
    </xf>
    <xf numFmtId="0" fontId="47" fillId="0" borderId="17" xfId="0" applyFont="1" applyBorder="1" applyAlignment="1">
      <alignment horizontal="left" vertical="top" wrapText="1"/>
    </xf>
    <xf numFmtId="168" fontId="47" fillId="0" borderId="17" xfId="0" applyNumberFormat="1" applyFont="1" applyBorder="1" applyAlignment="1">
      <alignment horizontal="center" vertical="top" wrapText="1"/>
    </xf>
    <xf numFmtId="168" fontId="0" fillId="0" borderId="0" xfId="0" applyNumberFormat="1"/>
    <xf numFmtId="2" fontId="0" fillId="22" borderId="17" xfId="0" applyNumberFormat="1" applyFill="1" applyBorder="1" applyAlignment="1">
      <alignment horizontal="center"/>
    </xf>
    <xf numFmtId="168" fontId="0" fillId="22" borderId="17" xfId="0" applyNumberFormat="1" applyFill="1" applyBorder="1" applyAlignment="1">
      <alignment horizontal="center"/>
    </xf>
    <xf numFmtId="0" fontId="1" fillId="23" borderId="3" xfId="0" applyFont="1" applyFill="1" applyBorder="1"/>
    <xf numFmtId="0" fontId="35" fillId="24" borderId="17" xfId="0" applyFont="1" applyFill="1" applyBorder="1"/>
    <xf numFmtId="0" fontId="35" fillId="24" borderId="19" xfId="0" applyFont="1" applyFill="1" applyBorder="1"/>
    <xf numFmtId="0" fontId="1" fillId="29" borderId="20" xfId="0" applyFont="1" applyFill="1" applyBorder="1"/>
    <xf numFmtId="11" fontId="0" fillId="30" borderId="20" xfId="0" applyNumberFormat="1" applyFill="1" applyBorder="1"/>
    <xf numFmtId="11" fontId="14" fillId="0" borderId="17" xfId="0" applyNumberFormat="1" applyFont="1" applyBorder="1" applyAlignment="1">
      <alignment horizontal="center"/>
    </xf>
    <xf numFmtId="0" fontId="9" fillId="0" borderId="11" xfId="0" applyFont="1" applyBorder="1"/>
    <xf numFmtId="0" fontId="0" fillId="0" borderId="13" xfId="0" applyBorder="1"/>
    <xf numFmtId="11" fontId="0" fillId="0" borderId="20" xfId="0" applyNumberFormat="1" applyBorder="1"/>
    <xf numFmtId="0" fontId="0" fillId="0" borderId="20" xfId="0" applyBorder="1"/>
    <xf numFmtId="0" fontId="14" fillId="0" borderId="2" xfId="0" applyFont="1" applyBorder="1" applyAlignment="1">
      <alignment horizontal="center"/>
    </xf>
    <xf numFmtId="0" fontId="14" fillId="0" borderId="3" xfId="0" applyFont="1" applyBorder="1" applyAlignment="1">
      <alignment horizontal="left" vertical="center"/>
    </xf>
    <xf numFmtId="0" fontId="35" fillId="0" borderId="19" xfId="0" applyFont="1" applyBorder="1" applyAlignment="1">
      <alignment horizontal="center"/>
    </xf>
    <xf numFmtId="0" fontId="14" fillId="0" borderId="24" xfId="0" applyFont="1" applyBorder="1"/>
    <xf numFmtId="0" fontId="0" fillId="22" borderId="23" xfId="0" applyFill="1" applyBorder="1"/>
    <xf numFmtId="166" fontId="0" fillId="22" borderId="17" xfId="0" applyNumberFormat="1" applyFill="1" applyBorder="1" applyAlignment="1">
      <alignment horizontal="center"/>
    </xf>
    <xf numFmtId="166" fontId="0" fillId="0" borderId="0" xfId="0" applyNumberFormat="1" applyAlignment="1">
      <alignment horizontal="center"/>
    </xf>
    <xf numFmtId="167" fontId="0" fillId="0" borderId="0" xfId="0" applyNumberFormat="1"/>
    <xf numFmtId="0" fontId="0" fillId="22" borderId="21" xfId="0" applyFill="1" applyBorder="1"/>
    <xf numFmtId="0" fontId="14" fillId="34" borderId="17" xfId="0" applyFont="1" applyFill="1" applyBorder="1" applyAlignment="1">
      <alignment horizontal="center"/>
    </xf>
    <xf numFmtId="0" fontId="28" fillId="0" borderId="2" xfId="0" applyFont="1" applyBorder="1"/>
    <xf numFmtId="167" fontId="14" fillId="0" borderId="0" xfId="0" applyNumberFormat="1" applyFont="1" applyAlignment="1">
      <alignment horizontal="right" vertical="center" wrapText="1"/>
    </xf>
    <xf numFmtId="0" fontId="35" fillId="0" borderId="17" xfId="0" applyFont="1" applyBorder="1" applyAlignment="1">
      <alignment horizontal="left" vertical="top" wrapText="1"/>
    </xf>
    <xf numFmtId="11" fontId="35" fillId="24" borderId="17" xfId="0" applyNumberFormat="1" applyFont="1" applyFill="1" applyBorder="1" applyAlignment="1">
      <alignment horizontal="center"/>
    </xf>
    <xf numFmtId="0" fontId="14" fillId="26" borderId="22" xfId="0" applyFont="1" applyFill="1" applyBorder="1"/>
    <xf numFmtId="11" fontId="35" fillId="0" borderId="20" xfId="0" applyNumberFormat="1" applyFont="1" applyBorder="1" applyAlignment="1">
      <alignment horizontal="center"/>
    </xf>
    <xf numFmtId="11" fontId="35" fillId="0" borderId="23" xfId="0" applyNumberFormat="1" applyFont="1" applyBorder="1" applyAlignment="1">
      <alignment horizontal="center" vertical="center" wrapText="1"/>
    </xf>
    <xf numFmtId="0" fontId="14" fillId="0" borderId="17" xfId="0" applyFont="1" applyBorder="1"/>
    <xf numFmtId="171" fontId="0" fillId="0" borderId="0" xfId="29" applyNumberFormat="1" applyFont="1"/>
    <xf numFmtId="11" fontId="35" fillId="0" borderId="17" xfId="0" applyNumberFormat="1" applyFont="1" applyBorder="1" applyAlignment="1">
      <alignment horizontal="center" vertical="center" wrapText="1"/>
    </xf>
    <xf numFmtId="0" fontId="14" fillId="35" borderId="0" xfId="0" applyFont="1" applyFill="1"/>
    <xf numFmtId="0" fontId="14" fillId="0" borderId="0" xfId="0" applyFont="1" applyAlignment="1">
      <alignment horizontal="right"/>
    </xf>
    <xf numFmtId="0" fontId="48" fillId="0" borderId="0" xfId="0" applyFont="1" applyAlignment="1">
      <alignment horizontal="left" vertical="center"/>
    </xf>
    <xf numFmtId="0" fontId="49" fillId="0" borderId="0" xfId="0" applyFont="1"/>
    <xf numFmtId="0" fontId="49" fillId="36" borderId="3" xfId="0" applyFont="1" applyFill="1" applyBorder="1"/>
    <xf numFmtId="0" fontId="14" fillId="0" borderId="0" xfId="0" applyFont="1"/>
    <xf numFmtId="0" fontId="14" fillId="0" borderId="2" xfId="0" applyFont="1" applyBorder="1"/>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25" fillId="0" borderId="7" xfId="0" applyFont="1" applyBorder="1" applyAlignment="1">
      <alignment horizontal="center" vertical="center"/>
    </xf>
  </cellXfs>
  <cellStyles count="30">
    <cellStyle name="Comma" xfId="29" builtinId="3"/>
    <cellStyle name="Followed Hyperlink" xfId="8" builtinId="9" hidden="1"/>
    <cellStyle name="Followed Hyperlink" xfId="4" builtinId="9" hidden="1"/>
    <cellStyle name="Followed Hyperlink" xfId="2" builtinId="9" hidden="1"/>
    <cellStyle name="Followed Hyperlink" xfId="6"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8" builtinId="9" hidden="1"/>
    <cellStyle name="Followed Hyperlink" xfId="22" builtinId="9" hidden="1"/>
    <cellStyle name="Followed Hyperlink" xfId="26" builtinId="9" hidden="1"/>
    <cellStyle name="Followed Hyperlink" xfId="24" builtinId="9" hidden="1"/>
    <cellStyle name="Hyperlink" xfId="5" builtinId="8" hidden="1"/>
    <cellStyle name="Hyperlink" xfId="1" builtinId="8" hidden="1"/>
    <cellStyle name="Hyperlink" xfId="3" builtinId="8" hidden="1"/>
    <cellStyle name="Hyperlink" xfId="11" builtinId="8" hidden="1"/>
    <cellStyle name="Hyperlink" xfId="7" builtinId="8" hidden="1"/>
    <cellStyle name="Hyperlink" xfId="9" builtinId="8" hidden="1"/>
    <cellStyle name="Hyperlink" xfId="13" builtinId="8" hidden="1"/>
    <cellStyle name="Hyperlink" xfId="19" builtinId="8" hidden="1"/>
    <cellStyle name="Hyperlink" xfId="15" builtinId="8" hidden="1"/>
    <cellStyle name="Hyperlink" xfId="17" builtinId="8" hidden="1"/>
    <cellStyle name="Hyperlink" xfId="21" builtinId="8" hidden="1"/>
    <cellStyle name="Hyperlink" xfId="27" builtinId="8" hidden="1"/>
    <cellStyle name="Hyperlink" xfId="23" builtinId="8" hidden="1"/>
    <cellStyle name="Hyperlink" xfId="25"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 Id="rId1"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Medium_term/GT-bat/isolating%20DCDC%20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4MHMDFADBMNJH2HU6BH6O3T4LU">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sheetData sheetId="1"/>
      <sheetData sheetId="2">
        <row r="171">
          <cell r="H171">
            <v>0.10991561706791897</v>
          </cell>
          <cell r="I171">
            <v>2.1044374054079718E-2</v>
          </cell>
          <cell r="J171">
            <v>0.61366885676233618</v>
          </cell>
          <cell r="K171">
            <v>4.2310886319057666</v>
          </cell>
          <cell r="L171">
            <v>0.11528865347841241</v>
          </cell>
          <cell r="Q171">
            <v>2.5317788347984208E-2</v>
          </cell>
        </row>
        <row r="172">
          <cell r="H172">
            <v>0.99912217558894567</v>
          </cell>
          <cell r="I172">
            <v>8.1740665890361018E-4</v>
          </cell>
          <cell r="J172">
            <v>2.7111755751881933E-2</v>
          </cell>
          <cell r="K172">
            <v>0.22939957629096944</v>
          </cell>
          <cell r="L172">
            <v>8.9379443522752969E-2</v>
          </cell>
          <cell r="Q172">
            <v>3.1923268045301503E-2</v>
          </cell>
        </row>
        <row r="173">
          <cell r="H173">
            <v>7.0629202931557319E-2</v>
          </cell>
          <cell r="I173">
            <v>7.4761251074308558E-5</v>
          </cell>
          <cell r="J173">
            <v>2.8330642377968488E-3</v>
          </cell>
          <cell r="K173">
            <v>2.5536206946559861E-2</v>
          </cell>
          <cell r="L173">
            <v>3.0226809499291907E-3</v>
          </cell>
          <cell r="Q173">
            <v>2.4651451009365809E-3</v>
          </cell>
        </row>
        <row r="174">
          <cell r="H174">
            <v>89.590624500000004</v>
          </cell>
          <cell r="I174">
            <v>4.604236401557265</v>
          </cell>
          <cell r="J174">
            <v>132.8724913502065</v>
          </cell>
          <cell r="K174">
            <v>878.08617898309444</v>
          </cell>
          <cell r="L174">
            <v>53.778241787911369</v>
          </cell>
          <cell r="Q174">
            <v>11.146084434174679</v>
          </cell>
        </row>
        <row r="175">
          <cell r="H175">
            <v>34.994115000000008</v>
          </cell>
          <cell r="I175">
            <v>1.7984156157241777</v>
          </cell>
          <cell r="J175">
            <v>51.900020438473796</v>
          </cell>
          <cell r="K175">
            <v>342.98062881842048</v>
          </cell>
          <cell r="L175">
            <v>21.005791489085734</v>
          </cell>
          <cell r="Q175">
            <v>4.3536627037265347</v>
          </cell>
        </row>
        <row r="176">
          <cell r="H176">
            <v>2.389842E-2</v>
          </cell>
          <cell r="I176">
            <v>1.228186274153097E-3</v>
          </cell>
          <cell r="J176">
            <v>3.5443916397006496E-2</v>
          </cell>
          <cell r="K176">
            <v>0.23423067333940908</v>
          </cell>
          <cell r="L176">
            <v>1.434541857791221E-2</v>
          </cell>
          <cell r="Q176">
            <v>2.9732330659595833E-3</v>
          </cell>
        </row>
        <row r="359">
          <cell r="H359">
            <v>0.10991561706791897</v>
          </cell>
          <cell r="I359">
            <v>2.0604941377114147E-2</v>
          </cell>
          <cell r="J359">
            <v>0.27312986576433457</v>
          </cell>
          <cell r="K359">
            <v>0.29491450474601771</v>
          </cell>
          <cell r="L359">
            <v>0.11528486739986792</v>
          </cell>
          <cell r="Q359">
            <v>2.5310823293177586E-2</v>
          </cell>
        </row>
        <row r="360">
          <cell r="H360">
            <v>0.99912217558894567</v>
          </cell>
          <cell r="I360">
            <v>8.0097766917653875E-4</v>
          </cell>
          <cell r="J360">
            <v>1.9330318529478595E-2</v>
          </cell>
          <cell r="K360">
            <v>3.2627449843151392E-2</v>
          </cell>
          <cell r="L360">
            <v>8.937650090173406E-2</v>
          </cell>
          <cell r="Q360">
            <v>3.1916336636072296E-2</v>
          </cell>
        </row>
        <row r="361">
          <cell r="H361">
            <v>7.0629202931557319E-2</v>
          </cell>
          <cell r="I361">
            <v>7.2766890478851505E-5</v>
          </cell>
          <cell r="J361">
            <v>1.9956911544265141E-3</v>
          </cell>
          <cell r="K361">
            <v>3.5994184258174851E-3</v>
          </cell>
          <cell r="L361">
            <v>3.0225682737341883E-3</v>
          </cell>
          <cell r="Q361">
            <v>2.4684712547435044E-3</v>
          </cell>
        </row>
        <row r="362">
          <cell r="H362">
            <v>89.590624500000004</v>
          </cell>
          <cell r="I362">
            <v>4.5080942249299492</v>
          </cell>
          <cell r="J362">
            <v>95.763660160802203</v>
          </cell>
          <cell r="K362">
            <v>125.27538297330278</v>
          </cell>
          <cell r="L362">
            <v>53.776453103154921</v>
          </cell>
          <cell r="Q362">
            <v>11.147463808635463</v>
          </cell>
        </row>
        <row r="363">
          <cell r="H363">
            <v>34.994115000000008</v>
          </cell>
          <cell r="I363">
            <v>1.7608624632149372</v>
          </cell>
          <cell r="J363">
            <v>37.405303905299057</v>
          </cell>
          <cell r="K363">
            <v>48.932588458927405</v>
          </cell>
          <cell r="L363">
            <v>21.005092828479057</v>
          </cell>
          <cell r="Q363">
            <v>4.3542014876537367</v>
          </cell>
        </row>
        <row r="364">
          <cell r="H364">
            <v>2.389842E-2</v>
          </cell>
          <cell r="I364">
            <v>1.2025402187809326E-3</v>
          </cell>
          <cell r="J364">
            <v>2.554508559386277E-2</v>
          </cell>
          <cell r="K364">
            <v>3.3417377484145548E-2</v>
          </cell>
          <cell r="L364">
            <v>1.4344941443839356E-2</v>
          </cell>
          <cell r="Q364">
            <v>2.9736010159586491E-3</v>
          </cell>
        </row>
      </sheetData>
      <sheetData sheetId="3">
        <row r="171">
          <cell r="H171">
            <v>0.10796930320545405</v>
          </cell>
          <cell r="I171">
            <v>2.0671867010549617E-2</v>
          </cell>
          <cell r="J171">
            <v>0.60280628746190779</v>
          </cell>
          <cell r="K171">
            <v>4.156194015742094</v>
          </cell>
          <cell r="L171">
            <v>0.11324792585451407</v>
          </cell>
          <cell r="Q171">
            <v>2.4869637197462192E-2</v>
          </cell>
        </row>
        <row r="172">
          <cell r="H172">
            <v>0.76621231294911785</v>
          </cell>
          <cell r="I172">
            <v>6.2634991725950056E-4</v>
          </cell>
          <cell r="J172">
            <v>2.0772147517021798E-2</v>
          </cell>
          <cell r="K172">
            <v>0.17573722543700679</v>
          </cell>
          <cell r="L172">
            <v>6.8494237752512954E-2</v>
          </cell>
          <cell r="Q172">
            <v>2.4491402823498744E-2</v>
          </cell>
        </row>
        <row r="173">
          <cell r="H173">
            <v>6.9019254999036564E-2</v>
          </cell>
          <cell r="I173">
            <v>7.3388181675444636E-5</v>
          </cell>
          <cell r="J173">
            <v>2.7808796377106052E-3</v>
          </cell>
          <cell r="K173">
            <v>2.5068563364186707E-2</v>
          </cell>
          <cell r="L173">
            <v>2.9628270713650167E-3</v>
          </cell>
          <cell r="Q173">
            <v>2.4040293241406269E-3</v>
          </cell>
        </row>
        <row r="174">
          <cell r="H174">
            <v>86.634866769830069</v>
          </cell>
          <cell r="I174">
            <v>4.4523629036256986</v>
          </cell>
          <cell r="J174">
            <v>128.48961256635164</v>
          </cell>
          <cell r="K174">
            <v>849.1219799592518</v>
          </cell>
          <cell r="L174">
            <v>52.004334242639118</v>
          </cell>
          <cell r="Q174">
            <v>10.778424157068546</v>
          </cell>
        </row>
        <row r="175">
          <cell r="H175">
            <v>37.81190830742036</v>
          </cell>
          <cell r="I175">
            <v>1.9432399926294135</v>
          </cell>
          <cell r="J175">
            <v>56.079470425258037</v>
          </cell>
          <cell r="K175">
            <v>370.60047120907501</v>
          </cell>
          <cell r="L175">
            <v>22.697364136258926</v>
          </cell>
          <cell r="Q175">
            <v>4.7042582406035116</v>
          </cell>
        </row>
        <row r="176">
          <cell r="H176">
            <v>6.1035630261201826E-3</v>
          </cell>
          <cell r="I176">
            <v>3.1367598994106729E-4</v>
          </cell>
          <cell r="J176">
            <v>9.052295891261164E-3</v>
          </cell>
          <cell r="K176">
            <v>5.9821982935744276E-2</v>
          </cell>
          <cell r="L176">
            <v>3.6637873816400225E-3</v>
          </cell>
          <cell r="Q176">
            <v>7.5935698429254025E-4</v>
          </cell>
        </row>
        <row r="359">
          <cell r="H359">
            <v>0.10796846425857534</v>
          </cell>
          <cell r="I359">
            <v>2.0240212743476701E-2</v>
          </cell>
          <cell r="J359">
            <v>0.26829518650368261</v>
          </cell>
          <cell r="K359">
            <v>0.28969421499186426</v>
          </cell>
          <cell r="L359">
            <v>0.11324420679344996</v>
          </cell>
          <cell r="Q359">
            <v>2.4862795719660102E-2</v>
          </cell>
        </row>
        <row r="360">
          <cell r="H360">
            <v>0.7662063592992443</v>
          </cell>
          <cell r="I360">
            <v>6.1374951524302372E-4</v>
          </cell>
          <cell r="J360">
            <v>1.4810663770664773E-2</v>
          </cell>
          <cell r="K360">
            <v>2.4996229193857564E-2</v>
          </cell>
          <cell r="L360">
            <v>6.8491982361925732E-2</v>
          </cell>
          <cell r="Q360">
            <v>2.4486178045455168E-2</v>
          </cell>
        </row>
        <row r="361">
          <cell r="H361">
            <v>6.9018718703192899E-2</v>
          </cell>
          <cell r="I361">
            <v>7.1437879779091796E-5</v>
          </cell>
          <cell r="J361">
            <v>1.9592437193682406E-3</v>
          </cell>
          <cell r="K361">
            <v>3.5342470959462348E-3</v>
          </cell>
          <cell r="L361">
            <v>2.9627168035981622E-3</v>
          </cell>
          <cell r="Q361">
            <v>2.4072440575939238E-3</v>
          </cell>
        </row>
        <row r="362">
          <cell r="H362">
            <v>86.634193596540001</v>
          </cell>
          <cell r="I362">
            <v>4.3593920343313881</v>
          </cell>
          <cell r="J362">
            <v>92.604838420365155</v>
          </cell>
          <cell r="K362">
            <v>121.14309936370424</v>
          </cell>
          <cell r="L362">
            <v>52.002604558721671</v>
          </cell>
          <cell r="Q362">
            <v>10.77975803203581</v>
          </cell>
        </row>
        <row r="363">
          <cell r="H363">
            <v>37.811614500000005</v>
          </cell>
          <cell r="I363">
            <v>1.9026627271924235</v>
          </cell>
          <cell r="J363">
            <v>40.417510752076538</v>
          </cell>
          <cell r="K363">
            <v>52.873074502288901</v>
          </cell>
          <cell r="L363">
            <v>22.69660921330324</v>
          </cell>
          <cell r="Q363">
            <v>4.7048404121914214</v>
          </cell>
        </row>
        <row r="364">
          <cell r="H364">
            <v>6.1035156000000014E-3</v>
          </cell>
          <cell r="I364">
            <v>3.071260455423691E-4</v>
          </cell>
          <cell r="J364">
            <v>6.5241569462331991E-3</v>
          </cell>
          <cell r="K364">
            <v>8.5347224473761255E-3</v>
          </cell>
          <cell r="L364">
            <v>3.6636655226795481E-3</v>
          </cell>
          <cell r="Q364">
            <v>7.5945095788810548E-4</v>
          </cell>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6EBD-22FC-4E12-94FB-EE523392F17E}">
  <dimension ref="A1:N87"/>
  <sheetViews>
    <sheetView topLeftCell="A49" workbookViewId="0">
      <selection activeCell="A81" sqref="A81"/>
    </sheetView>
  </sheetViews>
  <sheetFormatPr defaultRowHeight="15"/>
  <cols>
    <col min="1" max="1" width="45" bestFit="1" customWidth="1"/>
    <col min="2" max="2" width="49.855468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c r="N1" s="31" t="str">
        <f ca="1">UPPER(CONCATENATE(DEC2HEX(RANDBETWEEN(0,POWER(16,8)),8),DEC2HEX(RANDBETWEEN(0,POWER(16,4)),4),"4",DEC2HEX(RANDBETWEEN(0,POWER(16,3)),3),DEC2HEX(RANDBETWEEN(8,11)),DEC2HEX(RANDBETWEEN(0,POWER(16,3)),3),DEC2HEX(RANDBETWEEN(0,POWER(16,8)),8),DEC2HEX(RANDBETWEEN(0,POWER(16,4)),4)))</f>
        <v>AFA44E2F43E3401B96B9A26FF05F7014</v>
      </c>
    </row>
    <row r="2" spans="1:14" ht="15.75">
      <c r="A2" s="16" t="s">
        <v>1</v>
      </c>
      <c r="B2" s="16" t="s">
        <v>2</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45">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tr">
        <f>B4</f>
        <v>aircraft usage, design mission, GT-bat</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743.14</v>
      </c>
      <c r="C17" t="s">
        <v>37</v>
      </c>
      <c r="D17" t="s">
        <v>38</v>
      </c>
      <c r="E17" t="s">
        <v>29</v>
      </c>
      <c r="F17" t="s">
        <v>39</v>
      </c>
      <c r="G17" t="s">
        <v>33</v>
      </c>
      <c r="H17">
        <v>2</v>
      </c>
      <c r="I17">
        <f>LN(B17)</f>
        <v>6.6108844522707679</v>
      </c>
      <c r="J17">
        <v>5.0990195135927806E-2</v>
      </c>
      <c r="K17" t="s">
        <v>31</v>
      </c>
      <c r="L17" t="s">
        <v>31</v>
      </c>
      <c r="M17" t="s">
        <v>31</v>
      </c>
    </row>
    <row r="18" spans="1:14">
      <c r="A18" t="s">
        <v>40</v>
      </c>
      <c r="B18">
        <v>1795.204209</v>
      </c>
      <c r="C18" t="s">
        <v>41</v>
      </c>
      <c r="D18" t="s">
        <v>38</v>
      </c>
      <c r="E18" t="s">
        <v>29</v>
      </c>
      <c r="F18" t="s">
        <v>14</v>
      </c>
      <c r="G18" t="s">
        <v>33</v>
      </c>
      <c r="H18">
        <v>2</v>
      </c>
      <c r="I18">
        <v>8.4693444839373466</v>
      </c>
      <c r="J18">
        <v>5.0990195135927806E-2</v>
      </c>
      <c r="K18" t="s">
        <v>31</v>
      </c>
      <c r="L18" t="s">
        <v>31</v>
      </c>
      <c r="M18" t="s">
        <v>31</v>
      </c>
    </row>
    <row r="19" spans="1:14">
      <c r="A19" t="s">
        <v>42</v>
      </c>
      <c r="B19">
        <f>2*N19</f>
        <v>10.232647843232996</v>
      </c>
      <c r="C19" t="s">
        <v>37</v>
      </c>
      <c r="D19" t="s">
        <v>43</v>
      </c>
      <c r="E19" t="s">
        <v>44</v>
      </c>
      <c r="F19" t="s">
        <v>29</v>
      </c>
      <c r="G19" t="s">
        <v>45</v>
      </c>
      <c r="H19">
        <v>2</v>
      </c>
      <c r="I19">
        <f>LN(B19)</f>
        <v>2.3255833776780892</v>
      </c>
      <c r="J19">
        <v>5.0990195135927806E-2</v>
      </c>
      <c r="K19" t="s">
        <v>31</v>
      </c>
      <c r="L19" t="s">
        <v>31</v>
      </c>
      <c r="M19" t="s">
        <v>31</v>
      </c>
      <c r="N19">
        <f>SUM('[1]Use (kerosene)'!H171:L171,'[1]Use (kerosene)'!Q171)</f>
        <v>5.1163239216164982</v>
      </c>
    </row>
    <row r="20" spans="1:14">
      <c r="A20" t="s">
        <v>46</v>
      </c>
      <c r="B20">
        <f t="shared" ref="B20:B24" si="0">2*N20</f>
        <v>2.7555072517175105</v>
      </c>
      <c r="C20" t="s">
        <v>37</v>
      </c>
      <c r="D20" t="s">
        <v>43</v>
      </c>
      <c r="E20" t="s">
        <v>44</v>
      </c>
      <c r="F20" t="s">
        <v>29</v>
      </c>
      <c r="G20" t="s">
        <v>45</v>
      </c>
      <c r="H20">
        <v>2</v>
      </c>
      <c r="I20">
        <f t="shared" ref="I20:I24" si="1">LN(B20)</f>
        <v>1.0136015460624261</v>
      </c>
      <c r="J20">
        <v>5.0990195135927806E-2</v>
      </c>
      <c r="K20" t="s">
        <v>31</v>
      </c>
      <c r="L20" t="s">
        <v>31</v>
      </c>
      <c r="M20" t="s">
        <v>31</v>
      </c>
      <c r="N20">
        <f>SUM('[1]Use (kerosene)'!H172:L172,'[1]Use (kerosene)'!Q172)</f>
        <v>1.3777536258587553</v>
      </c>
    </row>
    <row r="21" spans="1:14">
      <c r="A21" t="s">
        <v>47</v>
      </c>
      <c r="B21">
        <f t="shared" si="0"/>
        <v>0.20912212283570822</v>
      </c>
      <c r="C21" t="s">
        <v>37</v>
      </c>
      <c r="D21" t="s">
        <v>43</v>
      </c>
      <c r="E21" t="s">
        <v>44</v>
      </c>
      <c r="F21" t="s">
        <v>29</v>
      </c>
      <c r="G21" t="s">
        <v>45</v>
      </c>
      <c r="H21">
        <v>2</v>
      </c>
      <c r="I21">
        <f t="shared" si="1"/>
        <v>-1.5648368778775836</v>
      </c>
      <c r="J21">
        <v>5.0990195135927806E-2</v>
      </c>
      <c r="K21" t="s">
        <v>31</v>
      </c>
      <c r="L21" t="s">
        <v>31</v>
      </c>
      <c r="M21" t="s">
        <v>31</v>
      </c>
      <c r="N21">
        <f>SUM('[1]Use (kerosene)'!H173:L173,'[1]Use (kerosene)'!Q173)</f>
        <v>0.10456106141785411</v>
      </c>
    </row>
    <row r="22" spans="1:14">
      <c r="A22" t="s">
        <v>48</v>
      </c>
      <c r="B22">
        <f t="shared" si="0"/>
        <v>2340.1557149138889</v>
      </c>
      <c r="C22" t="s">
        <v>37</v>
      </c>
      <c r="D22" t="s">
        <v>43</v>
      </c>
      <c r="E22" t="s">
        <v>44</v>
      </c>
      <c r="F22" t="s">
        <v>29</v>
      </c>
      <c r="G22" t="s">
        <v>45</v>
      </c>
      <c r="H22">
        <v>2</v>
      </c>
      <c r="I22">
        <f t="shared" si="1"/>
        <v>7.7579727509727334</v>
      </c>
      <c r="J22">
        <v>5.0990195135927806E-2</v>
      </c>
      <c r="K22" t="s">
        <v>31</v>
      </c>
      <c r="L22" t="s">
        <v>31</v>
      </c>
      <c r="M22" t="s">
        <v>31</v>
      </c>
      <c r="N22">
        <f>SUM('[1]Use (kerosene)'!H174:L174,'[1]Use (kerosene)'!Q174)</f>
        <v>1170.0778574569445</v>
      </c>
    </row>
    <row r="23" spans="1:14">
      <c r="A23" t="s">
        <v>49</v>
      </c>
      <c r="B23">
        <f>2*N23/1000</f>
        <v>0.91406526813086131</v>
      </c>
      <c r="C23" t="s">
        <v>50</v>
      </c>
      <c r="D23" t="s">
        <v>43</v>
      </c>
      <c r="E23" t="s">
        <v>44</v>
      </c>
      <c r="F23" t="s">
        <v>29</v>
      </c>
      <c r="G23" t="s">
        <v>45</v>
      </c>
      <c r="H23">
        <v>2</v>
      </c>
      <c r="I23">
        <f t="shared" si="1"/>
        <v>-8.9853300743965844E-2</v>
      </c>
      <c r="J23">
        <v>5.0990195135927806E-2</v>
      </c>
      <c r="K23" t="s">
        <v>31</v>
      </c>
      <c r="L23" t="s">
        <v>31</v>
      </c>
      <c r="M23" t="s">
        <v>31</v>
      </c>
      <c r="N23">
        <f>SUM('[1]Use (kerosene)'!H175:L175,'[1]Use (kerosene)'!Q175)</f>
        <v>457.03263406543067</v>
      </c>
    </row>
    <row r="24" spans="1:14">
      <c r="A24" t="s">
        <v>51</v>
      </c>
      <c r="B24">
        <f t="shared" si="0"/>
        <v>0.62423969530888102</v>
      </c>
      <c r="C24" t="s">
        <v>37</v>
      </c>
      <c r="D24" t="s">
        <v>43</v>
      </c>
      <c r="E24" t="s">
        <v>44</v>
      </c>
      <c r="F24" t="s">
        <v>29</v>
      </c>
      <c r="G24" t="s">
        <v>45</v>
      </c>
      <c r="H24">
        <v>2</v>
      </c>
      <c r="I24">
        <f t="shared" si="1"/>
        <v>-0.4712208572730695</v>
      </c>
      <c r="J24">
        <v>5.0990195135927806E-2</v>
      </c>
      <c r="K24" t="s">
        <v>31</v>
      </c>
      <c r="L24" t="s">
        <v>31</v>
      </c>
      <c r="M24" t="s">
        <v>31</v>
      </c>
      <c r="N24">
        <f>SUM('[1]Use (kerosene)'!H176:L176,'[1]Use (kerosene)'!Q176)</f>
        <v>0.31211984765444051</v>
      </c>
    </row>
    <row r="25" spans="1:14" ht="15.75">
      <c r="A25" s="1" t="s">
        <v>5</v>
      </c>
      <c r="B25" s="2" t="s">
        <v>52</v>
      </c>
      <c r="C25" s="3"/>
      <c r="D25" s="11"/>
      <c r="E25" s="11"/>
      <c r="F25" s="11"/>
      <c r="G25" s="11"/>
      <c r="H25" s="11"/>
      <c r="I25" s="11"/>
      <c r="J25" s="11"/>
      <c r="K25" s="11"/>
      <c r="L25" s="11"/>
      <c r="M25" s="11"/>
    </row>
    <row r="26" spans="1:14">
      <c r="A26" s="12" t="s">
        <v>7</v>
      </c>
      <c r="B26" s="13" t="s">
        <v>8</v>
      </c>
      <c r="C26" s="4"/>
      <c r="D26" s="13"/>
      <c r="E26" s="13"/>
      <c r="F26" s="13"/>
      <c r="G26" s="13"/>
      <c r="H26" s="13"/>
      <c r="I26" s="13"/>
      <c r="J26" s="13"/>
      <c r="K26" s="13"/>
      <c r="L26" s="13"/>
      <c r="M26" s="13"/>
    </row>
    <row r="27" spans="1:14">
      <c r="A27" s="12" t="s">
        <v>9</v>
      </c>
      <c r="B27" s="13" t="s">
        <v>53</v>
      </c>
      <c r="C27" s="4"/>
      <c r="D27" s="13"/>
      <c r="E27" s="13"/>
      <c r="F27" s="13"/>
      <c r="G27" s="13"/>
      <c r="H27" s="13"/>
      <c r="I27" s="13"/>
      <c r="J27" s="13"/>
      <c r="K27" s="13"/>
      <c r="L27" s="13"/>
      <c r="M27" s="13"/>
    </row>
    <row r="28" spans="1:14" ht="45">
      <c r="A28" s="12" t="s">
        <v>11</v>
      </c>
      <c r="B28" s="14" t="s">
        <v>54</v>
      </c>
      <c r="C28" s="13"/>
      <c r="D28" s="13"/>
      <c r="E28" s="13"/>
      <c r="F28" s="13"/>
      <c r="G28" s="13"/>
      <c r="H28" s="13"/>
      <c r="I28" s="13"/>
      <c r="J28" s="13"/>
      <c r="K28" s="13"/>
      <c r="L28" s="13"/>
      <c r="M28" s="13"/>
    </row>
    <row r="29" spans="1:14">
      <c r="A29" s="12" t="s">
        <v>13</v>
      </c>
      <c r="B29" s="13" t="s">
        <v>14</v>
      </c>
      <c r="C29" s="13"/>
      <c r="D29" s="13"/>
      <c r="E29" s="13"/>
      <c r="F29" s="13"/>
      <c r="G29" s="13"/>
      <c r="H29" s="13"/>
      <c r="I29" s="13"/>
      <c r="J29" s="13"/>
      <c r="K29" s="13"/>
      <c r="L29" s="13"/>
      <c r="M29" s="13"/>
    </row>
    <row r="30" spans="1:14">
      <c r="A30" s="12" t="s">
        <v>15</v>
      </c>
      <c r="B30" s="13">
        <v>1</v>
      </c>
      <c r="C30" s="13"/>
      <c r="D30" s="13"/>
      <c r="E30" s="13"/>
      <c r="F30" s="13"/>
      <c r="G30" s="13"/>
      <c r="H30" s="13"/>
      <c r="I30" s="13"/>
      <c r="J30" s="13"/>
      <c r="K30" s="13"/>
      <c r="L30" s="13"/>
      <c r="M30" s="13"/>
    </row>
    <row r="31" spans="1:14">
      <c r="A31" s="12" t="s">
        <v>16</v>
      </c>
      <c r="B31" s="13" t="s">
        <v>17</v>
      </c>
      <c r="C31" s="13"/>
      <c r="D31" s="13"/>
      <c r="E31" s="13"/>
      <c r="F31" s="13"/>
      <c r="G31" s="13"/>
      <c r="H31" s="13"/>
      <c r="I31" s="13"/>
      <c r="J31" s="13"/>
      <c r="K31" s="13"/>
      <c r="L31" s="13"/>
      <c r="M31" s="13"/>
    </row>
    <row r="32" spans="1:14">
      <c r="A32" s="12" t="s">
        <v>18</v>
      </c>
      <c r="B32" s="13" t="s">
        <v>18</v>
      </c>
      <c r="C32" s="13"/>
      <c r="D32" s="13"/>
      <c r="E32" s="13"/>
      <c r="F32" s="13"/>
      <c r="G32" s="13"/>
      <c r="H32" s="13"/>
      <c r="I32" s="13"/>
      <c r="J32" s="13"/>
      <c r="K32" s="13"/>
      <c r="L32" s="13"/>
      <c r="M32" s="13"/>
    </row>
    <row r="33" spans="1:14" ht="15.75">
      <c r="A33" s="5" t="s">
        <v>19</v>
      </c>
      <c r="B33" s="13"/>
      <c r="C33" s="13"/>
      <c r="D33" s="13"/>
      <c r="E33" s="13"/>
      <c r="F33" s="13"/>
      <c r="G33" s="13"/>
      <c r="H33" s="13"/>
      <c r="I33" s="13"/>
      <c r="J33" s="13"/>
      <c r="K33" s="13"/>
      <c r="L33" s="13"/>
      <c r="M33" s="13"/>
    </row>
    <row r="34" spans="1:14" ht="15.75">
      <c r="A34" s="5" t="s">
        <v>20</v>
      </c>
      <c r="B34" s="6" t="s">
        <v>21</v>
      </c>
      <c r="C34" s="6" t="s">
        <v>18</v>
      </c>
      <c r="D34" s="6" t="s">
        <v>22</v>
      </c>
      <c r="E34" s="6" t="s">
        <v>7</v>
      </c>
      <c r="F34" s="6" t="s">
        <v>13</v>
      </c>
      <c r="G34" s="6" t="s">
        <v>16</v>
      </c>
      <c r="H34" s="6" t="s">
        <v>23</v>
      </c>
      <c r="I34" s="6" t="s">
        <v>24</v>
      </c>
      <c r="J34" s="6" t="s">
        <v>25</v>
      </c>
      <c r="K34" s="6" t="s">
        <v>26</v>
      </c>
      <c r="L34" s="6" t="s">
        <v>27</v>
      </c>
      <c r="M34" s="6" t="s">
        <v>28</v>
      </c>
    </row>
    <row r="35" spans="1:14">
      <c r="A35" t="str">
        <f>B25</f>
        <v>aircraft usage, typical mission, GT-bat</v>
      </c>
      <c r="B35">
        <v>1</v>
      </c>
      <c r="C35" t="s">
        <v>18</v>
      </c>
      <c r="D35" t="s">
        <v>2</v>
      </c>
      <c r="E35" t="s">
        <v>29</v>
      </c>
      <c r="F35" t="s">
        <v>14</v>
      </c>
      <c r="G35" t="s">
        <v>30</v>
      </c>
      <c r="H35">
        <v>1</v>
      </c>
      <c r="I35">
        <v>1</v>
      </c>
      <c r="J35" t="s">
        <v>31</v>
      </c>
      <c r="K35" t="s">
        <v>31</v>
      </c>
      <c r="L35" t="s">
        <v>31</v>
      </c>
      <c r="M35" t="s">
        <v>31</v>
      </c>
    </row>
    <row r="36" spans="1:14">
      <c r="A36" t="s">
        <v>32</v>
      </c>
      <c r="B36">
        <f>1/(20*365*4)</f>
        <v>3.4246575342465751E-5</v>
      </c>
      <c r="C36" t="s">
        <v>18</v>
      </c>
      <c r="D36" t="s">
        <v>2</v>
      </c>
      <c r="E36" t="s">
        <v>29</v>
      </c>
      <c r="F36" t="s">
        <v>14</v>
      </c>
      <c r="G36" t="s">
        <v>33</v>
      </c>
      <c r="H36">
        <v>1</v>
      </c>
      <c r="I36">
        <v>1</v>
      </c>
      <c r="J36" t="s">
        <v>31</v>
      </c>
      <c r="K36" t="s">
        <v>31</v>
      </c>
      <c r="L36" t="s">
        <v>31</v>
      </c>
      <c r="M36" t="s">
        <v>31</v>
      </c>
    </row>
    <row r="37" spans="1:14">
      <c r="A37" t="s">
        <v>34</v>
      </c>
      <c r="B37">
        <f>1/(18835+18859)</f>
        <v>2.6529421128030986E-5</v>
      </c>
      <c r="C37" t="s">
        <v>18</v>
      </c>
      <c r="D37" t="s">
        <v>2</v>
      </c>
      <c r="E37" t="s">
        <v>29</v>
      </c>
      <c r="F37" t="s">
        <v>35</v>
      </c>
      <c r="G37" t="s">
        <v>33</v>
      </c>
      <c r="H37">
        <v>1</v>
      </c>
      <c r="I37">
        <v>1</v>
      </c>
      <c r="J37" t="s">
        <v>31</v>
      </c>
      <c r="K37" t="s">
        <v>31</v>
      </c>
      <c r="L37" t="s">
        <v>31</v>
      </c>
      <c r="M37" t="s">
        <v>31</v>
      </c>
    </row>
    <row r="38" spans="1:14">
      <c r="A38" t="s">
        <v>36</v>
      </c>
      <c r="B38" s="22">
        <v>241.39</v>
      </c>
      <c r="C38" t="s">
        <v>37</v>
      </c>
      <c r="D38" t="s">
        <v>38</v>
      </c>
      <c r="E38" t="s">
        <v>29</v>
      </c>
      <c r="F38" t="s">
        <v>39</v>
      </c>
      <c r="G38" t="s">
        <v>33</v>
      </c>
      <c r="H38">
        <v>2</v>
      </c>
      <c r="I38">
        <f>LN(B38)</f>
        <v>5.4864138827846789</v>
      </c>
      <c r="J38">
        <v>5.0990195135927806E-2</v>
      </c>
      <c r="K38" t="s">
        <v>31</v>
      </c>
      <c r="L38" t="s">
        <v>31</v>
      </c>
      <c r="M38" t="s">
        <v>31</v>
      </c>
    </row>
    <row r="39" spans="1:14">
      <c r="A39" t="s">
        <v>40</v>
      </c>
      <c r="B39" s="22">
        <v>901.95423300000004</v>
      </c>
      <c r="C39" t="s">
        <v>41</v>
      </c>
      <c r="D39" t="s">
        <v>38</v>
      </c>
      <c r="E39" t="s">
        <v>29</v>
      </c>
      <c r="F39" t="s">
        <v>14</v>
      </c>
      <c r="G39" t="s">
        <v>33</v>
      </c>
      <c r="H39">
        <v>2</v>
      </c>
      <c r="I39">
        <f>LN(B39)</f>
        <v>6.8045637793074842</v>
      </c>
      <c r="J39">
        <v>5.0990195135927806E-2</v>
      </c>
      <c r="K39" t="s">
        <v>31</v>
      </c>
      <c r="L39" t="s">
        <v>31</v>
      </c>
      <c r="M39" t="s">
        <v>31</v>
      </c>
    </row>
    <row r="40" spans="1:14">
      <c r="A40" t="s">
        <v>42</v>
      </c>
      <c r="B40">
        <f>2*N40</f>
        <v>1.6783212392968618</v>
      </c>
      <c r="C40" t="s">
        <v>37</v>
      </c>
      <c r="D40" t="s">
        <v>43</v>
      </c>
      <c r="E40" t="s">
        <v>44</v>
      </c>
      <c r="F40" t="s">
        <v>29</v>
      </c>
      <c r="G40" t="s">
        <v>45</v>
      </c>
      <c r="H40">
        <v>2</v>
      </c>
      <c r="I40">
        <f>LN(B40)</f>
        <v>0.51779403149643</v>
      </c>
      <c r="J40">
        <v>5.0990195135927806E-2</v>
      </c>
      <c r="K40" t="s">
        <v>31</v>
      </c>
      <c r="L40" t="s">
        <v>31</v>
      </c>
      <c r="M40" t="s">
        <v>31</v>
      </c>
      <c r="N40">
        <f>SUM('[1]Use (kerosene)'!H359:L359,'[1]Use (kerosene)'!Q359)</f>
        <v>0.83916061964843092</v>
      </c>
    </row>
    <row r="41" spans="1:14">
      <c r="A41" t="s">
        <v>46</v>
      </c>
      <c r="B41">
        <f t="shared" ref="B41:B42" si="2">2*N41</f>
        <v>2.346347518337117</v>
      </c>
      <c r="C41" t="s">
        <v>37</v>
      </c>
      <c r="D41" t="s">
        <v>43</v>
      </c>
      <c r="E41" t="s">
        <v>44</v>
      </c>
      <c r="F41" t="s">
        <v>29</v>
      </c>
      <c r="G41" t="s">
        <v>45</v>
      </c>
      <c r="H41">
        <v>2</v>
      </c>
      <c r="I41">
        <f t="shared" ref="I41:I45" si="3">LN(B41)</f>
        <v>0.85285987154429144</v>
      </c>
      <c r="J41">
        <v>5.0990195135927806E-2</v>
      </c>
      <c r="K41" t="s">
        <v>31</v>
      </c>
      <c r="L41" t="s">
        <v>31</v>
      </c>
      <c r="M41" t="s">
        <v>31</v>
      </c>
      <c r="N41">
        <f>SUM('[1]Use (kerosene)'!H360:L360,'[1]Use (kerosene)'!Q360)</f>
        <v>1.1731737591685585</v>
      </c>
    </row>
    <row r="42" spans="1:14">
      <c r="A42" t="s">
        <v>47</v>
      </c>
      <c r="B42">
        <f t="shared" si="2"/>
        <v>0.16357623786151573</v>
      </c>
      <c r="C42" t="s">
        <v>37</v>
      </c>
      <c r="D42" t="s">
        <v>43</v>
      </c>
      <c r="E42" t="s">
        <v>44</v>
      </c>
      <c r="F42" t="s">
        <v>29</v>
      </c>
      <c r="G42" t="s">
        <v>45</v>
      </c>
      <c r="H42">
        <v>2</v>
      </c>
      <c r="I42">
        <f t="shared" si="3"/>
        <v>-1.8104761107078753</v>
      </c>
      <c r="J42">
        <v>5.0990195135927806E-2</v>
      </c>
      <c r="K42" t="s">
        <v>31</v>
      </c>
      <c r="L42" t="s">
        <v>31</v>
      </c>
      <c r="M42" t="s">
        <v>31</v>
      </c>
      <c r="N42">
        <f>SUM('[1]Use (kerosene)'!H361:L361,'[1]Use (kerosene)'!Q361)</f>
        <v>8.1788118930757867E-2</v>
      </c>
    </row>
    <row r="43" spans="1:14">
      <c r="A43" t="s">
        <v>48</v>
      </c>
      <c r="B43">
        <f>2*N43</f>
        <v>760.12335754165053</v>
      </c>
      <c r="C43" t="s">
        <v>37</v>
      </c>
      <c r="D43" t="s">
        <v>43</v>
      </c>
      <c r="E43" t="s">
        <v>44</v>
      </c>
      <c r="F43" t="s">
        <v>29</v>
      </c>
      <c r="G43" t="s">
        <v>45</v>
      </c>
      <c r="H43">
        <v>2</v>
      </c>
      <c r="I43">
        <f t="shared" si="3"/>
        <v>6.6334807326639229</v>
      </c>
      <c r="J43">
        <v>5.0990195135927806E-2</v>
      </c>
      <c r="K43" t="s">
        <v>31</v>
      </c>
      <c r="L43" t="s">
        <v>31</v>
      </c>
      <c r="M43" t="s">
        <v>31</v>
      </c>
      <c r="N43">
        <f>SUM('[1]Use (kerosene)'!H362:L362,'[1]Use (kerosene)'!Q362)</f>
        <v>380.06167877082527</v>
      </c>
    </row>
    <row r="44" spans="1:14">
      <c r="A44" t="s">
        <v>49</v>
      </c>
      <c r="B44">
        <f>2*N44/1000</f>
        <v>0.29690432828714841</v>
      </c>
      <c r="C44" t="s">
        <v>50</v>
      </c>
      <c r="D44" t="s">
        <v>43</v>
      </c>
      <c r="E44" t="s">
        <v>44</v>
      </c>
      <c r="F44" t="s">
        <v>29</v>
      </c>
      <c r="G44" t="s">
        <v>45</v>
      </c>
      <c r="H44">
        <v>2</v>
      </c>
      <c r="I44">
        <f t="shared" si="3"/>
        <v>-1.2143453190527758</v>
      </c>
      <c r="J44">
        <v>5.0990195135927806E-2</v>
      </c>
      <c r="K44" t="s">
        <v>31</v>
      </c>
      <c r="L44" t="s">
        <v>31</v>
      </c>
      <c r="M44" t="s">
        <v>31</v>
      </c>
      <c r="N44">
        <f>SUM('[1]Use (kerosene)'!H363:L363,'[1]Use (kerosene)'!Q363)</f>
        <v>148.45216414357421</v>
      </c>
    </row>
    <row r="45" spans="1:14">
      <c r="A45" t="s">
        <v>51</v>
      </c>
      <c r="B45">
        <f t="shared" ref="B45" si="4">2*N45</f>
        <v>0.20276393151317451</v>
      </c>
      <c r="C45" t="s">
        <v>37</v>
      </c>
      <c r="D45" t="s">
        <v>43</v>
      </c>
      <c r="E45" t="s">
        <v>44</v>
      </c>
      <c r="F45" t="s">
        <v>29</v>
      </c>
      <c r="G45" t="s">
        <v>45</v>
      </c>
      <c r="H45">
        <v>2</v>
      </c>
      <c r="I45">
        <f t="shared" si="3"/>
        <v>-1.5957128755818797</v>
      </c>
      <c r="J45">
        <v>5.0990195135927806E-2</v>
      </c>
      <c r="K45" t="s">
        <v>31</v>
      </c>
      <c r="L45" t="s">
        <v>31</v>
      </c>
      <c r="M45" t="s">
        <v>31</v>
      </c>
      <c r="N45">
        <f>SUM('[1]Use (kerosene)'!H364:L364,'[1]Use (kerosene)'!Q364)</f>
        <v>0.10138196575658726</v>
      </c>
    </row>
    <row r="46" spans="1:14" ht="15.75">
      <c r="A46" s="1" t="s">
        <v>5</v>
      </c>
      <c r="B46" s="2" t="s">
        <v>55</v>
      </c>
      <c r="C46" s="3"/>
      <c r="D46" s="11"/>
      <c r="E46" s="11"/>
      <c r="F46" s="11"/>
      <c r="G46" s="11"/>
      <c r="H46" s="11"/>
      <c r="I46" s="11"/>
      <c r="J46" s="11"/>
      <c r="K46" s="11"/>
      <c r="L46" s="11"/>
      <c r="M46" s="11"/>
    </row>
    <row r="47" spans="1:14">
      <c r="A47" s="12" t="s">
        <v>7</v>
      </c>
      <c r="B47" s="13" t="s">
        <v>8</v>
      </c>
      <c r="C47" s="4"/>
      <c r="D47" s="13"/>
      <c r="E47" s="13"/>
      <c r="F47" s="13"/>
      <c r="G47" s="13"/>
      <c r="H47" s="13"/>
      <c r="I47" s="13"/>
      <c r="J47" s="13"/>
      <c r="K47" s="13"/>
      <c r="L47" s="13"/>
      <c r="M47" s="13"/>
    </row>
    <row r="48" spans="1:14">
      <c r="A48" s="12" t="s">
        <v>9</v>
      </c>
      <c r="B48" s="13" t="s">
        <v>56</v>
      </c>
      <c r="C48" s="4"/>
      <c r="D48" s="13"/>
      <c r="E48" s="13"/>
      <c r="F48" s="13"/>
      <c r="G48" s="13"/>
      <c r="H48" s="13"/>
      <c r="I48" s="13"/>
      <c r="J48" s="13"/>
      <c r="K48" s="13"/>
      <c r="L48" s="13"/>
      <c r="M48" s="13"/>
    </row>
    <row r="49" spans="1:14" ht="60">
      <c r="A49" s="12" t="s">
        <v>11</v>
      </c>
      <c r="B49" s="14" t="s">
        <v>57</v>
      </c>
      <c r="C49" s="13"/>
      <c r="D49" s="13"/>
      <c r="E49" s="13"/>
      <c r="F49" s="13"/>
      <c r="G49" s="13"/>
      <c r="H49" s="13"/>
      <c r="I49" s="13"/>
      <c r="J49" s="13"/>
      <c r="K49" s="13"/>
      <c r="L49" s="13"/>
      <c r="M49" s="13"/>
    </row>
    <row r="50" spans="1:14">
      <c r="A50" s="12" t="s">
        <v>13</v>
      </c>
      <c r="B50" s="13" t="s">
        <v>14</v>
      </c>
      <c r="C50" s="13"/>
      <c r="D50" s="13"/>
      <c r="E50" s="13"/>
      <c r="F50" s="13"/>
      <c r="G50" s="13"/>
      <c r="H50" s="13"/>
      <c r="I50" s="13"/>
      <c r="J50" s="13"/>
      <c r="K50" s="13"/>
      <c r="L50" s="13"/>
      <c r="M50" s="13"/>
    </row>
    <row r="51" spans="1:14">
      <c r="A51" s="12" t="s">
        <v>15</v>
      </c>
      <c r="B51" s="13">
        <v>1</v>
      </c>
      <c r="C51" s="13"/>
      <c r="D51" s="13"/>
      <c r="E51" s="13"/>
      <c r="F51" s="13"/>
      <c r="G51" s="13"/>
      <c r="H51" s="13"/>
      <c r="I51" s="13"/>
      <c r="J51" s="13"/>
      <c r="K51" s="13"/>
      <c r="L51" s="13"/>
      <c r="M51" s="13"/>
    </row>
    <row r="52" spans="1:14">
      <c r="A52" s="12" t="s">
        <v>16</v>
      </c>
      <c r="B52" s="13" t="s">
        <v>17</v>
      </c>
      <c r="C52" s="13"/>
      <c r="D52" s="13"/>
      <c r="E52" s="13"/>
      <c r="F52" s="13"/>
      <c r="G52" s="13"/>
      <c r="H52" s="13"/>
      <c r="I52" s="13"/>
      <c r="J52" s="13"/>
      <c r="K52" s="13"/>
      <c r="L52" s="13"/>
      <c r="M52" s="13"/>
    </row>
    <row r="53" spans="1:14">
      <c r="A53" s="12" t="s">
        <v>18</v>
      </c>
      <c r="B53" s="13" t="s">
        <v>18</v>
      </c>
      <c r="C53" s="13"/>
      <c r="D53" s="13"/>
      <c r="E53" s="13"/>
      <c r="F53" s="13"/>
      <c r="G53" s="13"/>
      <c r="H53" s="13"/>
      <c r="I53" s="13"/>
      <c r="J53" s="13"/>
      <c r="K53" s="13"/>
      <c r="L53" s="13"/>
      <c r="M53" s="13"/>
    </row>
    <row r="54" spans="1:14" ht="15.75">
      <c r="A54" s="5" t="s">
        <v>19</v>
      </c>
      <c r="B54" s="13"/>
      <c r="C54" s="13"/>
      <c r="D54" s="13"/>
      <c r="E54" s="13"/>
      <c r="F54" s="13"/>
      <c r="G54" s="13"/>
      <c r="H54" s="13"/>
      <c r="I54" s="13"/>
      <c r="J54" s="13"/>
      <c r="K54" s="13"/>
      <c r="L54" s="13"/>
      <c r="M54" s="13"/>
    </row>
    <row r="55" spans="1:14"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4">
      <c r="A56" t="str">
        <f>B46</f>
        <v>aircraft usage, design mission, GT-bat, SAF</v>
      </c>
      <c r="B56">
        <v>1</v>
      </c>
      <c r="C56" t="s">
        <v>18</v>
      </c>
      <c r="D56" t="s">
        <v>58</v>
      </c>
      <c r="E56" t="s">
        <v>29</v>
      </c>
      <c r="F56" t="s">
        <v>14</v>
      </c>
      <c r="G56" t="s">
        <v>30</v>
      </c>
      <c r="H56">
        <v>1</v>
      </c>
      <c r="I56">
        <v>1</v>
      </c>
      <c r="J56" t="s">
        <v>31</v>
      </c>
      <c r="K56" t="s">
        <v>31</v>
      </c>
      <c r="L56" t="s">
        <v>31</v>
      </c>
      <c r="M56" t="s">
        <v>31</v>
      </c>
    </row>
    <row r="57" spans="1:14">
      <c r="A57" t="s">
        <v>32</v>
      </c>
      <c r="B57">
        <f>1/(20*365*4)</f>
        <v>3.4246575342465751E-5</v>
      </c>
      <c r="C57" t="s">
        <v>18</v>
      </c>
      <c r="D57" t="s">
        <v>58</v>
      </c>
      <c r="E57" t="s">
        <v>29</v>
      </c>
      <c r="F57" t="s">
        <v>14</v>
      </c>
      <c r="G57" t="s">
        <v>33</v>
      </c>
      <c r="H57">
        <v>1</v>
      </c>
      <c r="I57">
        <v>1</v>
      </c>
      <c r="J57" t="s">
        <v>31</v>
      </c>
      <c r="K57" t="s">
        <v>31</v>
      </c>
      <c r="L57" t="s">
        <v>31</v>
      </c>
      <c r="M57" t="s">
        <v>31</v>
      </c>
    </row>
    <row r="58" spans="1:14">
      <c r="A58" t="s">
        <v>34</v>
      </c>
      <c r="B58">
        <f>1/(18835+18859)</f>
        <v>2.6529421128030986E-5</v>
      </c>
      <c r="C58" t="s">
        <v>18</v>
      </c>
      <c r="D58" t="s">
        <v>58</v>
      </c>
      <c r="E58" t="s">
        <v>29</v>
      </c>
      <c r="F58" t="s">
        <v>35</v>
      </c>
      <c r="G58" t="s">
        <v>33</v>
      </c>
      <c r="H58">
        <v>1</v>
      </c>
      <c r="I58">
        <v>1</v>
      </c>
      <c r="J58" t="s">
        <v>31</v>
      </c>
      <c r="K58" t="s">
        <v>31</v>
      </c>
      <c r="L58" t="s">
        <v>31</v>
      </c>
      <c r="M58" t="s">
        <v>31</v>
      </c>
    </row>
    <row r="59" spans="1:14">
      <c r="A59" t="s">
        <v>59</v>
      </c>
      <c r="B59">
        <v>729.99</v>
      </c>
      <c r="C59" t="s">
        <v>37</v>
      </c>
      <c r="D59" t="s">
        <v>58</v>
      </c>
      <c r="E59" t="s">
        <v>29</v>
      </c>
      <c r="F59" t="s">
        <v>60</v>
      </c>
      <c r="G59" t="s">
        <v>33</v>
      </c>
      <c r="H59">
        <v>2</v>
      </c>
      <c r="I59">
        <f>LN(B59)</f>
        <v>6.5930308354184728</v>
      </c>
      <c r="J59">
        <v>5.0990195135927806E-2</v>
      </c>
      <c r="K59" t="s">
        <v>31</v>
      </c>
      <c r="L59" t="s">
        <v>31</v>
      </c>
      <c r="M59" t="s">
        <v>31</v>
      </c>
    </row>
    <row r="60" spans="1:14">
      <c r="A60" t="s">
        <v>40</v>
      </c>
      <c r="B60">
        <v>1795.204209</v>
      </c>
      <c r="C60" t="s">
        <v>41</v>
      </c>
      <c r="D60" t="s">
        <v>38</v>
      </c>
      <c r="E60" t="s">
        <v>29</v>
      </c>
      <c r="F60" t="s">
        <v>14</v>
      </c>
      <c r="G60" t="s">
        <v>33</v>
      </c>
      <c r="H60">
        <v>2</v>
      </c>
      <c r="I60">
        <v>6.8045637793074842</v>
      </c>
      <c r="J60">
        <v>5.0990195135927806E-2</v>
      </c>
      <c r="K60" t="s">
        <v>31</v>
      </c>
      <c r="L60" t="s">
        <v>31</v>
      </c>
      <c r="M60" t="s">
        <v>31</v>
      </c>
    </row>
    <row r="61" spans="1:14">
      <c r="A61" t="s">
        <v>42</v>
      </c>
      <c r="B61">
        <f>2*N61</f>
        <v>10.051518072943965</v>
      </c>
      <c r="C61" t="s">
        <v>37</v>
      </c>
      <c r="D61" t="s">
        <v>43</v>
      </c>
      <c r="E61" t="s">
        <v>44</v>
      </c>
      <c r="F61" t="s">
        <v>29</v>
      </c>
      <c r="G61" t="s">
        <v>45</v>
      </c>
      <c r="H61">
        <v>2</v>
      </c>
      <c r="I61">
        <f>LN(B61)</f>
        <v>2.3077236751321002</v>
      </c>
      <c r="J61">
        <v>5.0990195135927806E-2</v>
      </c>
      <c r="K61" t="s">
        <v>31</v>
      </c>
      <c r="L61" t="s">
        <v>31</v>
      </c>
      <c r="M61" t="s">
        <v>31</v>
      </c>
      <c r="N61" s="22">
        <f>SUM('[1]Use (HEFA)'!H171:L171,'[1]Use (HEFA)'!Q171)</f>
        <v>5.0257590364719826</v>
      </c>
    </row>
    <row r="62" spans="1:14">
      <c r="A62" t="s">
        <v>46</v>
      </c>
      <c r="B62">
        <f t="shared" ref="B62:B64" si="5">2*N62</f>
        <v>2.1126673527928355</v>
      </c>
      <c r="C62" t="s">
        <v>37</v>
      </c>
      <c r="D62" t="s">
        <v>43</v>
      </c>
      <c r="E62" t="s">
        <v>44</v>
      </c>
      <c r="F62" t="s">
        <v>29</v>
      </c>
      <c r="G62" t="s">
        <v>45</v>
      </c>
      <c r="H62">
        <v>2</v>
      </c>
      <c r="I62">
        <f t="shared" ref="I62:I66" si="6">LN(B62)</f>
        <v>0.74795129736839661</v>
      </c>
      <c r="J62">
        <v>5.0990195135927806E-2</v>
      </c>
      <c r="K62" t="s">
        <v>31</v>
      </c>
      <c r="L62" t="s">
        <v>31</v>
      </c>
      <c r="M62" t="s">
        <v>31</v>
      </c>
      <c r="N62" s="22">
        <f>SUM('[1]Use (HEFA)'!H172:L172,'[1]Use (HEFA)'!Q172)</f>
        <v>1.0563336763964177</v>
      </c>
    </row>
    <row r="63" spans="1:14">
      <c r="A63" t="s">
        <v>47</v>
      </c>
      <c r="B63">
        <f t="shared" si="5"/>
        <v>0.20461788515622994</v>
      </c>
      <c r="C63" t="s">
        <v>37</v>
      </c>
      <c r="D63" t="s">
        <v>43</v>
      </c>
      <c r="E63" t="s">
        <v>44</v>
      </c>
      <c r="F63" t="s">
        <v>29</v>
      </c>
      <c r="G63" t="s">
        <v>45</v>
      </c>
      <c r="H63">
        <v>2</v>
      </c>
      <c r="I63">
        <f t="shared" si="6"/>
        <v>-1.5866110140542593</v>
      </c>
      <c r="J63">
        <v>5.0990195135927806E-2</v>
      </c>
      <c r="K63" t="s">
        <v>31</v>
      </c>
      <c r="L63" t="s">
        <v>31</v>
      </c>
      <c r="M63" t="s">
        <v>31</v>
      </c>
      <c r="N63" s="22">
        <f>SUM('[1]Use (HEFA)'!H173:L173,'[1]Use (HEFA)'!Q173)</f>
        <v>0.10230894257811497</v>
      </c>
    </row>
    <row r="64" spans="1:14">
      <c r="A64" t="s">
        <v>48</v>
      </c>
      <c r="B64">
        <f t="shared" si="5"/>
        <v>2262.9631611975333</v>
      </c>
      <c r="C64" t="s">
        <v>37</v>
      </c>
      <c r="D64" t="s">
        <v>43</v>
      </c>
      <c r="E64" t="s">
        <v>44</v>
      </c>
      <c r="F64" t="s">
        <v>29</v>
      </c>
      <c r="G64" t="s">
        <v>45</v>
      </c>
      <c r="H64">
        <v>2</v>
      </c>
      <c r="I64">
        <f t="shared" si="6"/>
        <v>7.7244303667549188</v>
      </c>
      <c r="J64">
        <v>5.0990195135927806E-2</v>
      </c>
      <c r="K64" t="s">
        <v>31</v>
      </c>
      <c r="L64" t="s">
        <v>31</v>
      </c>
      <c r="M64" t="s">
        <v>31</v>
      </c>
      <c r="N64" s="22">
        <f>SUM('[1]Use (HEFA)'!H174:L174,'[1]Use (HEFA)'!Q174)</f>
        <v>1131.4815805987666</v>
      </c>
    </row>
    <row r="65" spans="1:14">
      <c r="A65" t="s">
        <v>49</v>
      </c>
      <c r="B65">
        <f>2*N65/1000</f>
        <v>0.98767342462249053</v>
      </c>
      <c r="C65" t="s">
        <v>50</v>
      </c>
      <c r="D65" t="s">
        <v>43</v>
      </c>
      <c r="E65" t="s">
        <v>44</v>
      </c>
      <c r="F65" t="s">
        <v>29</v>
      </c>
      <c r="G65" t="s">
        <v>45</v>
      </c>
      <c r="H65">
        <v>2</v>
      </c>
      <c r="I65">
        <f t="shared" si="6"/>
        <v>-1.2403177755347888E-2</v>
      </c>
      <c r="J65">
        <v>5.0990195135927806E-2</v>
      </c>
      <c r="K65" t="s">
        <v>31</v>
      </c>
      <c r="L65" t="s">
        <v>31</v>
      </c>
      <c r="M65" t="s">
        <v>31</v>
      </c>
      <c r="N65" s="22">
        <f>SUM('[1]Use (HEFA)'!H175:L175,'[1]Use (HEFA)'!Q175)</f>
        <v>493.83671231124526</v>
      </c>
    </row>
    <row r="66" spans="1:14">
      <c r="A66" t="s">
        <v>51</v>
      </c>
      <c r="B66">
        <f t="shared" ref="B66" si="7">2*N66</f>
        <v>0.15942932441799851</v>
      </c>
      <c r="C66" t="s">
        <v>37</v>
      </c>
      <c r="D66" t="s">
        <v>43</v>
      </c>
      <c r="E66" t="s">
        <v>44</v>
      </c>
      <c r="F66" t="s">
        <v>29</v>
      </c>
      <c r="G66" t="s">
        <v>45</v>
      </c>
      <c r="H66">
        <v>2</v>
      </c>
      <c r="I66">
        <f t="shared" si="6"/>
        <v>-1.8361545620553856</v>
      </c>
      <c r="J66">
        <v>5.0990195135927806E-2</v>
      </c>
      <c r="K66" t="s">
        <v>31</v>
      </c>
      <c r="L66" t="s">
        <v>31</v>
      </c>
      <c r="M66" t="s">
        <v>31</v>
      </c>
      <c r="N66" s="22">
        <f>SUM('[1]Use (HEFA)'!H176:L176,'[1]Use (HEFA)'!Q176)</f>
        <v>7.9714662208999254E-2</v>
      </c>
    </row>
    <row r="67" spans="1:14" ht="15.75">
      <c r="A67" s="1" t="s">
        <v>5</v>
      </c>
      <c r="B67" s="2" t="s">
        <v>61</v>
      </c>
      <c r="C67" s="3"/>
      <c r="D67" s="11"/>
      <c r="E67" s="11"/>
      <c r="F67" s="11"/>
      <c r="G67" s="11"/>
      <c r="H67" s="11"/>
      <c r="I67" s="11"/>
      <c r="J67" s="11"/>
      <c r="K67" s="11"/>
      <c r="L67" s="11"/>
      <c r="M67" s="11"/>
    </row>
    <row r="68" spans="1:14">
      <c r="A68" s="12" t="s">
        <v>7</v>
      </c>
      <c r="B68" s="13" t="s">
        <v>8</v>
      </c>
      <c r="C68" s="4"/>
      <c r="D68" s="13"/>
      <c r="E68" s="13"/>
      <c r="F68" s="13"/>
      <c r="G68" s="13"/>
      <c r="H68" s="13"/>
      <c r="I68" s="13"/>
      <c r="J68" s="13"/>
      <c r="K68" s="13"/>
      <c r="L68" s="13"/>
      <c r="M68" s="13"/>
    </row>
    <row r="69" spans="1:14">
      <c r="A69" s="12" t="s">
        <v>9</v>
      </c>
      <c r="B69" s="13" t="s">
        <v>62</v>
      </c>
      <c r="C69" s="4"/>
      <c r="D69" s="13"/>
      <c r="E69" s="13"/>
      <c r="F69" s="13"/>
      <c r="G69" s="13"/>
      <c r="H69" s="13"/>
      <c r="I69" s="13"/>
      <c r="J69" s="13"/>
      <c r="K69" s="13"/>
      <c r="L69" s="13"/>
      <c r="M69" s="13"/>
    </row>
    <row r="70" spans="1:14" ht="60">
      <c r="A70" s="12" t="s">
        <v>11</v>
      </c>
      <c r="B70" s="14" t="s">
        <v>63</v>
      </c>
      <c r="C70" s="13"/>
      <c r="D70" s="13"/>
      <c r="E70" s="13"/>
      <c r="F70" s="13"/>
      <c r="G70" s="13"/>
      <c r="H70" s="13"/>
      <c r="I70" s="13"/>
      <c r="J70" s="13"/>
      <c r="K70" s="13"/>
      <c r="L70" s="13"/>
      <c r="M70" s="13"/>
    </row>
    <row r="71" spans="1:14">
      <c r="A71" s="12" t="s">
        <v>13</v>
      </c>
      <c r="B71" s="13" t="s">
        <v>14</v>
      </c>
      <c r="C71" s="13"/>
      <c r="D71" s="13"/>
      <c r="E71" s="13"/>
      <c r="F71" s="13"/>
      <c r="G71" s="13"/>
      <c r="H71" s="13"/>
      <c r="I71" s="13"/>
      <c r="J71" s="13"/>
      <c r="K71" s="13"/>
      <c r="L71" s="13"/>
      <c r="M71" s="13"/>
    </row>
    <row r="72" spans="1:14">
      <c r="A72" s="12" t="s">
        <v>15</v>
      </c>
      <c r="B72" s="13">
        <v>1</v>
      </c>
      <c r="C72" s="13"/>
      <c r="D72" s="13"/>
      <c r="E72" s="13"/>
      <c r="F72" s="13"/>
      <c r="G72" s="13"/>
      <c r="H72" s="13"/>
      <c r="I72" s="13"/>
      <c r="J72" s="13"/>
      <c r="K72" s="13"/>
      <c r="L72" s="13"/>
      <c r="M72" s="13"/>
    </row>
    <row r="73" spans="1:14">
      <c r="A73" s="12" t="s">
        <v>16</v>
      </c>
      <c r="B73" s="13" t="s">
        <v>17</v>
      </c>
      <c r="C73" s="13"/>
      <c r="D73" s="13"/>
      <c r="E73" s="13"/>
      <c r="F73" s="13"/>
      <c r="G73" s="13"/>
      <c r="H73" s="13"/>
      <c r="I73" s="13"/>
      <c r="J73" s="13"/>
      <c r="K73" s="13"/>
      <c r="L73" s="13"/>
      <c r="M73" s="13"/>
    </row>
    <row r="74" spans="1:14">
      <c r="A74" s="12" t="s">
        <v>18</v>
      </c>
      <c r="B74" s="13" t="s">
        <v>18</v>
      </c>
      <c r="C74" s="13"/>
      <c r="D74" s="13"/>
      <c r="E74" s="13"/>
      <c r="F74" s="13"/>
      <c r="G74" s="13"/>
      <c r="H74" s="13"/>
      <c r="I74" s="13"/>
      <c r="J74" s="13"/>
      <c r="K74" s="13"/>
      <c r="L74" s="13"/>
      <c r="M74" s="13"/>
    </row>
    <row r="75" spans="1:14" ht="15.75">
      <c r="A75" s="5" t="s">
        <v>19</v>
      </c>
      <c r="B75" s="13"/>
      <c r="C75" s="13"/>
      <c r="D75" s="13"/>
      <c r="E75" s="13"/>
      <c r="F75" s="13"/>
      <c r="G75" s="13"/>
      <c r="H75" s="13"/>
      <c r="I75" s="13"/>
      <c r="J75" s="13"/>
      <c r="K75" s="13"/>
      <c r="L75" s="13"/>
      <c r="M75" s="13"/>
    </row>
    <row r="76" spans="1:14" ht="15.75">
      <c r="A76" s="5" t="s">
        <v>20</v>
      </c>
      <c r="B76" s="6" t="s">
        <v>21</v>
      </c>
      <c r="C76" s="6" t="s">
        <v>18</v>
      </c>
      <c r="D76" s="6" t="s">
        <v>22</v>
      </c>
      <c r="E76" s="6" t="s">
        <v>7</v>
      </c>
      <c r="F76" s="6" t="s">
        <v>13</v>
      </c>
      <c r="G76" s="6" t="s">
        <v>16</v>
      </c>
      <c r="H76" s="6" t="s">
        <v>23</v>
      </c>
      <c r="I76" s="6" t="s">
        <v>24</v>
      </c>
      <c r="J76" s="6" t="s">
        <v>25</v>
      </c>
      <c r="K76" s="6" t="s">
        <v>26</v>
      </c>
      <c r="L76" s="6" t="s">
        <v>27</v>
      </c>
      <c r="M76" s="6" t="s">
        <v>28</v>
      </c>
    </row>
    <row r="77" spans="1:14">
      <c r="A77" t="str">
        <f>B67</f>
        <v>aircraft usage, typical mission, GT-bat, SAF</v>
      </c>
      <c r="B77">
        <v>1</v>
      </c>
      <c r="C77" t="s">
        <v>18</v>
      </c>
      <c r="D77" t="s">
        <v>58</v>
      </c>
      <c r="E77" t="s">
        <v>29</v>
      </c>
      <c r="F77" t="s">
        <v>14</v>
      </c>
      <c r="G77" t="s">
        <v>30</v>
      </c>
      <c r="H77">
        <v>1</v>
      </c>
      <c r="I77">
        <v>1</v>
      </c>
      <c r="J77" t="s">
        <v>31</v>
      </c>
      <c r="K77" t="s">
        <v>31</v>
      </c>
      <c r="L77" t="s">
        <v>31</v>
      </c>
      <c r="M77" t="s">
        <v>31</v>
      </c>
    </row>
    <row r="78" spans="1:14">
      <c r="A78" t="s">
        <v>32</v>
      </c>
      <c r="B78">
        <f>1/(20*365*4)</f>
        <v>3.4246575342465751E-5</v>
      </c>
      <c r="C78" t="s">
        <v>18</v>
      </c>
      <c r="D78" t="s">
        <v>58</v>
      </c>
      <c r="E78" t="s">
        <v>29</v>
      </c>
      <c r="F78" t="s">
        <v>14</v>
      </c>
      <c r="G78" t="s">
        <v>33</v>
      </c>
      <c r="H78">
        <v>1</v>
      </c>
      <c r="I78">
        <v>1</v>
      </c>
      <c r="J78" t="s">
        <v>31</v>
      </c>
      <c r="K78" t="s">
        <v>31</v>
      </c>
      <c r="L78" t="s">
        <v>31</v>
      </c>
      <c r="M78" t="s">
        <v>31</v>
      </c>
    </row>
    <row r="79" spans="1:14">
      <c r="A79" t="s">
        <v>34</v>
      </c>
      <c r="B79">
        <f>1/(18835+18859)</f>
        <v>2.6529421128030986E-5</v>
      </c>
      <c r="C79" t="s">
        <v>18</v>
      </c>
      <c r="D79" t="s">
        <v>58</v>
      </c>
      <c r="E79" t="s">
        <v>29</v>
      </c>
      <c r="F79" t="s">
        <v>35</v>
      </c>
      <c r="G79" t="s">
        <v>33</v>
      </c>
      <c r="H79">
        <v>1</v>
      </c>
      <c r="I79">
        <v>1</v>
      </c>
      <c r="J79" t="s">
        <v>31</v>
      </c>
      <c r="K79" t="s">
        <v>31</v>
      </c>
      <c r="L79" t="s">
        <v>31</v>
      </c>
      <c r="M79" t="s">
        <v>31</v>
      </c>
    </row>
    <row r="80" spans="1:14">
      <c r="A80" t="s">
        <v>59</v>
      </c>
      <c r="B80">
        <v>237.11</v>
      </c>
      <c r="C80" t="s">
        <v>37</v>
      </c>
      <c r="D80" t="s">
        <v>58</v>
      </c>
      <c r="E80" t="s">
        <v>29</v>
      </c>
      <c r="F80" t="s">
        <v>60</v>
      </c>
      <c r="G80" t="s">
        <v>33</v>
      </c>
      <c r="H80">
        <v>2</v>
      </c>
      <c r="I80">
        <f>LN(B80)</f>
        <v>5.4685241684788863</v>
      </c>
      <c r="J80">
        <v>5.0990195135927806E-2</v>
      </c>
      <c r="K80" t="s">
        <v>31</v>
      </c>
      <c r="L80" t="s">
        <v>31</v>
      </c>
      <c r="M80" t="s">
        <v>31</v>
      </c>
    </row>
    <row r="81" spans="1:14">
      <c r="A81" t="s">
        <v>40</v>
      </c>
      <c r="B81">
        <v>901.95423300000004</v>
      </c>
      <c r="C81" t="s">
        <v>41</v>
      </c>
      <c r="D81" t="s">
        <v>38</v>
      </c>
      <c r="E81" t="s">
        <v>29</v>
      </c>
      <c r="F81" t="s">
        <v>14</v>
      </c>
      <c r="G81" t="s">
        <v>33</v>
      </c>
      <c r="H81">
        <v>2</v>
      </c>
      <c r="I81">
        <v>6.8045637793074842</v>
      </c>
      <c r="J81">
        <v>5.0990195135927806E-2</v>
      </c>
      <c r="K81" t="s">
        <v>31</v>
      </c>
      <c r="L81" t="s">
        <v>31</v>
      </c>
      <c r="M81" t="s">
        <v>31</v>
      </c>
    </row>
    <row r="82" spans="1:14">
      <c r="A82" t="s">
        <v>42</v>
      </c>
      <c r="B82">
        <f>2*N82</f>
        <v>1.648610162021418</v>
      </c>
      <c r="C82" t="s">
        <v>37</v>
      </c>
      <c r="D82" t="s">
        <v>43</v>
      </c>
      <c r="E82" t="s">
        <v>44</v>
      </c>
      <c r="F82" t="s">
        <v>29</v>
      </c>
      <c r="G82" t="s">
        <v>45</v>
      </c>
      <c r="H82">
        <v>2</v>
      </c>
      <c r="I82">
        <f>LN(B82)</f>
        <v>0.49993260690893876</v>
      </c>
      <c r="J82">
        <v>5.0990195135927806E-2</v>
      </c>
      <c r="K82" t="s">
        <v>31</v>
      </c>
      <c r="L82" t="s">
        <v>31</v>
      </c>
      <c r="M82" t="s">
        <v>31</v>
      </c>
      <c r="N82" s="22">
        <f>SUM('[1]Use (HEFA)'!H359:L359,'[1]Use (HEFA)'!Q359)</f>
        <v>0.82430508101070898</v>
      </c>
    </row>
    <row r="83" spans="1:14">
      <c r="A83" t="s">
        <v>46</v>
      </c>
      <c r="B83">
        <f t="shared" ref="B83:B85" si="8">2*N83</f>
        <v>1.7992103243727813</v>
      </c>
      <c r="C83" t="s">
        <v>37</v>
      </c>
      <c r="D83" t="s">
        <v>43</v>
      </c>
      <c r="E83" t="s">
        <v>44</v>
      </c>
      <c r="F83" t="s">
        <v>29</v>
      </c>
      <c r="G83" t="s">
        <v>45</v>
      </c>
      <c r="H83">
        <v>2</v>
      </c>
      <c r="I83">
        <f t="shared" ref="I83:I87" si="9">LN(B83)</f>
        <v>0.58734785995952243</v>
      </c>
      <c r="J83">
        <v>5.0990195135927806E-2</v>
      </c>
      <c r="K83" t="s">
        <v>31</v>
      </c>
      <c r="L83" t="s">
        <v>31</v>
      </c>
      <c r="M83" t="s">
        <v>31</v>
      </c>
      <c r="N83" s="22">
        <f>SUM('[1]Use (HEFA)'!H360:L360,'[1]Use (HEFA)'!Q360)</f>
        <v>0.89960516218639064</v>
      </c>
    </row>
    <row r="84" spans="1:14">
      <c r="A84" t="s">
        <v>47</v>
      </c>
      <c r="B84">
        <f t="shared" si="8"/>
        <v>0.15990721651895712</v>
      </c>
      <c r="C84" t="s">
        <v>37</v>
      </c>
      <c r="D84" t="s">
        <v>43</v>
      </c>
      <c r="E84" t="s">
        <v>44</v>
      </c>
      <c r="F84" t="s">
        <v>29</v>
      </c>
      <c r="G84" t="s">
        <v>45</v>
      </c>
      <c r="H84">
        <v>2</v>
      </c>
      <c r="I84">
        <f t="shared" si="9"/>
        <v>-1.8331615287099832</v>
      </c>
      <c r="J84">
        <v>5.0990195135927806E-2</v>
      </c>
      <c r="K84" t="s">
        <v>31</v>
      </c>
      <c r="L84" t="s">
        <v>31</v>
      </c>
      <c r="M84" t="s">
        <v>31</v>
      </c>
      <c r="N84" s="22">
        <f>SUM('[1]Use (HEFA)'!H361:L361,'[1]Use (HEFA)'!Q361)</f>
        <v>7.9953608259478559E-2</v>
      </c>
    </row>
    <row r="85" spans="1:14">
      <c r="A85" t="s">
        <v>48</v>
      </c>
      <c r="B85">
        <f t="shared" si="8"/>
        <v>735.04777201139655</v>
      </c>
      <c r="C85" t="s">
        <v>37</v>
      </c>
      <c r="D85" t="s">
        <v>43</v>
      </c>
      <c r="E85" t="s">
        <v>44</v>
      </c>
      <c r="F85" t="s">
        <v>29</v>
      </c>
      <c r="G85" t="s">
        <v>45</v>
      </c>
      <c r="H85">
        <v>2</v>
      </c>
      <c r="I85">
        <f t="shared" si="9"/>
        <v>6.5999354930345655</v>
      </c>
      <c r="J85">
        <v>5.0990195135927806E-2</v>
      </c>
      <c r="K85" t="s">
        <v>31</v>
      </c>
      <c r="L85" t="s">
        <v>31</v>
      </c>
      <c r="M85" t="s">
        <v>31</v>
      </c>
      <c r="N85" s="22">
        <f>SUM('[1]Use (HEFA)'!H362:L362,'[1]Use (HEFA)'!Q362)</f>
        <v>367.52388600569827</v>
      </c>
    </row>
    <row r="86" spans="1:14">
      <c r="A86" t="s">
        <v>49</v>
      </c>
      <c r="B86">
        <f>2*N86/1000</f>
        <v>0.32081262421410506</v>
      </c>
      <c r="C86" t="s">
        <v>50</v>
      </c>
      <c r="D86" t="s">
        <v>43</v>
      </c>
      <c r="E86" t="s">
        <v>44</v>
      </c>
      <c r="F86" t="s">
        <v>29</v>
      </c>
      <c r="G86" t="s">
        <v>45</v>
      </c>
      <c r="H86">
        <v>2</v>
      </c>
      <c r="I86">
        <f t="shared" si="9"/>
        <v>-1.1368980514757012</v>
      </c>
      <c r="J86">
        <v>5.0990195135927806E-2</v>
      </c>
      <c r="K86" t="s">
        <v>31</v>
      </c>
      <c r="L86" t="s">
        <v>31</v>
      </c>
      <c r="M86" t="s">
        <v>31</v>
      </c>
      <c r="N86" s="22">
        <f>SUM('[1]Use (HEFA)'!H363:L363,'[1]Use (HEFA)'!Q363)</f>
        <v>160.40631210705254</v>
      </c>
    </row>
    <row r="87" spans="1:14">
      <c r="A87" t="s">
        <v>51</v>
      </c>
      <c r="B87">
        <f t="shared" ref="B87" si="10">2*N87</f>
        <v>5.1785275039438694E-2</v>
      </c>
      <c r="C87" t="s">
        <v>37</v>
      </c>
      <c r="D87" t="s">
        <v>43</v>
      </c>
      <c r="E87" t="s">
        <v>44</v>
      </c>
      <c r="F87" t="s">
        <v>29</v>
      </c>
      <c r="G87" t="s">
        <v>45</v>
      </c>
      <c r="H87">
        <v>2</v>
      </c>
      <c r="I87">
        <f t="shared" si="9"/>
        <v>-2.9606494357757391</v>
      </c>
      <c r="J87">
        <v>5.0990195135927806E-2</v>
      </c>
      <c r="K87" t="s">
        <v>31</v>
      </c>
      <c r="L87" t="s">
        <v>31</v>
      </c>
      <c r="M87" t="s">
        <v>31</v>
      </c>
      <c r="N87" s="22">
        <f>SUM('[1]Use (HEFA)'!H364:L364,'[1]Use (HEFA)'!Q364)</f>
        <v>2.5892637519719347E-2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9B534-707D-45FD-B950-A0EA3A2BA37D}">
  <sheetPr>
    <tabColor theme="9" tint="0.79998168889431442"/>
  </sheetPr>
  <dimension ref="A1:P72"/>
  <sheetViews>
    <sheetView topLeftCell="A32" zoomScale="85" zoomScaleNormal="85" workbookViewId="0">
      <selection activeCell="A43" sqref="A4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399" customFormat="1" ht="15.75">
      <c r="A2" s="396" t="s">
        <v>5</v>
      </c>
      <c r="B2" s="396" t="s">
        <v>285</v>
      </c>
      <c r="C2" s="396"/>
      <c r="D2" s="397"/>
      <c r="E2" s="398"/>
      <c r="F2" s="398"/>
      <c r="G2" s="398"/>
      <c r="H2" s="398"/>
      <c r="I2" s="398"/>
      <c r="J2" s="398"/>
      <c r="K2" s="398"/>
      <c r="L2" s="398"/>
      <c r="M2" s="398"/>
      <c r="N2" s="398"/>
      <c r="O2" s="398"/>
      <c r="P2" s="398"/>
    </row>
    <row r="3" spans="1:16">
      <c r="A3" s="30" t="s">
        <v>7</v>
      </c>
      <c r="B3" s="30" t="s">
        <v>82</v>
      </c>
      <c r="C3" s="30"/>
      <c r="D3" s="30"/>
      <c r="E3" s="30"/>
      <c r="F3" s="30"/>
      <c r="G3" s="30"/>
      <c r="H3" s="30"/>
      <c r="I3" s="30"/>
      <c r="J3" s="30"/>
      <c r="K3" s="30"/>
      <c r="L3" s="30"/>
      <c r="M3" s="30"/>
      <c r="N3" s="30"/>
      <c r="O3" s="30"/>
      <c r="P3" s="30"/>
    </row>
    <row r="4" spans="1:16">
      <c r="A4" s="30" t="s">
        <v>9</v>
      </c>
      <c r="B4" s="394" t="s">
        <v>286</v>
      </c>
      <c r="C4" s="30"/>
      <c r="D4" s="30"/>
      <c r="E4" s="30"/>
      <c r="F4" s="30"/>
      <c r="G4" s="30"/>
      <c r="H4" s="30"/>
      <c r="I4" s="30"/>
      <c r="J4" s="30"/>
      <c r="K4" s="30"/>
      <c r="L4" s="30"/>
      <c r="M4" s="30"/>
      <c r="N4" s="30"/>
      <c r="O4" s="30"/>
      <c r="P4" s="30"/>
    </row>
    <row r="5" spans="1:16">
      <c r="A5" s="30" t="s">
        <v>11</v>
      </c>
      <c r="B5" s="30" t="s">
        <v>84</v>
      </c>
      <c r="C5" s="30"/>
      <c r="D5" s="30"/>
      <c r="E5" s="30"/>
      <c r="F5" s="30"/>
      <c r="G5" s="30"/>
      <c r="H5" s="30"/>
      <c r="I5" s="30"/>
      <c r="J5" s="30"/>
      <c r="K5" s="30"/>
      <c r="L5" s="30"/>
      <c r="M5" s="30"/>
      <c r="N5" s="30"/>
      <c r="O5" s="30"/>
      <c r="P5" s="30"/>
    </row>
    <row r="6" spans="1:16">
      <c r="A6" s="30" t="s">
        <v>13</v>
      </c>
      <c r="B6" s="30" t="s">
        <v>60</v>
      </c>
      <c r="C6" s="30"/>
      <c r="D6" s="30"/>
      <c r="E6" s="30"/>
      <c r="F6" s="30"/>
      <c r="G6" s="30"/>
      <c r="H6" s="30"/>
      <c r="I6" s="30"/>
      <c r="J6" s="30"/>
      <c r="K6" s="30"/>
      <c r="L6" s="30"/>
      <c r="M6" s="30"/>
      <c r="N6" s="30"/>
      <c r="O6" s="30"/>
      <c r="P6" s="30"/>
    </row>
    <row r="7" spans="1:16">
      <c r="A7" s="30" t="s">
        <v>15</v>
      </c>
      <c r="B7" s="30">
        <v>1</v>
      </c>
      <c r="C7" s="30"/>
      <c r="D7" s="30"/>
      <c r="E7" s="30"/>
      <c r="F7" s="30"/>
      <c r="G7" s="30"/>
      <c r="H7" s="30"/>
      <c r="I7" s="30"/>
      <c r="J7" s="30"/>
      <c r="K7" s="30"/>
      <c r="L7" s="30"/>
      <c r="M7" s="30"/>
      <c r="N7" s="30"/>
      <c r="O7" s="30"/>
      <c r="P7" s="30"/>
    </row>
    <row r="8" spans="1:16">
      <c r="A8" s="30" t="s">
        <v>16</v>
      </c>
      <c r="B8" s="30" t="s">
        <v>17</v>
      </c>
      <c r="C8" s="30"/>
      <c r="D8" s="30"/>
      <c r="E8" s="30"/>
      <c r="F8" s="30"/>
      <c r="G8" s="30"/>
      <c r="H8" s="30"/>
      <c r="I8" s="30"/>
      <c r="J8" s="30"/>
      <c r="K8" s="30"/>
      <c r="L8" s="30"/>
      <c r="M8" s="30"/>
      <c r="N8" s="30"/>
      <c r="O8" s="30"/>
      <c r="P8" s="30"/>
    </row>
    <row r="9" spans="1:16">
      <c r="A9" s="30" t="s">
        <v>18</v>
      </c>
      <c r="B9" s="30" t="s">
        <v>18</v>
      </c>
      <c r="C9" s="30"/>
      <c r="D9" s="30"/>
      <c r="E9" s="30" t="s">
        <v>77</v>
      </c>
      <c r="F9" s="30"/>
      <c r="G9" s="30"/>
      <c r="H9" s="30"/>
      <c r="I9" s="30"/>
      <c r="J9" s="30"/>
      <c r="K9" s="30"/>
      <c r="L9" s="30"/>
      <c r="M9" s="30"/>
      <c r="N9" s="30"/>
      <c r="O9" s="30"/>
      <c r="P9" s="30"/>
    </row>
    <row r="10" spans="1:16" ht="15.75">
      <c r="A10" s="395" t="s">
        <v>19</v>
      </c>
      <c r="B10" s="30"/>
      <c r="C10" s="30"/>
      <c r="D10" s="30"/>
      <c r="E10" s="30"/>
      <c r="F10" s="30"/>
      <c r="G10" s="30"/>
      <c r="H10" s="30"/>
      <c r="I10" s="30"/>
      <c r="J10" s="30"/>
      <c r="K10" s="30"/>
      <c r="L10" s="30"/>
      <c r="M10" s="30"/>
      <c r="N10" s="30"/>
      <c r="O10" s="30"/>
      <c r="P10" s="30"/>
    </row>
    <row r="11" spans="1:16" ht="15.75">
      <c r="A11" s="395" t="s">
        <v>20</v>
      </c>
      <c r="B11" s="395" t="s">
        <v>21</v>
      </c>
      <c r="C11" s="395" t="s">
        <v>78</v>
      </c>
      <c r="D11" s="395" t="s">
        <v>18</v>
      </c>
      <c r="E11" s="395" t="s">
        <v>22</v>
      </c>
      <c r="F11" s="395" t="s">
        <v>7</v>
      </c>
      <c r="G11" s="395" t="s">
        <v>13</v>
      </c>
      <c r="H11" s="395" t="s">
        <v>16</v>
      </c>
      <c r="I11" s="395" t="s">
        <v>23</v>
      </c>
      <c r="J11" s="395" t="s">
        <v>24</v>
      </c>
      <c r="K11" s="395" t="s">
        <v>25</v>
      </c>
      <c r="L11" s="395" t="s">
        <v>26</v>
      </c>
      <c r="M11" s="395" t="s">
        <v>27</v>
      </c>
      <c r="N11" s="395" t="s">
        <v>28</v>
      </c>
      <c r="O11" s="395" t="s">
        <v>11</v>
      </c>
      <c r="P11" s="395" t="s">
        <v>79</v>
      </c>
    </row>
    <row r="12" spans="1:16" ht="15.75">
      <c r="A12" s="274" t="s">
        <v>285</v>
      </c>
      <c r="B12" s="274">
        <v>1</v>
      </c>
      <c r="C12" s="274"/>
      <c r="D12" s="274" t="s">
        <v>18</v>
      </c>
      <c r="E12" s="30" t="s">
        <v>2</v>
      </c>
      <c r="F12" s="30" t="s">
        <v>80</v>
      </c>
      <c r="G12" s="274" t="s">
        <v>60</v>
      </c>
      <c r="H12" s="30" t="s">
        <v>30</v>
      </c>
      <c r="I12" s="30">
        <v>0</v>
      </c>
      <c r="J12" s="274" t="s">
        <v>31</v>
      </c>
      <c r="K12" s="274" t="s">
        <v>31</v>
      </c>
      <c r="L12" s="274" t="s">
        <v>31</v>
      </c>
      <c r="M12" s="274" t="s">
        <v>31</v>
      </c>
      <c r="N12" s="274" t="s">
        <v>31</v>
      </c>
      <c r="O12" s="30"/>
      <c r="P12" s="30"/>
    </row>
    <row r="13" spans="1:16" ht="15.75">
      <c r="A13" t="s">
        <v>85</v>
      </c>
      <c r="B13" s="22">
        <f>-0.798</f>
        <v>-0.79800000000000004</v>
      </c>
      <c r="C13" s="274"/>
      <c r="D13" s="274" t="s">
        <v>37</v>
      </c>
      <c r="E13" s="232" t="s">
        <v>38</v>
      </c>
      <c r="F13" s="30" t="s">
        <v>80</v>
      </c>
      <c r="G13" s="274" t="s">
        <v>86</v>
      </c>
      <c r="H13" s="30" t="s">
        <v>33</v>
      </c>
      <c r="I13" s="30">
        <v>0</v>
      </c>
      <c r="J13" s="274" t="s">
        <v>31</v>
      </c>
      <c r="K13" s="274" t="s">
        <v>31</v>
      </c>
      <c r="L13" s="274" t="s">
        <v>31</v>
      </c>
      <c r="M13" s="274" t="s">
        <v>31</v>
      </c>
      <c r="N13" s="274" t="s">
        <v>31</v>
      </c>
      <c r="O13" s="30" t="s">
        <v>87</v>
      </c>
      <c r="P13" s="30" t="s">
        <v>88</v>
      </c>
    </row>
    <row r="14" spans="1:16" s="399" customFormat="1" ht="15.75">
      <c r="A14" s="396" t="s">
        <v>5</v>
      </c>
      <c r="B14" s="396" t="s">
        <v>287</v>
      </c>
      <c r="C14" s="396"/>
      <c r="D14" s="397"/>
      <c r="E14" s="398"/>
      <c r="F14" s="398"/>
      <c r="G14" s="398"/>
      <c r="H14" s="398"/>
      <c r="I14" s="398"/>
      <c r="J14" s="398"/>
      <c r="K14" s="398"/>
      <c r="L14" s="398"/>
      <c r="M14" s="398"/>
      <c r="N14" s="398"/>
      <c r="O14" s="398"/>
      <c r="P14" s="398"/>
    </row>
    <row r="15" spans="1:16">
      <c r="A15" s="30" t="s">
        <v>7</v>
      </c>
      <c r="B15" s="30" t="s">
        <v>82</v>
      </c>
      <c r="C15" s="30"/>
      <c r="D15" s="30"/>
      <c r="E15" s="30"/>
      <c r="F15" s="30"/>
      <c r="G15" s="30"/>
      <c r="H15" s="30"/>
      <c r="I15" s="30"/>
      <c r="J15" s="30"/>
      <c r="K15" s="30"/>
      <c r="L15" s="30"/>
      <c r="M15" s="30"/>
      <c r="N15" s="30"/>
      <c r="O15" s="30"/>
      <c r="P15" s="30"/>
    </row>
    <row r="16" spans="1:16">
      <c r="A16" s="30" t="s">
        <v>9</v>
      </c>
      <c r="B16" s="394" t="s">
        <v>288</v>
      </c>
      <c r="C16" s="30"/>
      <c r="D16" s="30"/>
      <c r="E16" s="30"/>
      <c r="F16" s="30"/>
      <c r="G16" s="30"/>
      <c r="H16" s="30"/>
      <c r="I16" s="30"/>
      <c r="J16" s="30"/>
      <c r="K16" s="30"/>
      <c r="L16" s="30"/>
      <c r="M16" s="30"/>
      <c r="N16" s="30"/>
      <c r="O16" s="30"/>
      <c r="P16" s="30"/>
    </row>
    <row r="17" spans="1:16">
      <c r="A17" s="30" t="s">
        <v>11</v>
      </c>
      <c r="B17" s="30" t="s">
        <v>91</v>
      </c>
      <c r="C17" s="30"/>
      <c r="D17" s="30"/>
      <c r="E17" s="30"/>
      <c r="F17" s="30"/>
      <c r="G17" s="30"/>
      <c r="H17" s="30"/>
      <c r="I17" s="30"/>
      <c r="J17" s="30"/>
      <c r="K17" s="30"/>
      <c r="L17" s="30"/>
      <c r="M17" s="30"/>
      <c r="N17" s="30"/>
      <c r="O17" s="30"/>
      <c r="P17" s="30"/>
    </row>
    <row r="18" spans="1:16">
      <c r="A18" s="30" t="s">
        <v>13</v>
      </c>
      <c r="B18" s="30" t="s">
        <v>60</v>
      </c>
      <c r="C18" s="30"/>
      <c r="D18" s="30"/>
      <c r="E18" s="30"/>
      <c r="F18" s="30"/>
      <c r="G18" s="30"/>
      <c r="H18" s="30"/>
      <c r="I18" s="30"/>
      <c r="J18" s="30"/>
      <c r="K18" s="30"/>
      <c r="L18" s="30"/>
      <c r="M18" s="30"/>
      <c r="N18" s="30"/>
      <c r="O18" s="30"/>
      <c r="P18" s="30"/>
    </row>
    <row r="19" spans="1:16">
      <c r="A19" s="30" t="s">
        <v>15</v>
      </c>
      <c r="B19" s="30">
        <v>1</v>
      </c>
      <c r="C19" s="30"/>
      <c r="D19" s="30"/>
      <c r="E19" s="30"/>
      <c r="F19" s="30"/>
      <c r="G19" s="30"/>
      <c r="H19" s="30"/>
      <c r="I19" s="30"/>
      <c r="J19" s="30"/>
      <c r="K19" s="30"/>
      <c r="L19" s="30"/>
      <c r="M19" s="30"/>
      <c r="N19" s="30"/>
      <c r="O19" s="30"/>
      <c r="P19" s="30"/>
    </row>
    <row r="20" spans="1:16">
      <c r="A20" s="30" t="s">
        <v>16</v>
      </c>
      <c r="B20" s="30" t="s">
        <v>17</v>
      </c>
      <c r="C20" s="30"/>
      <c r="D20" s="30"/>
      <c r="E20" s="30"/>
      <c r="F20" s="30"/>
      <c r="G20" s="30"/>
      <c r="H20" s="30"/>
      <c r="I20" s="30"/>
      <c r="J20" s="30"/>
      <c r="K20" s="30"/>
      <c r="L20" s="30"/>
      <c r="M20" s="30"/>
      <c r="N20" s="30"/>
      <c r="O20" s="30"/>
      <c r="P20" s="30"/>
    </row>
    <row r="21" spans="1:16">
      <c r="A21" s="30" t="s">
        <v>18</v>
      </c>
      <c r="B21" s="30" t="s">
        <v>18</v>
      </c>
      <c r="C21" s="30"/>
      <c r="D21" s="30"/>
      <c r="E21" s="30" t="s">
        <v>77</v>
      </c>
      <c r="F21" s="30"/>
      <c r="G21" s="30"/>
      <c r="H21" s="30"/>
      <c r="I21" s="30"/>
      <c r="J21" s="30"/>
      <c r="K21" s="30"/>
      <c r="L21" s="30"/>
      <c r="M21" s="30"/>
      <c r="N21" s="30"/>
      <c r="O21" s="30"/>
      <c r="P21" s="30"/>
    </row>
    <row r="22" spans="1:16" ht="15.75">
      <c r="A22" s="395" t="s">
        <v>19</v>
      </c>
      <c r="B22" s="30"/>
      <c r="C22" s="30"/>
      <c r="D22" s="30"/>
      <c r="E22" s="30"/>
      <c r="F22" s="30"/>
      <c r="G22" s="30"/>
      <c r="H22" s="30"/>
      <c r="I22" s="30"/>
      <c r="J22" s="30"/>
      <c r="K22" s="30"/>
      <c r="L22" s="30"/>
      <c r="M22" s="30"/>
      <c r="N22" s="30"/>
      <c r="O22" s="30"/>
      <c r="P22" s="30"/>
    </row>
    <row r="23" spans="1:16" ht="15.75">
      <c r="A23" s="395" t="s">
        <v>20</v>
      </c>
      <c r="B23" s="395" t="s">
        <v>21</v>
      </c>
      <c r="C23" s="395" t="s">
        <v>78</v>
      </c>
      <c r="D23" s="395" t="s">
        <v>18</v>
      </c>
      <c r="E23" s="395" t="s">
        <v>22</v>
      </c>
      <c r="F23" s="395" t="s">
        <v>7</v>
      </c>
      <c r="G23" s="395" t="s">
        <v>13</v>
      </c>
      <c r="H23" s="395" t="s">
        <v>16</v>
      </c>
      <c r="I23" s="395" t="s">
        <v>23</v>
      </c>
      <c r="J23" s="395" t="s">
        <v>24</v>
      </c>
      <c r="K23" s="395" t="s">
        <v>25</v>
      </c>
      <c r="L23" s="395" t="s">
        <v>26</v>
      </c>
      <c r="M23" s="395" t="s">
        <v>27</v>
      </c>
      <c r="N23" s="395" t="s">
        <v>28</v>
      </c>
      <c r="O23" s="395" t="s">
        <v>11</v>
      </c>
      <c r="P23" s="395" t="s">
        <v>79</v>
      </c>
    </row>
    <row r="24" spans="1:16" ht="15.75">
      <c r="A24" s="274" t="s">
        <v>287</v>
      </c>
      <c r="B24" s="274">
        <v>1</v>
      </c>
      <c r="C24" s="274"/>
      <c r="D24" s="274" t="s">
        <v>18</v>
      </c>
      <c r="E24" s="30" t="s">
        <v>2</v>
      </c>
      <c r="F24" s="30" t="s">
        <v>80</v>
      </c>
      <c r="G24" s="274" t="s">
        <v>60</v>
      </c>
      <c r="H24" s="30" t="s">
        <v>30</v>
      </c>
      <c r="I24" s="30">
        <v>0</v>
      </c>
      <c r="J24" s="274" t="s">
        <v>31</v>
      </c>
      <c r="K24" s="274" t="s">
        <v>31</v>
      </c>
      <c r="L24" s="274" t="s">
        <v>31</v>
      </c>
      <c r="M24" s="274" t="s">
        <v>31</v>
      </c>
      <c r="N24" s="274" t="s">
        <v>31</v>
      </c>
      <c r="O24" s="30" t="s">
        <v>92</v>
      </c>
      <c r="P24" s="30"/>
    </row>
    <row r="25" spans="1:16" ht="15.75">
      <c r="A25" t="s">
        <v>93</v>
      </c>
      <c r="B25" s="400">
        <v>31.356999999999999</v>
      </c>
      <c r="C25" s="274"/>
      <c r="D25" s="274" t="s">
        <v>37</v>
      </c>
      <c r="E25" s="185" t="s">
        <v>38</v>
      </c>
      <c r="F25" s="30" t="s">
        <v>80</v>
      </c>
      <c r="G25" t="s">
        <v>86</v>
      </c>
      <c r="H25" s="30" t="s">
        <v>33</v>
      </c>
      <c r="I25" s="30">
        <v>0</v>
      </c>
      <c r="J25" s="274" t="s">
        <v>31</v>
      </c>
      <c r="K25" s="274" t="s">
        <v>31</v>
      </c>
      <c r="L25" s="274" t="s">
        <v>31</v>
      </c>
      <c r="M25" s="274" t="s">
        <v>31</v>
      </c>
      <c r="N25" s="274" t="s">
        <v>31</v>
      </c>
      <c r="O25" s="30"/>
      <c r="P25" s="30"/>
    </row>
    <row r="26" spans="1:16" ht="15.75">
      <c r="A26" t="s">
        <v>94</v>
      </c>
      <c r="B26" s="400">
        <v>31.356999999999999</v>
      </c>
      <c r="C26" s="31" t="s">
        <v>95</v>
      </c>
      <c r="D26" t="s">
        <v>37</v>
      </c>
      <c r="E26" s="173" t="s">
        <v>38</v>
      </c>
      <c r="F26" s="30" t="s">
        <v>80</v>
      </c>
      <c r="G26" t="s">
        <v>86</v>
      </c>
      <c r="H26" s="30" t="s">
        <v>33</v>
      </c>
      <c r="I26" s="30">
        <v>0</v>
      </c>
      <c r="J26" s="274" t="s">
        <v>31</v>
      </c>
      <c r="K26" s="274" t="s">
        <v>31</v>
      </c>
      <c r="L26" s="274" t="s">
        <v>31</v>
      </c>
      <c r="M26" s="274" t="s">
        <v>31</v>
      </c>
      <c r="N26" s="274" t="s">
        <v>31</v>
      </c>
      <c r="O26" t="s">
        <v>96</v>
      </c>
    </row>
    <row r="27" spans="1:16" ht="15.75">
      <c r="A27" t="s">
        <v>97</v>
      </c>
      <c r="B27">
        <f>B26*0.9</f>
        <v>28.221299999999999</v>
      </c>
      <c r="D27" t="s">
        <v>37</v>
      </c>
      <c r="E27" s="173" t="s">
        <v>38</v>
      </c>
      <c r="F27" s="30" t="s">
        <v>80</v>
      </c>
      <c r="G27" t="s">
        <v>60</v>
      </c>
      <c r="H27" s="30" t="s">
        <v>98</v>
      </c>
      <c r="I27" s="30">
        <v>0</v>
      </c>
      <c r="J27" s="274" t="s">
        <v>31</v>
      </c>
      <c r="K27" s="274" t="s">
        <v>31</v>
      </c>
      <c r="L27" s="274" t="s">
        <v>31</v>
      </c>
      <c r="M27" s="274" t="s">
        <v>31</v>
      </c>
      <c r="N27" s="274" t="s">
        <v>31</v>
      </c>
      <c r="O27" s="30" t="s">
        <v>99</v>
      </c>
    </row>
    <row r="28" spans="1:16" ht="15.75">
      <c r="A28" t="s">
        <v>100</v>
      </c>
      <c r="B28" s="400">
        <v>23.758650000000003</v>
      </c>
      <c r="C28" t="s">
        <v>101</v>
      </c>
      <c r="D28" t="s">
        <v>37</v>
      </c>
      <c r="E28" s="173" t="s">
        <v>38</v>
      </c>
      <c r="F28" s="30" t="s">
        <v>80</v>
      </c>
      <c r="G28" t="s">
        <v>86</v>
      </c>
      <c r="H28" t="s">
        <v>33</v>
      </c>
      <c r="I28" s="30">
        <v>0</v>
      </c>
      <c r="J28" s="274" t="s">
        <v>31</v>
      </c>
      <c r="K28" s="274" t="s">
        <v>31</v>
      </c>
      <c r="L28" s="274" t="s">
        <v>31</v>
      </c>
      <c r="M28" s="274" t="s">
        <v>31</v>
      </c>
      <c r="N28" s="274" t="s">
        <v>31</v>
      </c>
    </row>
    <row r="29" spans="1:16" ht="15.75">
      <c r="A29" t="s">
        <v>102</v>
      </c>
      <c r="B29">
        <f>0.9*B28</f>
        <v>21.382785000000002</v>
      </c>
      <c r="D29" t="s">
        <v>37</v>
      </c>
      <c r="E29" s="173" t="s">
        <v>38</v>
      </c>
      <c r="F29" s="30" t="s">
        <v>80</v>
      </c>
      <c r="G29" t="s">
        <v>60</v>
      </c>
      <c r="H29" t="s">
        <v>98</v>
      </c>
      <c r="I29" s="30">
        <v>0</v>
      </c>
      <c r="J29" s="274" t="s">
        <v>31</v>
      </c>
      <c r="K29" s="274" t="s">
        <v>31</v>
      </c>
      <c r="L29" s="274" t="s">
        <v>31</v>
      </c>
      <c r="M29" s="274" t="s">
        <v>31</v>
      </c>
      <c r="N29" s="274" t="s">
        <v>31</v>
      </c>
      <c r="O29" s="30" t="s">
        <v>99</v>
      </c>
    </row>
    <row r="30" spans="1:16" ht="16.5" customHeight="1">
      <c r="A30" t="s">
        <v>103</v>
      </c>
      <c r="B30" s="401">
        <f>-((B28-B29)+(B26-B27)+8.1853)</f>
        <v>-13.696865000000001</v>
      </c>
      <c r="D30" t="s">
        <v>37</v>
      </c>
      <c r="E30" s="232" t="s">
        <v>38</v>
      </c>
      <c r="F30" s="30" t="s">
        <v>80</v>
      </c>
      <c r="G30" t="s">
        <v>60</v>
      </c>
      <c r="H30" t="s">
        <v>33</v>
      </c>
      <c r="I30">
        <v>0</v>
      </c>
      <c r="J30" t="s">
        <v>31</v>
      </c>
      <c r="K30" t="s">
        <v>31</v>
      </c>
      <c r="L30" t="s">
        <v>31</v>
      </c>
      <c r="M30" t="s">
        <v>31</v>
      </c>
      <c r="N30" t="s">
        <v>31</v>
      </c>
      <c r="O30" s="17" t="s">
        <v>104</v>
      </c>
    </row>
    <row r="31" spans="1:16" s="399" customFormat="1" ht="15.75">
      <c r="A31" s="396" t="s">
        <v>5</v>
      </c>
      <c r="B31" s="396" t="s">
        <v>289</v>
      </c>
      <c r="C31" s="396"/>
      <c r="D31" s="397"/>
      <c r="E31" s="398"/>
      <c r="F31" s="398"/>
      <c r="G31" s="398"/>
      <c r="H31" s="398"/>
      <c r="I31" s="398"/>
      <c r="J31" s="398"/>
      <c r="K31" s="398"/>
      <c r="L31" s="398"/>
      <c r="M31" s="398"/>
      <c r="N31" s="398"/>
      <c r="O31" s="398"/>
      <c r="P31" s="398"/>
    </row>
    <row r="32" spans="1:16">
      <c r="A32" s="30" t="s">
        <v>7</v>
      </c>
      <c r="B32" s="30" t="s">
        <v>82</v>
      </c>
      <c r="C32" s="30"/>
      <c r="D32" s="30"/>
      <c r="E32" s="30"/>
      <c r="F32" s="30"/>
      <c r="G32" s="30"/>
      <c r="H32" s="30"/>
      <c r="I32" s="30"/>
      <c r="J32" s="30"/>
      <c r="K32" s="30"/>
      <c r="L32" s="30"/>
      <c r="M32" s="30"/>
      <c r="N32" s="30"/>
      <c r="O32" s="30"/>
      <c r="P32" s="30"/>
    </row>
    <row r="33" spans="1:16">
      <c r="A33" s="30" t="s">
        <v>9</v>
      </c>
      <c r="B33" s="394" t="s">
        <v>290</v>
      </c>
      <c r="C33" s="30"/>
      <c r="D33" s="30"/>
      <c r="E33" s="30"/>
      <c r="F33" s="30"/>
      <c r="G33" s="30"/>
      <c r="H33" s="30"/>
      <c r="I33" s="30"/>
      <c r="J33" s="30"/>
      <c r="K33" s="30"/>
      <c r="L33" s="30"/>
      <c r="M33" s="30"/>
      <c r="N33" s="30"/>
      <c r="O33" s="30"/>
      <c r="P33" s="30"/>
    </row>
    <row r="34" spans="1:16">
      <c r="A34" s="30" t="s">
        <v>11</v>
      </c>
      <c r="B34" s="30" t="s">
        <v>107</v>
      </c>
      <c r="C34" s="30"/>
      <c r="D34" s="30"/>
      <c r="E34" s="30"/>
      <c r="F34" s="30"/>
      <c r="G34" s="30"/>
      <c r="H34" s="30"/>
      <c r="I34" s="30"/>
      <c r="J34" s="30"/>
      <c r="K34" s="30"/>
      <c r="L34" s="30"/>
      <c r="M34" s="30"/>
      <c r="N34" s="30"/>
      <c r="O34" s="30"/>
      <c r="P34" s="30"/>
    </row>
    <row r="35" spans="1:16">
      <c r="A35" s="30" t="s">
        <v>13</v>
      </c>
      <c r="B35" s="30" t="s">
        <v>60</v>
      </c>
      <c r="C35" s="30"/>
      <c r="D35" s="30"/>
      <c r="E35" s="30"/>
      <c r="F35" s="30"/>
      <c r="G35" s="30"/>
      <c r="H35" s="30"/>
      <c r="I35" s="30"/>
      <c r="J35" s="30"/>
      <c r="K35" s="30"/>
      <c r="L35" s="30"/>
      <c r="M35" s="30"/>
      <c r="N35" s="30"/>
      <c r="O35" s="30"/>
      <c r="P35" s="30"/>
    </row>
    <row r="36" spans="1:16">
      <c r="A36" s="30" t="s">
        <v>15</v>
      </c>
      <c r="B36" s="30">
        <v>1</v>
      </c>
      <c r="C36" s="30"/>
      <c r="D36" s="30"/>
      <c r="E36" s="30"/>
      <c r="F36" s="30"/>
      <c r="G36" s="30"/>
      <c r="H36" s="30"/>
      <c r="I36" s="30"/>
      <c r="J36" s="30"/>
      <c r="K36" s="30"/>
      <c r="L36" s="30"/>
      <c r="M36" s="30"/>
      <c r="N36" s="30"/>
      <c r="O36" s="30"/>
      <c r="P36" s="30"/>
    </row>
    <row r="37" spans="1:16">
      <c r="A37" s="30" t="s">
        <v>16</v>
      </c>
      <c r="B37" s="30" t="s">
        <v>17</v>
      </c>
      <c r="C37" s="30"/>
      <c r="D37" s="30"/>
      <c r="E37" s="30"/>
      <c r="F37" s="30"/>
      <c r="G37" s="30"/>
      <c r="H37" s="30"/>
      <c r="I37" s="30"/>
      <c r="J37" s="30"/>
      <c r="K37" s="30"/>
      <c r="L37" s="30"/>
      <c r="M37" s="30"/>
      <c r="N37" s="30"/>
      <c r="O37" s="30"/>
      <c r="P37" s="30"/>
    </row>
    <row r="38" spans="1:16">
      <c r="A38" s="30" t="s">
        <v>18</v>
      </c>
      <c r="B38" s="30" t="s">
        <v>18</v>
      </c>
      <c r="C38" s="30"/>
      <c r="D38" s="30"/>
      <c r="E38" s="30" t="s">
        <v>77</v>
      </c>
      <c r="F38" s="30"/>
      <c r="G38" s="30"/>
      <c r="H38" s="30"/>
      <c r="I38" s="30"/>
      <c r="J38" s="30"/>
      <c r="K38" s="30"/>
      <c r="L38" s="30"/>
      <c r="M38" s="30"/>
      <c r="N38" s="30"/>
      <c r="O38" s="30"/>
      <c r="P38" s="30"/>
    </row>
    <row r="39" spans="1:16" ht="15.75">
      <c r="A39" s="395" t="s">
        <v>19</v>
      </c>
      <c r="B39" s="30"/>
      <c r="C39" s="30"/>
      <c r="D39" s="30"/>
      <c r="E39" s="30"/>
      <c r="F39" s="30"/>
      <c r="G39" s="30"/>
      <c r="H39" s="30"/>
      <c r="I39" s="30"/>
      <c r="J39" s="30"/>
      <c r="K39" s="30"/>
      <c r="L39" s="30"/>
      <c r="M39" s="30"/>
      <c r="N39" s="30"/>
      <c r="O39" s="30"/>
      <c r="P39" s="30"/>
    </row>
    <row r="40" spans="1:16" ht="15.75">
      <c r="A40" s="395" t="s">
        <v>20</v>
      </c>
      <c r="B40" s="395" t="s">
        <v>21</v>
      </c>
      <c r="C40" s="395" t="s">
        <v>78</v>
      </c>
      <c r="D40" s="395" t="s">
        <v>18</v>
      </c>
      <c r="E40" s="395" t="s">
        <v>22</v>
      </c>
      <c r="F40" s="395" t="s">
        <v>7</v>
      </c>
      <c r="G40" s="395" t="s">
        <v>13</v>
      </c>
      <c r="H40" s="395" t="s">
        <v>16</v>
      </c>
      <c r="I40" s="395" t="s">
        <v>23</v>
      </c>
      <c r="J40" s="395" t="s">
        <v>24</v>
      </c>
      <c r="K40" s="395" t="s">
        <v>25</v>
      </c>
      <c r="L40" s="395" t="s">
        <v>26</v>
      </c>
      <c r="M40" s="395" t="s">
        <v>27</v>
      </c>
      <c r="N40" s="395" t="s">
        <v>28</v>
      </c>
      <c r="O40" s="395" t="s">
        <v>11</v>
      </c>
      <c r="P40" s="395" t="s">
        <v>79</v>
      </c>
    </row>
    <row r="41" spans="1:16" ht="15.75">
      <c r="A41" s="274" t="s">
        <v>289</v>
      </c>
      <c r="B41" s="274">
        <v>1</v>
      </c>
      <c r="C41" s="274"/>
      <c r="D41" s="274" t="s">
        <v>18</v>
      </c>
      <c r="E41" s="30" t="s">
        <v>2</v>
      </c>
      <c r="F41" s="30" t="s">
        <v>80</v>
      </c>
      <c r="G41" s="274" t="s">
        <v>60</v>
      </c>
      <c r="H41" s="30" t="s">
        <v>30</v>
      </c>
      <c r="I41" s="30">
        <v>0</v>
      </c>
      <c r="J41" s="274" t="s">
        <v>31</v>
      </c>
      <c r="K41" s="274" t="s">
        <v>31</v>
      </c>
      <c r="L41" s="274" t="s">
        <v>31</v>
      </c>
      <c r="M41" s="274" t="s">
        <v>31</v>
      </c>
      <c r="N41" s="274" t="s">
        <v>31</v>
      </c>
      <c r="O41" s="30" t="s">
        <v>108</v>
      </c>
      <c r="P41" s="30"/>
    </row>
    <row r="42" spans="1:16" ht="15.75">
      <c r="A42" s="232" t="s">
        <v>109</v>
      </c>
      <c r="B42" s="402">
        <v>-9.4700000000000006</v>
      </c>
      <c r="D42" t="s">
        <v>37</v>
      </c>
      <c r="E42" s="173" t="s">
        <v>38</v>
      </c>
      <c r="F42" s="30" t="s">
        <v>80</v>
      </c>
      <c r="G42" t="s">
        <v>86</v>
      </c>
      <c r="H42" t="s">
        <v>33</v>
      </c>
      <c r="I42" s="30">
        <v>0</v>
      </c>
      <c r="J42" s="274" t="s">
        <v>31</v>
      </c>
      <c r="K42" s="274" t="s">
        <v>31</v>
      </c>
      <c r="L42" s="274" t="s">
        <v>31</v>
      </c>
      <c r="M42" s="274" t="s">
        <v>31</v>
      </c>
      <c r="N42" s="274" t="s">
        <v>31</v>
      </c>
      <c r="O42" s="30" t="s">
        <v>108</v>
      </c>
      <c r="P42" s="274" t="s">
        <v>110</v>
      </c>
    </row>
    <row r="43" spans="1:16" ht="15.75">
      <c r="A43" t="s">
        <v>40</v>
      </c>
      <c r="B43">
        <f>B44*0.277777777</f>
        <v>45.745360983024099</v>
      </c>
      <c r="D43" t="s">
        <v>41</v>
      </c>
      <c r="E43" s="173" t="s">
        <v>38</v>
      </c>
      <c r="F43" s="30" t="s">
        <v>80</v>
      </c>
      <c r="G43" t="s">
        <v>60</v>
      </c>
      <c r="H43" s="30" t="s">
        <v>98</v>
      </c>
      <c r="I43" s="30">
        <v>0</v>
      </c>
      <c r="J43" s="274" t="s">
        <v>31</v>
      </c>
      <c r="K43" s="274" t="s">
        <v>31</v>
      </c>
      <c r="L43" s="274" t="s">
        <v>31</v>
      </c>
      <c r="M43" s="274" t="s">
        <v>31</v>
      </c>
      <c r="N43" s="274" t="s">
        <v>31</v>
      </c>
      <c r="O43" t="s">
        <v>111</v>
      </c>
    </row>
    <row r="44" spans="1:16" ht="15.75">
      <c r="A44" t="s">
        <v>112</v>
      </c>
      <c r="B44">
        <f>-B42*0.5*34.78</f>
        <v>164.6833</v>
      </c>
      <c r="D44" t="s">
        <v>113</v>
      </c>
      <c r="E44" s="173" t="s">
        <v>38</v>
      </c>
      <c r="F44" s="30" t="s">
        <v>80</v>
      </c>
      <c r="G44" t="s">
        <v>60</v>
      </c>
      <c r="H44" s="30" t="s">
        <v>98</v>
      </c>
      <c r="I44" s="30">
        <v>0</v>
      </c>
      <c r="J44" s="274" t="s">
        <v>31</v>
      </c>
      <c r="K44" s="274" t="s">
        <v>31</v>
      </c>
      <c r="L44" s="274" t="s">
        <v>31</v>
      </c>
      <c r="M44" s="274" t="s">
        <v>31</v>
      </c>
      <c r="N44" s="274" t="s">
        <v>31</v>
      </c>
      <c r="O44" t="s">
        <v>114</v>
      </c>
    </row>
    <row r="45" spans="1:16" s="399" customFormat="1" ht="15.75">
      <c r="A45" s="396" t="s">
        <v>5</v>
      </c>
      <c r="B45" s="396" t="s">
        <v>291</v>
      </c>
      <c r="C45" s="396"/>
      <c r="D45" s="397"/>
      <c r="E45" s="398"/>
      <c r="F45" s="398"/>
      <c r="G45" s="398"/>
      <c r="H45" s="398"/>
      <c r="I45" s="398"/>
      <c r="J45" s="398"/>
      <c r="K45" s="398"/>
      <c r="L45" s="398"/>
      <c r="M45" s="398"/>
      <c r="N45" s="398"/>
      <c r="O45" s="398"/>
      <c r="P45" s="398"/>
    </row>
    <row r="46" spans="1:16">
      <c r="A46" s="30" t="s">
        <v>7</v>
      </c>
      <c r="B46" s="30" t="s">
        <v>82</v>
      </c>
      <c r="C46" s="30"/>
      <c r="D46" s="30"/>
      <c r="E46" s="30"/>
      <c r="F46" s="30"/>
      <c r="G46" s="30"/>
      <c r="H46" s="30"/>
      <c r="I46" s="30"/>
      <c r="J46" s="30"/>
      <c r="K46" s="30"/>
      <c r="L46" s="30"/>
      <c r="M46" s="30"/>
      <c r="N46" s="30"/>
      <c r="O46" s="30"/>
      <c r="P46" s="30"/>
    </row>
    <row r="47" spans="1:16">
      <c r="A47" s="30" t="s">
        <v>9</v>
      </c>
      <c r="B47" s="394" t="s">
        <v>292</v>
      </c>
      <c r="C47" s="30"/>
      <c r="D47" s="30"/>
      <c r="E47" s="30"/>
      <c r="F47" s="30"/>
      <c r="G47" s="30"/>
      <c r="H47" s="30"/>
      <c r="I47" s="30"/>
      <c r="J47" s="30"/>
      <c r="K47" s="30"/>
      <c r="L47" s="30"/>
      <c r="M47" s="30"/>
      <c r="N47" s="30"/>
      <c r="O47" s="30"/>
      <c r="P47" s="30"/>
    </row>
    <row r="48" spans="1:16">
      <c r="A48" s="30" t="s">
        <v>11</v>
      </c>
      <c r="B48" s="30" t="s">
        <v>117</v>
      </c>
      <c r="C48" s="30"/>
      <c r="D48" s="30"/>
      <c r="E48" s="30"/>
      <c r="F48" s="30"/>
      <c r="G48" s="30"/>
      <c r="H48" s="30"/>
      <c r="I48" s="30"/>
      <c r="J48" s="30"/>
      <c r="K48" s="30"/>
      <c r="L48" s="30"/>
      <c r="M48" s="30"/>
      <c r="N48" s="30"/>
      <c r="O48" s="30"/>
      <c r="P48" s="30"/>
    </row>
    <row r="49" spans="1:16">
      <c r="A49" s="30" t="s">
        <v>13</v>
      </c>
      <c r="B49" s="30" t="s">
        <v>60</v>
      </c>
      <c r="C49" s="30"/>
      <c r="D49" s="30"/>
      <c r="E49" s="30"/>
      <c r="F49" s="30"/>
      <c r="G49" s="30"/>
      <c r="H49" s="30"/>
      <c r="I49" s="30"/>
      <c r="J49" s="30"/>
      <c r="K49" s="30"/>
      <c r="L49" s="30"/>
      <c r="M49" s="30"/>
      <c r="N49" s="30"/>
      <c r="O49" s="30"/>
      <c r="P49" s="30"/>
    </row>
    <row r="50" spans="1:16">
      <c r="A50" s="30" t="s">
        <v>15</v>
      </c>
      <c r="B50" s="30">
        <v>1</v>
      </c>
      <c r="C50" s="30"/>
      <c r="D50" s="30"/>
      <c r="E50" s="30"/>
      <c r="F50" s="30"/>
      <c r="G50" s="30"/>
      <c r="H50" s="30"/>
      <c r="I50" s="30"/>
      <c r="J50" s="30"/>
      <c r="K50" s="30"/>
      <c r="L50" s="30"/>
      <c r="M50" s="30"/>
      <c r="N50" s="30"/>
      <c r="O50" s="30"/>
      <c r="P50" s="30"/>
    </row>
    <row r="51" spans="1:16">
      <c r="A51" s="30" t="s">
        <v>16</v>
      </c>
      <c r="B51" s="30" t="s">
        <v>17</v>
      </c>
      <c r="C51" s="30"/>
      <c r="D51" s="30"/>
      <c r="E51" s="30"/>
      <c r="F51" s="30"/>
      <c r="G51" s="30"/>
      <c r="H51" s="30"/>
      <c r="I51" s="30"/>
      <c r="J51" s="30"/>
      <c r="K51" s="30"/>
      <c r="L51" s="30"/>
      <c r="M51" s="30"/>
      <c r="N51" s="30"/>
      <c r="O51" s="30"/>
      <c r="P51" s="30"/>
    </row>
    <row r="52" spans="1:16">
      <c r="A52" s="30" t="s">
        <v>18</v>
      </c>
      <c r="B52" s="30" t="s">
        <v>18</v>
      </c>
      <c r="C52" s="30"/>
      <c r="D52" s="30"/>
      <c r="E52" s="30" t="s">
        <v>77</v>
      </c>
      <c r="F52" s="30"/>
      <c r="G52" s="30"/>
      <c r="H52" s="30"/>
      <c r="I52" s="30"/>
      <c r="J52" s="30"/>
      <c r="K52" s="30"/>
      <c r="L52" s="30"/>
      <c r="M52" s="30"/>
      <c r="N52" s="30"/>
      <c r="O52" s="30"/>
      <c r="P52" s="30"/>
    </row>
    <row r="53" spans="1:16" ht="15.75">
      <c r="A53" s="395" t="s">
        <v>19</v>
      </c>
      <c r="B53" s="30"/>
      <c r="C53" s="30"/>
      <c r="D53" s="30"/>
      <c r="E53" s="30"/>
      <c r="F53" s="30"/>
      <c r="G53" s="30"/>
      <c r="H53" s="30"/>
      <c r="I53" s="30"/>
      <c r="J53" s="30"/>
      <c r="K53" s="30"/>
      <c r="L53" s="30"/>
      <c r="M53" s="30"/>
      <c r="N53" s="30"/>
      <c r="O53" s="30"/>
      <c r="P53" s="30"/>
    </row>
    <row r="54" spans="1:16" ht="15.75">
      <c r="A54" s="395" t="s">
        <v>20</v>
      </c>
      <c r="B54" s="395" t="s">
        <v>21</v>
      </c>
      <c r="C54" s="395" t="s">
        <v>78</v>
      </c>
      <c r="D54" s="395" t="s">
        <v>18</v>
      </c>
      <c r="E54" s="395" t="s">
        <v>22</v>
      </c>
      <c r="F54" s="395" t="s">
        <v>7</v>
      </c>
      <c r="G54" s="395" t="s">
        <v>13</v>
      </c>
      <c r="H54" s="395" t="s">
        <v>16</v>
      </c>
      <c r="I54" s="395" t="s">
        <v>23</v>
      </c>
      <c r="J54" s="395" t="s">
        <v>24</v>
      </c>
      <c r="K54" s="395" t="s">
        <v>25</v>
      </c>
      <c r="L54" s="395" t="s">
        <v>26</v>
      </c>
      <c r="M54" s="395" t="s">
        <v>27</v>
      </c>
      <c r="N54" s="395" t="s">
        <v>28</v>
      </c>
      <c r="O54" s="395" t="s">
        <v>11</v>
      </c>
      <c r="P54" s="395" t="s">
        <v>79</v>
      </c>
    </row>
    <row r="55" spans="1:16" ht="15.75">
      <c r="A55" s="274" t="s">
        <v>291</v>
      </c>
      <c r="B55" s="274">
        <v>1</v>
      </c>
      <c r="C55" s="274"/>
      <c r="D55" s="274" t="s">
        <v>18</v>
      </c>
      <c r="E55" s="30" t="s">
        <v>2</v>
      </c>
      <c r="F55" s="30" t="s">
        <v>80</v>
      </c>
      <c r="G55" s="274" t="s">
        <v>60</v>
      </c>
      <c r="H55" s="30" t="s">
        <v>30</v>
      </c>
      <c r="I55" s="30">
        <v>0</v>
      </c>
      <c r="J55" s="274" t="s">
        <v>31</v>
      </c>
      <c r="K55" s="274" t="s">
        <v>31</v>
      </c>
      <c r="L55" s="274" t="s">
        <v>31</v>
      </c>
      <c r="M55" s="274" t="s">
        <v>31</v>
      </c>
      <c r="N55" s="274" t="s">
        <v>31</v>
      </c>
      <c r="O55" s="30"/>
      <c r="P55" s="30"/>
    </row>
    <row r="56" spans="1:16" ht="15.75">
      <c r="A56" s="232" t="s">
        <v>118</v>
      </c>
      <c r="B56" s="30">
        <f>-3.28</f>
        <v>-3.28</v>
      </c>
      <c r="D56" t="s">
        <v>37</v>
      </c>
      <c r="E56" s="173" t="s">
        <v>38</v>
      </c>
      <c r="F56" s="30" t="s">
        <v>80</v>
      </c>
      <c r="G56" t="s">
        <v>86</v>
      </c>
      <c r="H56" t="s">
        <v>33</v>
      </c>
      <c r="I56" s="30">
        <v>0</v>
      </c>
      <c r="J56" s="274" t="s">
        <v>31</v>
      </c>
      <c r="K56" s="274" t="s">
        <v>31</v>
      </c>
      <c r="L56" s="274" t="s">
        <v>31</v>
      </c>
      <c r="M56" s="274" t="s">
        <v>31</v>
      </c>
      <c r="N56" s="274" t="s">
        <v>31</v>
      </c>
      <c r="O56" s="274" t="s">
        <v>119</v>
      </c>
    </row>
    <row r="57" spans="1:16" s="399" customFormat="1" ht="15.75">
      <c r="A57" s="396" t="s">
        <v>5</v>
      </c>
      <c r="B57" s="396" t="s">
        <v>293</v>
      </c>
      <c r="C57" s="396"/>
      <c r="D57" s="397"/>
      <c r="E57" s="398"/>
      <c r="F57" s="398"/>
      <c r="G57" s="398"/>
      <c r="H57" s="398"/>
      <c r="I57" s="398"/>
      <c r="J57" s="398"/>
      <c r="K57" s="398"/>
      <c r="L57" s="398"/>
      <c r="M57" s="398"/>
      <c r="N57" s="398"/>
      <c r="O57" s="398"/>
      <c r="P57" s="398"/>
    </row>
    <row r="58" spans="1:16">
      <c r="A58" s="30" t="s">
        <v>7</v>
      </c>
      <c r="B58" s="30" t="s">
        <v>82</v>
      </c>
      <c r="C58" s="30"/>
      <c r="D58" s="30"/>
      <c r="E58" s="30"/>
      <c r="F58" s="30"/>
      <c r="G58" s="30"/>
      <c r="H58" s="30"/>
      <c r="I58" s="30"/>
      <c r="J58" s="30"/>
      <c r="K58" s="30"/>
      <c r="L58" s="30"/>
      <c r="M58" s="30"/>
      <c r="N58" s="30"/>
      <c r="O58" s="30"/>
      <c r="P58" s="30"/>
    </row>
    <row r="59" spans="1:16">
      <c r="A59" s="30" t="s">
        <v>9</v>
      </c>
      <c r="B59" s="394" t="s">
        <v>294</v>
      </c>
      <c r="C59" s="30"/>
      <c r="D59" s="30"/>
      <c r="E59" s="30"/>
      <c r="F59" s="30"/>
      <c r="G59" s="30"/>
      <c r="H59" s="30"/>
      <c r="I59" s="30"/>
      <c r="J59" s="30"/>
      <c r="K59" s="30"/>
      <c r="L59" s="30"/>
      <c r="M59" s="30"/>
      <c r="N59" s="30"/>
      <c r="O59" s="30"/>
      <c r="P59" s="30"/>
    </row>
    <row r="60" spans="1:16">
      <c r="A60" s="30" t="s">
        <v>11</v>
      </c>
      <c r="B60" s="30" t="s">
        <v>122</v>
      </c>
      <c r="C60" s="30"/>
      <c r="D60" s="30"/>
      <c r="E60" s="30"/>
      <c r="F60" s="30"/>
      <c r="G60" s="30"/>
      <c r="H60" s="30"/>
      <c r="I60" s="30"/>
      <c r="J60" s="30"/>
      <c r="K60" s="30"/>
      <c r="L60" s="30"/>
      <c r="M60" s="30"/>
      <c r="N60" s="30"/>
      <c r="O60" s="30"/>
      <c r="P60" s="30"/>
    </row>
    <row r="61" spans="1:16">
      <c r="A61" s="30" t="s">
        <v>13</v>
      </c>
      <c r="B61" s="30" t="s">
        <v>60</v>
      </c>
      <c r="C61" s="30"/>
      <c r="D61" s="30"/>
      <c r="E61" s="30"/>
      <c r="F61" s="30"/>
      <c r="G61" s="30"/>
      <c r="H61" s="30"/>
      <c r="I61" s="30"/>
      <c r="J61" s="30"/>
      <c r="K61" s="30"/>
      <c r="L61" s="30"/>
      <c r="M61" s="30"/>
      <c r="N61" s="30"/>
      <c r="O61" s="30"/>
      <c r="P61" s="30"/>
    </row>
    <row r="62" spans="1:16">
      <c r="A62" s="30" t="s">
        <v>15</v>
      </c>
      <c r="B62" s="30">
        <v>1</v>
      </c>
      <c r="C62" s="30"/>
      <c r="D62" s="30"/>
      <c r="E62" s="30"/>
      <c r="F62" s="30"/>
      <c r="G62" s="30"/>
      <c r="H62" s="30"/>
      <c r="I62" s="30"/>
      <c r="J62" s="30"/>
      <c r="K62" s="30"/>
      <c r="L62" s="30"/>
      <c r="M62" s="30"/>
      <c r="N62" s="30"/>
      <c r="O62" s="30"/>
      <c r="P62" s="30"/>
    </row>
    <row r="63" spans="1:16">
      <c r="A63" s="30" t="s">
        <v>16</v>
      </c>
      <c r="B63" s="30" t="s">
        <v>17</v>
      </c>
      <c r="C63" s="30"/>
      <c r="D63" s="30"/>
      <c r="E63" s="30"/>
      <c r="F63" s="30"/>
      <c r="G63" s="30"/>
      <c r="H63" s="30"/>
      <c r="I63" s="30"/>
      <c r="J63" s="30"/>
      <c r="K63" s="30"/>
      <c r="L63" s="30"/>
      <c r="M63" s="30"/>
      <c r="N63" s="30"/>
      <c r="O63" s="30"/>
      <c r="P63" s="30"/>
    </row>
    <row r="64" spans="1:16">
      <c r="A64" s="30" t="s">
        <v>18</v>
      </c>
      <c r="B64" s="30" t="s">
        <v>18</v>
      </c>
      <c r="C64" s="30"/>
      <c r="D64" s="30"/>
      <c r="E64" s="30" t="s">
        <v>77</v>
      </c>
      <c r="F64" s="30"/>
      <c r="G64" s="30"/>
      <c r="H64" s="30"/>
      <c r="I64" s="30"/>
      <c r="J64" s="30"/>
      <c r="K64" s="30"/>
      <c r="L64" s="30"/>
      <c r="M64" s="30"/>
      <c r="N64" s="30"/>
      <c r="O64" s="30"/>
      <c r="P64" s="30"/>
    </row>
    <row r="65" spans="1:16" ht="15.75">
      <c r="A65" s="395" t="s">
        <v>19</v>
      </c>
      <c r="B65" s="30"/>
      <c r="C65" s="30"/>
      <c r="D65" s="30"/>
      <c r="E65" s="30"/>
      <c r="F65" s="30"/>
      <c r="G65" s="30"/>
      <c r="H65" s="30"/>
      <c r="I65" s="30"/>
      <c r="J65" s="30"/>
      <c r="K65" s="30"/>
      <c r="L65" s="30"/>
      <c r="M65" s="30"/>
      <c r="N65" s="30"/>
      <c r="O65" s="30"/>
      <c r="P65" s="30"/>
    </row>
    <row r="66" spans="1:16" ht="15.75">
      <c r="A66" s="395" t="s">
        <v>20</v>
      </c>
      <c r="B66" s="395" t="s">
        <v>21</v>
      </c>
      <c r="C66" s="395" t="s">
        <v>78</v>
      </c>
      <c r="D66" s="395" t="s">
        <v>18</v>
      </c>
      <c r="E66" s="395" t="s">
        <v>22</v>
      </c>
      <c r="F66" s="395" t="s">
        <v>7</v>
      </c>
      <c r="G66" s="395" t="s">
        <v>13</v>
      </c>
      <c r="H66" s="395" t="s">
        <v>16</v>
      </c>
      <c r="I66" s="395" t="s">
        <v>23</v>
      </c>
      <c r="J66" s="395" t="s">
        <v>24</v>
      </c>
      <c r="K66" s="395" t="s">
        <v>25</v>
      </c>
      <c r="L66" s="395" t="s">
        <v>26</v>
      </c>
      <c r="M66" s="395" t="s">
        <v>27</v>
      </c>
      <c r="N66" s="395" t="s">
        <v>28</v>
      </c>
      <c r="O66" s="395" t="s">
        <v>11</v>
      </c>
      <c r="P66" s="395" t="s">
        <v>79</v>
      </c>
    </row>
    <row r="67" spans="1:16" ht="15.75">
      <c r="A67" s="274" t="s">
        <v>293</v>
      </c>
      <c r="B67" s="274">
        <v>1</v>
      </c>
      <c r="C67" s="274"/>
      <c r="D67" s="274" t="s">
        <v>18</v>
      </c>
      <c r="E67" s="30" t="s">
        <v>2</v>
      </c>
      <c r="F67" s="30" t="s">
        <v>80</v>
      </c>
      <c r="G67" s="274" t="s">
        <v>60</v>
      </c>
      <c r="H67" s="30" t="s">
        <v>30</v>
      </c>
      <c r="I67" s="30">
        <v>0</v>
      </c>
      <c r="J67" s="274" t="s">
        <v>31</v>
      </c>
      <c r="K67" s="274" t="s">
        <v>31</v>
      </c>
      <c r="L67" s="274" t="s">
        <v>31</v>
      </c>
      <c r="M67" s="274" t="s">
        <v>31</v>
      </c>
      <c r="N67" s="274" t="s">
        <v>31</v>
      </c>
      <c r="O67" s="30"/>
      <c r="P67" s="30"/>
    </row>
    <row r="68" spans="1:16" ht="15.75">
      <c r="A68" t="str">
        <f>B2</f>
        <v>treatment of circuit components, EoL power electronics, GT-bat, Medium-Term</v>
      </c>
      <c r="B68" s="274">
        <v>1</v>
      </c>
      <c r="D68" s="274" t="s">
        <v>18</v>
      </c>
      <c r="E68" s="30" t="s">
        <v>2</v>
      </c>
      <c r="F68" s="30" t="s">
        <v>80</v>
      </c>
      <c r="G68" s="274" t="s">
        <v>60</v>
      </c>
      <c r="H68" t="s">
        <v>33</v>
      </c>
      <c r="I68" s="30">
        <v>0</v>
      </c>
      <c r="J68" s="274" t="s">
        <v>31</v>
      </c>
      <c r="K68" s="274" t="s">
        <v>31</v>
      </c>
      <c r="L68" s="274" t="s">
        <v>31</v>
      </c>
      <c r="M68" s="274" t="s">
        <v>31</v>
      </c>
      <c r="N68" s="274" t="s">
        <v>31</v>
      </c>
    </row>
    <row r="69" spans="1:16" ht="15.75">
      <c r="A69" t="str">
        <f>B14</f>
        <v>treatment of metals, EoL power electronics, GT-bat, Medium-Term</v>
      </c>
      <c r="B69" s="274">
        <v>1</v>
      </c>
      <c r="D69" s="274" t="s">
        <v>18</v>
      </c>
      <c r="E69" s="30" t="s">
        <v>2</v>
      </c>
      <c r="F69" s="30" t="s">
        <v>80</v>
      </c>
      <c r="G69" s="274" t="s">
        <v>60</v>
      </c>
      <c r="H69" t="s">
        <v>33</v>
      </c>
      <c r="I69" s="30">
        <v>0</v>
      </c>
      <c r="J69" s="274" t="s">
        <v>31</v>
      </c>
      <c r="K69" s="274" t="s">
        <v>31</v>
      </c>
      <c r="L69" s="274" t="s">
        <v>31</v>
      </c>
      <c r="M69" s="274" t="s">
        <v>31</v>
      </c>
      <c r="N69" s="274" t="s">
        <v>31</v>
      </c>
    </row>
    <row r="70" spans="1:16" ht="15.75">
      <c r="A70" t="str">
        <f>B31</f>
        <v>treatment of plastics, EoL power electronics, GT-bat, Medium-Term</v>
      </c>
      <c r="B70" s="274">
        <v>1</v>
      </c>
      <c r="D70" s="274" t="s">
        <v>18</v>
      </c>
      <c r="E70" s="30" t="s">
        <v>2</v>
      </c>
      <c r="F70" s="30" t="s">
        <v>80</v>
      </c>
      <c r="G70" s="274" t="s">
        <v>60</v>
      </c>
      <c r="H70" t="s">
        <v>33</v>
      </c>
      <c r="I70" s="30">
        <v>0</v>
      </c>
      <c r="J70" s="274" t="s">
        <v>31</v>
      </c>
      <c r="K70" s="274" t="s">
        <v>31</v>
      </c>
      <c r="L70" s="274" t="s">
        <v>31</v>
      </c>
      <c r="M70" s="274" t="s">
        <v>31</v>
      </c>
      <c r="N70" s="274" t="s">
        <v>31</v>
      </c>
    </row>
    <row r="71" spans="1:16" ht="15.75">
      <c r="A71" t="str">
        <f>B45</f>
        <v>treatment of remaining material components, EoL power electronics, GT-bat, Medium-Term</v>
      </c>
      <c r="B71" s="274">
        <v>1</v>
      </c>
      <c r="D71" s="274" t="s">
        <v>18</v>
      </c>
      <c r="E71" s="30" t="s">
        <v>2</v>
      </c>
      <c r="F71" s="30" t="s">
        <v>80</v>
      </c>
      <c r="G71" s="274" t="s">
        <v>60</v>
      </c>
      <c r="H71" t="s">
        <v>33</v>
      </c>
      <c r="I71" s="30">
        <v>0</v>
      </c>
      <c r="J71" s="274" t="s">
        <v>31</v>
      </c>
      <c r="K71" s="274" t="s">
        <v>31</v>
      </c>
      <c r="L71" s="274" t="s">
        <v>31</v>
      </c>
      <c r="M71" s="274" t="s">
        <v>31</v>
      </c>
      <c r="N71" s="274" t="s">
        <v>31</v>
      </c>
    </row>
    <row r="72" spans="1:16" ht="15.75">
      <c r="A72" s="232" t="s">
        <v>124</v>
      </c>
      <c r="B72">
        <f>-76.85</f>
        <v>-76.849999999999994</v>
      </c>
      <c r="D72" s="274" t="s">
        <v>37</v>
      </c>
      <c r="E72" s="30" t="s">
        <v>38</v>
      </c>
      <c r="F72" s="30" t="s">
        <v>80</v>
      </c>
      <c r="G72" s="274" t="s">
        <v>86</v>
      </c>
      <c r="H72" t="s">
        <v>33</v>
      </c>
      <c r="I72" s="30">
        <v>0</v>
      </c>
      <c r="J72" s="274" t="s">
        <v>31</v>
      </c>
      <c r="K72" s="274" t="s">
        <v>31</v>
      </c>
      <c r="L72" s="274" t="s">
        <v>31</v>
      </c>
      <c r="M72" s="274" t="s">
        <v>31</v>
      </c>
      <c r="N72" s="274" t="s">
        <v>31</v>
      </c>
      <c r="O72" s="274" t="s">
        <v>125</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85348-E0DB-4A14-90B3-E8B51F4221EE}">
  <sheetPr>
    <tabColor theme="9" tint="0.79998168889431442"/>
  </sheetPr>
  <dimension ref="A1:Y102"/>
  <sheetViews>
    <sheetView topLeftCell="A76" zoomScale="85" zoomScaleNormal="85" workbookViewId="0">
      <selection activeCell="G24" sqref="G24"/>
    </sheetView>
  </sheetViews>
  <sheetFormatPr defaultRowHeight="1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42" customFormat="1" ht="15.75">
      <c r="A2" s="392" t="s">
        <v>5</v>
      </c>
      <c r="B2" s="392" t="s">
        <v>295</v>
      </c>
      <c r="C2" s="392"/>
      <c r="D2" s="120"/>
      <c r="E2" s="393"/>
      <c r="F2" s="393"/>
      <c r="G2" s="393"/>
      <c r="H2" s="393"/>
      <c r="I2" s="393"/>
      <c r="J2" s="393"/>
      <c r="K2" s="393"/>
      <c r="L2" s="393"/>
      <c r="M2" s="393"/>
      <c r="N2" s="393"/>
      <c r="O2" s="393"/>
      <c r="P2" s="393"/>
    </row>
    <row r="3" spans="1:18">
      <c r="A3" s="30" t="s">
        <v>7</v>
      </c>
      <c r="B3" s="30" t="s">
        <v>129</v>
      </c>
      <c r="C3" s="30"/>
      <c r="D3" s="30"/>
      <c r="E3" s="30"/>
      <c r="F3" s="30"/>
      <c r="G3" s="30"/>
      <c r="H3" s="30"/>
      <c r="I3" s="30"/>
      <c r="J3" s="30"/>
      <c r="K3" s="30"/>
      <c r="L3" s="30"/>
      <c r="M3" s="30"/>
      <c r="N3" s="30"/>
      <c r="O3" s="30"/>
      <c r="P3" s="30"/>
    </row>
    <row r="4" spans="1:18">
      <c r="A4" s="30" t="s">
        <v>9</v>
      </c>
      <c r="B4" s="394" t="s">
        <v>296</v>
      </c>
      <c r="C4" s="30"/>
      <c r="D4" s="30"/>
      <c r="E4" s="30"/>
      <c r="F4" s="30"/>
      <c r="G4" s="30"/>
      <c r="H4" s="30"/>
      <c r="I4" s="30"/>
      <c r="J4" s="30"/>
      <c r="K4" s="30"/>
      <c r="L4" s="30"/>
      <c r="M4" s="30"/>
      <c r="N4" s="30"/>
      <c r="O4" s="30"/>
      <c r="P4" s="30"/>
    </row>
    <row r="5" spans="1:18">
      <c r="A5" s="30" t="s">
        <v>11</v>
      </c>
      <c r="B5" s="30" t="s">
        <v>131</v>
      </c>
      <c r="C5" s="30"/>
      <c r="D5" s="30"/>
      <c r="E5" s="30"/>
      <c r="F5" s="30"/>
      <c r="G5" s="30"/>
      <c r="H5" s="30"/>
      <c r="I5" s="30"/>
      <c r="J5" s="30"/>
      <c r="K5" s="30"/>
      <c r="L5" s="30"/>
      <c r="M5" s="30"/>
      <c r="N5" s="30"/>
      <c r="O5" s="30"/>
      <c r="P5" s="30"/>
    </row>
    <row r="6" spans="1:18">
      <c r="A6" s="30" t="s">
        <v>13</v>
      </c>
      <c r="B6" s="30" t="s">
        <v>60</v>
      </c>
      <c r="C6" s="30"/>
      <c r="D6" s="30"/>
      <c r="E6" s="30"/>
      <c r="F6" s="30"/>
      <c r="G6" s="30"/>
      <c r="H6" s="30"/>
      <c r="I6" s="30"/>
      <c r="J6" s="30"/>
      <c r="K6" s="30"/>
      <c r="L6" s="30"/>
      <c r="M6" s="30"/>
      <c r="N6" s="30"/>
      <c r="O6" s="30"/>
      <c r="P6" s="30"/>
    </row>
    <row r="7" spans="1:18">
      <c r="A7" s="30" t="s">
        <v>15</v>
      </c>
      <c r="B7" s="30">
        <v>1</v>
      </c>
      <c r="C7" s="30"/>
      <c r="D7" s="30"/>
      <c r="E7" s="30"/>
      <c r="F7" s="30"/>
      <c r="G7" s="30"/>
      <c r="H7" s="30"/>
      <c r="I7" s="30"/>
      <c r="J7" s="30"/>
      <c r="K7" s="30"/>
      <c r="L7" s="30"/>
      <c r="M7" s="30"/>
      <c r="N7" s="30"/>
      <c r="O7" s="30"/>
      <c r="P7" s="30"/>
    </row>
    <row r="8" spans="1:18">
      <c r="A8" s="30" t="s">
        <v>16</v>
      </c>
      <c r="B8" s="30" t="s">
        <v>17</v>
      </c>
      <c r="C8" s="30"/>
      <c r="D8" s="30"/>
      <c r="E8" s="30"/>
      <c r="F8" s="30"/>
      <c r="G8" s="30"/>
      <c r="H8" s="30"/>
      <c r="I8" s="30"/>
      <c r="J8" s="30"/>
      <c r="K8" s="30"/>
      <c r="L8" s="30"/>
      <c r="M8" s="30"/>
      <c r="N8" s="30"/>
      <c r="O8" s="30"/>
      <c r="P8" s="30"/>
    </row>
    <row r="9" spans="1:18" ht="15.75">
      <c r="A9" s="30" t="s">
        <v>18</v>
      </c>
      <c r="B9" s="274" t="s">
        <v>37</v>
      </c>
      <c r="C9" s="30"/>
      <c r="D9" s="30"/>
      <c r="E9" s="30" t="s">
        <v>77</v>
      </c>
      <c r="F9" s="30"/>
      <c r="G9" s="30"/>
      <c r="H9" s="30"/>
      <c r="I9" s="30"/>
      <c r="J9" s="30"/>
      <c r="K9" s="30"/>
      <c r="L9" s="30"/>
      <c r="M9" s="30"/>
      <c r="N9" s="30"/>
      <c r="O9" s="30"/>
      <c r="P9" s="30"/>
    </row>
    <row r="10" spans="1:18" ht="15.75">
      <c r="A10" s="395" t="s">
        <v>19</v>
      </c>
      <c r="B10" s="30"/>
      <c r="C10" s="30"/>
      <c r="D10" s="30"/>
      <c r="E10" s="30"/>
      <c r="F10" s="30"/>
      <c r="G10" s="30"/>
      <c r="H10" s="30"/>
      <c r="I10" s="30"/>
      <c r="J10" s="30"/>
      <c r="K10" s="30"/>
      <c r="L10" s="30"/>
      <c r="M10" s="30"/>
      <c r="N10" s="30"/>
      <c r="O10" s="30"/>
      <c r="P10" s="30"/>
    </row>
    <row r="11" spans="1:18" ht="15.75">
      <c r="A11" s="395" t="s">
        <v>20</v>
      </c>
      <c r="B11" s="395" t="s">
        <v>21</v>
      </c>
      <c r="C11" s="395" t="s">
        <v>78</v>
      </c>
      <c r="D11" s="395" t="s">
        <v>18</v>
      </c>
      <c r="E11" s="395" t="s">
        <v>22</v>
      </c>
      <c r="F11" s="395" t="s">
        <v>7</v>
      </c>
      <c r="G11" s="395" t="s">
        <v>13</v>
      </c>
      <c r="H11" s="395" t="s">
        <v>16</v>
      </c>
      <c r="I11" s="395" t="s">
        <v>23</v>
      </c>
      <c r="J11" s="395" t="s">
        <v>24</v>
      </c>
      <c r="K11" s="395" t="s">
        <v>25</v>
      </c>
      <c r="L11" s="395" t="s">
        <v>26</v>
      </c>
      <c r="M11" s="395" t="s">
        <v>27</v>
      </c>
      <c r="N11" s="395" t="s">
        <v>28</v>
      </c>
      <c r="O11" s="395" t="s">
        <v>11</v>
      </c>
      <c r="P11" s="395" t="s">
        <v>79</v>
      </c>
    </row>
    <row r="12" spans="1:18" ht="15.75">
      <c r="A12" s="274" t="s">
        <v>295</v>
      </c>
      <c r="B12" s="274">
        <v>1</v>
      </c>
      <c r="C12" s="274"/>
      <c r="D12" s="274" t="s">
        <v>37</v>
      </c>
      <c r="E12" s="30" t="s">
        <v>2</v>
      </c>
      <c r="F12" s="30" t="s">
        <v>133</v>
      </c>
      <c r="G12" s="274" t="s">
        <v>60</v>
      </c>
      <c r="H12" s="30" t="s">
        <v>30</v>
      </c>
      <c r="I12" s="30">
        <v>0</v>
      </c>
      <c r="J12" s="274" t="s">
        <v>31</v>
      </c>
      <c r="K12" s="274" t="s">
        <v>31</v>
      </c>
      <c r="L12" s="274" t="s">
        <v>31</v>
      </c>
      <c r="M12" s="274" t="s">
        <v>31</v>
      </c>
      <c r="N12" s="274" t="s">
        <v>31</v>
      </c>
      <c r="O12" s="30"/>
      <c r="P12" s="30"/>
    </row>
    <row r="13" spans="1:18" ht="15.75">
      <c r="A13" t="s">
        <v>134</v>
      </c>
      <c r="B13" s="22">
        <f>0.8</f>
        <v>0.8</v>
      </c>
      <c r="C13" s="274"/>
      <c r="D13" s="274" t="s">
        <v>37</v>
      </c>
      <c r="E13" s="232" t="s">
        <v>38</v>
      </c>
      <c r="F13" s="30" t="s">
        <v>29</v>
      </c>
      <c r="G13" s="274" t="s">
        <v>86</v>
      </c>
      <c r="H13" s="30" t="s">
        <v>33</v>
      </c>
      <c r="I13" s="30">
        <v>0</v>
      </c>
      <c r="J13" s="274" t="s">
        <v>31</v>
      </c>
      <c r="K13" s="274" t="s">
        <v>31</v>
      </c>
      <c r="L13" s="274" t="s">
        <v>31</v>
      </c>
      <c r="M13" s="274" t="s">
        <v>31</v>
      </c>
      <c r="N13" s="274" t="s">
        <v>31</v>
      </c>
      <c r="O13" s="30"/>
      <c r="P13" s="30" t="s">
        <v>135</v>
      </c>
      <c r="R13" t="s">
        <v>136</v>
      </c>
    </row>
    <row r="14" spans="1:18" ht="15.75">
      <c r="A14" t="s">
        <v>137</v>
      </c>
      <c r="B14" s="22">
        <f>0.8*0.9</f>
        <v>0.72000000000000008</v>
      </c>
      <c r="C14" s="274"/>
      <c r="D14" s="274" t="s">
        <v>37</v>
      </c>
      <c r="E14" s="232" t="s">
        <v>38</v>
      </c>
      <c r="F14" s="30" t="s">
        <v>29</v>
      </c>
      <c r="G14" s="274" t="s">
        <v>60</v>
      </c>
      <c r="H14" s="30" t="s">
        <v>98</v>
      </c>
      <c r="I14" s="30">
        <v>0</v>
      </c>
      <c r="J14" s="274" t="s">
        <v>31</v>
      </c>
      <c r="K14" s="274" t="s">
        <v>31</v>
      </c>
      <c r="L14" s="274" t="s">
        <v>31</v>
      </c>
      <c r="M14" s="274" t="s">
        <v>31</v>
      </c>
      <c r="N14" s="274" t="s">
        <v>31</v>
      </c>
      <c r="O14" s="30"/>
      <c r="P14" s="30" t="s">
        <v>99</v>
      </c>
      <c r="R14" t="s">
        <v>136</v>
      </c>
    </row>
    <row r="15" spans="1:18" ht="16.5" customHeight="1">
      <c r="A15" t="s">
        <v>103</v>
      </c>
      <c r="B15" s="22">
        <v>-0.2</v>
      </c>
      <c r="D15" t="s">
        <v>37</v>
      </c>
      <c r="E15" s="232" t="s">
        <v>38</v>
      </c>
      <c r="F15" s="30" t="s">
        <v>133</v>
      </c>
      <c r="G15" t="s">
        <v>60</v>
      </c>
      <c r="H15" t="s">
        <v>33</v>
      </c>
      <c r="I15">
        <v>0</v>
      </c>
      <c r="J15" t="s">
        <v>31</v>
      </c>
      <c r="K15" t="s">
        <v>31</v>
      </c>
      <c r="L15" t="s">
        <v>31</v>
      </c>
      <c r="M15" t="s">
        <v>31</v>
      </c>
      <c r="N15" t="s">
        <v>31</v>
      </c>
      <c r="O15" s="17"/>
      <c r="P15" s="30" t="s">
        <v>138</v>
      </c>
      <c r="R15" t="s">
        <v>136</v>
      </c>
    </row>
    <row r="16" spans="1:18" s="42" customFormat="1" ht="15.75">
      <c r="A16" s="392" t="s">
        <v>5</v>
      </c>
      <c r="B16" s="392" t="s">
        <v>297</v>
      </c>
      <c r="C16" s="392"/>
      <c r="D16" s="120"/>
      <c r="E16" s="393"/>
      <c r="F16" s="393"/>
      <c r="G16" s="393"/>
      <c r="H16" s="393"/>
      <c r="I16" s="393"/>
      <c r="J16" s="393"/>
      <c r="K16" s="393"/>
      <c r="L16" s="393"/>
      <c r="M16" s="393"/>
      <c r="N16" s="393"/>
      <c r="O16" s="393"/>
      <c r="P16" s="393"/>
    </row>
    <row r="17" spans="1:16">
      <c r="A17" s="30" t="s">
        <v>7</v>
      </c>
      <c r="B17" s="30" t="s">
        <v>129</v>
      </c>
      <c r="C17" s="30"/>
      <c r="D17" s="30"/>
      <c r="E17" s="30"/>
      <c r="F17" s="30"/>
      <c r="G17" s="30"/>
      <c r="H17" s="30"/>
      <c r="I17" s="30"/>
      <c r="J17" s="30"/>
      <c r="K17" s="30"/>
      <c r="L17" s="30"/>
      <c r="M17" s="30"/>
      <c r="N17" s="30"/>
      <c r="O17" s="30"/>
      <c r="P17" s="30"/>
    </row>
    <row r="18" spans="1:16">
      <c r="A18" s="30" t="s">
        <v>9</v>
      </c>
      <c r="B18" s="394" t="s">
        <v>298</v>
      </c>
      <c r="C18" s="30"/>
      <c r="D18" s="30"/>
      <c r="E18" s="30"/>
      <c r="F18" s="30"/>
      <c r="G18" s="30"/>
      <c r="H18" s="30"/>
      <c r="I18" s="30"/>
      <c r="J18" s="30"/>
      <c r="K18" s="30"/>
      <c r="L18" s="30"/>
      <c r="M18" s="30"/>
      <c r="N18" s="30"/>
      <c r="O18" s="30"/>
      <c r="P18" s="30"/>
    </row>
    <row r="19" spans="1:16">
      <c r="A19" s="30" t="s">
        <v>11</v>
      </c>
      <c r="B19" s="30" t="s">
        <v>131</v>
      </c>
      <c r="C19" s="30"/>
      <c r="D19" s="30"/>
      <c r="E19" s="30"/>
      <c r="F19" s="30"/>
      <c r="G19" s="30"/>
      <c r="H19" s="30"/>
      <c r="I19" s="30"/>
      <c r="J19" s="30"/>
      <c r="K19" s="30"/>
      <c r="L19" s="30"/>
      <c r="M19" s="30"/>
      <c r="N19" s="30"/>
      <c r="O19" s="30"/>
      <c r="P19" s="30"/>
    </row>
    <row r="20" spans="1:16">
      <c r="A20" s="30" t="s">
        <v>13</v>
      </c>
      <c r="B20" s="30" t="s">
        <v>60</v>
      </c>
      <c r="C20" s="30"/>
      <c r="D20" s="30"/>
      <c r="E20" s="30"/>
      <c r="F20" s="30"/>
      <c r="G20" s="30"/>
      <c r="H20" s="30"/>
      <c r="I20" s="30"/>
      <c r="J20" s="30"/>
      <c r="K20" s="30"/>
      <c r="L20" s="30"/>
      <c r="M20" s="30"/>
      <c r="N20" s="30"/>
      <c r="O20" s="30"/>
      <c r="P20" s="30"/>
    </row>
    <row r="21" spans="1:16">
      <c r="A21" s="30" t="s">
        <v>15</v>
      </c>
      <c r="B21" s="30">
        <v>1</v>
      </c>
      <c r="C21" s="30"/>
      <c r="D21" s="30"/>
      <c r="E21" s="30"/>
      <c r="F21" s="30"/>
      <c r="G21" s="30"/>
      <c r="H21" s="30"/>
      <c r="I21" s="30"/>
      <c r="J21" s="30"/>
      <c r="K21" s="30"/>
      <c r="L21" s="30"/>
      <c r="M21" s="30"/>
      <c r="N21" s="30"/>
      <c r="O21" s="30"/>
      <c r="P21" s="30"/>
    </row>
    <row r="22" spans="1:16">
      <c r="A22" s="30" t="s">
        <v>16</v>
      </c>
      <c r="B22" s="30" t="s">
        <v>17</v>
      </c>
      <c r="C22" s="30"/>
      <c r="D22" s="30"/>
      <c r="E22" s="30"/>
      <c r="F22" s="30"/>
      <c r="G22" s="30"/>
      <c r="H22" s="30"/>
      <c r="I22" s="30"/>
      <c r="J22" s="30"/>
      <c r="K22" s="30"/>
      <c r="L22" s="30"/>
      <c r="M22" s="30"/>
      <c r="N22" s="30"/>
      <c r="O22" s="30"/>
      <c r="P22" s="30"/>
    </row>
    <row r="23" spans="1:16" ht="15.75">
      <c r="A23" s="30" t="s">
        <v>18</v>
      </c>
      <c r="B23" s="274" t="s">
        <v>37</v>
      </c>
      <c r="C23" s="30"/>
      <c r="D23" s="30"/>
      <c r="E23" s="30" t="s">
        <v>77</v>
      </c>
      <c r="F23" s="30"/>
      <c r="G23" s="30"/>
      <c r="H23" s="30"/>
      <c r="I23" s="30"/>
      <c r="J23" s="30"/>
      <c r="K23" s="30"/>
      <c r="L23" s="30"/>
      <c r="M23" s="30"/>
      <c r="N23" s="30"/>
      <c r="O23" s="30"/>
      <c r="P23" s="30"/>
    </row>
    <row r="24" spans="1:16" ht="15.75">
      <c r="A24" s="395" t="s">
        <v>19</v>
      </c>
      <c r="B24" s="30"/>
      <c r="C24" s="30"/>
      <c r="D24" s="30"/>
      <c r="E24" s="30"/>
      <c r="F24" s="30"/>
      <c r="G24" s="30"/>
      <c r="H24" s="30"/>
      <c r="I24" s="30"/>
      <c r="J24" s="30"/>
      <c r="K24" s="30"/>
      <c r="L24" s="30"/>
      <c r="M24" s="30"/>
      <c r="N24" s="30"/>
      <c r="O24" s="30"/>
      <c r="P24" s="30"/>
    </row>
    <row r="25" spans="1:16" ht="15.75">
      <c r="A25" s="395" t="s">
        <v>20</v>
      </c>
      <c r="B25" s="395" t="s">
        <v>21</v>
      </c>
      <c r="C25" s="395" t="s">
        <v>78</v>
      </c>
      <c r="D25" s="395" t="s">
        <v>18</v>
      </c>
      <c r="E25" s="395" t="s">
        <v>22</v>
      </c>
      <c r="F25" s="395" t="s">
        <v>7</v>
      </c>
      <c r="G25" s="395" t="s">
        <v>13</v>
      </c>
      <c r="H25" s="395" t="s">
        <v>16</v>
      </c>
      <c r="I25" s="395" t="s">
        <v>23</v>
      </c>
      <c r="J25" s="395" t="s">
        <v>24</v>
      </c>
      <c r="K25" s="395" t="s">
        <v>25</v>
      </c>
      <c r="L25" s="395" t="s">
        <v>26</v>
      </c>
      <c r="M25" s="395" t="s">
        <v>27</v>
      </c>
      <c r="N25" s="395" t="s">
        <v>28</v>
      </c>
      <c r="O25" s="395" t="s">
        <v>11</v>
      </c>
      <c r="P25" s="395" t="s">
        <v>79</v>
      </c>
    </row>
    <row r="26" spans="1:16" ht="15.75">
      <c r="A26" s="274" t="str">
        <f>B16</f>
        <v>treatment of aluminium, motors and drives, Gt-bat, Medium-Term</v>
      </c>
      <c r="B26" s="274">
        <v>1</v>
      </c>
      <c r="C26" s="274"/>
      <c r="D26" s="274" t="s">
        <v>37</v>
      </c>
      <c r="E26" s="30" t="s">
        <v>2</v>
      </c>
      <c r="F26" s="30" t="s">
        <v>133</v>
      </c>
      <c r="G26" s="274" t="s">
        <v>60</v>
      </c>
      <c r="H26" s="30" t="s">
        <v>30</v>
      </c>
      <c r="I26" s="30">
        <v>0</v>
      </c>
      <c r="J26" s="274" t="s">
        <v>31</v>
      </c>
      <c r="K26" s="274" t="s">
        <v>31</v>
      </c>
      <c r="L26" s="274" t="s">
        <v>31</v>
      </c>
      <c r="M26" s="274" t="s">
        <v>31</v>
      </c>
      <c r="N26" s="274" t="s">
        <v>31</v>
      </c>
      <c r="O26" s="30"/>
      <c r="P26" s="30"/>
    </row>
    <row r="27" spans="1:16" ht="15.75">
      <c r="A27" t="s">
        <v>93</v>
      </c>
      <c r="B27" s="22">
        <f>0.8</f>
        <v>0.8</v>
      </c>
      <c r="C27" s="274"/>
      <c r="D27" s="274" t="s">
        <v>37</v>
      </c>
      <c r="E27" s="185" t="s">
        <v>38</v>
      </c>
      <c r="F27" s="30" t="s">
        <v>133</v>
      </c>
      <c r="G27" s="274" t="s">
        <v>86</v>
      </c>
      <c r="H27" s="30" t="s">
        <v>33</v>
      </c>
      <c r="I27" s="30">
        <v>0</v>
      </c>
      <c r="J27" s="274" t="s">
        <v>31</v>
      </c>
      <c r="K27" s="274" t="s">
        <v>31</v>
      </c>
      <c r="L27" s="274" t="s">
        <v>31</v>
      </c>
      <c r="M27" s="274" t="s">
        <v>31</v>
      </c>
      <c r="N27" s="274" t="s">
        <v>31</v>
      </c>
      <c r="O27" s="30" t="s">
        <v>299</v>
      </c>
      <c r="P27" s="30"/>
    </row>
    <row r="28" spans="1:16" ht="15.75">
      <c r="A28" t="s">
        <v>94</v>
      </c>
      <c r="B28" s="22">
        <f>0.8</f>
        <v>0.8</v>
      </c>
      <c r="C28" s="31" t="s">
        <v>95</v>
      </c>
      <c r="D28" t="s">
        <v>37</v>
      </c>
      <c r="E28" s="173" t="s">
        <v>38</v>
      </c>
      <c r="F28" s="30" t="s">
        <v>133</v>
      </c>
      <c r="G28" t="s">
        <v>86</v>
      </c>
      <c r="H28" s="30" t="s">
        <v>33</v>
      </c>
      <c r="I28" s="30">
        <v>0</v>
      </c>
      <c r="J28" s="274" t="s">
        <v>31</v>
      </c>
      <c r="K28" s="274" t="s">
        <v>31</v>
      </c>
      <c r="L28" s="274" t="s">
        <v>31</v>
      </c>
      <c r="M28" s="274" t="s">
        <v>31</v>
      </c>
      <c r="N28" s="274" t="s">
        <v>31</v>
      </c>
      <c r="O28" t="s">
        <v>96</v>
      </c>
    </row>
    <row r="29" spans="1:16" ht="15.75">
      <c r="A29" t="s">
        <v>97</v>
      </c>
      <c r="B29" s="22">
        <f>0.8*0.9</f>
        <v>0.72000000000000008</v>
      </c>
      <c r="D29" t="s">
        <v>37</v>
      </c>
      <c r="E29" s="173" t="s">
        <v>38</v>
      </c>
      <c r="F29" s="30" t="s">
        <v>133</v>
      </c>
      <c r="G29" t="s">
        <v>60</v>
      </c>
      <c r="H29" s="30" t="s">
        <v>98</v>
      </c>
      <c r="I29" s="30">
        <v>0</v>
      </c>
      <c r="J29" s="274" t="s">
        <v>31</v>
      </c>
      <c r="K29" s="274" t="s">
        <v>31</v>
      </c>
      <c r="L29" s="274" t="s">
        <v>31</v>
      </c>
      <c r="M29" s="274" t="s">
        <v>31</v>
      </c>
      <c r="N29" s="274" t="s">
        <v>31</v>
      </c>
      <c r="O29" s="30" t="s">
        <v>99</v>
      </c>
    </row>
    <row r="30" spans="1:16" ht="16.5" customHeight="1">
      <c r="A30" t="s">
        <v>103</v>
      </c>
      <c r="B30" s="22">
        <v>-0.2</v>
      </c>
      <c r="D30" t="s">
        <v>37</v>
      </c>
      <c r="E30" s="232" t="s">
        <v>38</v>
      </c>
      <c r="F30" s="30" t="s">
        <v>133</v>
      </c>
      <c r="G30" t="s">
        <v>60</v>
      </c>
      <c r="H30" t="s">
        <v>33</v>
      </c>
      <c r="I30">
        <v>0</v>
      </c>
      <c r="J30" t="s">
        <v>31</v>
      </c>
      <c r="K30" t="s">
        <v>31</v>
      </c>
      <c r="L30" t="s">
        <v>31</v>
      </c>
      <c r="M30" t="s">
        <v>31</v>
      </c>
      <c r="N30" t="s">
        <v>31</v>
      </c>
      <c r="O30" s="30" t="s">
        <v>138</v>
      </c>
    </row>
    <row r="31" spans="1:16" s="42" customFormat="1" ht="15.75">
      <c r="A31" s="392" t="s">
        <v>5</v>
      </c>
      <c r="B31" s="392" t="s">
        <v>300</v>
      </c>
      <c r="C31" s="392"/>
      <c r="D31" s="120"/>
      <c r="E31" s="393"/>
      <c r="F31" s="393"/>
      <c r="G31" s="393"/>
      <c r="H31" s="393"/>
      <c r="I31" s="393"/>
      <c r="J31" s="393"/>
      <c r="K31" s="393"/>
      <c r="L31" s="393"/>
      <c r="M31" s="393"/>
      <c r="N31" s="393"/>
      <c r="O31" s="393"/>
      <c r="P31" s="393"/>
    </row>
    <row r="32" spans="1:16">
      <c r="A32" s="30" t="s">
        <v>7</v>
      </c>
      <c r="B32" s="30" t="s">
        <v>129</v>
      </c>
      <c r="C32" s="30"/>
      <c r="D32" s="30"/>
      <c r="E32" s="30"/>
      <c r="F32" s="30"/>
      <c r="G32" s="30"/>
      <c r="H32" s="30"/>
      <c r="I32" s="30"/>
      <c r="J32" s="30"/>
      <c r="K32" s="30"/>
      <c r="L32" s="30"/>
      <c r="M32" s="30"/>
      <c r="N32" s="30"/>
      <c r="O32" s="30"/>
      <c r="P32" s="30"/>
    </row>
    <row r="33" spans="1:25">
      <c r="A33" s="30" t="s">
        <v>9</v>
      </c>
      <c r="B33" s="394" t="s">
        <v>301</v>
      </c>
      <c r="C33" s="30"/>
      <c r="D33" s="30"/>
      <c r="E33" s="30"/>
      <c r="F33" s="30"/>
      <c r="G33" s="30"/>
      <c r="H33" s="30"/>
      <c r="I33" s="30"/>
      <c r="J33" s="30"/>
      <c r="K33" s="30"/>
      <c r="L33" s="30"/>
      <c r="M33" s="30"/>
      <c r="N33" s="30"/>
      <c r="O33" s="30"/>
      <c r="P33" s="30"/>
    </row>
    <row r="34" spans="1:25">
      <c r="A34" s="30" t="s">
        <v>11</v>
      </c>
      <c r="B34" s="30" t="s">
        <v>131</v>
      </c>
      <c r="C34" s="30"/>
      <c r="D34" s="30"/>
      <c r="E34" s="30"/>
      <c r="F34" s="30"/>
      <c r="G34" s="30"/>
      <c r="H34" s="30"/>
      <c r="I34" s="30"/>
      <c r="J34" s="30"/>
      <c r="K34" s="30"/>
      <c r="L34" s="30"/>
      <c r="M34" s="30"/>
      <c r="N34" s="30"/>
      <c r="O34" s="30"/>
      <c r="P34" s="30"/>
    </row>
    <row r="35" spans="1:25">
      <c r="A35" s="30" t="s">
        <v>13</v>
      </c>
      <c r="B35" s="30" t="s">
        <v>60</v>
      </c>
      <c r="C35" s="30"/>
      <c r="D35" s="30"/>
      <c r="E35" s="30"/>
      <c r="F35" s="30"/>
      <c r="G35" s="30"/>
      <c r="H35" s="30"/>
      <c r="I35" s="30"/>
      <c r="J35" s="30"/>
      <c r="K35" s="30"/>
      <c r="L35" s="30"/>
      <c r="M35" s="30"/>
      <c r="N35" s="30"/>
      <c r="O35" s="30"/>
      <c r="P35" s="30"/>
    </row>
    <row r="36" spans="1:25">
      <c r="A36" s="30" t="s">
        <v>15</v>
      </c>
      <c r="B36" s="30">
        <v>1</v>
      </c>
      <c r="C36" s="30"/>
      <c r="D36" s="30"/>
      <c r="E36" s="30"/>
      <c r="F36" s="30"/>
      <c r="G36" s="30"/>
      <c r="H36" s="30"/>
      <c r="I36" s="30"/>
      <c r="J36" s="30"/>
      <c r="K36" s="30"/>
      <c r="L36" s="30"/>
      <c r="M36" s="30"/>
      <c r="N36" s="30"/>
      <c r="O36" s="30"/>
      <c r="P36" s="30"/>
    </row>
    <row r="37" spans="1:25">
      <c r="A37" s="30" t="s">
        <v>16</v>
      </c>
      <c r="B37" s="30" t="s">
        <v>17</v>
      </c>
      <c r="C37" s="30"/>
      <c r="D37" s="30"/>
      <c r="E37" s="30"/>
      <c r="F37" s="30"/>
      <c r="G37" s="30"/>
      <c r="H37" s="30"/>
      <c r="I37" s="30"/>
      <c r="J37" s="30"/>
      <c r="K37" s="30"/>
      <c r="L37" s="30"/>
      <c r="M37" s="30"/>
      <c r="N37" s="30"/>
      <c r="O37" s="30"/>
      <c r="P37" s="30"/>
    </row>
    <row r="38" spans="1:25" ht="15.75">
      <c r="A38" s="30" t="s">
        <v>18</v>
      </c>
      <c r="B38" s="274" t="s">
        <v>37</v>
      </c>
      <c r="C38" s="30"/>
      <c r="D38" s="30"/>
      <c r="E38" s="30" t="s">
        <v>77</v>
      </c>
      <c r="F38" s="30"/>
      <c r="G38" s="30"/>
      <c r="H38" s="30"/>
      <c r="I38" s="30"/>
      <c r="J38" s="30"/>
      <c r="K38" s="30"/>
      <c r="L38" s="30"/>
      <c r="M38" s="30"/>
      <c r="N38" s="30"/>
      <c r="O38" s="30"/>
      <c r="P38" s="30"/>
    </row>
    <row r="39" spans="1:25" ht="15.75">
      <c r="A39" s="395" t="s">
        <v>19</v>
      </c>
      <c r="B39" s="30"/>
      <c r="C39" s="30"/>
      <c r="D39" s="30"/>
      <c r="E39" s="30"/>
      <c r="F39" s="30"/>
      <c r="G39" s="30"/>
      <c r="H39" s="30"/>
      <c r="I39" s="30"/>
      <c r="J39" s="30"/>
      <c r="K39" s="30"/>
      <c r="L39" s="30"/>
      <c r="M39" s="30"/>
      <c r="N39" s="30"/>
      <c r="O39" s="30"/>
      <c r="P39" s="30"/>
    </row>
    <row r="40" spans="1:25" ht="15.75">
      <c r="A40" s="395" t="s">
        <v>20</v>
      </c>
      <c r="B40" s="395" t="s">
        <v>21</v>
      </c>
      <c r="C40" s="395" t="s">
        <v>78</v>
      </c>
      <c r="D40" s="395" t="s">
        <v>18</v>
      </c>
      <c r="E40" s="395" t="s">
        <v>22</v>
      </c>
      <c r="F40" s="395" t="s">
        <v>7</v>
      </c>
      <c r="G40" s="395" t="s">
        <v>13</v>
      </c>
      <c r="H40" s="395" t="s">
        <v>16</v>
      </c>
      <c r="I40" s="395" t="s">
        <v>23</v>
      </c>
      <c r="J40" s="395" t="s">
        <v>24</v>
      </c>
      <c r="K40" s="395" t="s">
        <v>25</v>
      </c>
      <c r="L40" s="395" t="s">
        <v>26</v>
      </c>
      <c r="M40" s="395" t="s">
        <v>27</v>
      </c>
      <c r="N40" s="395" t="s">
        <v>28</v>
      </c>
      <c r="O40" s="395" t="s">
        <v>11</v>
      </c>
      <c r="P40" s="395" t="s">
        <v>79</v>
      </c>
    </row>
    <row r="41" spans="1:25" ht="15.75">
      <c r="A41" s="274" t="str">
        <f>B31</f>
        <v>treatment of copper, motors and drives, Gt-bat, Medium-Term</v>
      </c>
      <c r="B41" s="274">
        <v>1</v>
      </c>
      <c r="C41" s="274"/>
      <c r="D41" s="274" t="s">
        <v>37</v>
      </c>
      <c r="E41" s="30" t="s">
        <v>2</v>
      </c>
      <c r="F41" s="30" t="s">
        <v>133</v>
      </c>
      <c r="G41" s="274" t="s">
        <v>60</v>
      </c>
      <c r="H41" s="30" t="s">
        <v>30</v>
      </c>
      <c r="I41" s="30">
        <v>0</v>
      </c>
      <c r="J41" s="274" t="s">
        <v>31</v>
      </c>
      <c r="K41" s="274" t="s">
        <v>31</v>
      </c>
      <c r="L41" s="274" t="s">
        <v>31</v>
      </c>
      <c r="M41" s="274" t="s">
        <v>31</v>
      </c>
      <c r="N41" s="274" t="s">
        <v>31</v>
      </c>
      <c r="O41" s="30" t="s">
        <v>299</v>
      </c>
      <c r="P41" s="30"/>
    </row>
    <row r="42" spans="1:25">
      <c r="A42" s="51" t="s">
        <v>100</v>
      </c>
      <c r="B42" s="22">
        <f>0.8</f>
        <v>0.8</v>
      </c>
      <c r="C42" s="83" t="s">
        <v>101</v>
      </c>
      <c r="D42" s="31" t="s">
        <v>37</v>
      </c>
      <c r="E42" s="31" t="s">
        <v>38</v>
      </c>
      <c r="F42" s="30" t="s">
        <v>133</v>
      </c>
      <c r="G42" s="31" t="s">
        <v>86</v>
      </c>
      <c r="H42" s="31" t="s">
        <v>33</v>
      </c>
      <c r="I42">
        <v>0</v>
      </c>
      <c r="J42" t="s">
        <v>31</v>
      </c>
      <c r="K42" t="s">
        <v>31</v>
      </c>
      <c r="L42" t="s">
        <v>31</v>
      </c>
      <c r="M42" t="s">
        <v>31</v>
      </c>
      <c r="N42" t="s">
        <v>31</v>
      </c>
      <c r="O42" t="s">
        <v>96</v>
      </c>
      <c r="P42" s="31"/>
      <c r="Q42" s="31"/>
      <c r="R42" s="31"/>
      <c r="S42" s="31"/>
      <c r="T42" s="31"/>
      <c r="U42" s="31"/>
      <c r="V42" s="31"/>
      <c r="W42" s="31"/>
      <c r="X42" s="31"/>
      <c r="Y42" s="31"/>
    </row>
    <row r="43" spans="1:25">
      <c r="A43" s="51" t="s">
        <v>102</v>
      </c>
      <c r="B43" s="22">
        <f>0.8*0.9</f>
        <v>0.72000000000000008</v>
      </c>
      <c r="C43" s="31"/>
      <c r="D43" s="31" t="s">
        <v>37</v>
      </c>
      <c r="E43" s="31" t="s">
        <v>38</v>
      </c>
      <c r="F43" s="30" t="s">
        <v>133</v>
      </c>
      <c r="G43" s="31" t="s">
        <v>60</v>
      </c>
      <c r="H43" s="31" t="s">
        <v>98</v>
      </c>
      <c r="I43">
        <v>0</v>
      </c>
      <c r="J43" t="s">
        <v>31</v>
      </c>
      <c r="K43" t="s">
        <v>31</v>
      </c>
      <c r="L43" t="s">
        <v>31</v>
      </c>
      <c r="M43" t="s">
        <v>31</v>
      </c>
      <c r="N43" t="s">
        <v>31</v>
      </c>
      <c r="O43" s="30" t="s">
        <v>99</v>
      </c>
      <c r="P43" s="31"/>
      <c r="Q43" s="31"/>
      <c r="R43" s="31"/>
      <c r="S43" s="31"/>
      <c r="T43" s="31"/>
      <c r="U43" s="31"/>
      <c r="V43" s="31"/>
      <c r="W43" s="31"/>
      <c r="X43" s="31"/>
      <c r="Y43" s="31"/>
    </row>
    <row r="44" spans="1:25" ht="16.5" customHeight="1">
      <c r="A44" t="s">
        <v>103</v>
      </c>
      <c r="B44" s="22">
        <v>-0.2</v>
      </c>
      <c r="D44" t="s">
        <v>37</v>
      </c>
      <c r="E44" s="232" t="s">
        <v>38</v>
      </c>
      <c r="F44" s="30" t="s">
        <v>133</v>
      </c>
      <c r="G44" t="s">
        <v>60</v>
      </c>
      <c r="H44" t="s">
        <v>33</v>
      </c>
      <c r="I44">
        <v>0</v>
      </c>
      <c r="J44" t="s">
        <v>31</v>
      </c>
      <c r="K44" t="s">
        <v>31</v>
      </c>
      <c r="L44" t="s">
        <v>31</v>
      </c>
      <c r="M44" t="s">
        <v>31</v>
      </c>
      <c r="N44" t="s">
        <v>31</v>
      </c>
      <c r="O44" s="30" t="s">
        <v>138</v>
      </c>
    </row>
    <row r="45" spans="1:25" s="42" customFormat="1" ht="15.75">
      <c r="A45" s="392" t="s">
        <v>5</v>
      </c>
      <c r="B45" s="392" t="s">
        <v>302</v>
      </c>
      <c r="C45" s="392"/>
      <c r="D45" s="120"/>
      <c r="E45" s="393"/>
      <c r="F45" s="393"/>
      <c r="G45" s="393"/>
      <c r="H45" s="393"/>
      <c r="I45" s="393"/>
      <c r="J45" s="393"/>
      <c r="K45" s="393"/>
      <c r="L45" s="393"/>
      <c r="M45" s="393"/>
      <c r="N45" s="393"/>
      <c r="O45" s="393"/>
      <c r="P45" s="393"/>
    </row>
    <row r="46" spans="1:25">
      <c r="A46" s="30" t="s">
        <v>7</v>
      </c>
      <c r="B46" s="30" t="s">
        <v>129</v>
      </c>
      <c r="C46" s="30"/>
      <c r="D46" s="30"/>
      <c r="E46" s="30"/>
      <c r="F46" s="30"/>
      <c r="G46" s="30"/>
      <c r="H46" s="30"/>
      <c r="I46" s="30"/>
      <c r="J46" s="30"/>
      <c r="K46" s="30"/>
      <c r="L46" s="30"/>
      <c r="M46" s="30"/>
      <c r="N46" s="30"/>
      <c r="O46" s="30"/>
      <c r="P46" s="30"/>
    </row>
    <row r="47" spans="1:25">
      <c r="A47" s="30" t="s">
        <v>9</v>
      </c>
      <c r="B47" s="394" t="s">
        <v>303</v>
      </c>
      <c r="C47" s="30"/>
      <c r="D47" s="30"/>
      <c r="E47" s="30"/>
      <c r="F47" s="30"/>
      <c r="G47" s="30"/>
      <c r="H47" s="30"/>
      <c r="I47" s="30"/>
      <c r="J47" s="30"/>
      <c r="K47" s="30"/>
      <c r="L47" s="30"/>
      <c r="M47" s="30"/>
      <c r="N47" s="30"/>
      <c r="O47" s="30"/>
      <c r="P47" s="30"/>
    </row>
    <row r="48" spans="1:25">
      <c r="A48" s="30" t="s">
        <v>11</v>
      </c>
      <c r="B48" s="30" t="s">
        <v>131</v>
      </c>
      <c r="C48" s="30"/>
      <c r="D48" s="30"/>
      <c r="E48" s="30"/>
      <c r="F48" s="30"/>
      <c r="G48" s="30"/>
      <c r="H48" s="30"/>
      <c r="I48" s="30"/>
      <c r="J48" s="30"/>
      <c r="K48" s="30"/>
      <c r="L48" s="30"/>
      <c r="M48" s="30"/>
      <c r="N48" s="30"/>
      <c r="O48" s="30"/>
      <c r="P48" s="30"/>
    </row>
    <row r="49" spans="1:16">
      <c r="A49" s="30" t="s">
        <v>13</v>
      </c>
      <c r="B49" s="30" t="s">
        <v>60</v>
      </c>
      <c r="C49" s="30"/>
      <c r="D49" s="30"/>
      <c r="E49" s="30"/>
      <c r="F49" s="30"/>
      <c r="G49" s="30"/>
      <c r="H49" s="30"/>
      <c r="I49" s="30"/>
      <c r="J49" s="30"/>
      <c r="K49" s="30"/>
      <c r="L49" s="30"/>
      <c r="M49" s="30"/>
      <c r="N49" s="30"/>
      <c r="O49" s="30"/>
      <c r="P49" s="30"/>
    </row>
    <row r="50" spans="1:16">
      <c r="A50" s="30" t="s">
        <v>15</v>
      </c>
      <c r="B50" s="30">
        <v>1</v>
      </c>
      <c r="C50" s="30"/>
      <c r="D50" s="30"/>
      <c r="E50" s="30"/>
      <c r="F50" s="30"/>
      <c r="G50" s="30"/>
      <c r="H50" s="30"/>
      <c r="I50" s="30"/>
      <c r="J50" s="30"/>
      <c r="K50" s="30"/>
      <c r="L50" s="30"/>
      <c r="M50" s="30"/>
      <c r="N50" s="30"/>
      <c r="O50" s="30"/>
      <c r="P50" s="30"/>
    </row>
    <row r="51" spans="1:16">
      <c r="A51" s="30" t="s">
        <v>16</v>
      </c>
      <c r="B51" s="30" t="s">
        <v>17</v>
      </c>
      <c r="C51" s="30"/>
      <c r="D51" s="30"/>
      <c r="E51" s="30"/>
      <c r="F51" s="30"/>
      <c r="G51" s="30"/>
      <c r="H51" s="30"/>
      <c r="I51" s="30"/>
      <c r="J51" s="30"/>
      <c r="K51" s="30"/>
      <c r="L51" s="30"/>
      <c r="M51" s="30"/>
      <c r="N51" s="30"/>
      <c r="O51" s="30"/>
      <c r="P51" s="30"/>
    </row>
    <row r="52" spans="1:16" ht="15.75">
      <c r="A52" s="30" t="s">
        <v>18</v>
      </c>
      <c r="B52" s="274" t="s">
        <v>37</v>
      </c>
      <c r="C52" s="30"/>
      <c r="D52" s="30"/>
      <c r="E52" s="30" t="s">
        <v>77</v>
      </c>
      <c r="F52" s="30"/>
      <c r="G52" s="30"/>
      <c r="H52" s="30"/>
      <c r="I52" s="30"/>
      <c r="J52" s="30"/>
      <c r="K52" s="30"/>
      <c r="L52" s="30"/>
      <c r="M52" s="30"/>
      <c r="N52" s="30"/>
      <c r="O52" s="30"/>
      <c r="P52" s="30"/>
    </row>
    <row r="53" spans="1:16" ht="15.75">
      <c r="A53" s="395" t="s">
        <v>19</v>
      </c>
      <c r="B53" s="30"/>
      <c r="C53" s="30"/>
      <c r="D53" s="30"/>
      <c r="E53" s="30"/>
      <c r="F53" s="30"/>
      <c r="G53" s="30"/>
      <c r="H53" s="30"/>
      <c r="I53" s="30"/>
      <c r="J53" s="30"/>
      <c r="K53" s="30"/>
      <c r="L53" s="30"/>
      <c r="M53" s="30"/>
      <c r="N53" s="30"/>
      <c r="O53" s="30"/>
      <c r="P53" s="30"/>
    </row>
    <row r="54" spans="1:16" ht="15.75">
      <c r="A54" s="395" t="s">
        <v>20</v>
      </c>
      <c r="B54" s="395" t="s">
        <v>21</v>
      </c>
      <c r="C54" s="395" t="s">
        <v>78</v>
      </c>
      <c r="D54" s="395" t="s">
        <v>18</v>
      </c>
      <c r="E54" s="395" t="s">
        <v>22</v>
      </c>
      <c r="F54" s="395" t="s">
        <v>7</v>
      </c>
      <c r="G54" s="395" t="s">
        <v>13</v>
      </c>
      <c r="H54" s="395" t="s">
        <v>16</v>
      </c>
      <c r="I54" s="395" t="s">
        <v>23</v>
      </c>
      <c r="J54" s="395" t="s">
        <v>24</v>
      </c>
      <c r="K54" s="395" t="s">
        <v>25</v>
      </c>
      <c r="L54" s="395" t="s">
        <v>26</v>
      </c>
      <c r="M54" s="395" t="s">
        <v>27</v>
      </c>
      <c r="N54" s="395" t="s">
        <v>28</v>
      </c>
      <c r="O54" s="395" t="s">
        <v>11</v>
      </c>
      <c r="P54" s="395" t="s">
        <v>79</v>
      </c>
    </row>
    <row r="55" spans="1:16" ht="15.75">
      <c r="A55" s="274" t="str">
        <f>B45</f>
        <v>treatment of permanent magnet, motors and drives, Gt-bat, Medium-Term</v>
      </c>
      <c r="B55" s="274">
        <v>1</v>
      </c>
      <c r="C55" s="274"/>
      <c r="D55" s="274" t="s">
        <v>37</v>
      </c>
      <c r="E55" s="30" t="s">
        <v>2</v>
      </c>
      <c r="F55" s="30" t="s">
        <v>133</v>
      </c>
      <c r="G55" s="274" t="s">
        <v>60</v>
      </c>
      <c r="H55" s="30" t="s">
        <v>30</v>
      </c>
      <c r="I55" s="30">
        <v>0</v>
      </c>
      <c r="J55" s="274" t="s">
        <v>31</v>
      </c>
      <c r="K55" s="274" t="s">
        <v>31</v>
      </c>
      <c r="L55" s="274" t="s">
        <v>31</v>
      </c>
      <c r="M55" s="274" t="s">
        <v>31</v>
      </c>
      <c r="N55" s="274" t="s">
        <v>31</v>
      </c>
      <c r="O55" s="30" t="s">
        <v>304</v>
      </c>
      <c r="P55" s="30"/>
    </row>
    <row r="56" spans="1:16" ht="15.75">
      <c r="A56" s="232" t="s">
        <v>305</v>
      </c>
      <c r="B56">
        <v>-1</v>
      </c>
      <c r="C56" s="274" t="s">
        <v>306</v>
      </c>
      <c r="D56" s="274" t="s">
        <v>37</v>
      </c>
      <c r="E56" s="271" t="s">
        <v>38</v>
      </c>
      <c r="F56" s="30" t="s">
        <v>133</v>
      </c>
      <c r="G56" s="274" t="s">
        <v>60</v>
      </c>
      <c r="H56" t="s">
        <v>33</v>
      </c>
      <c r="I56" s="30">
        <v>0</v>
      </c>
      <c r="J56" s="274" t="s">
        <v>31</v>
      </c>
      <c r="K56" s="274" t="s">
        <v>31</v>
      </c>
      <c r="L56" s="274" t="s">
        <v>31</v>
      </c>
      <c r="M56" s="274" t="s">
        <v>31</v>
      </c>
      <c r="N56" s="274" t="s">
        <v>31</v>
      </c>
      <c r="O56" t="s">
        <v>307</v>
      </c>
    </row>
    <row r="57" spans="1:16" ht="15.75">
      <c r="A57" s="271" t="s">
        <v>308</v>
      </c>
      <c r="B57">
        <f>0.65</f>
        <v>0.65</v>
      </c>
      <c r="D57" s="274" t="s">
        <v>37</v>
      </c>
      <c r="E57" s="271" t="s">
        <v>38</v>
      </c>
      <c r="F57" s="30" t="s">
        <v>133</v>
      </c>
      <c r="G57" s="271" t="s">
        <v>60</v>
      </c>
      <c r="H57" s="271" t="s">
        <v>98</v>
      </c>
      <c r="I57" s="30">
        <v>0</v>
      </c>
      <c r="J57" s="274" t="s">
        <v>31</v>
      </c>
      <c r="K57" s="274" t="s">
        <v>31</v>
      </c>
      <c r="L57" s="274" t="s">
        <v>31</v>
      </c>
      <c r="M57" s="274" t="s">
        <v>31</v>
      </c>
      <c r="N57" s="274" t="s">
        <v>31</v>
      </c>
      <c r="O57" t="s">
        <v>309</v>
      </c>
    </row>
    <row r="58" spans="1:16" ht="15.75">
      <c r="A58" s="232" t="s">
        <v>310</v>
      </c>
      <c r="B58" s="271">
        <f>-(1-B57)</f>
        <v>-0.35</v>
      </c>
      <c r="C58" s="271"/>
      <c r="D58" s="274" t="s">
        <v>37</v>
      </c>
      <c r="E58" s="271" t="s">
        <v>38</v>
      </c>
      <c r="F58" s="30" t="s">
        <v>133</v>
      </c>
      <c r="G58" s="271" t="s">
        <v>60</v>
      </c>
      <c r="H58" t="s">
        <v>33</v>
      </c>
      <c r="I58" s="30">
        <v>0</v>
      </c>
      <c r="J58" s="274" t="s">
        <v>31</v>
      </c>
      <c r="K58" s="274" t="s">
        <v>31</v>
      </c>
      <c r="L58" s="274" t="s">
        <v>31</v>
      </c>
      <c r="M58" s="274" t="s">
        <v>31</v>
      </c>
      <c r="N58" s="274" t="s">
        <v>31</v>
      </c>
      <c r="O58" s="274" t="s">
        <v>311</v>
      </c>
    </row>
    <row r="59" spans="1:16" s="399" customFormat="1" ht="15.75">
      <c r="A59" s="396" t="s">
        <v>5</v>
      </c>
      <c r="B59" s="396" t="s">
        <v>312</v>
      </c>
      <c r="C59" s="396"/>
      <c r="D59" s="397"/>
      <c r="E59" s="398"/>
      <c r="F59" s="398"/>
      <c r="G59" s="398"/>
      <c r="H59" s="398"/>
      <c r="I59" s="398"/>
      <c r="J59" s="398"/>
      <c r="K59" s="398"/>
      <c r="L59" s="398"/>
      <c r="M59" s="398"/>
      <c r="N59" s="398"/>
      <c r="O59" s="398"/>
      <c r="P59" s="398"/>
    </row>
    <row r="60" spans="1:16">
      <c r="A60" s="30" t="s">
        <v>7</v>
      </c>
      <c r="B60" s="30" t="s">
        <v>129</v>
      </c>
      <c r="C60" s="30"/>
      <c r="D60" s="30"/>
      <c r="E60" s="30"/>
      <c r="F60" s="30"/>
      <c r="G60" s="30"/>
      <c r="H60" s="30"/>
      <c r="I60" s="30"/>
      <c r="J60" s="30"/>
      <c r="K60" s="30"/>
      <c r="L60" s="30"/>
      <c r="M60" s="30"/>
      <c r="N60" s="30"/>
      <c r="O60" s="30"/>
      <c r="P60" s="30"/>
    </row>
    <row r="61" spans="1:16">
      <c r="A61" s="30" t="s">
        <v>9</v>
      </c>
      <c r="B61" s="394" t="s">
        <v>313</v>
      </c>
      <c r="C61" s="30"/>
      <c r="D61" s="30"/>
      <c r="E61" s="30"/>
      <c r="F61" s="30"/>
      <c r="G61" s="30"/>
      <c r="H61" s="30"/>
      <c r="I61" s="30"/>
      <c r="J61" s="30"/>
      <c r="K61" s="30"/>
      <c r="L61" s="30"/>
      <c r="M61" s="30"/>
      <c r="N61" s="30"/>
      <c r="O61" s="30"/>
      <c r="P61" s="30"/>
    </row>
    <row r="62" spans="1:16">
      <c r="A62" s="30" t="s">
        <v>11</v>
      </c>
      <c r="B62" s="30" t="s">
        <v>314</v>
      </c>
      <c r="C62" s="30"/>
      <c r="D62" s="30"/>
      <c r="E62" s="30"/>
      <c r="F62" s="30"/>
      <c r="G62" s="30"/>
      <c r="H62" s="30"/>
      <c r="I62" s="30"/>
      <c r="J62" s="30"/>
      <c r="K62" s="30"/>
      <c r="L62" s="30"/>
      <c r="M62" s="30"/>
      <c r="N62" s="30"/>
      <c r="O62" s="30"/>
      <c r="P62" s="30"/>
    </row>
    <row r="63" spans="1:16">
      <c r="A63" s="30" t="s">
        <v>13</v>
      </c>
      <c r="B63" s="30" t="s">
        <v>60</v>
      </c>
      <c r="C63" s="30"/>
      <c r="D63" s="30"/>
      <c r="E63" s="30"/>
      <c r="F63" s="30"/>
      <c r="G63" s="30"/>
      <c r="H63" s="30"/>
      <c r="I63" s="30"/>
      <c r="J63" s="30"/>
      <c r="K63" s="30"/>
      <c r="L63" s="30"/>
      <c r="M63" s="30"/>
      <c r="N63" s="30"/>
      <c r="O63" s="30"/>
      <c r="P63" s="30"/>
    </row>
    <row r="64" spans="1:16">
      <c r="A64" s="30" t="s">
        <v>15</v>
      </c>
      <c r="B64" s="30">
        <v>1</v>
      </c>
      <c r="C64" s="30"/>
      <c r="D64" s="30"/>
      <c r="E64" s="30"/>
      <c r="F64" s="30"/>
      <c r="G64" s="30"/>
      <c r="H64" s="30"/>
      <c r="I64" s="30"/>
      <c r="J64" s="30"/>
      <c r="K64" s="30"/>
      <c r="L64" s="30"/>
      <c r="M64" s="30"/>
      <c r="N64" s="30"/>
      <c r="O64" s="30"/>
      <c r="P64" s="30"/>
    </row>
    <row r="65" spans="1:16">
      <c r="A65" s="30" t="s">
        <v>16</v>
      </c>
      <c r="B65" s="30" t="s">
        <v>17</v>
      </c>
      <c r="C65" s="30"/>
      <c r="D65" s="30"/>
      <c r="E65" s="30"/>
      <c r="F65" s="30"/>
      <c r="G65" s="30"/>
      <c r="H65" s="30"/>
      <c r="I65" s="30"/>
      <c r="J65" s="30"/>
      <c r="K65" s="30"/>
      <c r="L65" s="30"/>
      <c r="M65" s="30"/>
      <c r="N65" s="30"/>
      <c r="O65" s="30"/>
      <c r="P65" s="30"/>
    </row>
    <row r="66" spans="1:16" ht="15.75">
      <c r="A66" s="30" t="s">
        <v>18</v>
      </c>
      <c r="B66" s="274" t="s">
        <v>18</v>
      </c>
      <c r="C66" s="30"/>
      <c r="D66" s="30"/>
      <c r="E66" s="30" t="s">
        <v>77</v>
      </c>
      <c r="F66" s="30"/>
      <c r="G66" s="30"/>
      <c r="H66" s="30"/>
      <c r="I66" s="30"/>
      <c r="J66" s="30"/>
      <c r="K66" s="30"/>
      <c r="L66" s="30"/>
      <c r="M66" s="30"/>
      <c r="N66" s="30"/>
      <c r="O66" s="30"/>
      <c r="P66" s="30"/>
    </row>
    <row r="67" spans="1:16" ht="15.75">
      <c r="A67" s="395" t="s">
        <v>19</v>
      </c>
      <c r="B67" s="30"/>
      <c r="C67" s="30"/>
      <c r="D67" s="30"/>
      <c r="E67" s="30"/>
      <c r="F67" s="30"/>
      <c r="G67" s="30"/>
      <c r="H67" s="30"/>
      <c r="I67" s="30"/>
      <c r="J67" s="30"/>
      <c r="K67" s="30"/>
      <c r="L67" s="30"/>
      <c r="M67" s="30"/>
      <c r="N67" s="30"/>
      <c r="O67" s="30"/>
      <c r="P67" s="30"/>
    </row>
    <row r="68" spans="1:16" ht="15.75">
      <c r="A68" s="395" t="s">
        <v>20</v>
      </c>
      <c r="B68" s="395" t="s">
        <v>21</v>
      </c>
      <c r="C68" s="395" t="s">
        <v>78</v>
      </c>
      <c r="D68" s="395" t="s">
        <v>18</v>
      </c>
      <c r="E68" s="395" t="s">
        <v>22</v>
      </c>
      <c r="F68" s="395" t="s">
        <v>7</v>
      </c>
      <c r="G68" s="395" t="s">
        <v>13</v>
      </c>
      <c r="H68" s="395" t="s">
        <v>16</v>
      </c>
      <c r="I68" s="395" t="s">
        <v>23</v>
      </c>
      <c r="J68" s="395" t="s">
        <v>24</v>
      </c>
      <c r="K68" s="395" t="s">
        <v>25</v>
      </c>
      <c r="L68" s="395" t="s">
        <v>26</v>
      </c>
      <c r="M68" s="395" t="s">
        <v>27</v>
      </c>
      <c r="N68" s="395" t="s">
        <v>28</v>
      </c>
      <c r="O68" s="395" t="s">
        <v>11</v>
      </c>
      <c r="P68" s="395" t="s">
        <v>79</v>
      </c>
    </row>
    <row r="69" spans="1:16" ht="15.75">
      <c r="A69" s="274" t="str">
        <f>$B$59</f>
        <v>treatment of generator, motors and drives, Gt-bat, Medium-Term</v>
      </c>
      <c r="B69" s="274">
        <v>1</v>
      </c>
      <c r="C69" s="274"/>
      <c r="D69" s="274" t="s">
        <v>18</v>
      </c>
      <c r="E69" s="30" t="s">
        <v>2</v>
      </c>
      <c r="F69" s="30" t="s">
        <v>133</v>
      </c>
      <c r="G69" s="274" t="s">
        <v>60</v>
      </c>
      <c r="H69" s="30" t="s">
        <v>30</v>
      </c>
      <c r="I69" s="30">
        <v>0</v>
      </c>
      <c r="J69" s="274" t="s">
        <v>31</v>
      </c>
      <c r="K69" s="274" t="s">
        <v>31</v>
      </c>
      <c r="L69" s="274" t="s">
        <v>31</v>
      </c>
      <c r="M69" s="274" t="s">
        <v>31</v>
      </c>
      <c r="N69" s="274" t="s">
        <v>31</v>
      </c>
      <c r="O69" s="30"/>
      <c r="P69" s="30"/>
    </row>
    <row r="70" spans="1:16" ht="15.75">
      <c r="A70" t="str">
        <f>$A$12</f>
        <v>treatment of steel, motors and drives, Gt-bat, Medium-Term</v>
      </c>
      <c r="B70">
        <v>105.9898</v>
      </c>
      <c r="D70" t="s">
        <v>37</v>
      </c>
      <c r="E70" s="30" t="s">
        <v>2</v>
      </c>
      <c r="F70" s="30" t="s">
        <v>133</v>
      </c>
      <c r="G70" s="274" t="s">
        <v>60</v>
      </c>
      <c r="H70" s="30" t="s">
        <v>33</v>
      </c>
      <c r="I70" s="30">
        <v>0</v>
      </c>
      <c r="J70" s="274" t="s">
        <v>31</v>
      </c>
      <c r="K70" s="274" t="s">
        <v>31</v>
      </c>
      <c r="L70" s="274" t="s">
        <v>31</v>
      </c>
      <c r="M70" s="274" t="s">
        <v>31</v>
      </c>
      <c r="N70" s="274" t="s">
        <v>31</v>
      </c>
    </row>
    <row r="71" spans="1:16" ht="15.75">
      <c r="A71" t="str">
        <f>$B$16</f>
        <v>treatment of aluminium, motors and drives, Gt-bat, Medium-Term</v>
      </c>
      <c r="B71">
        <v>27.837609999999998</v>
      </c>
      <c r="D71" t="s">
        <v>37</v>
      </c>
      <c r="E71" s="30" t="s">
        <v>2</v>
      </c>
      <c r="F71" s="30" t="s">
        <v>133</v>
      </c>
      <c r="G71" s="274" t="s">
        <v>60</v>
      </c>
      <c r="H71" s="30" t="s">
        <v>33</v>
      </c>
      <c r="I71" s="30">
        <v>0</v>
      </c>
      <c r="J71" s="274" t="s">
        <v>31</v>
      </c>
      <c r="K71" s="274" t="s">
        <v>31</v>
      </c>
      <c r="L71" s="274" t="s">
        <v>31</v>
      </c>
      <c r="M71" s="274" t="s">
        <v>31</v>
      </c>
      <c r="N71" s="274" t="s">
        <v>31</v>
      </c>
    </row>
    <row r="72" spans="1:16" ht="15.75">
      <c r="A72" t="str">
        <f>$B$31</f>
        <v>treatment of copper, motors and drives, Gt-bat, Medium-Term</v>
      </c>
      <c r="B72">
        <v>6.7664900000000001</v>
      </c>
      <c r="D72" t="s">
        <v>37</v>
      </c>
      <c r="E72" s="30" t="s">
        <v>2</v>
      </c>
      <c r="F72" s="30" t="s">
        <v>133</v>
      </c>
      <c r="G72" s="274" t="s">
        <v>60</v>
      </c>
      <c r="H72" s="30" t="s">
        <v>33</v>
      </c>
      <c r="I72" s="30">
        <v>0</v>
      </c>
      <c r="J72" s="274" t="s">
        <v>31</v>
      </c>
      <c r="K72" s="274" t="s">
        <v>31</v>
      </c>
      <c r="L72" s="274" t="s">
        <v>31</v>
      </c>
      <c r="M72" s="274" t="s">
        <v>31</v>
      </c>
      <c r="N72" s="274" t="s">
        <v>31</v>
      </c>
    </row>
    <row r="73" spans="1:16" ht="15.75">
      <c r="A73" t="str">
        <f>$B$45</f>
        <v>treatment of permanent magnet, motors and drives, Gt-bat, Medium-Term</v>
      </c>
      <c r="B73" s="271">
        <v>30.53</v>
      </c>
      <c r="D73" t="s">
        <v>37</v>
      </c>
      <c r="E73" s="30" t="s">
        <v>2</v>
      </c>
      <c r="F73" s="30" t="s">
        <v>133</v>
      </c>
      <c r="G73" s="274" t="s">
        <v>60</v>
      </c>
      <c r="H73" s="30" t="s">
        <v>33</v>
      </c>
      <c r="I73" s="30">
        <v>0</v>
      </c>
      <c r="J73" s="274" t="s">
        <v>31</v>
      </c>
      <c r="K73" s="274" t="s">
        <v>31</v>
      </c>
      <c r="L73" s="274" t="s">
        <v>31</v>
      </c>
      <c r="M73" s="274" t="s">
        <v>31</v>
      </c>
      <c r="N73" s="274" t="s">
        <v>31</v>
      </c>
    </row>
    <row r="75" spans="1:16" s="399" customFormat="1" ht="15.75">
      <c r="A75" s="396" t="s">
        <v>5</v>
      </c>
      <c r="B75" s="396" t="s">
        <v>315</v>
      </c>
      <c r="C75" s="396"/>
      <c r="D75" s="397"/>
      <c r="E75" s="398"/>
      <c r="F75" s="398"/>
      <c r="G75" s="398"/>
      <c r="H75" s="398"/>
      <c r="I75" s="398"/>
      <c r="J75" s="398"/>
      <c r="K75" s="398"/>
      <c r="L75" s="398"/>
      <c r="M75" s="398"/>
      <c r="N75" s="398"/>
      <c r="O75" s="398"/>
      <c r="P75" s="398"/>
    </row>
    <row r="76" spans="1:16">
      <c r="A76" s="30" t="s">
        <v>7</v>
      </c>
      <c r="B76" s="30" t="s">
        <v>129</v>
      </c>
      <c r="C76" s="30"/>
      <c r="D76" s="30"/>
      <c r="E76" s="30"/>
      <c r="F76" s="30"/>
      <c r="G76" s="30"/>
      <c r="H76" s="30"/>
      <c r="I76" s="30"/>
      <c r="J76" s="30"/>
      <c r="K76" s="30"/>
      <c r="L76" s="30"/>
      <c r="M76" s="30"/>
      <c r="N76" s="30"/>
      <c r="O76" s="30"/>
      <c r="P76" s="30"/>
    </row>
    <row r="77" spans="1:16">
      <c r="A77" s="30" t="s">
        <v>9</v>
      </c>
      <c r="B77" s="394" t="s">
        <v>316</v>
      </c>
      <c r="C77" s="30"/>
      <c r="D77" s="30"/>
      <c r="E77" s="30"/>
      <c r="F77" s="30"/>
      <c r="G77" s="30"/>
      <c r="H77" s="30"/>
      <c r="I77" s="30"/>
      <c r="J77" s="30"/>
      <c r="K77" s="30"/>
      <c r="L77" s="30"/>
      <c r="M77" s="30"/>
      <c r="N77" s="30"/>
      <c r="O77" s="30"/>
      <c r="P77" s="30"/>
    </row>
    <row r="78" spans="1:16">
      <c r="A78" s="30" t="s">
        <v>11</v>
      </c>
      <c r="B78" s="30" t="s">
        <v>317</v>
      </c>
      <c r="C78" s="30"/>
      <c r="D78" s="30"/>
      <c r="E78" s="30"/>
      <c r="F78" s="30"/>
      <c r="G78" s="30"/>
      <c r="H78" s="30"/>
      <c r="I78" s="30"/>
      <c r="J78" s="30"/>
      <c r="K78" s="30"/>
      <c r="L78" s="30"/>
      <c r="M78" s="30"/>
      <c r="N78" s="30"/>
      <c r="O78" s="30"/>
      <c r="P78" s="30"/>
    </row>
    <row r="79" spans="1:16">
      <c r="A79" s="30" t="s">
        <v>13</v>
      </c>
      <c r="B79" s="30" t="s">
        <v>60</v>
      </c>
      <c r="C79" s="30"/>
      <c r="D79" s="30"/>
      <c r="E79" s="30"/>
      <c r="F79" s="30"/>
      <c r="G79" s="30"/>
      <c r="H79" s="30"/>
      <c r="I79" s="30"/>
      <c r="J79" s="30"/>
      <c r="K79" s="30"/>
      <c r="L79" s="30"/>
      <c r="M79" s="30"/>
      <c r="N79" s="30"/>
      <c r="O79" s="30"/>
      <c r="P79" s="30"/>
    </row>
    <row r="80" spans="1:16">
      <c r="A80" s="30" t="s">
        <v>15</v>
      </c>
      <c r="B80" s="30">
        <v>1</v>
      </c>
      <c r="C80" s="30"/>
      <c r="D80" s="30"/>
      <c r="E80" s="30"/>
      <c r="F80" s="30"/>
      <c r="G80" s="30"/>
      <c r="H80" s="30"/>
      <c r="I80" s="30"/>
      <c r="J80" s="30"/>
      <c r="K80" s="30"/>
      <c r="L80" s="30"/>
      <c r="M80" s="30"/>
      <c r="N80" s="30"/>
      <c r="O80" s="30"/>
      <c r="P80" s="30"/>
    </row>
    <row r="81" spans="1:16">
      <c r="A81" s="30" t="s">
        <v>16</v>
      </c>
      <c r="B81" s="30" t="s">
        <v>17</v>
      </c>
      <c r="C81" s="30"/>
      <c r="D81" s="30"/>
      <c r="E81" s="30"/>
      <c r="F81" s="30"/>
      <c r="G81" s="30"/>
      <c r="H81" s="30"/>
      <c r="I81" s="30"/>
      <c r="J81" s="30"/>
      <c r="K81" s="30"/>
      <c r="L81" s="30"/>
      <c r="M81" s="30"/>
      <c r="N81" s="30"/>
      <c r="O81" s="30"/>
      <c r="P81" s="30"/>
    </row>
    <row r="82" spans="1:16" ht="15.75">
      <c r="A82" s="30" t="s">
        <v>18</v>
      </c>
      <c r="B82" s="274" t="s">
        <v>18</v>
      </c>
      <c r="C82" s="30"/>
      <c r="D82" s="30"/>
      <c r="E82" s="30" t="s">
        <v>77</v>
      </c>
      <c r="F82" s="30"/>
      <c r="G82" s="30"/>
      <c r="H82" s="30"/>
      <c r="I82" s="30"/>
      <c r="J82" s="30"/>
      <c r="K82" s="30"/>
      <c r="L82" s="30"/>
      <c r="M82" s="30"/>
      <c r="N82" s="30"/>
      <c r="O82" s="30"/>
      <c r="P82" s="30"/>
    </row>
    <row r="83" spans="1:16" ht="15.75">
      <c r="A83" s="395" t="s">
        <v>19</v>
      </c>
      <c r="B83" s="30"/>
      <c r="C83" s="30"/>
      <c r="D83" s="30"/>
      <c r="E83" s="30"/>
      <c r="F83" s="30"/>
      <c r="G83" s="30"/>
      <c r="H83" s="30"/>
      <c r="I83" s="30"/>
      <c r="J83" s="30"/>
      <c r="K83" s="30"/>
      <c r="L83" s="30"/>
      <c r="M83" s="30"/>
      <c r="N83" s="30"/>
      <c r="O83" s="30"/>
      <c r="P83" s="30"/>
    </row>
    <row r="84" spans="1:16" ht="15.75">
      <c r="A84" s="395" t="s">
        <v>20</v>
      </c>
      <c r="B84" s="395" t="s">
        <v>21</v>
      </c>
      <c r="C84" s="395" t="s">
        <v>78</v>
      </c>
      <c r="D84" s="395" t="s">
        <v>18</v>
      </c>
      <c r="E84" s="395" t="s">
        <v>22</v>
      </c>
      <c r="F84" s="395" t="s">
        <v>7</v>
      </c>
      <c r="G84" s="395" t="s">
        <v>13</v>
      </c>
      <c r="H84" s="395" t="s">
        <v>16</v>
      </c>
      <c r="I84" s="395" t="s">
        <v>23</v>
      </c>
      <c r="J84" s="395" t="s">
        <v>24</v>
      </c>
      <c r="K84" s="395" t="s">
        <v>25</v>
      </c>
      <c r="L84" s="395" t="s">
        <v>26</v>
      </c>
      <c r="M84" s="395" t="s">
        <v>27</v>
      </c>
      <c r="N84" s="395" t="s">
        <v>28</v>
      </c>
      <c r="O84" s="395" t="s">
        <v>11</v>
      </c>
      <c r="P84" s="395" t="s">
        <v>79</v>
      </c>
    </row>
    <row r="85" spans="1:16" ht="15.75">
      <c r="A85" s="274" t="str">
        <f>$B$75</f>
        <v>treatment of motor, motors and drives, Gt-bat, Medium-Term</v>
      </c>
      <c r="B85" s="274">
        <v>1</v>
      </c>
      <c r="C85" s="274"/>
      <c r="D85" s="274" t="s">
        <v>18</v>
      </c>
      <c r="E85" s="30" t="s">
        <v>2</v>
      </c>
      <c r="F85" s="30" t="s">
        <v>133</v>
      </c>
      <c r="G85" s="274" t="s">
        <v>60</v>
      </c>
      <c r="H85" s="30" t="s">
        <v>30</v>
      </c>
      <c r="I85" s="30">
        <v>0</v>
      </c>
      <c r="J85" s="274" t="s">
        <v>31</v>
      </c>
      <c r="K85" s="274" t="s">
        <v>31</v>
      </c>
      <c r="L85" s="274" t="s">
        <v>31</v>
      </c>
      <c r="M85" s="274" t="s">
        <v>31</v>
      </c>
      <c r="N85" s="274" t="s">
        <v>31</v>
      </c>
      <c r="O85" s="30"/>
      <c r="P85" s="30"/>
    </row>
    <row r="86" spans="1:16" ht="15.75">
      <c r="A86" t="str">
        <f>$A$12</f>
        <v>treatment of steel, motors and drives, Gt-bat, Medium-Term</v>
      </c>
      <c r="B86">
        <v>29.584289999999999</v>
      </c>
      <c r="D86" t="s">
        <v>37</v>
      </c>
      <c r="E86" s="30" t="s">
        <v>2</v>
      </c>
      <c r="F86" s="30" t="s">
        <v>133</v>
      </c>
      <c r="G86" s="274" t="s">
        <v>60</v>
      </c>
      <c r="H86" s="30" t="s">
        <v>33</v>
      </c>
      <c r="I86" s="30">
        <v>0</v>
      </c>
      <c r="J86" s="274" t="s">
        <v>31</v>
      </c>
      <c r="K86" s="274" t="s">
        <v>31</v>
      </c>
      <c r="L86" s="274" t="s">
        <v>31</v>
      </c>
      <c r="M86" s="274" t="s">
        <v>31</v>
      </c>
      <c r="N86" s="274" t="s">
        <v>31</v>
      </c>
    </row>
    <row r="87" spans="1:16" ht="15.75">
      <c r="A87" t="str">
        <f>$B$16</f>
        <v>treatment of aluminium, motors and drives, Gt-bat, Medium-Term</v>
      </c>
      <c r="B87">
        <v>6.2160000000000002</v>
      </c>
      <c r="D87" t="s">
        <v>37</v>
      </c>
      <c r="E87" s="30" t="s">
        <v>2</v>
      </c>
      <c r="F87" s="30" t="s">
        <v>133</v>
      </c>
      <c r="G87" s="274" t="s">
        <v>60</v>
      </c>
      <c r="H87" s="30" t="s">
        <v>33</v>
      </c>
      <c r="I87" s="30">
        <v>0</v>
      </c>
      <c r="J87" s="274" t="s">
        <v>31</v>
      </c>
      <c r="K87" s="274" t="s">
        <v>31</v>
      </c>
      <c r="L87" s="274" t="s">
        <v>31</v>
      </c>
      <c r="M87" s="274" t="s">
        <v>31</v>
      </c>
      <c r="N87" s="274" t="s">
        <v>31</v>
      </c>
    </row>
    <row r="88" spans="1:16" ht="15.75">
      <c r="A88" t="str">
        <f>$B$31</f>
        <v>treatment of copper, motors and drives, Gt-bat, Medium-Term</v>
      </c>
      <c r="B88">
        <v>6.7664900000000001</v>
      </c>
      <c r="D88" t="s">
        <v>37</v>
      </c>
      <c r="E88" s="30" t="s">
        <v>2</v>
      </c>
      <c r="F88" s="30" t="s">
        <v>133</v>
      </c>
      <c r="G88" s="274" t="s">
        <v>60</v>
      </c>
      <c r="H88" s="30" t="s">
        <v>33</v>
      </c>
      <c r="I88" s="30">
        <v>0</v>
      </c>
      <c r="J88" s="274" t="s">
        <v>31</v>
      </c>
      <c r="K88" s="274" t="s">
        <v>31</v>
      </c>
      <c r="L88" s="274" t="s">
        <v>31</v>
      </c>
      <c r="M88" s="274" t="s">
        <v>31</v>
      </c>
      <c r="N88" s="274" t="s">
        <v>31</v>
      </c>
    </row>
    <row r="89" spans="1:16" ht="15.75">
      <c r="A89" t="str">
        <f>$B$45</f>
        <v>treatment of permanent magnet, motors and drives, Gt-bat, Medium-Term</v>
      </c>
      <c r="B89" s="271">
        <v>14.860000000000001</v>
      </c>
      <c r="D89" t="s">
        <v>37</v>
      </c>
      <c r="E89" s="30" t="s">
        <v>2</v>
      </c>
      <c r="F89" s="30" t="s">
        <v>133</v>
      </c>
      <c r="G89" s="274" t="s">
        <v>60</v>
      </c>
      <c r="H89" s="30" t="s">
        <v>33</v>
      </c>
      <c r="I89" s="30">
        <v>0</v>
      </c>
      <c r="J89" s="274" t="s">
        <v>31</v>
      </c>
      <c r="K89" s="274" t="s">
        <v>31</v>
      </c>
      <c r="L89" s="274" t="s">
        <v>31</v>
      </c>
      <c r="M89" s="274" t="s">
        <v>31</v>
      </c>
      <c r="N89" s="274" t="s">
        <v>31</v>
      </c>
    </row>
    <row r="90" spans="1:16" s="42" customFormat="1" ht="15.75">
      <c r="A90" s="392" t="s">
        <v>5</v>
      </c>
      <c r="B90" s="392" t="s">
        <v>318</v>
      </c>
      <c r="C90" s="392"/>
      <c r="D90" s="120"/>
      <c r="E90" s="393"/>
      <c r="F90" s="393"/>
      <c r="G90" s="393"/>
      <c r="H90" s="393"/>
      <c r="I90" s="393"/>
      <c r="J90" s="393"/>
      <c r="K90" s="393"/>
      <c r="L90" s="393"/>
      <c r="M90" s="393"/>
      <c r="N90" s="393"/>
      <c r="O90" s="393"/>
      <c r="P90" s="393"/>
    </row>
    <row r="91" spans="1:16">
      <c r="A91" s="30" t="s">
        <v>7</v>
      </c>
      <c r="B91" s="30" t="s">
        <v>129</v>
      </c>
      <c r="C91" s="30"/>
      <c r="D91" s="30"/>
      <c r="E91" s="30"/>
      <c r="F91" s="30"/>
      <c r="G91" s="30"/>
      <c r="H91" s="30"/>
      <c r="I91" s="30"/>
      <c r="J91" s="30"/>
      <c r="K91" s="30"/>
      <c r="L91" s="30"/>
      <c r="M91" s="30"/>
      <c r="N91" s="30"/>
      <c r="O91" s="30"/>
      <c r="P91" s="30"/>
    </row>
    <row r="92" spans="1:16">
      <c r="A92" s="30" t="s">
        <v>9</v>
      </c>
      <c r="B92" s="394" t="s">
        <v>319</v>
      </c>
      <c r="C92" s="30"/>
      <c r="D92" s="30"/>
      <c r="E92" s="30"/>
      <c r="F92" s="30"/>
      <c r="G92" s="30"/>
      <c r="H92" s="30"/>
      <c r="I92" s="30"/>
      <c r="J92" s="30"/>
      <c r="K92" s="30"/>
      <c r="L92" s="30"/>
      <c r="M92" s="30"/>
      <c r="N92" s="30"/>
      <c r="O92" s="30"/>
      <c r="P92" s="30"/>
    </row>
    <row r="93" spans="1:16">
      <c r="A93" s="30" t="s">
        <v>11</v>
      </c>
      <c r="B93" s="30" t="s">
        <v>320</v>
      </c>
      <c r="C93" s="30"/>
      <c r="D93" s="30"/>
      <c r="E93" s="30"/>
      <c r="F93" s="30"/>
      <c r="G93" s="30"/>
      <c r="H93" s="30"/>
      <c r="I93" s="30"/>
      <c r="J93" s="30"/>
      <c r="K93" s="30"/>
      <c r="L93" s="30"/>
      <c r="M93" s="30"/>
      <c r="N93" s="30"/>
      <c r="O93" s="30"/>
      <c r="P93" s="30"/>
    </row>
    <row r="94" spans="1:16">
      <c r="A94" s="30" t="s">
        <v>13</v>
      </c>
      <c r="B94" s="30" t="s">
        <v>60</v>
      </c>
      <c r="C94" s="30"/>
      <c r="D94" s="30"/>
      <c r="E94" s="30"/>
      <c r="F94" s="30"/>
      <c r="G94" s="30"/>
      <c r="H94" s="30"/>
      <c r="I94" s="30"/>
      <c r="J94" s="30"/>
      <c r="K94" s="30"/>
      <c r="L94" s="30"/>
      <c r="M94" s="30"/>
      <c r="N94" s="30"/>
      <c r="O94" s="30"/>
      <c r="P94" s="30"/>
    </row>
    <row r="95" spans="1:16">
      <c r="A95" s="30" t="s">
        <v>15</v>
      </c>
      <c r="B95" s="30">
        <v>1</v>
      </c>
      <c r="C95" s="30"/>
      <c r="D95" s="30"/>
      <c r="E95" s="30"/>
      <c r="F95" s="30"/>
      <c r="G95" s="30"/>
      <c r="H95" s="30"/>
      <c r="I95" s="30"/>
      <c r="J95" s="30"/>
      <c r="K95" s="30"/>
      <c r="L95" s="30"/>
      <c r="M95" s="30"/>
      <c r="N95" s="30"/>
      <c r="O95" s="30"/>
      <c r="P95" s="30"/>
    </row>
    <row r="96" spans="1:16">
      <c r="A96" s="30" t="s">
        <v>16</v>
      </c>
      <c r="B96" s="30" t="s">
        <v>17</v>
      </c>
      <c r="C96" s="30"/>
      <c r="D96" s="30"/>
      <c r="E96" s="30"/>
      <c r="F96" s="30"/>
      <c r="G96" s="30"/>
      <c r="H96" s="30"/>
      <c r="I96" s="30"/>
      <c r="J96" s="30"/>
      <c r="K96" s="30"/>
      <c r="L96" s="30"/>
      <c r="M96" s="30"/>
      <c r="N96" s="30"/>
      <c r="O96" s="30"/>
      <c r="P96" s="30"/>
    </row>
    <row r="97" spans="1:16" ht="15.75">
      <c r="A97" s="30" t="s">
        <v>18</v>
      </c>
      <c r="B97" s="274" t="s">
        <v>18</v>
      </c>
      <c r="C97" s="30"/>
      <c r="D97" s="30"/>
      <c r="E97" s="30" t="s">
        <v>77</v>
      </c>
      <c r="F97" s="30"/>
      <c r="G97" s="30"/>
      <c r="H97" s="30"/>
      <c r="I97" s="30"/>
      <c r="J97" s="30"/>
      <c r="K97" s="30"/>
      <c r="L97" s="30"/>
      <c r="M97" s="30"/>
      <c r="N97" s="30"/>
      <c r="O97" s="30"/>
      <c r="P97" s="30"/>
    </row>
    <row r="98" spans="1:16" ht="15.75">
      <c r="A98" s="395" t="s">
        <v>19</v>
      </c>
      <c r="B98" s="30"/>
      <c r="C98" s="30"/>
      <c r="D98" s="30"/>
      <c r="E98" s="30"/>
      <c r="F98" s="30"/>
      <c r="G98" s="30"/>
      <c r="H98" s="30"/>
      <c r="I98" s="30"/>
      <c r="J98" s="30"/>
      <c r="K98" s="30"/>
      <c r="L98" s="30"/>
      <c r="M98" s="30"/>
      <c r="N98" s="30"/>
      <c r="O98" s="30"/>
      <c r="P98" s="30"/>
    </row>
    <row r="99" spans="1:16" ht="15.75">
      <c r="A99" s="395" t="s">
        <v>20</v>
      </c>
      <c r="B99" s="395" t="s">
        <v>21</v>
      </c>
      <c r="C99" s="395" t="s">
        <v>78</v>
      </c>
      <c r="D99" s="395" t="s">
        <v>18</v>
      </c>
      <c r="E99" s="395" t="s">
        <v>22</v>
      </c>
      <c r="F99" s="395" t="s">
        <v>7</v>
      </c>
      <c r="G99" s="395" t="s">
        <v>13</v>
      </c>
      <c r="H99" s="395" t="s">
        <v>16</v>
      </c>
      <c r="I99" s="395" t="s">
        <v>23</v>
      </c>
      <c r="J99" s="395" t="s">
        <v>24</v>
      </c>
      <c r="K99" s="395" t="s">
        <v>25</v>
      </c>
      <c r="L99" s="395" t="s">
        <v>26</v>
      </c>
      <c r="M99" s="395" t="s">
        <v>27</v>
      </c>
      <c r="N99" s="395" t="s">
        <v>28</v>
      </c>
      <c r="O99" s="395" t="s">
        <v>11</v>
      </c>
      <c r="P99" s="395" t="s">
        <v>79</v>
      </c>
    </row>
    <row r="100" spans="1:16" ht="15.75">
      <c r="A100" s="274" t="str">
        <f>B90</f>
        <v>treatment of motors and drives, Gt-bat, Medium-Term</v>
      </c>
      <c r="B100" s="274">
        <v>1</v>
      </c>
      <c r="C100" s="274"/>
      <c r="D100" s="274" t="s">
        <v>18</v>
      </c>
      <c r="E100" s="30" t="s">
        <v>2</v>
      </c>
      <c r="F100" s="30" t="s">
        <v>133</v>
      </c>
      <c r="G100" s="274" t="s">
        <v>60</v>
      </c>
      <c r="H100" s="30" t="s">
        <v>30</v>
      </c>
      <c r="I100" s="30">
        <v>0</v>
      </c>
      <c r="J100" s="274" t="s">
        <v>31</v>
      </c>
      <c r="K100" s="274" t="s">
        <v>31</v>
      </c>
      <c r="L100" s="274" t="s">
        <v>31</v>
      </c>
      <c r="M100" s="274" t="s">
        <v>31</v>
      </c>
      <c r="N100" s="274" t="s">
        <v>31</v>
      </c>
      <c r="O100" s="30"/>
      <c r="P100" s="30"/>
    </row>
    <row r="101" spans="1:16">
      <c r="A101" t="str">
        <f>A85</f>
        <v>treatment of motor, motors and drives, Gt-bat, Medium-Term</v>
      </c>
      <c r="B101">
        <f t="shared" ref="B101:N101" si="0">B85</f>
        <v>1</v>
      </c>
      <c r="D101" t="str">
        <f t="shared" si="0"/>
        <v>unit</v>
      </c>
      <c r="E101" t="str">
        <f t="shared" si="0"/>
        <v>GENESIS_2040_GT-bat_NDC</v>
      </c>
      <c r="F101" t="str">
        <f t="shared" si="0"/>
        <v>motors and drives, GT-bat, Medium-Term</v>
      </c>
      <c r="G101" t="str">
        <f t="shared" si="0"/>
        <v>GLO</v>
      </c>
      <c r="H101" t="s">
        <v>33</v>
      </c>
      <c r="I101">
        <f t="shared" si="0"/>
        <v>0</v>
      </c>
      <c r="J101" t="str">
        <f t="shared" si="0"/>
        <v>(Unknown)</v>
      </c>
      <c r="K101" t="str">
        <f t="shared" si="0"/>
        <v>(Unknown)</v>
      </c>
      <c r="L101" t="str">
        <f t="shared" si="0"/>
        <v>(Unknown)</v>
      </c>
      <c r="M101" t="str">
        <f t="shared" si="0"/>
        <v>(Unknown)</v>
      </c>
      <c r="N101" t="str">
        <f t="shared" si="0"/>
        <v>(Unknown)</v>
      </c>
    </row>
    <row r="102" spans="1:16">
      <c r="A102" t="str">
        <f>A69</f>
        <v>treatment of generator, motors and drives, Gt-bat, Medium-Term</v>
      </c>
      <c r="B102">
        <f t="shared" ref="B102:N102" si="1">B69</f>
        <v>1</v>
      </c>
      <c r="D102" t="str">
        <f t="shared" si="1"/>
        <v>unit</v>
      </c>
      <c r="E102" t="str">
        <f t="shared" si="1"/>
        <v>GENESIS_2040_GT-bat_NDC</v>
      </c>
      <c r="F102" t="str">
        <f t="shared" si="1"/>
        <v>motors and drives, GT-bat, Medium-Term</v>
      </c>
      <c r="G102" t="str">
        <f t="shared" si="1"/>
        <v>GLO</v>
      </c>
      <c r="H102" t="s">
        <v>33</v>
      </c>
      <c r="I102">
        <f t="shared" si="1"/>
        <v>0</v>
      </c>
      <c r="J102" t="str">
        <f t="shared" si="1"/>
        <v>(Unknown)</v>
      </c>
      <c r="K102" t="str">
        <f t="shared" si="1"/>
        <v>(Unknown)</v>
      </c>
      <c r="L102" t="str">
        <f t="shared" si="1"/>
        <v>(Unknown)</v>
      </c>
      <c r="M102" t="str">
        <f t="shared" si="1"/>
        <v>(Unknown)</v>
      </c>
      <c r="N102" t="str">
        <f t="shared" si="1"/>
        <v>(Unknown)</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949D-4820-49D9-9FB5-5944121D561A}">
  <sheetPr>
    <tabColor theme="9" tint="0.79998168889431442"/>
  </sheetPr>
  <dimension ref="A1:V135"/>
  <sheetViews>
    <sheetView workbookViewId="0">
      <selection activeCell="A30" sqref="A30"/>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42" customFormat="1" ht="15.75">
      <c r="A2" s="392" t="s">
        <v>5</v>
      </c>
      <c r="B2" s="392" t="s">
        <v>321</v>
      </c>
      <c r="C2" s="392"/>
      <c r="D2" s="120"/>
      <c r="E2" s="393"/>
      <c r="F2" s="393"/>
      <c r="G2" s="393"/>
      <c r="H2" s="393"/>
      <c r="I2" s="393"/>
      <c r="J2" s="393"/>
      <c r="K2" s="393"/>
      <c r="L2" s="393"/>
      <c r="M2" s="393"/>
      <c r="N2" s="393"/>
      <c r="O2" s="393"/>
      <c r="P2" s="393"/>
    </row>
    <row r="3" spans="1:22">
      <c r="A3" s="30" t="s">
        <v>7</v>
      </c>
      <c r="B3" s="30" t="s">
        <v>322</v>
      </c>
      <c r="C3" s="30"/>
      <c r="D3" s="30"/>
      <c r="E3" s="30"/>
      <c r="F3" s="30"/>
      <c r="G3" s="30"/>
      <c r="H3" s="30"/>
      <c r="I3" s="30"/>
      <c r="J3" s="30"/>
      <c r="K3" s="30"/>
      <c r="L3" s="30"/>
      <c r="M3" s="30"/>
      <c r="N3" s="30"/>
      <c r="O3" s="30"/>
      <c r="P3" s="30"/>
    </row>
    <row r="4" spans="1:22">
      <c r="A4" s="30" t="s">
        <v>9</v>
      </c>
      <c r="B4" s="394" t="s">
        <v>323</v>
      </c>
      <c r="C4" s="30"/>
      <c r="D4" s="30"/>
      <c r="E4" s="30"/>
      <c r="F4" s="30"/>
      <c r="G4" s="30"/>
      <c r="H4" s="30"/>
      <c r="I4" s="30"/>
      <c r="J4" s="30"/>
      <c r="K4" s="30"/>
      <c r="L4" s="30"/>
      <c r="M4" s="30"/>
      <c r="N4" s="30"/>
      <c r="O4" s="30"/>
      <c r="P4" s="30"/>
    </row>
    <row r="5" spans="1:22">
      <c r="A5" s="30" t="s">
        <v>11</v>
      </c>
      <c r="B5" s="30" t="s">
        <v>324</v>
      </c>
      <c r="C5" s="30"/>
      <c r="D5" s="30"/>
      <c r="E5" s="30"/>
      <c r="F5" s="30"/>
      <c r="G5" s="30"/>
      <c r="H5" s="30"/>
      <c r="I5" s="30"/>
      <c r="J5" s="30"/>
      <c r="K5" s="30"/>
      <c r="L5" s="30"/>
      <c r="M5" s="30"/>
      <c r="N5" s="30"/>
      <c r="O5" s="30"/>
      <c r="P5" s="30"/>
    </row>
    <row r="6" spans="1:22">
      <c r="A6" s="30" t="s">
        <v>13</v>
      </c>
      <c r="B6" s="30" t="s">
        <v>60</v>
      </c>
      <c r="C6" s="30"/>
      <c r="D6" s="30"/>
      <c r="E6" s="30"/>
      <c r="F6" s="30"/>
      <c r="G6" s="30"/>
      <c r="H6" s="30"/>
      <c r="I6" s="30"/>
      <c r="J6" s="30"/>
      <c r="K6" s="30"/>
      <c r="L6" s="30"/>
      <c r="M6" s="30"/>
      <c r="N6" s="30"/>
      <c r="O6" s="30"/>
      <c r="P6" s="30"/>
    </row>
    <row r="7" spans="1:22">
      <c r="A7" s="30" t="s">
        <v>15</v>
      </c>
      <c r="B7" s="30">
        <v>1</v>
      </c>
      <c r="C7" s="30"/>
      <c r="D7" s="30"/>
      <c r="E7" s="30"/>
      <c r="F7" s="30"/>
      <c r="G7" s="30"/>
      <c r="H7" s="30"/>
      <c r="I7" s="30"/>
      <c r="J7" s="30"/>
      <c r="K7" s="30"/>
      <c r="L7" s="30"/>
      <c r="M7" s="30"/>
      <c r="N7" s="30"/>
      <c r="O7" s="30"/>
      <c r="P7" s="30"/>
    </row>
    <row r="8" spans="1:22">
      <c r="A8" s="30" t="s">
        <v>16</v>
      </c>
      <c r="B8" s="30" t="s">
        <v>17</v>
      </c>
      <c r="C8" s="30"/>
      <c r="D8" s="30"/>
      <c r="E8" s="30"/>
      <c r="F8" s="30"/>
      <c r="G8" s="30"/>
      <c r="H8" s="30"/>
      <c r="I8" s="30"/>
      <c r="J8" s="30"/>
      <c r="K8" s="30"/>
      <c r="L8" s="30"/>
      <c r="M8" s="30"/>
      <c r="N8" s="30"/>
      <c r="O8" s="30"/>
      <c r="P8" s="30"/>
    </row>
    <row r="9" spans="1:22" ht="15.75">
      <c r="A9" s="30" t="s">
        <v>18</v>
      </c>
      <c r="B9" s="274" t="s">
        <v>37</v>
      </c>
      <c r="C9" s="30"/>
      <c r="D9" s="30"/>
      <c r="E9" s="30" t="s">
        <v>77</v>
      </c>
      <c r="F9" s="30"/>
      <c r="G9" s="30"/>
      <c r="H9" s="30"/>
      <c r="I9" s="30"/>
      <c r="J9" s="30"/>
      <c r="K9" s="30"/>
      <c r="L9" s="30"/>
      <c r="M9" s="30"/>
      <c r="N9" s="30"/>
      <c r="O9" s="30"/>
      <c r="P9" s="30"/>
    </row>
    <row r="10" spans="1:22" ht="15.75">
      <c r="A10" s="395" t="s">
        <v>19</v>
      </c>
      <c r="B10" s="30"/>
      <c r="C10" s="30"/>
      <c r="D10" s="30"/>
      <c r="E10" s="30"/>
      <c r="F10" s="30"/>
      <c r="G10" s="30"/>
      <c r="H10" s="30"/>
      <c r="I10" s="30"/>
      <c r="J10" s="30"/>
      <c r="K10" s="30"/>
      <c r="L10" s="30"/>
      <c r="M10" s="30"/>
      <c r="N10" s="30"/>
      <c r="O10" s="30"/>
      <c r="P10" s="30"/>
    </row>
    <row r="11" spans="1:22" ht="15.75">
      <c r="A11" s="395" t="s">
        <v>20</v>
      </c>
      <c r="B11" s="395" t="s">
        <v>21</v>
      </c>
      <c r="C11" s="395" t="s">
        <v>78</v>
      </c>
      <c r="D11" s="395" t="s">
        <v>18</v>
      </c>
      <c r="E11" s="395" t="s">
        <v>22</v>
      </c>
      <c r="F11" s="395" t="s">
        <v>7</v>
      </c>
      <c r="G11" s="395" t="s">
        <v>13</v>
      </c>
      <c r="H11" s="395" t="s">
        <v>16</v>
      </c>
      <c r="I11" s="395" t="s">
        <v>23</v>
      </c>
      <c r="J11" s="395" t="s">
        <v>24</v>
      </c>
      <c r="K11" s="395" t="s">
        <v>25</v>
      </c>
      <c r="L11" s="395" t="s">
        <v>26</v>
      </c>
      <c r="M11" s="395" t="s">
        <v>27</v>
      </c>
      <c r="N11" s="395" t="s">
        <v>28</v>
      </c>
      <c r="O11" s="395" t="s">
        <v>11</v>
      </c>
      <c r="P11" s="395" t="s">
        <v>79</v>
      </c>
    </row>
    <row r="12" spans="1:22" ht="15.75">
      <c r="A12" s="274" t="str">
        <f>B2</f>
        <v>treatment of titanium,powerplant, Gt-bat, Medium-Term</v>
      </c>
      <c r="B12" s="274">
        <v>1</v>
      </c>
      <c r="C12" s="274"/>
      <c r="D12" s="274" t="s">
        <v>37</v>
      </c>
      <c r="E12" s="30" t="s">
        <v>2</v>
      </c>
      <c r="F12" s="30" t="s">
        <v>325</v>
      </c>
      <c r="G12" s="274" t="s">
        <v>60</v>
      </c>
      <c r="H12" s="30" t="s">
        <v>30</v>
      </c>
      <c r="I12" s="30">
        <v>0</v>
      </c>
      <c r="J12" s="274" t="s">
        <v>31</v>
      </c>
      <c r="K12" s="274" t="s">
        <v>31</v>
      </c>
      <c r="L12" s="274" t="s">
        <v>31</v>
      </c>
      <c r="M12" s="274" t="s">
        <v>31</v>
      </c>
      <c r="N12" s="274" t="s">
        <v>31</v>
      </c>
      <c r="O12" s="30"/>
      <c r="P12" s="30" t="s">
        <v>326</v>
      </c>
    </row>
    <row r="13" spans="1:22">
      <c r="A13" t="s">
        <v>168</v>
      </c>
      <c r="B13">
        <f>U13</f>
        <v>9.5000076</v>
      </c>
      <c r="D13" t="s">
        <v>41</v>
      </c>
      <c r="E13" t="s">
        <v>38</v>
      </c>
      <c r="F13" s="30" t="s">
        <v>325</v>
      </c>
      <c r="G13" t="s">
        <v>60</v>
      </c>
      <c r="H13" t="s">
        <v>33</v>
      </c>
      <c r="I13">
        <v>2</v>
      </c>
      <c r="J13">
        <v>9.398101209</v>
      </c>
      <c r="K13">
        <v>0.30331501799999999</v>
      </c>
      <c r="L13" t="s">
        <v>31</v>
      </c>
      <c r="M13" t="s">
        <v>31</v>
      </c>
      <c r="N13" t="s">
        <v>31</v>
      </c>
      <c r="O13" t="s">
        <v>327</v>
      </c>
      <c r="P13" t="s">
        <v>328</v>
      </c>
      <c r="Q13" t="s">
        <v>329</v>
      </c>
      <c r="R13" s="31" t="s">
        <v>330</v>
      </c>
      <c r="S13" s="31">
        <f>114*0.6*0.5</f>
        <v>34.199999999999996</v>
      </c>
      <c r="T13" s="31" t="s">
        <v>331</v>
      </c>
      <c r="U13" s="31">
        <f>S13*0.277778</f>
        <v>9.5000076</v>
      </c>
      <c r="V13" s="31" t="s">
        <v>332</v>
      </c>
    </row>
    <row r="14" spans="1:22">
      <c r="A14" t="s">
        <v>170</v>
      </c>
      <c r="B14">
        <f>U14</f>
        <v>0.59530026109660583</v>
      </c>
      <c r="D14" t="s">
        <v>50</v>
      </c>
      <c r="E14" t="s">
        <v>38</v>
      </c>
      <c r="F14" s="30" t="s">
        <v>325</v>
      </c>
      <c r="G14" t="s">
        <v>333</v>
      </c>
      <c r="H14" t="s">
        <v>33</v>
      </c>
      <c r="I14">
        <v>2</v>
      </c>
      <c r="J14">
        <v>6.6281192500000001</v>
      </c>
      <c r="K14">
        <v>0.30331501799999999</v>
      </c>
      <c r="L14" t="s">
        <v>31</v>
      </c>
      <c r="M14" t="s">
        <v>31</v>
      </c>
      <c r="N14" t="s">
        <v>31</v>
      </c>
      <c r="O14" t="s">
        <v>327</v>
      </c>
      <c r="P14" t="s">
        <v>328</v>
      </c>
      <c r="Q14" t="s">
        <v>329</v>
      </c>
      <c r="R14" s="31" t="s">
        <v>334</v>
      </c>
      <c r="S14" s="31">
        <f>114*0.4*0.5</f>
        <v>22.8</v>
      </c>
      <c r="T14" s="31" t="s">
        <v>331</v>
      </c>
      <c r="U14" s="31">
        <f>S14/38.3</f>
        <v>0.59530026109660583</v>
      </c>
      <c r="V14" s="31" t="s">
        <v>335</v>
      </c>
    </row>
    <row r="15" spans="1:22">
      <c r="A15" s="51" t="s">
        <v>336</v>
      </c>
      <c r="B15" s="45">
        <f>S15</f>
        <v>0.5</v>
      </c>
      <c r="C15" s="45"/>
      <c r="D15" s="31" t="s">
        <v>37</v>
      </c>
      <c r="E15" s="31" t="s">
        <v>38</v>
      </c>
      <c r="F15" s="30" t="s">
        <v>325</v>
      </c>
      <c r="G15" s="31" t="s">
        <v>60</v>
      </c>
      <c r="H15" s="31" t="s">
        <v>98</v>
      </c>
      <c r="I15" s="31">
        <v>2</v>
      </c>
      <c r="J15" s="31">
        <f t="shared" ref="J15" si="0">LN(B15)</f>
        <v>-0.69314718055994529</v>
      </c>
      <c r="K15" s="31">
        <v>0.30331501776206199</v>
      </c>
      <c r="L15" s="31" t="s">
        <v>31</v>
      </c>
      <c r="M15" s="31" t="s">
        <v>31</v>
      </c>
      <c r="N15" s="31" t="s">
        <v>31</v>
      </c>
      <c r="O15" s="31" t="s">
        <v>327</v>
      </c>
      <c r="P15" t="s">
        <v>328</v>
      </c>
      <c r="Q15" s="31" t="s">
        <v>329</v>
      </c>
      <c r="R15" s="31"/>
      <c r="S15" s="31">
        <v>0.5</v>
      </c>
      <c r="T15" s="31" t="s">
        <v>337</v>
      </c>
    </row>
    <row r="16" spans="1:22" ht="15.75">
      <c r="A16" t="s">
        <v>103</v>
      </c>
      <c r="B16" s="22">
        <f>-0.5</f>
        <v>-0.5</v>
      </c>
      <c r="D16" t="s">
        <v>37</v>
      </c>
      <c r="E16" s="232" t="s">
        <v>38</v>
      </c>
      <c r="F16" s="30" t="s">
        <v>325</v>
      </c>
      <c r="G16" t="s">
        <v>60</v>
      </c>
      <c r="H16" t="s">
        <v>33</v>
      </c>
      <c r="I16">
        <v>0</v>
      </c>
      <c r="J16" t="s">
        <v>31</v>
      </c>
      <c r="K16" t="s">
        <v>31</v>
      </c>
      <c r="L16" t="s">
        <v>31</v>
      </c>
      <c r="M16" t="s">
        <v>31</v>
      </c>
      <c r="N16" t="s">
        <v>31</v>
      </c>
      <c r="O16" s="17"/>
      <c r="P16" s="30" t="s">
        <v>338</v>
      </c>
    </row>
    <row r="17" spans="1:17" s="42" customFormat="1" ht="15.75">
      <c r="A17" s="392" t="s">
        <v>5</v>
      </c>
      <c r="B17" s="392" t="s">
        <v>339</v>
      </c>
      <c r="C17" s="392"/>
      <c r="D17" s="120"/>
      <c r="E17" s="393"/>
      <c r="F17" s="393"/>
      <c r="G17" s="393"/>
      <c r="H17" s="393"/>
      <c r="I17" s="393"/>
      <c r="J17" s="393"/>
      <c r="K17" s="393"/>
      <c r="L17" s="393"/>
      <c r="M17" s="393"/>
      <c r="N17" s="393"/>
      <c r="O17" s="393"/>
      <c r="P17" s="393"/>
    </row>
    <row r="18" spans="1:17">
      <c r="A18" s="30" t="s">
        <v>7</v>
      </c>
      <c r="B18" s="30" t="s">
        <v>322</v>
      </c>
      <c r="C18" s="30"/>
      <c r="D18" s="30"/>
      <c r="E18" s="30"/>
      <c r="F18" s="30"/>
      <c r="G18" s="30"/>
      <c r="H18" s="30"/>
      <c r="I18" s="30"/>
      <c r="J18" s="30"/>
      <c r="K18" s="30"/>
      <c r="L18" s="30"/>
      <c r="M18" s="30"/>
      <c r="N18" s="30"/>
      <c r="O18" s="30"/>
      <c r="P18" s="30"/>
    </row>
    <row r="19" spans="1:17">
      <c r="A19" s="30" t="s">
        <v>9</v>
      </c>
      <c r="B19" s="394" t="s">
        <v>340</v>
      </c>
      <c r="C19" s="30"/>
      <c r="D19" s="30"/>
      <c r="E19" s="30"/>
      <c r="F19" s="30"/>
      <c r="G19" s="30"/>
      <c r="H19" s="30"/>
      <c r="I19" s="30"/>
      <c r="J19" s="30"/>
      <c r="K19" s="30"/>
      <c r="L19" s="30"/>
      <c r="M19" s="30"/>
      <c r="N19" s="30"/>
      <c r="O19" s="30"/>
      <c r="P19" s="30"/>
    </row>
    <row r="20" spans="1:17">
      <c r="A20" s="30" t="s">
        <v>11</v>
      </c>
      <c r="B20" s="30" t="s">
        <v>324</v>
      </c>
      <c r="C20" s="30"/>
      <c r="D20" s="30"/>
      <c r="E20" s="30"/>
      <c r="F20" s="30"/>
      <c r="G20" s="30"/>
      <c r="H20" s="30"/>
      <c r="I20" s="30"/>
      <c r="J20" s="30"/>
      <c r="K20" s="30"/>
      <c r="L20" s="30"/>
      <c r="M20" s="30"/>
      <c r="N20" s="30"/>
      <c r="O20" s="30"/>
      <c r="P20" s="30"/>
    </row>
    <row r="21" spans="1:17">
      <c r="A21" s="30" t="s">
        <v>13</v>
      </c>
      <c r="B21" s="30" t="s">
        <v>60</v>
      </c>
      <c r="C21" s="30"/>
      <c r="D21" s="30"/>
      <c r="E21" s="30"/>
      <c r="F21" s="30"/>
      <c r="G21" s="30"/>
      <c r="H21" s="30"/>
      <c r="I21" s="30"/>
      <c r="J21" s="30"/>
      <c r="K21" s="30"/>
      <c r="L21" s="30"/>
      <c r="M21" s="30"/>
      <c r="N21" s="30"/>
      <c r="O21" s="30"/>
      <c r="P21" s="30"/>
    </row>
    <row r="22" spans="1:17">
      <c r="A22" s="30" t="s">
        <v>15</v>
      </c>
      <c r="B22" s="30">
        <v>1</v>
      </c>
      <c r="C22" s="30"/>
      <c r="D22" s="30"/>
      <c r="E22" s="30"/>
      <c r="F22" s="30"/>
      <c r="G22" s="30"/>
      <c r="H22" s="30"/>
      <c r="I22" s="30"/>
      <c r="J22" s="30"/>
      <c r="K22" s="30"/>
      <c r="L22" s="30"/>
      <c r="M22" s="30"/>
      <c r="N22" s="30"/>
      <c r="O22" s="30"/>
      <c r="P22" s="30"/>
    </row>
    <row r="23" spans="1:17">
      <c r="A23" s="30" t="s">
        <v>16</v>
      </c>
      <c r="B23" s="30" t="s">
        <v>17</v>
      </c>
      <c r="C23" s="30"/>
      <c r="D23" s="30"/>
      <c r="E23" s="30"/>
      <c r="F23" s="30"/>
      <c r="G23" s="30"/>
      <c r="H23" s="30"/>
      <c r="I23" s="30"/>
      <c r="J23" s="30"/>
      <c r="K23" s="30"/>
      <c r="L23" s="30"/>
      <c r="M23" s="30"/>
      <c r="N23" s="30"/>
      <c r="O23" s="30"/>
      <c r="P23" s="30"/>
    </row>
    <row r="24" spans="1:17" ht="15.75">
      <c r="A24" s="30" t="s">
        <v>18</v>
      </c>
      <c r="B24" s="274" t="s">
        <v>37</v>
      </c>
      <c r="C24" s="30"/>
      <c r="D24" s="30"/>
      <c r="E24" s="30" t="s">
        <v>77</v>
      </c>
      <c r="F24" s="30"/>
      <c r="G24" s="30"/>
      <c r="H24" s="30"/>
      <c r="I24" s="30"/>
      <c r="J24" s="30"/>
      <c r="K24" s="30"/>
      <c r="L24" s="30"/>
      <c r="M24" s="30"/>
      <c r="N24" s="30"/>
      <c r="O24" s="30"/>
      <c r="P24" s="30"/>
    </row>
    <row r="25" spans="1:17" ht="15.75">
      <c r="A25" s="395" t="s">
        <v>19</v>
      </c>
      <c r="B25" s="30"/>
      <c r="C25" s="30"/>
      <c r="D25" s="30"/>
      <c r="E25" s="30"/>
      <c r="F25" s="30"/>
      <c r="G25" s="30"/>
      <c r="H25" s="30"/>
      <c r="I25" s="30"/>
      <c r="J25" s="30"/>
      <c r="K25" s="30"/>
      <c r="L25" s="30"/>
      <c r="M25" s="30"/>
      <c r="N25" s="30"/>
      <c r="O25" s="30"/>
      <c r="P25" s="30"/>
    </row>
    <row r="26" spans="1:17" ht="15.75">
      <c r="A26" s="395" t="s">
        <v>20</v>
      </c>
      <c r="B26" s="395" t="s">
        <v>21</v>
      </c>
      <c r="C26" s="395" t="s">
        <v>78</v>
      </c>
      <c r="D26" s="395" t="s">
        <v>18</v>
      </c>
      <c r="E26" s="395" t="s">
        <v>22</v>
      </c>
      <c r="F26" s="395" t="s">
        <v>7</v>
      </c>
      <c r="G26" s="395" t="s">
        <v>13</v>
      </c>
      <c r="H26" s="395" t="s">
        <v>16</v>
      </c>
      <c r="I26" s="395" t="s">
        <v>23</v>
      </c>
      <c r="J26" s="395" t="s">
        <v>24</v>
      </c>
      <c r="K26" s="395" t="s">
        <v>25</v>
      </c>
      <c r="L26" s="395" t="s">
        <v>26</v>
      </c>
      <c r="M26" s="395" t="s">
        <v>27</v>
      </c>
      <c r="N26" s="395" t="s">
        <v>28</v>
      </c>
      <c r="O26" s="395" t="s">
        <v>11</v>
      </c>
      <c r="P26" s="395" t="s">
        <v>79</v>
      </c>
    </row>
    <row r="27" spans="1:17" ht="15.75">
      <c r="A27" s="274" t="str">
        <f>B17</f>
        <v>treatment of CFRP,powerplant, Gt-bat, Medium-Term</v>
      </c>
      <c r="B27" s="274">
        <v>1</v>
      </c>
      <c r="C27" s="274"/>
      <c r="D27" s="274" t="s">
        <v>37</v>
      </c>
      <c r="E27" s="30" t="s">
        <v>2</v>
      </c>
      <c r="F27" s="30" t="s">
        <v>325</v>
      </c>
      <c r="G27" s="274" t="s">
        <v>60</v>
      </c>
      <c r="H27" s="30" t="s">
        <v>30</v>
      </c>
      <c r="I27" s="30">
        <v>0</v>
      </c>
      <c r="J27" s="274" t="s">
        <v>31</v>
      </c>
      <c r="K27" s="274" t="s">
        <v>31</v>
      </c>
      <c r="L27" s="274" t="s">
        <v>31</v>
      </c>
      <c r="M27" s="274" t="s">
        <v>31</v>
      </c>
      <c r="N27" s="274" t="s">
        <v>31</v>
      </c>
      <c r="O27" s="30" t="s">
        <v>326</v>
      </c>
    </row>
    <row r="28" spans="1:17" ht="15.75">
      <c r="A28" s="232" t="s">
        <v>109</v>
      </c>
      <c r="B28">
        <v>-0.5</v>
      </c>
      <c r="D28" t="s">
        <v>37</v>
      </c>
      <c r="E28" s="173" t="s">
        <v>38</v>
      </c>
      <c r="F28" s="30" t="s">
        <v>325</v>
      </c>
      <c r="G28" t="s">
        <v>86</v>
      </c>
      <c r="H28" t="s">
        <v>33</v>
      </c>
      <c r="I28" s="30">
        <v>0</v>
      </c>
      <c r="J28" s="274" t="s">
        <v>31</v>
      </c>
      <c r="K28" s="274" t="s">
        <v>31</v>
      </c>
      <c r="L28" s="274" t="s">
        <v>31</v>
      </c>
      <c r="M28" s="274" t="s">
        <v>31</v>
      </c>
      <c r="N28" s="274" t="s">
        <v>31</v>
      </c>
      <c r="O28" s="30" t="s">
        <v>108</v>
      </c>
      <c r="P28" s="274" t="s">
        <v>110</v>
      </c>
      <c r="Q28" s="274" t="s">
        <v>341</v>
      </c>
    </row>
    <row r="29" spans="1:17" ht="15.75">
      <c r="A29" t="s">
        <v>40</v>
      </c>
      <c r="B29">
        <f>B30*0.277777777</f>
        <v>2.415277771015</v>
      </c>
      <c r="D29" t="s">
        <v>41</v>
      </c>
      <c r="E29" s="173" t="s">
        <v>38</v>
      </c>
      <c r="F29" s="30" t="s">
        <v>325</v>
      </c>
      <c r="G29" t="s">
        <v>60</v>
      </c>
      <c r="H29" s="30" t="s">
        <v>98</v>
      </c>
      <c r="I29" s="30">
        <v>0</v>
      </c>
      <c r="J29" s="274" t="s">
        <v>31</v>
      </c>
      <c r="K29" s="274" t="s">
        <v>31</v>
      </c>
      <c r="L29" s="274" t="s">
        <v>31</v>
      </c>
      <c r="M29" s="274" t="s">
        <v>31</v>
      </c>
      <c r="N29" s="274" t="s">
        <v>31</v>
      </c>
      <c r="O29" t="s">
        <v>342</v>
      </c>
    </row>
    <row r="30" spans="1:17" ht="15.75">
      <c r="A30" t="s">
        <v>112</v>
      </c>
      <c r="B30">
        <f>-B28*0.5*34.78</f>
        <v>8.6950000000000003</v>
      </c>
      <c r="D30" t="s">
        <v>113</v>
      </c>
      <c r="E30" s="173" t="s">
        <v>38</v>
      </c>
      <c r="F30" s="30" t="s">
        <v>325</v>
      </c>
      <c r="G30" t="s">
        <v>60</v>
      </c>
      <c r="H30" s="30" t="s">
        <v>98</v>
      </c>
      <c r="I30" s="30">
        <v>0</v>
      </c>
      <c r="J30" s="274" t="s">
        <v>31</v>
      </c>
      <c r="K30" s="274" t="s">
        <v>31</v>
      </c>
      <c r="L30" s="274" t="s">
        <v>31</v>
      </c>
      <c r="M30" s="274" t="s">
        <v>31</v>
      </c>
      <c r="N30" s="274" t="s">
        <v>31</v>
      </c>
      <c r="O30" t="s">
        <v>343</v>
      </c>
    </row>
    <row r="31" spans="1:17" ht="15.75">
      <c r="A31" s="232" t="s">
        <v>344</v>
      </c>
      <c r="B31">
        <f>B28</f>
        <v>-0.5</v>
      </c>
      <c r="D31" t="s">
        <v>37</v>
      </c>
      <c r="E31" s="173" t="s">
        <v>38</v>
      </c>
      <c r="F31" s="30" t="s">
        <v>325</v>
      </c>
      <c r="G31" t="s">
        <v>86</v>
      </c>
      <c r="H31" s="30" t="s">
        <v>33</v>
      </c>
      <c r="I31" s="30">
        <v>0</v>
      </c>
      <c r="J31" s="274" t="s">
        <v>31</v>
      </c>
      <c r="K31" s="274" t="s">
        <v>31</v>
      </c>
      <c r="L31" s="274" t="s">
        <v>31</v>
      </c>
      <c r="M31" s="274" t="s">
        <v>31</v>
      </c>
      <c r="N31" s="274" t="s">
        <v>31</v>
      </c>
      <c r="O31" s="274" t="s">
        <v>345</v>
      </c>
    </row>
    <row r="32" spans="1:17" s="42" customFormat="1" ht="15.75">
      <c r="A32" s="392" t="s">
        <v>5</v>
      </c>
      <c r="B32" s="392" t="s">
        <v>346</v>
      </c>
      <c r="C32" s="392"/>
      <c r="D32" s="120"/>
      <c r="E32" s="393"/>
      <c r="F32" s="393"/>
      <c r="G32" s="393"/>
      <c r="H32" s="393"/>
      <c r="I32" s="393"/>
      <c r="J32" s="393"/>
      <c r="K32" s="393"/>
      <c r="L32" s="393"/>
      <c r="M32" s="393"/>
      <c r="N32" s="393"/>
      <c r="O32" s="393"/>
      <c r="P32" s="393"/>
    </row>
    <row r="33" spans="1:16">
      <c r="A33" s="30" t="s">
        <v>7</v>
      </c>
      <c r="B33" s="30" t="s">
        <v>322</v>
      </c>
      <c r="C33" s="30"/>
      <c r="D33" s="30"/>
      <c r="E33" s="30"/>
      <c r="F33" s="30"/>
      <c r="G33" s="30"/>
      <c r="H33" s="30"/>
      <c r="I33" s="30"/>
      <c r="J33" s="30"/>
      <c r="K33" s="30"/>
      <c r="L33" s="30"/>
      <c r="M33" s="30"/>
      <c r="N33" s="30"/>
      <c r="O33" s="30"/>
      <c r="P33" s="30"/>
    </row>
    <row r="34" spans="1:16">
      <c r="A34" s="30" t="s">
        <v>9</v>
      </c>
      <c r="B34" s="394" t="s">
        <v>347</v>
      </c>
      <c r="C34" s="30"/>
      <c r="D34" s="30"/>
      <c r="E34" s="30"/>
      <c r="F34" s="30"/>
      <c r="G34" s="30"/>
      <c r="H34" s="30"/>
      <c r="I34" s="30"/>
      <c r="J34" s="30"/>
      <c r="K34" s="30"/>
      <c r="L34" s="30"/>
      <c r="M34" s="30"/>
      <c r="N34" s="30"/>
      <c r="O34" s="30"/>
      <c r="P34" s="30"/>
    </row>
    <row r="35" spans="1:16">
      <c r="A35" s="30" t="s">
        <v>11</v>
      </c>
      <c r="B35" s="30" t="s">
        <v>324</v>
      </c>
      <c r="C35" s="30"/>
      <c r="D35" s="30"/>
      <c r="E35" s="30"/>
      <c r="F35" s="30"/>
      <c r="G35" s="30"/>
      <c r="H35" s="30"/>
      <c r="I35" s="30"/>
      <c r="J35" s="30"/>
      <c r="K35" s="30"/>
      <c r="L35" s="30"/>
      <c r="M35" s="30"/>
      <c r="N35" s="30"/>
      <c r="O35" s="30"/>
      <c r="P35" s="30"/>
    </row>
    <row r="36" spans="1:16">
      <c r="A36" s="30" t="s">
        <v>13</v>
      </c>
      <c r="B36" s="30" t="s">
        <v>60</v>
      </c>
      <c r="C36" s="30"/>
      <c r="D36" s="30"/>
      <c r="E36" s="30"/>
      <c r="F36" s="30"/>
      <c r="G36" s="30"/>
      <c r="H36" s="30"/>
      <c r="I36" s="30"/>
      <c r="J36" s="30"/>
      <c r="K36" s="30"/>
      <c r="L36" s="30"/>
      <c r="M36" s="30"/>
      <c r="N36" s="30"/>
      <c r="O36" s="30"/>
      <c r="P36" s="30"/>
    </row>
    <row r="37" spans="1:16">
      <c r="A37" s="30" t="s">
        <v>15</v>
      </c>
      <c r="B37" s="30">
        <v>1</v>
      </c>
      <c r="C37" s="30"/>
      <c r="D37" s="30"/>
      <c r="E37" s="30"/>
      <c r="F37" s="30"/>
      <c r="G37" s="30"/>
      <c r="H37" s="30"/>
      <c r="I37" s="30"/>
      <c r="J37" s="30"/>
      <c r="K37" s="30"/>
      <c r="L37" s="30"/>
      <c r="M37" s="30"/>
      <c r="N37" s="30"/>
      <c r="O37" s="30"/>
      <c r="P37" s="30"/>
    </row>
    <row r="38" spans="1:16">
      <c r="A38" s="30" t="s">
        <v>16</v>
      </c>
      <c r="B38" s="30" t="s">
        <v>17</v>
      </c>
      <c r="C38" s="30"/>
      <c r="D38" s="30"/>
      <c r="E38" s="30"/>
      <c r="F38" s="30"/>
      <c r="G38" s="30"/>
      <c r="H38" s="30"/>
      <c r="I38" s="30"/>
      <c r="J38" s="30"/>
      <c r="K38" s="30"/>
      <c r="L38" s="30"/>
      <c r="M38" s="30"/>
      <c r="N38" s="30"/>
      <c r="O38" s="30"/>
      <c r="P38" s="30"/>
    </row>
    <row r="39" spans="1:16" ht="15.75">
      <c r="A39" s="30" t="s">
        <v>18</v>
      </c>
      <c r="B39" s="274" t="s">
        <v>37</v>
      </c>
      <c r="C39" s="30"/>
      <c r="D39" s="30"/>
      <c r="E39" s="30" t="s">
        <v>77</v>
      </c>
      <c r="F39" s="30"/>
      <c r="G39" s="30"/>
      <c r="H39" s="30"/>
      <c r="I39" s="30"/>
      <c r="J39" s="30"/>
      <c r="K39" s="30"/>
      <c r="L39" s="30"/>
      <c r="M39" s="30"/>
      <c r="N39" s="30"/>
      <c r="O39" s="30"/>
      <c r="P39" s="30"/>
    </row>
    <row r="40" spans="1:16" ht="15.75">
      <c r="A40" s="395" t="s">
        <v>19</v>
      </c>
      <c r="B40" s="30"/>
      <c r="C40" s="30"/>
      <c r="D40" s="30"/>
      <c r="E40" s="30"/>
      <c r="F40" s="30"/>
      <c r="G40" s="30"/>
      <c r="H40" s="30"/>
      <c r="I40" s="30"/>
      <c r="J40" s="30"/>
      <c r="K40" s="30"/>
      <c r="L40" s="30"/>
      <c r="M40" s="30"/>
      <c r="N40" s="30"/>
      <c r="O40" s="30"/>
      <c r="P40" s="30"/>
    </row>
    <row r="41" spans="1:16" ht="15.75">
      <c r="A41" s="395" t="s">
        <v>20</v>
      </c>
      <c r="B41" s="395" t="s">
        <v>21</v>
      </c>
      <c r="C41" s="395" t="s">
        <v>78</v>
      </c>
      <c r="D41" s="395" t="s">
        <v>18</v>
      </c>
      <c r="E41" s="395" t="s">
        <v>22</v>
      </c>
      <c r="F41" s="395" t="s">
        <v>7</v>
      </c>
      <c r="G41" s="395" t="s">
        <v>13</v>
      </c>
      <c r="H41" s="395" t="s">
        <v>16</v>
      </c>
      <c r="I41" s="395" t="s">
        <v>23</v>
      </c>
      <c r="J41" s="395" t="s">
        <v>24</v>
      </c>
      <c r="K41" s="395" t="s">
        <v>25</v>
      </c>
      <c r="L41" s="395" t="s">
        <v>26</v>
      </c>
      <c r="M41" s="395" t="s">
        <v>27</v>
      </c>
      <c r="N41" s="395" t="s">
        <v>28</v>
      </c>
      <c r="O41" s="395" t="s">
        <v>11</v>
      </c>
      <c r="P41" s="395" t="s">
        <v>79</v>
      </c>
    </row>
    <row r="42" spans="1:16" ht="15.75">
      <c r="A42" s="274" t="str">
        <f>B32</f>
        <v>treatment of aluminium,powerplant, Gt-bat, Medium-Term</v>
      </c>
      <c r="B42" s="274">
        <v>1</v>
      </c>
      <c r="C42" s="274"/>
      <c r="D42" s="274" t="s">
        <v>37</v>
      </c>
      <c r="E42" s="30" t="s">
        <v>2</v>
      </c>
      <c r="F42" s="30" t="s">
        <v>325</v>
      </c>
      <c r="G42" s="274" t="s">
        <v>60</v>
      </c>
      <c r="H42" s="30" t="s">
        <v>30</v>
      </c>
      <c r="I42" s="30">
        <v>0</v>
      </c>
      <c r="J42" s="274" t="s">
        <v>31</v>
      </c>
      <c r="K42" s="274" t="s">
        <v>31</v>
      </c>
      <c r="L42" s="274" t="s">
        <v>31</v>
      </c>
      <c r="M42" s="274" t="s">
        <v>31</v>
      </c>
      <c r="N42" s="274" t="s">
        <v>31</v>
      </c>
      <c r="O42" s="30" t="s">
        <v>348</v>
      </c>
    </row>
    <row r="43" spans="1:16" ht="15.75">
      <c r="A43" t="s">
        <v>93</v>
      </c>
      <c r="B43" s="22">
        <v>0.75</v>
      </c>
      <c r="C43" s="274"/>
      <c r="D43" s="274" t="s">
        <v>37</v>
      </c>
      <c r="E43" s="185" t="s">
        <v>38</v>
      </c>
      <c r="F43" s="30" t="s">
        <v>325</v>
      </c>
      <c r="G43" s="274" t="s">
        <v>86</v>
      </c>
      <c r="H43" s="30" t="s">
        <v>33</v>
      </c>
      <c r="I43" s="30">
        <v>0</v>
      </c>
      <c r="J43" s="274" t="s">
        <v>31</v>
      </c>
      <c r="K43" s="274" t="s">
        <v>31</v>
      </c>
      <c r="L43" s="274" t="s">
        <v>31</v>
      </c>
      <c r="M43" s="274" t="s">
        <v>31</v>
      </c>
      <c r="N43" s="274" t="s">
        <v>31</v>
      </c>
      <c r="O43" s="30" t="s">
        <v>299</v>
      </c>
      <c r="P43" s="30"/>
    </row>
    <row r="44" spans="1:16" ht="15.75">
      <c r="A44" t="s">
        <v>94</v>
      </c>
      <c r="B44" s="22">
        <v>0.75</v>
      </c>
      <c r="C44" s="31" t="s">
        <v>95</v>
      </c>
      <c r="D44" t="s">
        <v>37</v>
      </c>
      <c r="E44" s="173" t="s">
        <v>38</v>
      </c>
      <c r="F44" s="30" t="s">
        <v>325</v>
      </c>
      <c r="G44" s="274" t="s">
        <v>86</v>
      </c>
      <c r="H44" s="30" t="s">
        <v>33</v>
      </c>
      <c r="I44" s="30">
        <v>0</v>
      </c>
      <c r="J44" s="274" t="s">
        <v>31</v>
      </c>
      <c r="K44" s="274" t="s">
        <v>31</v>
      </c>
      <c r="L44" s="274" t="s">
        <v>31</v>
      </c>
      <c r="M44" s="274" t="s">
        <v>31</v>
      </c>
      <c r="N44" s="274" t="s">
        <v>31</v>
      </c>
      <c r="O44" s="274" t="s">
        <v>349</v>
      </c>
    </row>
    <row r="45" spans="1:16" ht="15.75">
      <c r="A45" t="s">
        <v>97</v>
      </c>
      <c r="B45" s="22">
        <v>0.75</v>
      </c>
      <c r="D45" t="s">
        <v>37</v>
      </c>
      <c r="E45" s="173" t="s">
        <v>38</v>
      </c>
      <c r="F45" s="30" t="s">
        <v>325</v>
      </c>
      <c r="G45" t="s">
        <v>60</v>
      </c>
      <c r="H45" s="30" t="s">
        <v>98</v>
      </c>
      <c r="I45" s="30">
        <v>0</v>
      </c>
      <c r="J45" s="274" t="s">
        <v>31</v>
      </c>
      <c r="K45" s="274" t="s">
        <v>31</v>
      </c>
      <c r="L45" s="274" t="s">
        <v>31</v>
      </c>
      <c r="M45" s="274" t="s">
        <v>31</v>
      </c>
      <c r="N45" s="274" t="s">
        <v>31</v>
      </c>
      <c r="O45" s="30"/>
    </row>
    <row r="46" spans="1:16" ht="15.75">
      <c r="A46" t="s">
        <v>103</v>
      </c>
      <c r="B46" s="22">
        <f>-0.25</f>
        <v>-0.25</v>
      </c>
      <c r="D46" t="s">
        <v>37</v>
      </c>
      <c r="E46" s="232" t="s">
        <v>38</v>
      </c>
      <c r="F46" s="30" t="s">
        <v>325</v>
      </c>
      <c r="G46" t="s">
        <v>60</v>
      </c>
      <c r="H46" t="s">
        <v>33</v>
      </c>
      <c r="I46">
        <v>0</v>
      </c>
      <c r="J46" t="s">
        <v>31</v>
      </c>
      <c r="K46" t="s">
        <v>31</v>
      </c>
      <c r="L46" t="s">
        <v>31</v>
      </c>
      <c r="M46" t="s">
        <v>31</v>
      </c>
      <c r="N46" t="s">
        <v>31</v>
      </c>
      <c r="O46" s="17"/>
      <c r="P46" s="30"/>
    </row>
    <row r="47" spans="1:16" s="42" customFormat="1" ht="15.75">
      <c r="A47" s="392" t="s">
        <v>5</v>
      </c>
      <c r="B47" s="392" t="s">
        <v>350</v>
      </c>
      <c r="C47" s="392"/>
      <c r="D47" s="120"/>
      <c r="E47" s="393"/>
      <c r="F47" s="393"/>
      <c r="G47" s="393"/>
      <c r="H47" s="393"/>
      <c r="I47" s="393"/>
      <c r="J47" s="393"/>
      <c r="K47" s="393"/>
      <c r="L47" s="393"/>
      <c r="M47" s="393"/>
      <c r="N47" s="393"/>
      <c r="O47" s="393"/>
      <c r="P47" s="393"/>
    </row>
    <row r="48" spans="1:16">
      <c r="A48" s="30" t="s">
        <v>7</v>
      </c>
      <c r="B48" s="30" t="s">
        <v>322</v>
      </c>
      <c r="C48" s="30"/>
      <c r="D48" s="30"/>
      <c r="E48" s="30"/>
      <c r="F48" s="30"/>
      <c r="G48" s="30"/>
      <c r="H48" s="30"/>
      <c r="I48" s="30"/>
      <c r="J48" s="30"/>
      <c r="K48" s="30"/>
      <c r="L48" s="30"/>
      <c r="M48" s="30"/>
      <c r="N48" s="30"/>
      <c r="O48" s="30"/>
      <c r="P48" s="30"/>
    </row>
    <row r="49" spans="1:17">
      <c r="A49" s="30" t="s">
        <v>9</v>
      </c>
      <c r="B49" s="394" t="s">
        <v>351</v>
      </c>
      <c r="C49" s="30"/>
      <c r="D49" s="30"/>
      <c r="E49" s="30"/>
      <c r="F49" s="30"/>
      <c r="G49" s="30"/>
      <c r="H49" s="30"/>
      <c r="I49" s="30"/>
      <c r="J49" s="30"/>
      <c r="K49" s="30"/>
      <c r="L49" s="30"/>
      <c r="M49" s="30"/>
      <c r="N49" s="30"/>
      <c r="O49" s="30"/>
      <c r="P49" s="30"/>
    </row>
    <row r="50" spans="1:17">
      <c r="A50" s="30" t="s">
        <v>11</v>
      </c>
      <c r="B50" s="30" t="s">
        <v>324</v>
      </c>
      <c r="C50" s="30"/>
      <c r="D50" s="30"/>
      <c r="E50" s="30"/>
      <c r="F50" s="30"/>
      <c r="G50" s="30"/>
      <c r="H50" s="30"/>
      <c r="I50" s="30"/>
      <c r="J50" s="30"/>
      <c r="K50" s="30"/>
      <c r="L50" s="30"/>
      <c r="M50" s="30"/>
      <c r="N50" s="30"/>
      <c r="O50" s="30"/>
      <c r="P50" s="30"/>
    </row>
    <row r="51" spans="1:17">
      <c r="A51" s="30" t="s">
        <v>13</v>
      </c>
      <c r="B51" s="30" t="s">
        <v>60</v>
      </c>
      <c r="C51" s="30"/>
      <c r="D51" s="30"/>
      <c r="E51" s="30"/>
      <c r="F51" s="30"/>
      <c r="G51" s="30"/>
      <c r="H51" s="30"/>
      <c r="I51" s="30"/>
      <c r="J51" s="30"/>
      <c r="K51" s="30"/>
      <c r="L51" s="30"/>
      <c r="M51" s="30"/>
      <c r="N51" s="30"/>
      <c r="O51" s="30"/>
      <c r="P51" s="30"/>
    </row>
    <row r="52" spans="1:17">
      <c r="A52" s="30" t="s">
        <v>15</v>
      </c>
      <c r="B52" s="30">
        <v>1</v>
      </c>
      <c r="C52" s="30"/>
      <c r="D52" s="30"/>
      <c r="E52" s="30"/>
      <c r="F52" s="30"/>
      <c r="G52" s="30"/>
      <c r="H52" s="30"/>
      <c r="I52" s="30"/>
      <c r="J52" s="30"/>
      <c r="K52" s="30"/>
      <c r="L52" s="30"/>
      <c r="M52" s="30"/>
      <c r="N52" s="30"/>
      <c r="O52" s="30"/>
      <c r="P52" s="30"/>
    </row>
    <row r="53" spans="1:17">
      <c r="A53" s="30" t="s">
        <v>16</v>
      </c>
      <c r="B53" s="30" t="s">
        <v>17</v>
      </c>
      <c r="C53" s="30"/>
      <c r="D53" s="30"/>
      <c r="E53" s="30"/>
      <c r="F53" s="30"/>
      <c r="G53" s="30"/>
      <c r="H53" s="30"/>
      <c r="I53" s="30"/>
      <c r="J53" s="30"/>
      <c r="K53" s="30"/>
      <c r="L53" s="30"/>
      <c r="M53" s="30"/>
      <c r="N53" s="30"/>
      <c r="O53" s="30"/>
      <c r="P53" s="30"/>
    </row>
    <row r="54" spans="1:17" ht="15.75">
      <c r="A54" s="30" t="s">
        <v>18</v>
      </c>
      <c r="B54" s="274" t="s">
        <v>37</v>
      </c>
      <c r="C54" s="30"/>
      <c r="D54" s="30"/>
      <c r="E54" s="30" t="s">
        <v>77</v>
      </c>
      <c r="F54" s="30"/>
      <c r="G54" s="30"/>
      <c r="H54" s="30"/>
      <c r="I54" s="30"/>
      <c r="J54" s="30"/>
      <c r="K54" s="30"/>
      <c r="L54" s="30"/>
      <c r="M54" s="30"/>
      <c r="N54" s="30"/>
      <c r="O54" s="30"/>
      <c r="P54" s="30"/>
    </row>
    <row r="55" spans="1:17" ht="15.75">
      <c r="A55" s="395" t="s">
        <v>19</v>
      </c>
      <c r="B55" s="30"/>
      <c r="C55" s="30"/>
      <c r="D55" s="30"/>
      <c r="E55" s="30"/>
      <c r="F55" s="30"/>
      <c r="G55" s="30"/>
      <c r="H55" s="30"/>
      <c r="I55" s="30"/>
      <c r="J55" s="30"/>
      <c r="K55" s="30"/>
      <c r="L55" s="30"/>
      <c r="M55" s="30"/>
      <c r="N55" s="30"/>
      <c r="O55" s="30"/>
      <c r="P55" s="30"/>
    </row>
    <row r="56" spans="1:17" ht="15.75">
      <c r="A56" s="395" t="s">
        <v>20</v>
      </c>
      <c r="B56" s="395" t="s">
        <v>21</v>
      </c>
      <c r="C56" s="395" t="s">
        <v>78</v>
      </c>
      <c r="D56" s="395" t="s">
        <v>18</v>
      </c>
      <c r="E56" s="395" t="s">
        <v>22</v>
      </c>
      <c r="F56" s="395" t="s">
        <v>7</v>
      </c>
      <c r="G56" s="395" t="s">
        <v>13</v>
      </c>
      <c r="H56" s="395" t="s">
        <v>16</v>
      </c>
      <c r="I56" s="395" t="s">
        <v>23</v>
      </c>
      <c r="J56" s="395" t="s">
        <v>24</v>
      </c>
      <c r="K56" s="395" t="s">
        <v>25</v>
      </c>
      <c r="L56" s="395" t="s">
        <v>26</v>
      </c>
      <c r="M56" s="395" t="s">
        <v>27</v>
      </c>
      <c r="N56" s="395" t="s">
        <v>28</v>
      </c>
      <c r="O56" s="395" t="s">
        <v>11</v>
      </c>
      <c r="P56" s="395" t="s">
        <v>79</v>
      </c>
    </row>
    <row r="57" spans="1:17" ht="15.75">
      <c r="A57" s="274" t="str">
        <f>B47</f>
        <v>treatment of iron-nickel chromium alloy,powerplant, Gt-bat, Medium-Term</v>
      </c>
      <c r="B57" s="274">
        <v>1</v>
      </c>
      <c r="C57" s="274"/>
      <c r="D57" s="274" t="s">
        <v>37</v>
      </c>
      <c r="E57" s="30" t="s">
        <v>2</v>
      </c>
      <c r="F57" s="30" t="s">
        <v>325</v>
      </c>
      <c r="G57" s="274" t="s">
        <v>60</v>
      </c>
      <c r="H57" s="30" t="s">
        <v>30</v>
      </c>
      <c r="I57" s="30">
        <v>0</v>
      </c>
      <c r="J57" s="274" t="s">
        <v>31</v>
      </c>
      <c r="K57" s="274" t="s">
        <v>31</v>
      </c>
      <c r="L57" s="274" t="s">
        <v>31</v>
      </c>
      <c r="M57" s="274" t="s">
        <v>31</v>
      </c>
      <c r="N57" s="274" t="s">
        <v>31</v>
      </c>
      <c r="O57" s="30" t="s">
        <v>348</v>
      </c>
    </row>
    <row r="58" spans="1:17" ht="15.75">
      <c r="A58" t="s">
        <v>100</v>
      </c>
      <c r="B58">
        <v>0.85</v>
      </c>
      <c r="C58" t="s">
        <v>101</v>
      </c>
      <c r="D58" t="s">
        <v>37</v>
      </c>
      <c r="E58" t="s">
        <v>38</v>
      </c>
      <c r="F58" s="30" t="s">
        <v>325</v>
      </c>
      <c r="G58" t="s">
        <v>86</v>
      </c>
      <c r="H58" t="s">
        <v>33</v>
      </c>
      <c r="I58" s="30">
        <v>0</v>
      </c>
      <c r="J58" s="274" t="s">
        <v>31</v>
      </c>
      <c r="K58" s="274" t="s">
        <v>31</v>
      </c>
      <c r="L58" s="274" t="s">
        <v>31</v>
      </c>
      <c r="M58" s="274" t="s">
        <v>31</v>
      </c>
      <c r="N58" s="274" t="s">
        <v>31</v>
      </c>
      <c r="O58" s="30" t="s">
        <v>348</v>
      </c>
      <c r="Q58" t="s">
        <v>329</v>
      </c>
    </row>
    <row r="59" spans="1:17" ht="15.75">
      <c r="A59" t="s">
        <v>352</v>
      </c>
      <c r="B59">
        <v>0.85</v>
      </c>
      <c r="D59" t="s">
        <v>37</v>
      </c>
      <c r="E59" t="s">
        <v>38</v>
      </c>
      <c r="F59" s="30" t="s">
        <v>325</v>
      </c>
      <c r="G59" t="s">
        <v>60</v>
      </c>
      <c r="H59" t="s">
        <v>98</v>
      </c>
      <c r="I59" s="30">
        <v>0</v>
      </c>
      <c r="J59" s="274" t="s">
        <v>31</v>
      </c>
      <c r="K59" s="274" t="s">
        <v>31</v>
      </c>
      <c r="L59" s="274" t="s">
        <v>31</v>
      </c>
      <c r="M59" s="274" t="s">
        <v>31</v>
      </c>
      <c r="N59" s="274" t="s">
        <v>31</v>
      </c>
      <c r="O59" s="30" t="s">
        <v>348</v>
      </c>
      <c r="Q59" t="s">
        <v>329</v>
      </c>
    </row>
    <row r="60" spans="1:17">
      <c r="A60" t="s">
        <v>103</v>
      </c>
      <c r="B60" s="22">
        <f>-0.25</f>
        <v>-0.25</v>
      </c>
      <c r="D60" t="s">
        <v>37</v>
      </c>
      <c r="E60" s="232" t="s">
        <v>38</v>
      </c>
      <c r="F60" s="30" t="s">
        <v>325</v>
      </c>
      <c r="G60" t="s">
        <v>60</v>
      </c>
      <c r="H60" t="s">
        <v>33</v>
      </c>
      <c r="I60">
        <v>0</v>
      </c>
      <c r="J60" t="s">
        <v>31</v>
      </c>
      <c r="K60" t="s">
        <v>31</v>
      </c>
      <c r="L60" t="s">
        <v>31</v>
      </c>
      <c r="M60" t="s">
        <v>31</v>
      </c>
      <c r="N60" t="s">
        <v>31</v>
      </c>
      <c r="O60" s="30" t="s">
        <v>348</v>
      </c>
    </row>
    <row r="61" spans="1:17" s="42" customFormat="1" ht="15.75">
      <c r="A61" s="392" t="s">
        <v>5</v>
      </c>
      <c r="B61" s="392" t="s">
        <v>353</v>
      </c>
      <c r="C61" s="392"/>
      <c r="D61" s="120"/>
      <c r="E61" s="393"/>
      <c r="F61" s="393"/>
      <c r="G61" s="393"/>
      <c r="H61" s="393"/>
      <c r="I61" s="393"/>
      <c r="J61" s="393"/>
      <c r="K61" s="393"/>
      <c r="L61" s="393"/>
      <c r="M61" s="393"/>
      <c r="N61" s="393"/>
      <c r="O61" s="393"/>
      <c r="P61" s="393"/>
    </row>
    <row r="62" spans="1:17">
      <c r="A62" s="30" t="s">
        <v>7</v>
      </c>
      <c r="B62" s="30" t="s">
        <v>322</v>
      </c>
      <c r="C62" s="30"/>
      <c r="D62" s="30"/>
      <c r="E62" s="30"/>
      <c r="F62" s="30"/>
      <c r="G62" s="30"/>
      <c r="H62" s="30"/>
      <c r="I62" s="30"/>
      <c r="J62" s="30"/>
      <c r="K62" s="30"/>
      <c r="L62" s="30"/>
      <c r="M62" s="30"/>
      <c r="N62" s="30"/>
      <c r="O62" s="30"/>
      <c r="P62" s="30"/>
    </row>
    <row r="63" spans="1:17">
      <c r="A63" s="30" t="s">
        <v>9</v>
      </c>
      <c r="B63" s="394" t="s">
        <v>354</v>
      </c>
      <c r="C63" s="30"/>
      <c r="D63" s="30"/>
      <c r="E63" s="30"/>
      <c r="F63" s="30"/>
      <c r="G63" s="30"/>
      <c r="H63" s="30"/>
      <c r="I63" s="30"/>
      <c r="J63" s="30"/>
      <c r="K63" s="30"/>
      <c r="L63" s="30"/>
      <c r="M63" s="30"/>
      <c r="N63" s="30"/>
      <c r="O63" s="30"/>
      <c r="P63" s="30"/>
    </row>
    <row r="64" spans="1:17">
      <c r="A64" s="30" t="s">
        <v>11</v>
      </c>
      <c r="B64" s="30" t="s">
        <v>324</v>
      </c>
      <c r="C64" s="30"/>
      <c r="D64" s="30"/>
      <c r="E64" s="30"/>
      <c r="F64" s="30"/>
      <c r="G64" s="30"/>
      <c r="H64" s="30"/>
      <c r="I64" s="30"/>
      <c r="J64" s="30"/>
      <c r="K64" s="30"/>
      <c r="L64" s="30"/>
      <c r="M64" s="30"/>
      <c r="N64" s="30"/>
      <c r="O64" s="30"/>
      <c r="P64" s="30"/>
    </row>
    <row r="65" spans="1:17">
      <c r="A65" s="30" t="s">
        <v>13</v>
      </c>
      <c r="B65" s="30" t="s">
        <v>60</v>
      </c>
      <c r="C65" s="30"/>
      <c r="D65" s="30"/>
      <c r="E65" s="30"/>
      <c r="F65" s="30"/>
      <c r="G65" s="30"/>
      <c r="H65" s="30"/>
      <c r="I65" s="30"/>
      <c r="J65" s="30"/>
      <c r="K65" s="30"/>
      <c r="L65" s="30"/>
      <c r="M65" s="30"/>
      <c r="N65" s="30"/>
      <c r="O65" s="30"/>
      <c r="P65" s="30"/>
    </row>
    <row r="66" spans="1:17">
      <c r="A66" s="30" t="s">
        <v>15</v>
      </c>
      <c r="B66" s="30">
        <v>1</v>
      </c>
      <c r="C66" s="30"/>
      <c r="D66" s="30"/>
      <c r="E66" s="30"/>
      <c r="F66" s="30"/>
      <c r="G66" s="30"/>
      <c r="H66" s="30"/>
      <c r="I66" s="30"/>
      <c r="J66" s="30"/>
      <c r="K66" s="30"/>
      <c r="L66" s="30"/>
      <c r="M66" s="30"/>
      <c r="N66" s="30"/>
      <c r="O66" s="30"/>
      <c r="P66" s="30"/>
    </row>
    <row r="67" spans="1:17">
      <c r="A67" s="30" t="s">
        <v>16</v>
      </c>
      <c r="B67" s="30" t="s">
        <v>17</v>
      </c>
      <c r="C67" s="30"/>
      <c r="D67" s="30"/>
      <c r="E67" s="30"/>
      <c r="F67" s="30"/>
      <c r="G67" s="30"/>
      <c r="H67" s="30"/>
      <c r="I67" s="30"/>
      <c r="J67" s="30"/>
      <c r="K67" s="30"/>
      <c r="L67" s="30"/>
      <c r="M67" s="30"/>
      <c r="N67" s="30"/>
      <c r="O67" s="30"/>
      <c r="P67" s="30"/>
    </row>
    <row r="68" spans="1:17" ht="15.75">
      <c r="A68" s="30" t="s">
        <v>18</v>
      </c>
      <c r="B68" s="274" t="s">
        <v>37</v>
      </c>
      <c r="C68" s="30"/>
      <c r="D68" s="30"/>
      <c r="E68" s="30" t="s">
        <v>77</v>
      </c>
      <c r="F68" s="30"/>
      <c r="G68" s="30"/>
      <c r="H68" s="30"/>
      <c r="I68" s="30"/>
      <c r="J68" s="30"/>
      <c r="K68" s="30"/>
      <c r="L68" s="30"/>
      <c r="M68" s="30"/>
      <c r="N68" s="30"/>
      <c r="O68" s="30"/>
      <c r="P68" s="30"/>
    </row>
    <row r="69" spans="1:17" ht="15.75">
      <c r="A69" s="395" t="s">
        <v>19</v>
      </c>
      <c r="B69" s="30"/>
      <c r="C69" s="30"/>
      <c r="D69" s="30"/>
      <c r="E69" s="30"/>
      <c r="F69" s="30"/>
      <c r="G69" s="30"/>
      <c r="H69" s="30"/>
      <c r="I69" s="30"/>
      <c r="J69" s="30"/>
      <c r="K69" s="30"/>
      <c r="L69" s="30"/>
      <c r="M69" s="30"/>
      <c r="N69" s="30"/>
      <c r="O69" s="30"/>
      <c r="P69" s="30"/>
    </row>
    <row r="70" spans="1:17" ht="15.75">
      <c r="A70" s="395" t="s">
        <v>20</v>
      </c>
      <c r="B70" s="395" t="s">
        <v>21</v>
      </c>
      <c r="C70" s="395" t="s">
        <v>78</v>
      </c>
      <c r="D70" s="395" t="s">
        <v>18</v>
      </c>
      <c r="E70" s="395" t="s">
        <v>22</v>
      </c>
      <c r="F70" s="395" t="s">
        <v>7</v>
      </c>
      <c r="G70" s="395" t="s">
        <v>13</v>
      </c>
      <c r="H70" s="395" t="s">
        <v>16</v>
      </c>
      <c r="I70" s="395" t="s">
        <v>23</v>
      </c>
      <c r="J70" s="395" t="s">
        <v>24</v>
      </c>
      <c r="K70" s="395" t="s">
        <v>25</v>
      </c>
      <c r="L70" s="395" t="s">
        <v>26</v>
      </c>
      <c r="M70" s="395" t="s">
        <v>27</v>
      </c>
      <c r="N70" s="395" t="s">
        <v>28</v>
      </c>
      <c r="O70" s="395" t="s">
        <v>11</v>
      </c>
      <c r="P70" s="395" t="s">
        <v>79</v>
      </c>
    </row>
    <row r="71" spans="1:17" ht="15.75">
      <c r="A71" s="274" t="str">
        <f>B61</f>
        <v>treatment of nickel,powerplant, Gt-bat, Medium-Term</v>
      </c>
      <c r="B71" s="274">
        <v>1</v>
      </c>
      <c r="C71" s="274"/>
      <c r="D71" s="274" t="s">
        <v>37</v>
      </c>
      <c r="E71" s="30" t="s">
        <v>2</v>
      </c>
      <c r="F71" s="30" t="s">
        <v>325</v>
      </c>
      <c r="G71" s="274" t="s">
        <v>60</v>
      </c>
      <c r="H71" s="30" t="s">
        <v>30</v>
      </c>
      <c r="I71" s="30">
        <v>0</v>
      </c>
      <c r="J71" s="274" t="s">
        <v>31</v>
      </c>
      <c r="K71" s="274" t="s">
        <v>31</v>
      </c>
      <c r="L71" s="274" t="s">
        <v>31</v>
      </c>
      <c r="M71" s="274" t="s">
        <v>31</v>
      </c>
      <c r="N71" s="274" t="s">
        <v>31</v>
      </c>
      <c r="O71" s="30" t="s">
        <v>348</v>
      </c>
    </row>
    <row r="72" spans="1:17" ht="15.75">
      <c r="A72" t="s">
        <v>100</v>
      </c>
      <c r="B72">
        <v>0.85</v>
      </c>
      <c r="C72" t="s">
        <v>101</v>
      </c>
      <c r="D72" t="s">
        <v>37</v>
      </c>
      <c r="E72" t="s">
        <v>38</v>
      </c>
      <c r="F72" s="30" t="s">
        <v>325</v>
      </c>
      <c r="G72" t="s">
        <v>86</v>
      </c>
      <c r="H72" t="s">
        <v>33</v>
      </c>
      <c r="I72" s="30">
        <v>0</v>
      </c>
      <c r="J72" s="274" t="s">
        <v>31</v>
      </c>
      <c r="K72" s="274" t="s">
        <v>31</v>
      </c>
      <c r="L72" s="274" t="s">
        <v>31</v>
      </c>
      <c r="M72" s="274" t="s">
        <v>31</v>
      </c>
      <c r="N72" s="274" t="s">
        <v>31</v>
      </c>
      <c r="O72" s="30" t="s">
        <v>348</v>
      </c>
      <c r="Q72" t="s">
        <v>329</v>
      </c>
    </row>
    <row r="73" spans="1:17" ht="15.75">
      <c r="A73" t="s">
        <v>355</v>
      </c>
      <c r="B73">
        <v>0.85</v>
      </c>
      <c r="D73" t="s">
        <v>37</v>
      </c>
      <c r="E73" t="s">
        <v>38</v>
      </c>
      <c r="F73" s="30" t="s">
        <v>325</v>
      </c>
      <c r="G73" t="s">
        <v>60</v>
      </c>
      <c r="H73" t="s">
        <v>98</v>
      </c>
      <c r="I73" s="30">
        <v>0</v>
      </c>
      <c r="J73" s="274" t="s">
        <v>31</v>
      </c>
      <c r="K73" s="274" t="s">
        <v>31</v>
      </c>
      <c r="L73" s="274" t="s">
        <v>31</v>
      </c>
      <c r="M73" s="274" t="s">
        <v>31</v>
      </c>
      <c r="N73" s="274" t="s">
        <v>31</v>
      </c>
      <c r="O73" s="30" t="s">
        <v>348</v>
      </c>
      <c r="Q73" t="s">
        <v>329</v>
      </c>
    </row>
    <row r="74" spans="1:17">
      <c r="A74" t="s">
        <v>103</v>
      </c>
      <c r="B74" s="22">
        <f>-0.25</f>
        <v>-0.25</v>
      </c>
      <c r="D74" t="s">
        <v>37</v>
      </c>
      <c r="E74" s="232" t="s">
        <v>38</v>
      </c>
      <c r="F74" s="30" t="s">
        <v>325</v>
      </c>
      <c r="G74" t="s">
        <v>60</v>
      </c>
      <c r="H74" t="s">
        <v>33</v>
      </c>
      <c r="I74">
        <v>0</v>
      </c>
      <c r="J74" t="s">
        <v>31</v>
      </c>
      <c r="K74" t="s">
        <v>31</v>
      </c>
      <c r="L74" t="s">
        <v>31</v>
      </c>
      <c r="M74" t="s">
        <v>31</v>
      </c>
      <c r="N74" t="s">
        <v>31</v>
      </c>
      <c r="O74" s="30" t="s">
        <v>348</v>
      </c>
    </row>
    <row r="75" spans="1:17" s="42" customFormat="1" ht="15.75">
      <c r="A75" s="392" t="s">
        <v>5</v>
      </c>
      <c r="B75" s="392" t="s">
        <v>356</v>
      </c>
      <c r="C75" s="392"/>
      <c r="D75" s="120"/>
      <c r="E75" s="393"/>
      <c r="F75" s="393"/>
      <c r="G75" s="393"/>
      <c r="H75" s="393"/>
      <c r="I75" s="393"/>
      <c r="J75" s="393"/>
      <c r="K75" s="393"/>
      <c r="L75" s="393"/>
      <c r="M75" s="393"/>
      <c r="N75" s="393"/>
      <c r="O75" s="393"/>
      <c r="P75" s="393"/>
    </row>
    <row r="76" spans="1:17">
      <c r="A76" s="30" t="s">
        <v>7</v>
      </c>
      <c r="B76" s="30" t="s">
        <v>322</v>
      </c>
      <c r="C76" s="30"/>
      <c r="D76" s="30"/>
      <c r="E76" s="30"/>
      <c r="F76" s="30"/>
      <c r="G76" s="30"/>
      <c r="H76" s="30"/>
      <c r="I76" s="30"/>
      <c r="J76" s="30"/>
      <c r="K76" s="30"/>
      <c r="L76" s="30"/>
      <c r="M76" s="30"/>
      <c r="N76" s="30"/>
      <c r="O76" s="30"/>
      <c r="P76" s="30"/>
    </row>
    <row r="77" spans="1:17">
      <c r="A77" s="30" t="s">
        <v>9</v>
      </c>
      <c r="B77" s="394" t="s">
        <v>357</v>
      </c>
      <c r="C77" s="30"/>
      <c r="D77" s="30"/>
      <c r="E77" s="30"/>
      <c r="F77" s="30"/>
      <c r="G77" s="30"/>
      <c r="H77" s="30"/>
      <c r="I77" s="30"/>
      <c r="J77" s="30"/>
      <c r="K77" s="30"/>
      <c r="L77" s="30"/>
      <c r="M77" s="30"/>
      <c r="N77" s="30"/>
      <c r="O77" s="30"/>
      <c r="P77" s="30"/>
    </row>
    <row r="78" spans="1:17">
      <c r="A78" s="30" t="s">
        <v>11</v>
      </c>
      <c r="B78" s="30" t="s">
        <v>324</v>
      </c>
      <c r="C78" s="30"/>
      <c r="D78" s="30"/>
      <c r="E78" s="30"/>
      <c r="F78" s="30"/>
      <c r="G78" s="30"/>
      <c r="H78" s="30"/>
      <c r="I78" s="30"/>
      <c r="J78" s="30"/>
      <c r="K78" s="30"/>
      <c r="L78" s="30"/>
      <c r="M78" s="30"/>
      <c r="N78" s="30"/>
      <c r="O78" s="30"/>
      <c r="P78" s="30"/>
    </row>
    <row r="79" spans="1:17">
      <c r="A79" s="30" t="s">
        <v>13</v>
      </c>
      <c r="B79" s="30" t="s">
        <v>60</v>
      </c>
      <c r="C79" s="30"/>
      <c r="D79" s="30"/>
      <c r="E79" s="30"/>
      <c r="F79" s="30"/>
      <c r="G79" s="30"/>
      <c r="H79" s="30"/>
      <c r="I79" s="30"/>
      <c r="J79" s="30"/>
      <c r="K79" s="30"/>
      <c r="L79" s="30"/>
      <c r="M79" s="30"/>
      <c r="N79" s="30"/>
      <c r="O79" s="30"/>
      <c r="P79" s="30"/>
    </row>
    <row r="80" spans="1:17">
      <c r="A80" s="30" t="s">
        <v>15</v>
      </c>
      <c r="B80" s="30">
        <v>1</v>
      </c>
      <c r="C80" s="30"/>
      <c r="D80" s="30"/>
      <c r="E80" s="30"/>
      <c r="F80" s="30"/>
      <c r="G80" s="30"/>
      <c r="H80" s="30"/>
      <c r="I80" s="30"/>
      <c r="J80" s="30"/>
      <c r="K80" s="30"/>
      <c r="L80" s="30"/>
      <c r="M80" s="30"/>
      <c r="N80" s="30"/>
      <c r="O80" s="30"/>
      <c r="P80" s="30"/>
    </row>
    <row r="81" spans="1:17">
      <c r="A81" s="30" t="s">
        <v>16</v>
      </c>
      <c r="B81" s="30" t="s">
        <v>17</v>
      </c>
      <c r="C81" s="30"/>
      <c r="D81" s="30"/>
      <c r="E81" s="30"/>
      <c r="F81" s="30"/>
      <c r="G81" s="30"/>
      <c r="H81" s="30"/>
      <c r="I81" s="30"/>
      <c r="J81" s="30"/>
      <c r="K81" s="30"/>
      <c r="L81" s="30"/>
      <c r="M81" s="30"/>
      <c r="N81" s="30"/>
      <c r="O81" s="30"/>
      <c r="P81" s="30"/>
    </row>
    <row r="82" spans="1:17" ht="15.75">
      <c r="A82" s="30" t="s">
        <v>18</v>
      </c>
      <c r="B82" s="274" t="s">
        <v>37</v>
      </c>
      <c r="C82" s="30"/>
      <c r="D82" s="30"/>
      <c r="E82" s="30" t="s">
        <v>77</v>
      </c>
      <c r="F82" s="30"/>
      <c r="G82" s="30"/>
      <c r="H82" s="30"/>
      <c r="I82" s="30"/>
      <c r="J82" s="30"/>
      <c r="K82" s="30"/>
      <c r="L82" s="30"/>
      <c r="M82" s="30"/>
      <c r="N82" s="30"/>
      <c r="O82" s="30"/>
      <c r="P82" s="30"/>
    </row>
    <row r="83" spans="1:17" ht="15.75">
      <c r="A83" s="395" t="s">
        <v>19</v>
      </c>
      <c r="B83" s="30"/>
      <c r="C83" s="30"/>
      <c r="D83" s="30"/>
      <c r="E83" s="30"/>
      <c r="F83" s="30"/>
      <c r="G83" s="30"/>
      <c r="H83" s="30"/>
      <c r="I83" s="30"/>
      <c r="J83" s="30"/>
      <c r="K83" s="30"/>
      <c r="L83" s="30"/>
      <c r="M83" s="30"/>
      <c r="N83" s="30"/>
      <c r="O83" s="30"/>
      <c r="P83" s="30"/>
    </row>
    <row r="84" spans="1:17" ht="15.75">
      <c r="A84" s="395" t="s">
        <v>20</v>
      </c>
      <c r="B84" s="395" t="s">
        <v>21</v>
      </c>
      <c r="C84" s="395" t="s">
        <v>78</v>
      </c>
      <c r="D84" s="395" t="s">
        <v>18</v>
      </c>
      <c r="E84" s="395" t="s">
        <v>22</v>
      </c>
      <c r="F84" s="395" t="s">
        <v>7</v>
      </c>
      <c r="G84" s="395" t="s">
        <v>13</v>
      </c>
      <c r="H84" s="395" t="s">
        <v>16</v>
      </c>
      <c r="I84" s="395" t="s">
        <v>23</v>
      </c>
      <c r="J84" s="395" t="s">
        <v>24</v>
      </c>
      <c r="K84" s="395" t="s">
        <v>25</v>
      </c>
      <c r="L84" s="395" t="s">
        <v>26</v>
      </c>
      <c r="M84" s="395" t="s">
        <v>27</v>
      </c>
      <c r="N84" s="395" t="s">
        <v>28</v>
      </c>
      <c r="O84" s="395" t="s">
        <v>11</v>
      </c>
      <c r="P84" s="395" t="s">
        <v>79</v>
      </c>
    </row>
    <row r="85" spans="1:17" ht="15.75">
      <c r="A85" s="274" t="str">
        <f>B75</f>
        <v>treatment of copper,powerplant, Gt-bat, Medium-Term</v>
      </c>
      <c r="B85" s="274">
        <v>1</v>
      </c>
      <c r="C85" s="274"/>
      <c r="D85" s="274" t="s">
        <v>37</v>
      </c>
      <c r="E85" s="30" t="s">
        <v>2</v>
      </c>
      <c r="F85" s="30" t="s">
        <v>325</v>
      </c>
      <c r="G85" s="274" t="s">
        <v>60</v>
      </c>
      <c r="H85" s="30" t="s">
        <v>30</v>
      </c>
      <c r="I85" s="30">
        <v>0</v>
      </c>
      <c r="J85" s="274" t="s">
        <v>31</v>
      </c>
      <c r="K85" s="274" t="s">
        <v>31</v>
      </c>
      <c r="L85" s="274" t="s">
        <v>31</v>
      </c>
      <c r="M85" s="274" t="s">
        <v>31</v>
      </c>
      <c r="N85" s="274" t="s">
        <v>31</v>
      </c>
      <c r="O85" s="30" t="s">
        <v>348</v>
      </c>
    </row>
    <row r="86" spans="1:17" ht="15.75">
      <c r="A86" t="s">
        <v>100</v>
      </c>
      <c r="B86">
        <v>0.85</v>
      </c>
      <c r="C86" t="s">
        <v>101</v>
      </c>
      <c r="D86" t="s">
        <v>37</v>
      </c>
      <c r="E86" t="s">
        <v>38</v>
      </c>
      <c r="F86" s="30" t="s">
        <v>325</v>
      </c>
      <c r="G86" t="s">
        <v>86</v>
      </c>
      <c r="H86" t="s">
        <v>33</v>
      </c>
      <c r="I86" s="30">
        <v>0</v>
      </c>
      <c r="J86" s="274" t="s">
        <v>31</v>
      </c>
      <c r="K86" s="274" t="s">
        <v>31</v>
      </c>
      <c r="L86" s="274" t="s">
        <v>31</v>
      </c>
      <c r="M86" s="274" t="s">
        <v>31</v>
      </c>
      <c r="N86" s="274" t="s">
        <v>31</v>
      </c>
      <c r="O86" s="30" t="s">
        <v>348</v>
      </c>
      <c r="Q86" t="s">
        <v>329</v>
      </c>
    </row>
    <row r="87" spans="1:17" ht="15.75">
      <c r="A87" t="s">
        <v>102</v>
      </c>
      <c r="B87">
        <v>0.85</v>
      </c>
      <c r="D87" t="s">
        <v>37</v>
      </c>
      <c r="E87" t="s">
        <v>38</v>
      </c>
      <c r="F87" s="30" t="s">
        <v>325</v>
      </c>
      <c r="G87" t="s">
        <v>60</v>
      </c>
      <c r="H87" t="s">
        <v>98</v>
      </c>
      <c r="I87" s="30">
        <v>0</v>
      </c>
      <c r="J87" s="274" t="s">
        <v>31</v>
      </c>
      <c r="K87" s="274" t="s">
        <v>31</v>
      </c>
      <c r="L87" s="274" t="s">
        <v>31</v>
      </c>
      <c r="M87" s="274" t="s">
        <v>31</v>
      </c>
      <c r="N87" s="274" t="s">
        <v>31</v>
      </c>
      <c r="O87" s="30" t="s">
        <v>348</v>
      </c>
      <c r="Q87" t="s">
        <v>329</v>
      </c>
    </row>
    <row r="88" spans="1:17">
      <c r="A88" t="s">
        <v>103</v>
      </c>
      <c r="B88" s="22">
        <f>-0.25</f>
        <v>-0.25</v>
      </c>
      <c r="D88" t="s">
        <v>37</v>
      </c>
      <c r="E88" s="232" t="s">
        <v>38</v>
      </c>
      <c r="F88" s="30" t="s">
        <v>325</v>
      </c>
      <c r="G88" t="s">
        <v>60</v>
      </c>
      <c r="H88" t="s">
        <v>33</v>
      </c>
      <c r="I88">
        <v>0</v>
      </c>
      <c r="J88" t="s">
        <v>31</v>
      </c>
      <c r="K88" t="s">
        <v>31</v>
      </c>
      <c r="L88" t="s">
        <v>31</v>
      </c>
      <c r="M88" t="s">
        <v>31</v>
      </c>
      <c r="N88" t="s">
        <v>31</v>
      </c>
      <c r="O88" s="30" t="s">
        <v>348</v>
      </c>
    </row>
    <row r="89" spans="1:17" s="42" customFormat="1" ht="15.75">
      <c r="A89" s="392" t="s">
        <v>5</v>
      </c>
      <c r="B89" s="392" t="s">
        <v>358</v>
      </c>
      <c r="C89" s="392"/>
      <c r="D89" s="120"/>
      <c r="E89" s="393"/>
      <c r="F89" s="393"/>
      <c r="G89" s="393"/>
      <c r="H89" s="393"/>
      <c r="I89" s="393"/>
      <c r="J89" s="393"/>
      <c r="K89" s="393"/>
      <c r="L89" s="393"/>
      <c r="M89" s="393"/>
      <c r="N89" s="393"/>
      <c r="O89" s="393"/>
      <c r="P89" s="393"/>
    </row>
    <row r="90" spans="1:17">
      <c r="A90" s="30" t="s">
        <v>7</v>
      </c>
      <c r="B90" s="30" t="s">
        <v>322</v>
      </c>
      <c r="C90" s="30"/>
      <c r="D90" s="30"/>
      <c r="E90" s="30"/>
      <c r="F90" s="30"/>
      <c r="G90" s="30"/>
      <c r="H90" s="30"/>
      <c r="I90" s="30"/>
      <c r="J90" s="30"/>
      <c r="K90" s="30"/>
      <c r="L90" s="30"/>
      <c r="M90" s="30"/>
      <c r="N90" s="30"/>
      <c r="O90" s="30"/>
      <c r="P90" s="30"/>
    </row>
    <row r="91" spans="1:17">
      <c r="A91" s="30" t="s">
        <v>9</v>
      </c>
      <c r="B91" s="394" t="s">
        <v>359</v>
      </c>
      <c r="C91" s="30"/>
      <c r="D91" s="30"/>
      <c r="E91" s="30"/>
      <c r="F91" s="30"/>
      <c r="G91" s="30"/>
      <c r="H91" s="30"/>
      <c r="I91" s="30"/>
      <c r="J91" s="30"/>
      <c r="K91" s="30"/>
      <c r="L91" s="30"/>
      <c r="M91" s="30"/>
      <c r="N91" s="30"/>
      <c r="O91" s="30"/>
      <c r="P91" s="30"/>
    </row>
    <row r="92" spans="1:17">
      <c r="A92" s="30" t="s">
        <v>11</v>
      </c>
      <c r="B92" s="30" t="s">
        <v>324</v>
      </c>
      <c r="C92" s="30"/>
      <c r="D92" s="30"/>
      <c r="E92" s="30"/>
      <c r="F92" s="30"/>
      <c r="G92" s="30"/>
      <c r="H92" s="30"/>
      <c r="I92" s="30"/>
      <c r="J92" s="30"/>
      <c r="K92" s="30"/>
      <c r="L92" s="30"/>
      <c r="M92" s="30"/>
      <c r="N92" s="30"/>
      <c r="O92" s="30"/>
      <c r="P92" s="30"/>
    </row>
    <row r="93" spans="1:17">
      <c r="A93" s="30" t="s">
        <v>13</v>
      </c>
      <c r="B93" s="30" t="s">
        <v>60</v>
      </c>
      <c r="C93" s="30"/>
      <c r="D93" s="30"/>
      <c r="E93" s="30"/>
      <c r="F93" s="30"/>
      <c r="G93" s="30"/>
      <c r="H93" s="30"/>
      <c r="I93" s="30"/>
      <c r="J93" s="30"/>
      <c r="K93" s="30"/>
      <c r="L93" s="30"/>
      <c r="M93" s="30"/>
      <c r="N93" s="30"/>
      <c r="O93" s="30"/>
      <c r="P93" s="30"/>
    </row>
    <row r="94" spans="1:17">
      <c r="A94" s="30" t="s">
        <v>15</v>
      </c>
      <c r="B94" s="30">
        <v>1</v>
      </c>
      <c r="C94" s="30"/>
      <c r="D94" s="30"/>
      <c r="E94" s="30"/>
      <c r="F94" s="30"/>
      <c r="G94" s="30"/>
      <c r="H94" s="30"/>
      <c r="I94" s="30"/>
      <c r="J94" s="30"/>
      <c r="K94" s="30"/>
      <c r="L94" s="30"/>
      <c r="M94" s="30"/>
      <c r="N94" s="30"/>
      <c r="O94" s="30"/>
      <c r="P94" s="30"/>
    </row>
    <row r="95" spans="1:17">
      <c r="A95" s="30" t="s">
        <v>16</v>
      </c>
      <c r="B95" s="30" t="s">
        <v>17</v>
      </c>
      <c r="C95" s="30"/>
      <c r="D95" s="30"/>
      <c r="E95" s="30"/>
      <c r="F95" s="30"/>
      <c r="G95" s="30"/>
      <c r="H95" s="30"/>
      <c r="I95" s="30"/>
      <c r="J95" s="30"/>
      <c r="K95" s="30"/>
      <c r="L95" s="30"/>
      <c r="M95" s="30"/>
      <c r="N95" s="30"/>
      <c r="O95" s="30"/>
      <c r="P95" s="30"/>
    </row>
    <row r="96" spans="1:17" ht="15.75">
      <c r="A96" s="30" t="s">
        <v>18</v>
      </c>
      <c r="B96" s="274" t="s">
        <v>37</v>
      </c>
      <c r="C96" s="30"/>
      <c r="D96" s="30"/>
      <c r="E96" s="30" t="s">
        <v>77</v>
      </c>
      <c r="F96" s="30"/>
      <c r="G96" s="30"/>
      <c r="H96" s="30"/>
      <c r="I96" s="30"/>
      <c r="J96" s="30"/>
      <c r="K96" s="30"/>
      <c r="L96" s="30"/>
      <c r="M96" s="30"/>
      <c r="N96" s="30"/>
      <c r="O96" s="30"/>
      <c r="P96" s="30"/>
    </row>
    <row r="97" spans="1:17" ht="15.75">
      <c r="A97" s="395" t="s">
        <v>19</v>
      </c>
      <c r="B97" s="30"/>
      <c r="C97" s="30"/>
      <c r="D97" s="30"/>
      <c r="E97" s="30"/>
      <c r="F97" s="30"/>
      <c r="G97" s="30"/>
      <c r="H97" s="30"/>
      <c r="I97" s="30"/>
      <c r="J97" s="30"/>
      <c r="K97" s="30"/>
      <c r="L97" s="30"/>
      <c r="M97" s="30"/>
      <c r="N97" s="30"/>
      <c r="O97" s="30"/>
      <c r="P97" s="30"/>
    </row>
    <row r="98" spans="1:17" ht="15.75">
      <c r="A98" s="395" t="s">
        <v>20</v>
      </c>
      <c r="B98" s="395" t="s">
        <v>21</v>
      </c>
      <c r="C98" s="395" t="s">
        <v>78</v>
      </c>
      <c r="D98" s="395" t="s">
        <v>18</v>
      </c>
      <c r="E98" s="395" t="s">
        <v>22</v>
      </c>
      <c r="F98" s="395" t="s">
        <v>7</v>
      </c>
      <c r="G98" s="395" t="s">
        <v>13</v>
      </c>
      <c r="H98" s="395" t="s">
        <v>16</v>
      </c>
      <c r="I98" s="395" t="s">
        <v>23</v>
      </c>
      <c r="J98" s="395" t="s">
        <v>24</v>
      </c>
      <c r="K98" s="395" t="s">
        <v>25</v>
      </c>
      <c r="L98" s="395" t="s">
        <v>26</v>
      </c>
      <c r="M98" s="395" t="s">
        <v>27</v>
      </c>
      <c r="N98" s="395" t="s">
        <v>28</v>
      </c>
      <c r="O98" s="395" t="s">
        <v>11</v>
      </c>
      <c r="P98" s="395" t="s">
        <v>79</v>
      </c>
    </row>
    <row r="99" spans="1:17" ht="15.75">
      <c r="A99" s="274" t="str">
        <f>B89</f>
        <v>treatment of magnesium alloy powerplant, Gt-bat, Medium-Term</v>
      </c>
      <c r="B99" s="274">
        <v>1</v>
      </c>
      <c r="C99" s="274"/>
      <c r="D99" s="274" t="s">
        <v>37</v>
      </c>
      <c r="E99" s="30" t="s">
        <v>2</v>
      </c>
      <c r="F99" s="30" t="s">
        <v>325</v>
      </c>
      <c r="G99" s="274" t="s">
        <v>60</v>
      </c>
      <c r="H99" s="30" t="s">
        <v>30</v>
      </c>
      <c r="I99" s="30">
        <v>0</v>
      </c>
      <c r="J99" s="274" t="s">
        <v>31</v>
      </c>
      <c r="K99" s="274" t="s">
        <v>31</v>
      </c>
      <c r="L99" s="274" t="s">
        <v>31</v>
      </c>
      <c r="M99" s="274" t="s">
        <v>31</v>
      </c>
      <c r="N99" s="274" t="s">
        <v>31</v>
      </c>
      <c r="O99" s="30" t="s">
        <v>360</v>
      </c>
    </row>
    <row r="100" spans="1:17">
      <c r="A100" t="s">
        <v>103</v>
      </c>
      <c r="B100" s="22">
        <v>-0.1</v>
      </c>
      <c r="D100" t="s">
        <v>37</v>
      </c>
      <c r="E100" s="232" t="s">
        <v>38</v>
      </c>
      <c r="F100" s="30" t="s">
        <v>325</v>
      </c>
      <c r="G100" t="s">
        <v>60</v>
      </c>
      <c r="H100" t="s">
        <v>33</v>
      </c>
      <c r="I100">
        <v>0</v>
      </c>
      <c r="J100" t="s">
        <v>31</v>
      </c>
      <c r="K100" t="s">
        <v>31</v>
      </c>
      <c r="L100" t="s">
        <v>31</v>
      </c>
      <c r="M100" t="s">
        <v>31</v>
      </c>
      <c r="N100" t="s">
        <v>31</v>
      </c>
      <c r="O100" s="30" t="s">
        <v>361</v>
      </c>
    </row>
    <row r="101" spans="1:17" ht="15.75">
      <c r="A101" t="s">
        <v>100</v>
      </c>
      <c r="B101">
        <f>0.9*0.85</f>
        <v>0.76500000000000001</v>
      </c>
      <c r="C101" t="s">
        <v>101</v>
      </c>
      <c r="D101" t="s">
        <v>37</v>
      </c>
      <c r="E101" t="s">
        <v>38</v>
      </c>
      <c r="F101" s="30" t="s">
        <v>325</v>
      </c>
      <c r="G101" t="s">
        <v>86</v>
      </c>
      <c r="H101" t="s">
        <v>33</v>
      </c>
      <c r="I101" s="30">
        <v>0</v>
      </c>
      <c r="J101" s="274" t="s">
        <v>31</v>
      </c>
      <c r="K101" s="274" t="s">
        <v>31</v>
      </c>
      <c r="L101" s="274" t="s">
        <v>31</v>
      </c>
      <c r="M101" s="274" t="s">
        <v>31</v>
      </c>
      <c r="N101" s="274" t="s">
        <v>31</v>
      </c>
      <c r="O101" s="30" t="s">
        <v>362</v>
      </c>
      <c r="Q101" t="s">
        <v>329</v>
      </c>
    </row>
    <row r="102" spans="1:17">
      <c r="A102" t="s">
        <v>103</v>
      </c>
      <c r="B102" s="22">
        <f>-0.25*0.9</f>
        <v>-0.22500000000000001</v>
      </c>
      <c r="D102" t="s">
        <v>37</v>
      </c>
      <c r="E102" s="232" t="s">
        <v>38</v>
      </c>
      <c r="F102" s="30" t="s">
        <v>325</v>
      </c>
      <c r="G102" t="s">
        <v>60</v>
      </c>
      <c r="H102" t="s">
        <v>33</v>
      </c>
      <c r="I102">
        <v>0</v>
      </c>
      <c r="J102" t="s">
        <v>31</v>
      </c>
      <c r="K102" t="s">
        <v>31</v>
      </c>
      <c r="L102" t="s">
        <v>31</v>
      </c>
      <c r="M102" t="s">
        <v>31</v>
      </c>
      <c r="N102" t="s">
        <v>31</v>
      </c>
      <c r="O102" s="30" t="s">
        <v>363</v>
      </c>
    </row>
    <row r="103" spans="1:17" s="42" customFormat="1" ht="15.75">
      <c r="A103" s="392" t="s">
        <v>5</v>
      </c>
      <c r="B103" s="392" t="s">
        <v>364</v>
      </c>
      <c r="C103" s="392"/>
      <c r="D103" s="120"/>
      <c r="E103" s="393"/>
      <c r="F103" s="393"/>
      <c r="G103" s="393"/>
      <c r="H103" s="393"/>
      <c r="I103" s="393"/>
      <c r="J103" s="393"/>
      <c r="K103" s="393"/>
      <c r="L103" s="393"/>
      <c r="M103" s="393"/>
      <c r="N103" s="393"/>
      <c r="O103" s="393"/>
      <c r="P103" s="393"/>
    </row>
    <row r="104" spans="1:17">
      <c r="A104" s="30" t="s">
        <v>7</v>
      </c>
      <c r="B104" s="30" t="s">
        <v>322</v>
      </c>
      <c r="C104" s="30"/>
      <c r="D104" s="30"/>
      <c r="E104" s="30"/>
      <c r="F104" s="30"/>
      <c r="G104" s="30"/>
      <c r="H104" s="30"/>
      <c r="I104" s="30"/>
      <c r="J104" s="30"/>
      <c r="K104" s="30"/>
      <c r="L104" s="30"/>
      <c r="M104" s="30"/>
      <c r="N104" s="30"/>
      <c r="O104" s="30"/>
      <c r="P104" s="30"/>
    </row>
    <row r="105" spans="1:17">
      <c r="A105" s="30" t="s">
        <v>9</v>
      </c>
      <c r="B105" s="394" t="s">
        <v>365</v>
      </c>
      <c r="C105" s="30"/>
      <c r="D105" s="30"/>
      <c r="E105" s="30"/>
      <c r="F105" s="30"/>
      <c r="G105" s="30"/>
      <c r="H105" s="30"/>
      <c r="I105" s="30"/>
      <c r="J105" s="30"/>
      <c r="K105" s="30"/>
      <c r="L105" s="30"/>
      <c r="M105" s="30"/>
      <c r="N105" s="30"/>
      <c r="O105" s="30"/>
      <c r="P105" s="30"/>
    </row>
    <row r="106" spans="1:17">
      <c r="A106" s="30" t="s">
        <v>11</v>
      </c>
      <c r="B106" s="30" t="s">
        <v>324</v>
      </c>
      <c r="C106" s="30"/>
      <c r="D106" s="30"/>
      <c r="E106" s="30"/>
      <c r="F106" s="30"/>
      <c r="G106" s="30"/>
      <c r="H106" s="30"/>
      <c r="I106" s="30"/>
      <c r="J106" s="30"/>
      <c r="K106" s="30"/>
      <c r="L106" s="30"/>
      <c r="M106" s="30"/>
      <c r="N106" s="30"/>
      <c r="O106" s="30"/>
      <c r="P106" s="30"/>
    </row>
    <row r="107" spans="1:17">
      <c r="A107" s="30" t="s">
        <v>13</v>
      </c>
      <c r="B107" s="30" t="s">
        <v>60</v>
      </c>
      <c r="C107" s="30"/>
      <c r="D107" s="30"/>
      <c r="E107" s="30"/>
      <c r="F107" s="30"/>
      <c r="G107" s="30"/>
      <c r="H107" s="30"/>
      <c r="I107" s="30"/>
      <c r="J107" s="30"/>
      <c r="K107" s="30"/>
      <c r="L107" s="30"/>
      <c r="M107" s="30"/>
      <c r="N107" s="30"/>
      <c r="O107" s="30"/>
      <c r="P107" s="30"/>
    </row>
    <row r="108" spans="1:17">
      <c r="A108" s="30" t="s">
        <v>15</v>
      </c>
      <c r="B108" s="30">
        <v>1</v>
      </c>
      <c r="C108" s="30"/>
      <c r="D108" s="30"/>
      <c r="E108" s="30"/>
      <c r="F108" s="30"/>
      <c r="G108" s="30"/>
      <c r="H108" s="30"/>
      <c r="I108" s="30"/>
      <c r="J108" s="30"/>
      <c r="K108" s="30"/>
      <c r="L108" s="30"/>
      <c r="M108" s="30"/>
      <c r="N108" s="30"/>
      <c r="O108" s="30"/>
      <c r="P108" s="30"/>
    </row>
    <row r="109" spans="1:17">
      <c r="A109" s="30" t="s">
        <v>16</v>
      </c>
      <c r="B109" s="30" t="s">
        <v>17</v>
      </c>
      <c r="C109" s="30"/>
      <c r="D109" s="30"/>
      <c r="E109" s="30"/>
      <c r="F109" s="30"/>
      <c r="G109" s="30"/>
      <c r="H109" s="30"/>
      <c r="I109" s="30"/>
      <c r="J109" s="30"/>
      <c r="K109" s="30"/>
      <c r="L109" s="30"/>
      <c r="M109" s="30"/>
      <c r="N109" s="30"/>
      <c r="O109" s="30"/>
      <c r="P109" s="30"/>
    </row>
    <row r="110" spans="1:17" ht="15.75">
      <c r="A110" s="30" t="s">
        <v>18</v>
      </c>
      <c r="B110" s="274" t="s">
        <v>37</v>
      </c>
      <c r="C110" s="30"/>
      <c r="D110" s="30"/>
      <c r="E110" s="30" t="s">
        <v>77</v>
      </c>
      <c r="F110" s="30"/>
      <c r="G110" s="30"/>
      <c r="H110" s="30"/>
      <c r="I110" s="30"/>
      <c r="J110" s="30"/>
      <c r="K110" s="30"/>
      <c r="L110" s="30"/>
      <c r="M110" s="30"/>
      <c r="N110" s="30"/>
      <c r="O110" s="30"/>
      <c r="P110" s="30"/>
    </row>
    <row r="111" spans="1:17" ht="15.75">
      <c r="A111" s="395" t="s">
        <v>19</v>
      </c>
      <c r="B111" s="30"/>
      <c r="C111" s="30"/>
      <c r="D111" s="30"/>
      <c r="E111" s="30"/>
      <c r="F111" s="30"/>
      <c r="G111" s="30"/>
      <c r="H111" s="30"/>
      <c r="I111" s="30"/>
      <c r="J111" s="30"/>
      <c r="K111" s="30"/>
      <c r="L111" s="30"/>
      <c r="M111" s="30"/>
      <c r="N111" s="30"/>
      <c r="O111" s="30"/>
      <c r="P111" s="30"/>
    </row>
    <row r="112" spans="1:17" ht="15.75">
      <c r="A112" s="395" t="s">
        <v>20</v>
      </c>
      <c r="B112" s="395" t="s">
        <v>21</v>
      </c>
      <c r="C112" s="395" t="s">
        <v>78</v>
      </c>
      <c r="D112" s="395" t="s">
        <v>18</v>
      </c>
      <c r="E112" s="395" t="s">
        <v>22</v>
      </c>
      <c r="F112" s="395" t="s">
        <v>7</v>
      </c>
      <c r="G112" s="395" t="s">
        <v>13</v>
      </c>
      <c r="H112" s="395" t="s">
        <v>16</v>
      </c>
      <c r="I112" s="395" t="s">
        <v>23</v>
      </c>
      <c r="J112" s="395" t="s">
        <v>24</v>
      </c>
      <c r="K112" s="395" t="s">
        <v>25</v>
      </c>
      <c r="L112" s="395" t="s">
        <v>26</v>
      </c>
      <c r="M112" s="395" t="s">
        <v>27</v>
      </c>
      <c r="N112" s="395" t="s">
        <v>28</v>
      </c>
      <c r="O112" s="395" t="s">
        <v>11</v>
      </c>
      <c r="P112" s="395" t="s">
        <v>79</v>
      </c>
    </row>
    <row r="113" spans="1:16" ht="15.75">
      <c r="A113" s="274" t="str">
        <f>B103</f>
        <v>treatment of rubber and cellulose fibre powerplant, Gt-bat, Medium-Term</v>
      </c>
      <c r="B113" s="274">
        <v>1</v>
      </c>
      <c r="C113" s="274"/>
      <c r="D113" s="274" t="s">
        <v>37</v>
      </c>
      <c r="E113" s="30" t="s">
        <v>2</v>
      </c>
      <c r="F113" s="30" t="s">
        <v>325</v>
      </c>
      <c r="G113" s="274" t="s">
        <v>60</v>
      </c>
      <c r="H113" s="30" t="s">
        <v>30</v>
      </c>
      <c r="I113" s="30">
        <v>0</v>
      </c>
      <c r="J113" s="274" t="s">
        <v>31</v>
      </c>
      <c r="K113" s="274" t="s">
        <v>31</v>
      </c>
      <c r="L113" s="274" t="s">
        <v>31</v>
      </c>
      <c r="M113" s="274" t="s">
        <v>31</v>
      </c>
      <c r="N113" s="274" t="s">
        <v>31</v>
      </c>
      <c r="O113" s="30" t="s">
        <v>366</v>
      </c>
    </row>
    <row r="114" spans="1:16" ht="15.75">
      <c r="A114" s="232" t="s">
        <v>118</v>
      </c>
      <c r="B114" s="30">
        <f>-1</f>
        <v>-1</v>
      </c>
      <c r="D114" t="s">
        <v>37</v>
      </c>
      <c r="E114" s="173" t="s">
        <v>38</v>
      </c>
      <c r="F114" s="30" t="s">
        <v>325</v>
      </c>
      <c r="G114" t="s">
        <v>86</v>
      </c>
      <c r="H114" t="s">
        <v>33</v>
      </c>
      <c r="I114" s="30">
        <v>0</v>
      </c>
      <c r="J114" s="274" t="s">
        <v>31</v>
      </c>
      <c r="K114" s="274" t="s">
        <v>31</v>
      </c>
      <c r="L114" s="274" t="s">
        <v>31</v>
      </c>
      <c r="M114" s="274" t="s">
        <v>31</v>
      </c>
      <c r="N114" s="274" t="s">
        <v>31</v>
      </c>
      <c r="O114" s="274"/>
    </row>
    <row r="115" spans="1:16" s="399" customFormat="1" ht="15.75">
      <c r="A115" s="396" t="s">
        <v>5</v>
      </c>
      <c r="B115" s="396" t="s">
        <v>367</v>
      </c>
      <c r="C115" s="396"/>
      <c r="D115" s="397"/>
      <c r="E115" s="398"/>
      <c r="F115" s="398"/>
      <c r="G115" s="398"/>
      <c r="H115" s="398"/>
      <c r="I115" s="398"/>
      <c r="J115" s="398"/>
      <c r="K115" s="398"/>
      <c r="L115" s="398"/>
      <c r="M115" s="398"/>
      <c r="N115" s="398"/>
      <c r="O115" s="398"/>
      <c r="P115" s="398"/>
    </row>
    <row r="116" spans="1:16">
      <c r="A116" s="30" t="s">
        <v>7</v>
      </c>
      <c r="B116" s="30" t="s">
        <v>322</v>
      </c>
      <c r="C116" s="30"/>
      <c r="D116" s="30"/>
      <c r="E116" s="30"/>
      <c r="F116" s="30"/>
      <c r="G116" s="30"/>
      <c r="H116" s="30"/>
      <c r="I116" s="30"/>
      <c r="J116" s="30"/>
      <c r="K116" s="30"/>
      <c r="L116" s="30"/>
      <c r="M116" s="30"/>
      <c r="N116" s="30"/>
      <c r="O116" s="30"/>
      <c r="P116" s="30"/>
    </row>
    <row r="117" spans="1:16">
      <c r="A117" s="30" t="s">
        <v>9</v>
      </c>
      <c r="B117" s="394" t="s">
        <v>368</v>
      </c>
      <c r="C117" s="30"/>
      <c r="D117" s="30"/>
      <c r="E117" s="30"/>
      <c r="F117" s="30"/>
      <c r="G117" s="30"/>
      <c r="H117" s="30"/>
      <c r="I117" s="30"/>
      <c r="J117" s="30"/>
      <c r="K117" s="30"/>
      <c r="L117" s="30"/>
      <c r="M117" s="30"/>
      <c r="N117" s="30"/>
      <c r="O117" s="30"/>
      <c r="P117" s="30"/>
    </row>
    <row r="118" spans="1:16">
      <c r="A118" s="30" t="s">
        <v>11</v>
      </c>
      <c r="B118" s="30" t="s">
        <v>324</v>
      </c>
      <c r="C118" s="30"/>
      <c r="D118" s="30"/>
      <c r="E118" s="30"/>
      <c r="F118" s="30"/>
      <c r="G118" s="30"/>
      <c r="H118" s="30"/>
      <c r="I118" s="30"/>
      <c r="J118" s="30"/>
      <c r="K118" s="30"/>
      <c r="L118" s="30"/>
      <c r="M118" s="30"/>
      <c r="N118" s="30"/>
      <c r="O118" s="30"/>
      <c r="P118" s="30"/>
    </row>
    <row r="119" spans="1:16">
      <c r="A119" s="30" t="s">
        <v>13</v>
      </c>
      <c r="B119" s="30" t="s">
        <v>60</v>
      </c>
      <c r="C119" s="30"/>
      <c r="D119" s="30"/>
      <c r="E119" s="30"/>
      <c r="F119" s="30"/>
      <c r="G119" s="30"/>
      <c r="H119" s="30"/>
      <c r="I119" s="30"/>
      <c r="J119" s="30"/>
      <c r="K119" s="30"/>
      <c r="L119" s="30"/>
      <c r="M119" s="30"/>
      <c r="N119" s="30"/>
      <c r="O119" s="30"/>
      <c r="P119" s="30"/>
    </row>
    <row r="120" spans="1:16">
      <c r="A120" s="30" t="s">
        <v>15</v>
      </c>
      <c r="B120" s="30">
        <v>1</v>
      </c>
      <c r="C120" s="30"/>
      <c r="D120" s="30"/>
      <c r="E120" s="30"/>
      <c r="F120" s="30"/>
      <c r="G120" s="30"/>
      <c r="H120" s="30"/>
      <c r="I120" s="30"/>
      <c r="J120" s="30"/>
      <c r="K120" s="30"/>
      <c r="L120" s="30"/>
      <c r="M120" s="30"/>
      <c r="N120" s="30"/>
      <c r="O120" s="30"/>
      <c r="P120" s="30"/>
    </row>
    <row r="121" spans="1:16">
      <c r="A121" s="30" t="s">
        <v>16</v>
      </c>
      <c r="B121" s="30" t="s">
        <v>17</v>
      </c>
      <c r="C121" s="30"/>
      <c r="D121" s="30"/>
      <c r="E121" s="30"/>
      <c r="F121" s="30"/>
      <c r="G121" s="30"/>
      <c r="H121" s="30"/>
      <c r="I121" s="30"/>
      <c r="J121" s="30"/>
      <c r="K121" s="30"/>
      <c r="L121" s="30"/>
      <c r="M121" s="30"/>
      <c r="N121" s="30"/>
      <c r="O121" s="30"/>
      <c r="P121" s="30"/>
    </row>
    <row r="122" spans="1:16" ht="15.75">
      <c r="A122" s="30" t="s">
        <v>18</v>
      </c>
      <c r="B122" s="274" t="s">
        <v>18</v>
      </c>
      <c r="C122" s="30"/>
      <c r="D122" s="30"/>
      <c r="E122" s="30" t="s">
        <v>77</v>
      </c>
      <c r="F122" s="30"/>
      <c r="G122" s="30"/>
      <c r="H122" s="30"/>
      <c r="I122" s="30"/>
      <c r="J122" s="30"/>
      <c r="K122" s="30"/>
      <c r="L122" s="30"/>
      <c r="M122" s="30"/>
      <c r="N122" s="30"/>
      <c r="O122" s="30"/>
      <c r="P122" s="30"/>
    </row>
    <row r="123" spans="1:16" ht="15.75">
      <c r="A123" s="395" t="s">
        <v>19</v>
      </c>
      <c r="B123" s="30"/>
      <c r="C123" s="30"/>
      <c r="D123" s="30"/>
      <c r="E123" s="30"/>
      <c r="F123" s="30"/>
      <c r="G123" s="30"/>
      <c r="H123" s="30"/>
      <c r="I123" s="30"/>
      <c r="J123" s="30"/>
      <c r="K123" s="30"/>
      <c r="L123" s="30"/>
      <c r="M123" s="30"/>
      <c r="N123" s="30"/>
      <c r="O123" s="30"/>
      <c r="P123" s="30"/>
    </row>
    <row r="124" spans="1:16" ht="15.75">
      <c r="A124" s="395" t="s">
        <v>20</v>
      </c>
      <c r="B124" s="395" t="s">
        <v>21</v>
      </c>
      <c r="C124" s="395" t="s">
        <v>78</v>
      </c>
      <c r="D124" s="395" t="s">
        <v>18</v>
      </c>
      <c r="E124" s="395" t="s">
        <v>22</v>
      </c>
      <c r="F124" s="395" t="s">
        <v>7</v>
      </c>
      <c r="G124" s="395" t="s">
        <v>13</v>
      </c>
      <c r="H124" s="395" t="s">
        <v>16</v>
      </c>
      <c r="I124" s="395" t="s">
        <v>23</v>
      </c>
      <c r="J124" s="395" t="s">
        <v>24</v>
      </c>
      <c r="K124" s="395" t="s">
        <v>25</v>
      </c>
      <c r="L124" s="395" t="s">
        <v>26</v>
      </c>
      <c r="M124" s="395" t="s">
        <v>27</v>
      </c>
      <c r="N124" s="395" t="s">
        <v>28</v>
      </c>
      <c r="O124" s="395" t="s">
        <v>11</v>
      </c>
      <c r="P124" s="395" t="s">
        <v>79</v>
      </c>
    </row>
    <row r="125" spans="1:16" ht="15.75">
      <c r="A125" s="274" t="str">
        <f>B115</f>
        <v>treatment of powerplant, Gt-bat, Medium-Term</v>
      </c>
      <c r="B125" s="395">
        <v>1</v>
      </c>
      <c r="C125" s="274"/>
      <c r="D125" s="274" t="s">
        <v>18</v>
      </c>
      <c r="E125" s="30" t="s">
        <v>2</v>
      </c>
      <c r="F125" s="30" t="s">
        <v>325</v>
      </c>
      <c r="G125" s="274" t="s">
        <v>60</v>
      </c>
      <c r="H125" s="30" t="s">
        <v>30</v>
      </c>
      <c r="I125" s="30">
        <v>0</v>
      </c>
      <c r="J125" s="274" t="s">
        <v>31</v>
      </c>
      <c r="K125" s="274" t="s">
        <v>31</v>
      </c>
      <c r="L125" s="274" t="s">
        <v>31</v>
      </c>
      <c r="M125" s="274" t="s">
        <v>31</v>
      </c>
      <c r="N125" s="274" t="s">
        <v>31</v>
      </c>
      <c r="O125" s="395"/>
      <c r="P125" s="395"/>
    </row>
    <row r="126" spans="1:16" ht="15.75">
      <c r="A126" t="str">
        <f>B32</f>
        <v>treatment of aluminium,powerplant, Gt-bat, Medium-Term</v>
      </c>
      <c r="B126">
        <v>321.25864632200046</v>
      </c>
      <c r="D126" t="s">
        <v>37</v>
      </c>
      <c r="E126" s="30" t="s">
        <v>2</v>
      </c>
      <c r="F126" s="30" t="s">
        <v>325</v>
      </c>
      <c r="G126" s="274" t="s">
        <v>60</v>
      </c>
      <c r="H126" t="s">
        <v>33</v>
      </c>
      <c r="I126" s="30">
        <v>0</v>
      </c>
      <c r="J126" s="274" t="s">
        <v>31</v>
      </c>
      <c r="K126" s="274" t="s">
        <v>31</v>
      </c>
      <c r="L126" s="274" t="s">
        <v>31</v>
      </c>
      <c r="M126" s="274" t="s">
        <v>31</v>
      </c>
      <c r="N126" s="274" t="s">
        <v>31</v>
      </c>
    </row>
    <row r="127" spans="1:16" ht="15.75">
      <c r="A127" t="str">
        <f>'airframe EoL LCI'!A131</f>
        <v>treatment of steel, fuselage, airframe, Gt-bat, Medium-Term</v>
      </c>
      <c r="B127">
        <v>433.77233039000043</v>
      </c>
      <c r="D127" t="s">
        <v>37</v>
      </c>
      <c r="E127" s="30" t="s">
        <v>2</v>
      </c>
      <c r="F127" s="30" t="s">
        <v>325</v>
      </c>
      <c r="G127" s="274" t="s">
        <v>60</v>
      </c>
      <c r="H127" t="s">
        <v>33</v>
      </c>
      <c r="I127" s="30">
        <v>0</v>
      </c>
      <c r="J127" s="274" t="s">
        <v>31</v>
      </c>
      <c r="K127" s="274" t="s">
        <v>31</v>
      </c>
      <c r="L127" s="274" t="s">
        <v>31</v>
      </c>
      <c r="M127" s="274" t="s">
        <v>31</v>
      </c>
      <c r="N127" s="274" t="s">
        <v>31</v>
      </c>
    </row>
    <row r="128" spans="1:16" ht="15.75">
      <c r="A128" t="str">
        <f>B2</f>
        <v>treatment of titanium,powerplant, Gt-bat, Medium-Term</v>
      </c>
      <c r="B128">
        <v>98.129980799999998</v>
      </c>
      <c r="D128" t="s">
        <v>37</v>
      </c>
      <c r="E128" s="30" t="s">
        <v>2</v>
      </c>
      <c r="F128" s="30" t="s">
        <v>325</v>
      </c>
      <c r="G128" s="274" t="s">
        <v>60</v>
      </c>
      <c r="H128" t="s">
        <v>33</v>
      </c>
      <c r="I128" s="30">
        <v>0</v>
      </c>
      <c r="J128" s="274" t="s">
        <v>31</v>
      </c>
      <c r="K128" s="274" t="s">
        <v>31</v>
      </c>
      <c r="L128" s="274" t="s">
        <v>31</v>
      </c>
      <c r="M128" s="274" t="s">
        <v>31</v>
      </c>
      <c r="N128" s="274" t="s">
        <v>31</v>
      </c>
    </row>
    <row r="129" spans="1:14" ht="15.75">
      <c r="A129" t="str">
        <f>B47</f>
        <v>treatment of iron-nickel chromium alloy,powerplant, Gt-bat, Medium-Term</v>
      </c>
      <c r="B129">
        <v>105.154546215</v>
      </c>
      <c r="D129" t="s">
        <v>37</v>
      </c>
      <c r="E129" s="30" t="s">
        <v>2</v>
      </c>
      <c r="F129" s="30" t="s">
        <v>325</v>
      </c>
      <c r="G129" s="274" t="s">
        <v>60</v>
      </c>
      <c r="H129" t="s">
        <v>33</v>
      </c>
      <c r="I129" s="30">
        <v>0</v>
      </c>
      <c r="J129" s="274" t="s">
        <v>31</v>
      </c>
      <c r="K129" s="274" t="s">
        <v>31</v>
      </c>
      <c r="L129" s="274" t="s">
        <v>31</v>
      </c>
      <c r="M129" s="274" t="s">
        <v>31</v>
      </c>
      <c r="N129" s="274" t="s">
        <v>31</v>
      </c>
    </row>
    <row r="130" spans="1:14" ht="15.75">
      <c r="A130" t="str">
        <f>B17</f>
        <v>treatment of CFRP,powerplant, Gt-bat, Medium-Term</v>
      </c>
      <c r="B130">
        <v>25.66879308</v>
      </c>
      <c r="D130" t="s">
        <v>37</v>
      </c>
      <c r="E130" s="30" t="s">
        <v>2</v>
      </c>
      <c r="F130" s="30" t="s">
        <v>325</v>
      </c>
      <c r="G130" s="274" t="s">
        <v>60</v>
      </c>
      <c r="H130" t="s">
        <v>33</v>
      </c>
      <c r="I130" s="30">
        <v>0</v>
      </c>
      <c r="J130" s="274" t="s">
        <v>31</v>
      </c>
      <c r="K130" s="274" t="s">
        <v>31</v>
      </c>
      <c r="L130" s="274" t="s">
        <v>31</v>
      </c>
      <c r="M130" s="274" t="s">
        <v>31</v>
      </c>
      <c r="N130" s="274" t="s">
        <v>31</v>
      </c>
    </row>
    <row r="131" spans="1:14" ht="15.75">
      <c r="A131" t="str">
        <f>B103</f>
        <v>treatment of rubber and cellulose fibre powerplant, Gt-bat, Medium-Term</v>
      </c>
      <c r="B131">
        <v>9.6495322000000101</v>
      </c>
      <c r="D131" t="s">
        <v>37</v>
      </c>
      <c r="E131" s="30" t="s">
        <v>2</v>
      </c>
      <c r="F131" s="30" t="s">
        <v>325</v>
      </c>
      <c r="G131" s="274" t="s">
        <v>60</v>
      </c>
      <c r="H131" t="s">
        <v>33</v>
      </c>
      <c r="I131" s="30">
        <v>0</v>
      </c>
      <c r="J131" s="274" t="s">
        <v>31</v>
      </c>
      <c r="K131" s="274" t="s">
        <v>31</v>
      </c>
      <c r="L131" s="274" t="s">
        <v>31</v>
      </c>
      <c r="M131" s="274" t="s">
        <v>31</v>
      </c>
      <c r="N131" s="274" t="s">
        <v>31</v>
      </c>
    </row>
    <row r="132" spans="1:14" ht="15.75">
      <c r="A132" t="str">
        <f>B75</f>
        <v>treatment of copper,powerplant, Gt-bat, Medium-Term</v>
      </c>
      <c r="B132">
        <v>3.9201224600000018</v>
      </c>
      <c r="D132" t="s">
        <v>37</v>
      </c>
      <c r="E132" s="30" t="s">
        <v>2</v>
      </c>
      <c r="F132" s="30" t="s">
        <v>325</v>
      </c>
      <c r="G132" s="274" t="s">
        <v>60</v>
      </c>
      <c r="H132" t="s">
        <v>33</v>
      </c>
      <c r="I132" s="30">
        <v>0</v>
      </c>
      <c r="J132" s="274" t="s">
        <v>31</v>
      </c>
      <c r="K132" s="274" t="s">
        <v>31</v>
      </c>
      <c r="L132" s="274" t="s">
        <v>31</v>
      </c>
      <c r="M132" s="274" t="s">
        <v>31</v>
      </c>
      <c r="N132" s="274" t="s">
        <v>31</v>
      </c>
    </row>
    <row r="133" spans="1:14" ht="15.75">
      <c r="A133" t="str">
        <f>B61</f>
        <v>treatment of nickel,powerplant, Gt-bat, Medium-Term</v>
      </c>
      <c r="B133">
        <v>2.1108351699999979</v>
      </c>
      <c r="D133" t="s">
        <v>37</v>
      </c>
      <c r="E133" s="30" t="s">
        <v>2</v>
      </c>
      <c r="F133" s="30" t="s">
        <v>325</v>
      </c>
      <c r="G133" s="274" t="s">
        <v>60</v>
      </c>
      <c r="H133" t="s">
        <v>33</v>
      </c>
      <c r="I133" s="30">
        <v>0</v>
      </c>
      <c r="J133" s="274" t="s">
        <v>31</v>
      </c>
      <c r="K133" s="274" t="s">
        <v>31</v>
      </c>
      <c r="L133" s="274" t="s">
        <v>31</v>
      </c>
      <c r="M133" s="274" t="s">
        <v>31</v>
      </c>
      <c r="N133" s="274" t="s">
        <v>31</v>
      </c>
    </row>
    <row r="134" spans="1:14" ht="15.75">
      <c r="A134" t="str">
        <f>B103</f>
        <v>treatment of rubber and cellulose fibre powerplant, Gt-bat, Medium-Term</v>
      </c>
      <c r="B134">
        <v>2.0293428800000015</v>
      </c>
      <c r="D134" t="s">
        <v>37</v>
      </c>
      <c r="E134" s="30" t="s">
        <v>2</v>
      </c>
      <c r="F134" s="30" t="s">
        <v>325</v>
      </c>
      <c r="G134" s="274" t="s">
        <v>60</v>
      </c>
      <c r="H134" t="s">
        <v>33</v>
      </c>
      <c r="I134" s="30">
        <v>0</v>
      </c>
      <c r="J134" s="274" t="s">
        <v>31</v>
      </c>
      <c r="K134" s="274" t="s">
        <v>31</v>
      </c>
      <c r="L134" s="274" t="s">
        <v>31</v>
      </c>
      <c r="M134" s="274" t="s">
        <v>31</v>
      </c>
      <c r="N134" s="274" t="s">
        <v>31</v>
      </c>
    </row>
    <row r="135" spans="1:14" ht="15.75">
      <c r="A135" t="str">
        <f>B89</f>
        <v>treatment of magnesium alloy powerplant, Gt-bat, Medium-Term</v>
      </c>
      <c r="B135">
        <v>3.4755958400000004</v>
      </c>
      <c r="D135" t="s">
        <v>37</v>
      </c>
      <c r="E135" s="30" t="s">
        <v>2</v>
      </c>
      <c r="F135" s="30" t="s">
        <v>325</v>
      </c>
      <c r="G135" s="274" t="s">
        <v>60</v>
      </c>
      <c r="H135" t="s">
        <v>33</v>
      </c>
      <c r="I135" s="30">
        <v>0</v>
      </c>
      <c r="J135" s="274" t="s">
        <v>31</v>
      </c>
      <c r="K135" s="274" t="s">
        <v>31</v>
      </c>
      <c r="L135" s="274" t="s">
        <v>31</v>
      </c>
      <c r="M135" s="274" t="s">
        <v>31</v>
      </c>
      <c r="N135" s="274" t="s">
        <v>31</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0D8F-DB6E-41CB-9852-E6F1ECFCC336}">
  <sheetPr>
    <tabColor theme="9" tint="0.79998168889431442"/>
  </sheetPr>
  <dimension ref="A1:V249"/>
  <sheetViews>
    <sheetView topLeftCell="A11" zoomScaleNormal="100" workbookViewId="0">
      <selection activeCell="K19" sqref="K19"/>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42" customFormat="1" ht="15.75">
      <c r="A2" s="392" t="s">
        <v>5</v>
      </c>
      <c r="B2" s="392" t="s">
        <v>369</v>
      </c>
      <c r="C2" s="392"/>
      <c r="D2" s="120"/>
      <c r="E2" s="393"/>
      <c r="F2" s="393"/>
      <c r="G2" s="393"/>
      <c r="H2" s="393"/>
      <c r="I2" s="393"/>
      <c r="J2" s="393"/>
      <c r="K2" s="393"/>
      <c r="L2" s="393"/>
      <c r="M2" s="393"/>
      <c r="N2" s="393"/>
      <c r="O2" s="393"/>
      <c r="P2" s="393"/>
    </row>
    <row r="3" spans="1:16">
      <c r="A3" s="30" t="s">
        <v>7</v>
      </c>
      <c r="B3" s="30" t="s">
        <v>322</v>
      </c>
      <c r="C3" s="30"/>
      <c r="D3" s="30"/>
      <c r="E3" s="30"/>
      <c r="F3" s="30"/>
      <c r="G3" s="30"/>
      <c r="H3" s="30"/>
      <c r="I3" s="30"/>
      <c r="J3" s="30"/>
      <c r="K3" s="30"/>
      <c r="L3" s="30"/>
      <c r="M3" s="30"/>
      <c r="N3" s="30"/>
      <c r="O3" s="30"/>
      <c r="P3" s="30"/>
    </row>
    <row r="4" spans="1:16">
      <c r="A4" s="30" t="s">
        <v>9</v>
      </c>
      <c r="B4" s="394" t="s">
        <v>370</v>
      </c>
      <c r="C4" s="30"/>
      <c r="D4" s="30"/>
      <c r="E4" s="30"/>
      <c r="F4" s="30"/>
      <c r="G4" s="30"/>
      <c r="H4" s="30"/>
      <c r="I4" s="30"/>
      <c r="J4" s="30"/>
      <c r="K4" s="30"/>
      <c r="L4" s="30"/>
      <c r="M4" s="30"/>
      <c r="N4" s="30"/>
      <c r="O4" s="30"/>
      <c r="P4" s="30"/>
    </row>
    <row r="5" spans="1:16">
      <c r="A5" s="30" t="s">
        <v>11</v>
      </c>
      <c r="B5" s="30" t="s">
        <v>371</v>
      </c>
      <c r="C5" s="30"/>
      <c r="D5" s="30"/>
      <c r="E5" s="30"/>
      <c r="F5" s="30"/>
      <c r="G5" s="30"/>
      <c r="H5" s="30"/>
      <c r="I5" s="30"/>
      <c r="J5" s="30"/>
      <c r="K5" s="30"/>
      <c r="L5" s="30"/>
      <c r="M5" s="30"/>
      <c r="N5" s="30"/>
      <c r="O5" s="30"/>
      <c r="P5" s="30"/>
    </row>
    <row r="6" spans="1:16">
      <c r="A6" s="30" t="s">
        <v>13</v>
      </c>
      <c r="B6" s="30" t="s">
        <v>60</v>
      </c>
      <c r="C6" s="30"/>
      <c r="D6" s="30"/>
      <c r="E6" s="30"/>
      <c r="F6" s="30"/>
      <c r="G6" s="30"/>
      <c r="H6" s="30"/>
      <c r="I6" s="30"/>
      <c r="J6" s="30"/>
      <c r="K6" s="30"/>
      <c r="L6" s="30"/>
      <c r="M6" s="30"/>
      <c r="N6" s="30"/>
      <c r="O6" s="30"/>
      <c r="P6" s="30"/>
    </row>
    <row r="7" spans="1:16">
      <c r="A7" s="30" t="s">
        <v>15</v>
      </c>
      <c r="B7" s="30">
        <v>1</v>
      </c>
      <c r="C7" s="30"/>
      <c r="D7" s="30"/>
      <c r="E7" s="30"/>
      <c r="F7" s="30"/>
      <c r="G7" s="30"/>
      <c r="H7" s="30"/>
      <c r="I7" s="30"/>
      <c r="J7" s="30"/>
      <c r="K7" s="30"/>
      <c r="L7" s="30"/>
      <c r="M7" s="30"/>
      <c r="N7" s="30"/>
      <c r="O7" s="30"/>
      <c r="P7" s="30"/>
    </row>
    <row r="8" spans="1:16">
      <c r="A8" s="30" t="s">
        <v>16</v>
      </c>
      <c r="B8" s="30" t="s">
        <v>17</v>
      </c>
      <c r="C8" s="30"/>
      <c r="D8" s="30"/>
      <c r="E8" s="30"/>
      <c r="F8" s="30"/>
      <c r="G8" s="30"/>
      <c r="H8" s="30"/>
      <c r="I8" s="30"/>
      <c r="J8" s="30"/>
      <c r="K8" s="30"/>
      <c r="L8" s="30"/>
      <c r="M8" s="30"/>
      <c r="N8" s="30"/>
      <c r="O8" s="30"/>
      <c r="P8" s="30"/>
    </row>
    <row r="9" spans="1:16" ht="15.75">
      <c r="A9" s="30" t="s">
        <v>18</v>
      </c>
      <c r="B9" s="274" t="s">
        <v>37</v>
      </c>
      <c r="C9" s="30"/>
      <c r="D9" s="30"/>
      <c r="E9" s="30" t="s">
        <v>77</v>
      </c>
      <c r="F9" s="30"/>
      <c r="G9" s="30"/>
      <c r="H9" s="30"/>
      <c r="I9" s="30"/>
      <c r="J9" s="30"/>
      <c r="K9" s="30"/>
      <c r="L9" s="30"/>
      <c r="M9" s="30"/>
      <c r="N9" s="30"/>
      <c r="O9" s="30"/>
      <c r="P9" s="30"/>
    </row>
    <row r="10" spans="1:16" ht="15.75">
      <c r="A10" s="395" t="s">
        <v>19</v>
      </c>
      <c r="B10" s="30"/>
      <c r="C10" s="30"/>
      <c r="D10" s="30"/>
      <c r="E10" s="30"/>
      <c r="F10" s="30"/>
      <c r="G10" s="30"/>
      <c r="H10" s="30"/>
      <c r="I10" s="30"/>
      <c r="J10" s="30"/>
      <c r="K10" s="30"/>
      <c r="L10" s="30"/>
      <c r="M10" s="30"/>
      <c r="N10" s="30"/>
      <c r="O10" s="30"/>
      <c r="P10" s="30"/>
    </row>
    <row r="11" spans="1:16" ht="15.75">
      <c r="A11" s="395" t="s">
        <v>20</v>
      </c>
      <c r="B11" s="395" t="s">
        <v>21</v>
      </c>
      <c r="C11" s="395" t="s">
        <v>78</v>
      </c>
      <c r="D11" s="395" t="s">
        <v>18</v>
      </c>
      <c r="E11" s="395" t="s">
        <v>22</v>
      </c>
      <c r="F11" s="395" t="s">
        <v>7</v>
      </c>
      <c r="G11" s="395" t="s">
        <v>13</v>
      </c>
      <c r="H11" s="395" t="s">
        <v>16</v>
      </c>
      <c r="I11" s="395" t="s">
        <v>23</v>
      </c>
      <c r="J11" s="395" t="s">
        <v>24</v>
      </c>
      <c r="K11" s="395" t="s">
        <v>25</v>
      </c>
      <c r="L11" s="395" t="s">
        <v>26</v>
      </c>
      <c r="M11" s="395" t="s">
        <v>27</v>
      </c>
      <c r="N11" s="395" t="s">
        <v>28</v>
      </c>
      <c r="O11" s="395" t="s">
        <v>11</v>
      </c>
      <c r="P11" s="395" t="s">
        <v>79</v>
      </c>
    </row>
    <row r="12" spans="1:16" ht="15.75">
      <c r="A12" s="274" t="str">
        <f>B2</f>
        <v>treatment of aluminium, wing, airframe, Gt-bat, Medium-Term</v>
      </c>
      <c r="B12" s="274">
        <v>1</v>
      </c>
      <c r="C12" s="274"/>
      <c r="D12" s="274" t="s">
        <v>37</v>
      </c>
      <c r="E12" s="30" t="s">
        <v>2</v>
      </c>
      <c r="F12" s="30" t="s">
        <v>372</v>
      </c>
      <c r="G12" s="274" t="s">
        <v>60</v>
      </c>
      <c r="H12" s="30" t="s">
        <v>30</v>
      </c>
      <c r="I12" s="30">
        <v>0</v>
      </c>
      <c r="J12" s="274" t="s">
        <v>31</v>
      </c>
      <c r="K12" s="274" t="s">
        <v>31</v>
      </c>
      <c r="L12" s="274" t="s">
        <v>31</v>
      </c>
      <c r="M12" s="274" t="s">
        <v>31</v>
      </c>
      <c r="N12" s="274" t="s">
        <v>31</v>
      </c>
      <c r="O12" s="274" t="s">
        <v>373</v>
      </c>
      <c r="P12" s="30"/>
    </row>
    <row r="13" spans="1:16" ht="15.75">
      <c r="A13" t="s">
        <v>93</v>
      </c>
      <c r="B13" s="22">
        <v>0.7</v>
      </c>
      <c r="C13" s="274"/>
      <c r="D13" s="274" t="s">
        <v>37</v>
      </c>
      <c r="E13" s="185" t="s">
        <v>38</v>
      </c>
      <c r="F13" s="30" t="s">
        <v>372</v>
      </c>
      <c r="G13" s="274" t="s">
        <v>86</v>
      </c>
      <c r="H13" s="30" t="s">
        <v>33</v>
      </c>
      <c r="I13" s="30">
        <v>0</v>
      </c>
      <c r="J13" s="274" t="s">
        <v>31</v>
      </c>
      <c r="K13" s="274" t="s">
        <v>31</v>
      </c>
      <c r="L13" s="274" t="s">
        <v>31</v>
      </c>
      <c r="M13" s="274" t="s">
        <v>31</v>
      </c>
      <c r="N13" s="274" t="s">
        <v>31</v>
      </c>
      <c r="O13" s="30"/>
      <c r="P13" s="30"/>
    </row>
    <row r="14" spans="1:16" ht="15.75">
      <c r="A14" t="s">
        <v>94</v>
      </c>
      <c r="B14" s="22">
        <v>0.7</v>
      </c>
      <c r="C14" s="31" t="s">
        <v>95</v>
      </c>
      <c r="D14" t="s">
        <v>37</v>
      </c>
      <c r="E14" s="173" t="s">
        <v>38</v>
      </c>
      <c r="F14" s="30" t="s">
        <v>372</v>
      </c>
      <c r="G14" t="s">
        <v>86</v>
      </c>
      <c r="H14" s="30" t="s">
        <v>33</v>
      </c>
      <c r="I14" s="30">
        <v>0</v>
      </c>
      <c r="J14" s="274" t="s">
        <v>31</v>
      </c>
      <c r="K14" s="274" t="s">
        <v>31</v>
      </c>
      <c r="L14" s="274" t="s">
        <v>31</v>
      </c>
      <c r="M14" s="274" t="s">
        <v>31</v>
      </c>
      <c r="N14" s="274" t="s">
        <v>31</v>
      </c>
      <c r="O14" s="274" t="s">
        <v>349</v>
      </c>
    </row>
    <row r="15" spans="1:16" ht="15.75">
      <c r="A15" t="s">
        <v>97</v>
      </c>
      <c r="B15" s="22">
        <f>0.7*0.9</f>
        <v>0.63</v>
      </c>
      <c r="D15" t="s">
        <v>37</v>
      </c>
      <c r="E15" s="173" t="s">
        <v>38</v>
      </c>
      <c r="F15" s="30" t="s">
        <v>372</v>
      </c>
      <c r="G15" t="s">
        <v>60</v>
      </c>
      <c r="H15" s="30" t="s">
        <v>98</v>
      </c>
      <c r="I15" s="30">
        <v>0</v>
      </c>
      <c r="J15" s="274" t="s">
        <v>31</v>
      </c>
      <c r="K15" s="274" t="s">
        <v>31</v>
      </c>
      <c r="L15" s="274" t="s">
        <v>31</v>
      </c>
      <c r="M15" s="274" t="s">
        <v>31</v>
      </c>
      <c r="N15" s="274" t="s">
        <v>31</v>
      </c>
      <c r="O15" s="30"/>
      <c r="P15" s="274" t="s">
        <v>374</v>
      </c>
    </row>
    <row r="16" spans="1:16" ht="15.75">
      <c r="A16" t="s">
        <v>103</v>
      </c>
      <c r="B16" s="22">
        <f>-(1-B15)</f>
        <v>-0.37</v>
      </c>
      <c r="D16" t="s">
        <v>37</v>
      </c>
      <c r="E16" s="232" t="s">
        <v>38</v>
      </c>
      <c r="F16" s="30" t="s">
        <v>372</v>
      </c>
      <c r="G16" t="s">
        <v>60</v>
      </c>
      <c r="H16" t="s">
        <v>33</v>
      </c>
      <c r="I16">
        <v>0</v>
      </c>
      <c r="J16" t="s">
        <v>31</v>
      </c>
      <c r="K16" t="s">
        <v>31</v>
      </c>
      <c r="L16" t="s">
        <v>31</v>
      </c>
      <c r="M16" t="s">
        <v>31</v>
      </c>
      <c r="N16" t="s">
        <v>31</v>
      </c>
      <c r="O16" s="17"/>
      <c r="P16" s="30"/>
    </row>
    <row r="17" spans="1:16" s="42" customFormat="1" ht="15.75">
      <c r="A17" s="392" t="s">
        <v>5</v>
      </c>
      <c r="B17" s="392" t="s">
        <v>375</v>
      </c>
      <c r="C17" s="392"/>
      <c r="D17" s="120"/>
      <c r="E17" s="393"/>
      <c r="F17" s="393"/>
      <c r="G17" s="393"/>
      <c r="H17" s="393"/>
      <c r="I17" s="393"/>
      <c r="J17" s="393"/>
      <c r="K17" s="393"/>
      <c r="L17" s="393"/>
      <c r="M17" s="393"/>
      <c r="N17" s="393"/>
      <c r="O17" s="393"/>
      <c r="P17" s="393"/>
    </row>
    <row r="18" spans="1:16">
      <c r="A18" s="30" t="s">
        <v>7</v>
      </c>
      <c r="B18" s="30" t="s">
        <v>322</v>
      </c>
      <c r="C18" s="30"/>
      <c r="D18" s="30"/>
      <c r="E18" s="30"/>
      <c r="F18" s="30"/>
      <c r="G18" s="30"/>
      <c r="H18" s="30"/>
      <c r="I18" s="30"/>
      <c r="J18" s="30"/>
      <c r="K18" s="30"/>
      <c r="L18" s="30"/>
      <c r="M18" s="30"/>
      <c r="N18" s="30"/>
      <c r="O18" s="30"/>
      <c r="P18" s="30"/>
    </row>
    <row r="19" spans="1:16">
      <c r="A19" s="30" t="s">
        <v>9</v>
      </c>
      <c r="B19" s="394" t="s">
        <v>376</v>
      </c>
      <c r="C19" s="30"/>
      <c r="D19" s="30"/>
      <c r="E19" s="30"/>
      <c r="F19" s="30"/>
      <c r="G19" s="30"/>
      <c r="H19" s="30"/>
      <c r="I19" s="30"/>
      <c r="J19" s="30"/>
      <c r="K19" s="30"/>
      <c r="L19" s="30"/>
      <c r="M19" s="30"/>
      <c r="N19" s="30"/>
      <c r="O19" s="30"/>
      <c r="P19" s="30"/>
    </row>
    <row r="20" spans="1:16">
      <c r="A20" s="30" t="s">
        <v>11</v>
      </c>
      <c r="B20" s="30" t="s">
        <v>371</v>
      </c>
      <c r="C20" s="30"/>
      <c r="D20" s="30"/>
      <c r="E20" s="30"/>
      <c r="F20" s="30"/>
      <c r="G20" s="30"/>
      <c r="H20" s="30"/>
      <c r="I20" s="30"/>
      <c r="J20" s="30"/>
      <c r="K20" s="30"/>
      <c r="L20" s="30"/>
      <c r="M20" s="30"/>
      <c r="N20" s="30"/>
      <c r="O20" s="30"/>
      <c r="P20" s="30"/>
    </row>
    <row r="21" spans="1:16">
      <c r="A21" s="30" t="s">
        <v>13</v>
      </c>
      <c r="B21" s="30" t="s">
        <v>60</v>
      </c>
      <c r="C21" s="30"/>
      <c r="D21" s="30"/>
      <c r="E21" s="30"/>
      <c r="F21" s="30"/>
      <c r="G21" s="30"/>
      <c r="H21" s="30"/>
      <c r="I21" s="30"/>
      <c r="J21" s="30"/>
      <c r="K21" s="30"/>
      <c r="L21" s="30"/>
      <c r="M21" s="30"/>
      <c r="N21" s="30"/>
      <c r="O21" s="30"/>
      <c r="P21" s="30"/>
    </row>
    <row r="22" spans="1:16">
      <c r="A22" s="30" t="s">
        <v>15</v>
      </c>
      <c r="B22" s="30">
        <v>1</v>
      </c>
      <c r="C22" s="30"/>
      <c r="D22" s="30"/>
      <c r="E22" s="30"/>
      <c r="F22" s="30"/>
      <c r="G22" s="30"/>
      <c r="H22" s="30"/>
      <c r="I22" s="30"/>
      <c r="J22" s="30"/>
      <c r="K22" s="30"/>
      <c r="L22" s="30"/>
      <c r="M22" s="30"/>
      <c r="N22" s="30"/>
      <c r="O22" s="30"/>
      <c r="P22" s="30"/>
    </row>
    <row r="23" spans="1:16">
      <c r="A23" s="30" t="s">
        <v>16</v>
      </c>
      <c r="B23" s="30" t="s">
        <v>17</v>
      </c>
      <c r="C23" s="30"/>
      <c r="D23" s="30"/>
      <c r="E23" s="30"/>
      <c r="F23" s="30"/>
      <c r="G23" s="30"/>
      <c r="H23" s="30"/>
      <c r="I23" s="30"/>
      <c r="J23" s="30"/>
      <c r="K23" s="30"/>
      <c r="L23" s="30"/>
      <c r="M23" s="30"/>
      <c r="N23" s="30"/>
      <c r="O23" s="30"/>
      <c r="P23" s="30"/>
    </row>
    <row r="24" spans="1:16" ht="15.75">
      <c r="A24" s="30" t="s">
        <v>18</v>
      </c>
      <c r="B24" s="274" t="s">
        <v>37</v>
      </c>
      <c r="C24" s="30"/>
      <c r="D24" s="30"/>
      <c r="E24" s="30" t="s">
        <v>77</v>
      </c>
      <c r="F24" s="30"/>
      <c r="G24" s="30"/>
      <c r="H24" s="30"/>
      <c r="I24" s="30"/>
      <c r="J24" s="30"/>
      <c r="K24" s="30"/>
      <c r="L24" s="30"/>
      <c r="M24" s="30"/>
      <c r="N24" s="30"/>
      <c r="O24" s="30"/>
      <c r="P24" s="30"/>
    </row>
    <row r="25" spans="1:16" ht="15.75">
      <c r="A25" s="395" t="s">
        <v>19</v>
      </c>
      <c r="B25" s="30"/>
      <c r="C25" s="30"/>
      <c r="D25" s="30"/>
      <c r="E25" s="30"/>
      <c r="F25" s="30"/>
      <c r="G25" s="30"/>
      <c r="H25" s="30"/>
      <c r="I25" s="30"/>
      <c r="J25" s="30"/>
      <c r="K25" s="30"/>
      <c r="L25" s="30"/>
      <c r="M25" s="30"/>
      <c r="N25" s="30"/>
      <c r="O25" s="30"/>
      <c r="P25" s="30"/>
    </row>
    <row r="26" spans="1:16" ht="15.75">
      <c r="A26" s="395" t="s">
        <v>20</v>
      </c>
      <c r="B26" s="395" t="s">
        <v>21</v>
      </c>
      <c r="C26" s="395" t="s">
        <v>78</v>
      </c>
      <c r="D26" s="395" t="s">
        <v>18</v>
      </c>
      <c r="E26" s="395" t="s">
        <v>22</v>
      </c>
      <c r="F26" s="395" t="s">
        <v>7</v>
      </c>
      <c r="G26" s="395" t="s">
        <v>13</v>
      </c>
      <c r="H26" s="395" t="s">
        <v>16</v>
      </c>
      <c r="I26" s="395" t="s">
        <v>23</v>
      </c>
      <c r="J26" s="395" t="s">
        <v>24</v>
      </c>
      <c r="K26" s="395" t="s">
        <v>25</v>
      </c>
      <c r="L26" s="395" t="s">
        <v>26</v>
      </c>
      <c r="M26" s="395" t="s">
        <v>27</v>
      </c>
      <c r="N26" s="395" t="s">
        <v>28</v>
      </c>
      <c r="O26" s="395" t="s">
        <v>11</v>
      </c>
      <c r="P26" s="395" t="s">
        <v>79</v>
      </c>
    </row>
    <row r="27" spans="1:16" ht="15.75">
      <c r="A27" s="274" t="str">
        <f>B17</f>
        <v>treatment of CFRP, wing, airframe, Gt-bat, Medium-Term</v>
      </c>
      <c r="B27" s="274">
        <v>1</v>
      </c>
      <c r="C27" s="274"/>
      <c r="D27" s="274" t="s">
        <v>37</v>
      </c>
      <c r="E27" s="30" t="s">
        <v>2</v>
      </c>
      <c r="F27" s="30" t="s">
        <v>372</v>
      </c>
      <c r="G27" s="274" t="s">
        <v>60</v>
      </c>
      <c r="H27" s="30" t="s">
        <v>30</v>
      </c>
      <c r="I27" s="30">
        <v>0</v>
      </c>
      <c r="J27" s="274" t="s">
        <v>31</v>
      </c>
      <c r="K27" s="274" t="s">
        <v>31</v>
      </c>
      <c r="L27" s="274" t="s">
        <v>31</v>
      </c>
      <c r="M27" s="274" t="s">
        <v>31</v>
      </c>
      <c r="N27" s="274" t="s">
        <v>31</v>
      </c>
      <c r="O27" s="274" t="s">
        <v>377</v>
      </c>
      <c r="P27" s="30"/>
    </row>
    <row r="28" spans="1:16" ht="15.75">
      <c r="A28" s="232" t="s">
        <v>109</v>
      </c>
      <c r="B28">
        <v>-0.5</v>
      </c>
      <c r="D28" t="s">
        <v>37</v>
      </c>
      <c r="E28" s="173" t="s">
        <v>38</v>
      </c>
      <c r="F28" s="30" t="s">
        <v>372</v>
      </c>
      <c r="G28" t="s">
        <v>86</v>
      </c>
      <c r="H28" t="s">
        <v>33</v>
      </c>
      <c r="I28" s="30">
        <v>0</v>
      </c>
      <c r="J28" s="274" t="s">
        <v>31</v>
      </c>
      <c r="K28" s="274" t="s">
        <v>31</v>
      </c>
      <c r="L28" s="274" t="s">
        <v>31</v>
      </c>
      <c r="M28" s="274" t="s">
        <v>31</v>
      </c>
      <c r="N28" s="274" t="s">
        <v>31</v>
      </c>
      <c r="O28" s="274" t="s">
        <v>110</v>
      </c>
      <c r="P28" s="274" t="s">
        <v>341</v>
      </c>
    </row>
    <row r="29" spans="1:16" ht="15.75">
      <c r="A29" t="s">
        <v>40</v>
      </c>
      <c r="B29">
        <f>B30*0.277777777</f>
        <v>2.415277771015</v>
      </c>
      <c r="D29" t="s">
        <v>41</v>
      </c>
      <c r="E29" s="173" t="s">
        <v>38</v>
      </c>
      <c r="F29" s="30" t="s">
        <v>372</v>
      </c>
      <c r="G29" t="s">
        <v>60</v>
      </c>
      <c r="H29" s="30" t="s">
        <v>98</v>
      </c>
      <c r="I29" s="30">
        <v>0</v>
      </c>
      <c r="J29" s="274" t="s">
        <v>31</v>
      </c>
      <c r="K29" s="274" t="s">
        <v>31</v>
      </c>
      <c r="L29" s="274" t="s">
        <v>31</v>
      </c>
      <c r="M29" s="274" t="s">
        <v>31</v>
      </c>
      <c r="N29" s="274" t="s">
        <v>31</v>
      </c>
      <c r="O29" t="s">
        <v>342</v>
      </c>
    </row>
    <row r="30" spans="1:16" ht="15.75">
      <c r="A30" t="s">
        <v>112</v>
      </c>
      <c r="B30">
        <f>-B28*0.5*34.78</f>
        <v>8.6950000000000003</v>
      </c>
      <c r="D30" t="s">
        <v>113</v>
      </c>
      <c r="E30" s="173" t="s">
        <v>38</v>
      </c>
      <c r="F30" s="30" t="s">
        <v>372</v>
      </c>
      <c r="G30" t="s">
        <v>60</v>
      </c>
      <c r="H30" s="30" t="s">
        <v>98</v>
      </c>
      <c r="I30" s="30">
        <v>0</v>
      </c>
      <c r="J30" s="274" t="s">
        <v>31</v>
      </c>
      <c r="K30" s="274" t="s">
        <v>31</v>
      </c>
      <c r="L30" s="274" t="s">
        <v>31</v>
      </c>
      <c r="M30" s="274" t="s">
        <v>31</v>
      </c>
      <c r="N30" s="274" t="s">
        <v>31</v>
      </c>
      <c r="O30" t="s">
        <v>378</v>
      </c>
    </row>
    <row r="31" spans="1:16" ht="15.75">
      <c r="A31" s="232" t="s">
        <v>344</v>
      </c>
      <c r="B31">
        <v>-0.5</v>
      </c>
      <c r="D31" t="s">
        <v>37</v>
      </c>
      <c r="E31" s="173" t="s">
        <v>38</v>
      </c>
      <c r="F31" s="30" t="s">
        <v>372</v>
      </c>
      <c r="G31" t="s">
        <v>86</v>
      </c>
      <c r="H31" s="30" t="s">
        <v>33</v>
      </c>
      <c r="I31" s="30">
        <v>0</v>
      </c>
      <c r="J31" s="274" t="s">
        <v>31</v>
      </c>
      <c r="K31" s="274" t="s">
        <v>31</v>
      </c>
      <c r="L31" s="274" t="s">
        <v>31</v>
      </c>
      <c r="M31" s="274" t="s">
        <v>31</v>
      </c>
      <c r="N31" s="274" t="s">
        <v>31</v>
      </c>
      <c r="O31" s="274" t="s">
        <v>345</v>
      </c>
    </row>
    <row r="32" spans="1:16" s="42" customFormat="1" ht="15.75">
      <c r="A32" s="392" t="s">
        <v>5</v>
      </c>
      <c r="B32" s="392" t="s">
        <v>379</v>
      </c>
      <c r="C32" s="392"/>
      <c r="D32" s="120"/>
      <c r="E32" s="393"/>
      <c r="F32" s="393"/>
      <c r="G32" s="393"/>
      <c r="H32" s="393"/>
      <c r="I32" s="393"/>
      <c r="J32" s="393"/>
      <c r="K32" s="393"/>
      <c r="L32" s="393"/>
      <c r="M32" s="393"/>
      <c r="N32" s="393"/>
      <c r="O32" s="393"/>
      <c r="P32" s="393"/>
    </row>
    <row r="33" spans="1:16">
      <c r="A33" s="30" t="s">
        <v>7</v>
      </c>
      <c r="B33" s="30" t="s">
        <v>322</v>
      </c>
      <c r="C33" s="30"/>
      <c r="D33" s="30"/>
      <c r="E33" s="30"/>
      <c r="F33" s="30"/>
      <c r="G33" s="30"/>
      <c r="H33" s="30"/>
      <c r="I33" s="30"/>
      <c r="J33" s="30"/>
      <c r="K33" s="30"/>
      <c r="L33" s="30"/>
      <c r="M33" s="30"/>
      <c r="N33" s="30"/>
      <c r="O33" s="30"/>
      <c r="P33" s="30"/>
    </row>
    <row r="34" spans="1:16">
      <c r="A34" s="30" t="s">
        <v>9</v>
      </c>
      <c r="B34" s="394" t="s">
        <v>380</v>
      </c>
      <c r="C34" s="30"/>
      <c r="D34" s="30"/>
      <c r="E34" s="30"/>
      <c r="F34" s="30"/>
      <c r="G34" s="30"/>
      <c r="H34" s="30"/>
      <c r="I34" s="30"/>
      <c r="J34" s="30"/>
      <c r="K34" s="30"/>
      <c r="L34" s="30"/>
      <c r="M34" s="30"/>
      <c r="N34" s="30"/>
      <c r="O34" s="30"/>
      <c r="P34" s="30"/>
    </row>
    <row r="35" spans="1:16">
      <c r="A35" s="30" t="s">
        <v>11</v>
      </c>
      <c r="B35" s="30" t="s">
        <v>371</v>
      </c>
      <c r="C35" s="30"/>
      <c r="D35" s="30"/>
      <c r="E35" s="30"/>
      <c r="F35" s="30"/>
      <c r="G35" s="30"/>
      <c r="H35" s="30"/>
      <c r="I35" s="30"/>
      <c r="J35" s="30"/>
      <c r="K35" s="30"/>
      <c r="L35" s="30"/>
      <c r="M35" s="30"/>
      <c r="N35" s="30"/>
      <c r="O35" s="30"/>
      <c r="P35" s="30"/>
    </row>
    <row r="36" spans="1:16">
      <c r="A36" s="30" t="s">
        <v>13</v>
      </c>
      <c r="B36" s="30" t="s">
        <v>60</v>
      </c>
      <c r="C36" s="30"/>
      <c r="D36" s="30"/>
      <c r="E36" s="30"/>
      <c r="F36" s="30"/>
      <c r="G36" s="30"/>
      <c r="H36" s="30"/>
      <c r="I36" s="30"/>
      <c r="J36" s="30"/>
      <c r="K36" s="30"/>
      <c r="L36" s="30"/>
      <c r="M36" s="30"/>
      <c r="N36" s="30"/>
      <c r="O36" s="30"/>
      <c r="P36" s="30"/>
    </row>
    <row r="37" spans="1:16">
      <c r="A37" s="30" t="s">
        <v>15</v>
      </c>
      <c r="B37" s="30">
        <v>1</v>
      </c>
      <c r="C37" s="30"/>
      <c r="D37" s="30"/>
      <c r="E37" s="30"/>
      <c r="F37" s="30"/>
      <c r="G37" s="30"/>
      <c r="H37" s="30"/>
      <c r="I37" s="30"/>
      <c r="J37" s="30"/>
      <c r="K37" s="30"/>
      <c r="L37" s="30"/>
      <c r="M37" s="30"/>
      <c r="N37" s="30"/>
      <c r="O37" s="30"/>
      <c r="P37" s="30"/>
    </row>
    <row r="38" spans="1:16">
      <c r="A38" s="30" t="s">
        <v>16</v>
      </c>
      <c r="B38" s="30" t="s">
        <v>17</v>
      </c>
      <c r="C38" s="30"/>
      <c r="D38" s="30"/>
      <c r="E38" s="30"/>
      <c r="F38" s="30"/>
      <c r="G38" s="30"/>
      <c r="H38" s="30"/>
      <c r="I38" s="30"/>
      <c r="J38" s="30"/>
      <c r="K38" s="30"/>
      <c r="L38" s="30"/>
      <c r="M38" s="30"/>
      <c r="N38" s="30"/>
      <c r="O38" s="30"/>
      <c r="P38" s="30"/>
    </row>
    <row r="39" spans="1:16" ht="15.75">
      <c r="A39" s="30" t="s">
        <v>18</v>
      </c>
      <c r="B39" s="274" t="s">
        <v>37</v>
      </c>
      <c r="C39" s="30"/>
      <c r="D39" s="30"/>
      <c r="E39" s="30" t="s">
        <v>77</v>
      </c>
      <c r="F39" s="30"/>
      <c r="G39" s="30"/>
      <c r="H39" s="30"/>
      <c r="I39" s="30"/>
      <c r="J39" s="30"/>
      <c r="K39" s="30"/>
      <c r="L39" s="30"/>
      <c r="M39" s="30"/>
      <c r="N39" s="30"/>
      <c r="O39" s="30"/>
      <c r="P39" s="30"/>
    </row>
    <row r="40" spans="1:16" ht="15.75">
      <c r="A40" s="395" t="s">
        <v>19</v>
      </c>
      <c r="B40" s="30"/>
      <c r="C40" s="30"/>
      <c r="D40" s="30"/>
      <c r="E40" s="30"/>
      <c r="F40" s="30"/>
      <c r="G40" s="30"/>
      <c r="H40" s="30"/>
      <c r="I40" s="30"/>
      <c r="J40" s="30"/>
      <c r="K40" s="30"/>
      <c r="L40" s="30"/>
      <c r="M40" s="30"/>
      <c r="N40" s="30"/>
      <c r="O40" s="30"/>
      <c r="P40" s="30"/>
    </row>
    <row r="41" spans="1:16" ht="15.75">
      <c r="A41" s="395" t="s">
        <v>20</v>
      </c>
      <c r="B41" s="395" t="s">
        <v>21</v>
      </c>
      <c r="C41" s="395" t="s">
        <v>78</v>
      </c>
      <c r="D41" s="395" t="s">
        <v>18</v>
      </c>
      <c r="E41" s="395" t="s">
        <v>22</v>
      </c>
      <c r="F41" s="395" t="s">
        <v>7</v>
      </c>
      <c r="G41" s="395" t="s">
        <v>13</v>
      </c>
      <c r="H41" s="395" t="s">
        <v>16</v>
      </c>
      <c r="I41" s="395" t="s">
        <v>23</v>
      </c>
      <c r="J41" s="395" t="s">
        <v>24</v>
      </c>
      <c r="K41" s="395" t="s">
        <v>25</v>
      </c>
      <c r="L41" s="395" t="s">
        <v>26</v>
      </c>
      <c r="M41" s="395" t="s">
        <v>27</v>
      </c>
      <c r="N41" s="395" t="s">
        <v>28</v>
      </c>
      <c r="O41" s="395" t="s">
        <v>11</v>
      </c>
      <c r="P41" s="395" t="s">
        <v>79</v>
      </c>
    </row>
    <row r="42" spans="1:16" ht="15.75">
      <c r="A42" s="274" t="str">
        <f>B32</f>
        <v>treatment of steel, wing, airframe, Gt-bat, Medium-Term</v>
      </c>
      <c r="B42" s="274">
        <v>1</v>
      </c>
      <c r="C42" s="274"/>
      <c r="D42" s="274" t="s">
        <v>37</v>
      </c>
      <c r="E42" s="30" t="s">
        <v>2</v>
      </c>
      <c r="F42" s="30" t="s">
        <v>372</v>
      </c>
      <c r="G42" s="274" t="s">
        <v>60</v>
      </c>
      <c r="H42" s="30" t="s">
        <v>30</v>
      </c>
      <c r="I42" s="30">
        <v>0</v>
      </c>
      <c r="J42" s="274" t="s">
        <v>31</v>
      </c>
      <c r="K42" s="274" t="s">
        <v>31</v>
      </c>
      <c r="L42" s="274" t="s">
        <v>31</v>
      </c>
      <c r="M42" s="274" t="s">
        <v>31</v>
      </c>
      <c r="N42" s="274" t="s">
        <v>31</v>
      </c>
      <c r="O42" s="274" t="s">
        <v>381</v>
      </c>
      <c r="P42" s="30"/>
    </row>
    <row r="43" spans="1:16" ht="15.75">
      <c r="A43" t="s">
        <v>134</v>
      </c>
      <c r="B43" s="22">
        <v>0.75</v>
      </c>
      <c r="C43" s="274"/>
      <c r="D43" s="274" t="s">
        <v>37</v>
      </c>
      <c r="E43" s="232" t="s">
        <v>38</v>
      </c>
      <c r="F43" s="30" t="s">
        <v>372</v>
      </c>
      <c r="G43" s="274" t="s">
        <v>86</v>
      </c>
      <c r="H43" s="30" t="s">
        <v>33</v>
      </c>
      <c r="I43" s="30">
        <v>0</v>
      </c>
      <c r="J43" s="274" t="s">
        <v>31</v>
      </c>
      <c r="K43" s="274" t="s">
        <v>31</v>
      </c>
      <c r="L43" s="274" t="s">
        <v>31</v>
      </c>
      <c r="M43" s="274" t="s">
        <v>31</v>
      </c>
      <c r="N43" s="274" t="s">
        <v>31</v>
      </c>
      <c r="O43" s="30"/>
      <c r="P43" s="30"/>
    </row>
    <row r="44" spans="1:16" ht="15.75">
      <c r="A44" t="s">
        <v>137</v>
      </c>
      <c r="B44" s="22">
        <f>0.9*B43</f>
        <v>0.67500000000000004</v>
      </c>
      <c r="C44" s="274"/>
      <c r="D44" s="274" t="s">
        <v>37</v>
      </c>
      <c r="E44" s="232" t="s">
        <v>38</v>
      </c>
      <c r="F44" s="30" t="s">
        <v>372</v>
      </c>
      <c r="G44" s="274" t="s">
        <v>60</v>
      </c>
      <c r="H44" s="30" t="s">
        <v>98</v>
      </c>
      <c r="I44" s="30">
        <v>0</v>
      </c>
      <c r="J44" s="274" t="s">
        <v>31</v>
      </c>
      <c r="K44" s="274" t="s">
        <v>31</v>
      </c>
      <c r="L44" s="274" t="s">
        <v>31</v>
      </c>
      <c r="M44" s="274" t="s">
        <v>31</v>
      </c>
      <c r="N44" s="274" t="s">
        <v>31</v>
      </c>
      <c r="O44" s="30"/>
      <c r="P44" s="30" t="s">
        <v>99</v>
      </c>
    </row>
    <row r="45" spans="1:16" ht="16.5" customHeight="1">
      <c r="A45" t="s">
        <v>103</v>
      </c>
      <c r="B45" s="22">
        <f>-(1-B44)</f>
        <v>-0.32499999999999996</v>
      </c>
      <c r="D45" t="s">
        <v>37</v>
      </c>
      <c r="E45" s="232" t="s">
        <v>38</v>
      </c>
      <c r="F45" s="30" t="s">
        <v>372</v>
      </c>
      <c r="G45" t="s">
        <v>60</v>
      </c>
      <c r="H45" t="s">
        <v>33</v>
      </c>
      <c r="I45">
        <v>0</v>
      </c>
      <c r="J45" t="s">
        <v>31</v>
      </c>
      <c r="K45" t="s">
        <v>31</v>
      </c>
      <c r="L45" t="s">
        <v>31</v>
      </c>
      <c r="M45" t="s">
        <v>31</v>
      </c>
      <c r="N45" t="s">
        <v>31</v>
      </c>
      <c r="O45" s="17"/>
      <c r="P45" s="30" t="s">
        <v>382</v>
      </c>
    </row>
    <row r="46" spans="1:16" s="42" customFormat="1" ht="15.75">
      <c r="A46" s="392" t="s">
        <v>5</v>
      </c>
      <c r="B46" s="392" t="s">
        <v>383</v>
      </c>
      <c r="C46" s="392"/>
      <c r="D46" s="120"/>
      <c r="E46" s="393"/>
      <c r="F46" s="393"/>
      <c r="G46" s="393"/>
      <c r="H46" s="393"/>
      <c r="I46" s="393"/>
      <c r="J46" s="393"/>
      <c r="K46" s="393"/>
      <c r="L46" s="393"/>
      <c r="M46" s="393"/>
      <c r="N46" s="393"/>
      <c r="O46" s="393"/>
      <c r="P46" s="393"/>
    </row>
    <row r="47" spans="1:16">
      <c r="A47" s="30" t="s">
        <v>7</v>
      </c>
      <c r="B47" s="30" t="s">
        <v>322</v>
      </c>
      <c r="C47" s="30"/>
      <c r="D47" s="30"/>
      <c r="E47" s="30"/>
      <c r="F47" s="30"/>
      <c r="G47" s="30"/>
      <c r="H47" s="30"/>
      <c r="I47" s="30"/>
      <c r="J47" s="30"/>
      <c r="K47" s="30"/>
      <c r="L47" s="30"/>
      <c r="M47" s="30"/>
      <c r="N47" s="30"/>
      <c r="O47" s="30"/>
      <c r="P47" s="30"/>
    </row>
    <row r="48" spans="1:16">
      <c r="A48" s="30" t="s">
        <v>9</v>
      </c>
      <c r="B48" s="394" t="s">
        <v>384</v>
      </c>
      <c r="C48" s="30"/>
      <c r="D48" s="30"/>
      <c r="E48" s="30"/>
      <c r="F48" s="30"/>
      <c r="G48" s="30"/>
      <c r="H48" s="30"/>
      <c r="I48" s="30"/>
      <c r="J48" s="30"/>
      <c r="K48" s="30"/>
      <c r="L48" s="30"/>
      <c r="M48" s="30"/>
      <c r="N48" s="30"/>
      <c r="O48" s="30"/>
      <c r="P48" s="30"/>
    </row>
    <row r="49" spans="1:22">
      <c r="A49" s="30" t="s">
        <v>11</v>
      </c>
      <c r="B49" s="30" t="s">
        <v>371</v>
      </c>
      <c r="C49" s="30"/>
      <c r="D49" s="30"/>
      <c r="E49" s="30"/>
      <c r="F49" s="30"/>
      <c r="G49" s="30"/>
      <c r="H49" s="30"/>
      <c r="I49" s="30"/>
      <c r="J49" s="30"/>
      <c r="K49" s="30"/>
      <c r="L49" s="30"/>
      <c r="M49" s="30"/>
      <c r="N49" s="30"/>
      <c r="O49" s="30"/>
      <c r="P49" s="30"/>
    </row>
    <row r="50" spans="1:22">
      <c r="A50" s="30" t="s">
        <v>13</v>
      </c>
      <c r="B50" s="30" t="s">
        <v>60</v>
      </c>
      <c r="C50" s="30"/>
      <c r="D50" s="30"/>
      <c r="E50" s="30"/>
      <c r="F50" s="30"/>
      <c r="G50" s="30"/>
      <c r="H50" s="30"/>
      <c r="I50" s="30"/>
      <c r="J50" s="30"/>
      <c r="K50" s="30"/>
      <c r="L50" s="30"/>
      <c r="M50" s="30"/>
      <c r="N50" s="30"/>
      <c r="O50" s="30"/>
      <c r="P50" s="30"/>
    </row>
    <row r="51" spans="1:22">
      <c r="A51" s="30" t="s">
        <v>15</v>
      </c>
      <c r="B51" s="30">
        <v>1</v>
      </c>
      <c r="C51" s="30"/>
      <c r="D51" s="30"/>
      <c r="E51" s="30"/>
      <c r="F51" s="30"/>
      <c r="G51" s="30"/>
      <c r="H51" s="30"/>
      <c r="I51" s="30"/>
      <c r="J51" s="30"/>
      <c r="K51" s="30"/>
      <c r="L51" s="30"/>
      <c r="M51" s="30"/>
      <c r="N51" s="30"/>
      <c r="O51" s="30"/>
      <c r="P51" s="30"/>
    </row>
    <row r="52" spans="1:22">
      <c r="A52" s="30" t="s">
        <v>16</v>
      </c>
      <c r="B52" s="30" t="s">
        <v>17</v>
      </c>
      <c r="C52" s="30"/>
      <c r="D52" s="30"/>
      <c r="E52" s="30"/>
      <c r="F52" s="30"/>
      <c r="G52" s="30"/>
      <c r="H52" s="30"/>
      <c r="I52" s="30"/>
      <c r="J52" s="30"/>
      <c r="K52" s="30"/>
      <c r="L52" s="30"/>
      <c r="M52" s="30"/>
      <c r="N52" s="30"/>
      <c r="O52" s="30"/>
      <c r="P52" s="30"/>
    </row>
    <row r="53" spans="1:22" ht="15.75">
      <c r="A53" s="30" t="s">
        <v>18</v>
      </c>
      <c r="B53" s="274" t="s">
        <v>37</v>
      </c>
      <c r="C53" s="30"/>
      <c r="D53" s="30"/>
      <c r="E53" s="30" t="s">
        <v>77</v>
      </c>
      <c r="F53" s="30"/>
      <c r="G53" s="30"/>
      <c r="H53" s="30"/>
      <c r="I53" s="30"/>
      <c r="J53" s="30"/>
      <c r="K53" s="30"/>
      <c r="L53" s="30"/>
      <c r="M53" s="30"/>
      <c r="N53" s="30"/>
      <c r="O53" s="30"/>
      <c r="P53" s="30"/>
    </row>
    <row r="54" spans="1:22" ht="15.75">
      <c r="A54" s="395" t="s">
        <v>19</v>
      </c>
      <c r="B54" s="30"/>
      <c r="C54" s="30"/>
      <c r="D54" s="30"/>
      <c r="E54" s="30"/>
      <c r="F54" s="30"/>
      <c r="G54" s="30"/>
      <c r="H54" s="30"/>
      <c r="I54" s="30"/>
      <c r="J54" s="30"/>
      <c r="K54" s="30"/>
      <c r="L54" s="30"/>
      <c r="M54" s="30"/>
      <c r="N54" s="30"/>
      <c r="O54" s="30"/>
      <c r="P54" s="30"/>
    </row>
    <row r="55" spans="1:22" ht="15.75">
      <c r="A55" s="395" t="s">
        <v>20</v>
      </c>
      <c r="B55" s="395" t="s">
        <v>21</v>
      </c>
      <c r="C55" s="395" t="s">
        <v>78</v>
      </c>
      <c r="D55" s="395" t="s">
        <v>18</v>
      </c>
      <c r="E55" s="395" t="s">
        <v>22</v>
      </c>
      <c r="F55" s="395" t="s">
        <v>7</v>
      </c>
      <c r="G55" s="395" t="s">
        <v>13</v>
      </c>
      <c r="H55" s="395" t="s">
        <v>16</v>
      </c>
      <c r="I55" s="395" t="s">
        <v>23</v>
      </c>
      <c r="J55" s="395" t="s">
        <v>24</v>
      </c>
      <c r="K55" s="395" t="s">
        <v>25</v>
      </c>
      <c r="L55" s="395" t="s">
        <v>26</v>
      </c>
      <c r="M55" s="395" t="s">
        <v>27</v>
      </c>
      <c r="N55" s="395" t="s">
        <v>28</v>
      </c>
      <c r="O55" s="395" t="s">
        <v>11</v>
      </c>
      <c r="P55" s="395" t="s">
        <v>79</v>
      </c>
    </row>
    <row r="56" spans="1:22" ht="15.75">
      <c r="A56" s="274" t="str">
        <f>B46</f>
        <v>treatment of titanium, wing, airframe, Gt-bat, Medium-Term</v>
      </c>
      <c r="B56" s="274">
        <v>1</v>
      </c>
      <c r="C56" s="274"/>
      <c r="D56" s="274" t="s">
        <v>37</v>
      </c>
      <c r="E56" s="30" t="s">
        <v>2</v>
      </c>
      <c r="F56" s="30" t="s">
        <v>372</v>
      </c>
      <c r="G56" s="274" t="s">
        <v>60</v>
      </c>
      <c r="H56" s="30" t="s">
        <v>30</v>
      </c>
      <c r="I56" s="30">
        <v>0</v>
      </c>
      <c r="J56" s="274" t="s">
        <v>31</v>
      </c>
      <c r="K56" s="274" t="s">
        <v>31</v>
      </c>
      <c r="L56" s="274" t="s">
        <v>31</v>
      </c>
      <c r="M56" s="274" t="s">
        <v>31</v>
      </c>
      <c r="N56" s="274" t="s">
        <v>31</v>
      </c>
      <c r="O56" s="274" t="s">
        <v>381</v>
      </c>
      <c r="P56" s="30"/>
    </row>
    <row r="57" spans="1:22">
      <c r="A57" t="s">
        <v>168</v>
      </c>
      <c r="B57">
        <f>U57</f>
        <v>9.5000076</v>
      </c>
      <c r="D57" t="s">
        <v>41</v>
      </c>
      <c r="E57" t="s">
        <v>38</v>
      </c>
      <c r="F57" s="30" t="s">
        <v>372</v>
      </c>
      <c r="G57" t="s">
        <v>60</v>
      </c>
      <c r="H57" t="s">
        <v>33</v>
      </c>
      <c r="I57">
        <v>2</v>
      </c>
      <c r="J57">
        <v>9.398101209</v>
      </c>
      <c r="K57">
        <v>0.30331501799999999</v>
      </c>
      <c r="L57" t="s">
        <v>31</v>
      </c>
      <c r="M57" t="s">
        <v>31</v>
      </c>
      <c r="N57" t="s">
        <v>31</v>
      </c>
      <c r="O57" t="s">
        <v>327</v>
      </c>
      <c r="P57" t="s">
        <v>328</v>
      </c>
      <c r="Q57" s="31" t="s">
        <v>385</v>
      </c>
      <c r="S57" s="31">
        <f>114*0.6*0.5</f>
        <v>34.199999999999996</v>
      </c>
      <c r="T57" s="31" t="s">
        <v>331</v>
      </c>
      <c r="U57" s="31">
        <f>S57*0.277778</f>
        <v>9.5000076</v>
      </c>
      <c r="V57" s="31" t="s">
        <v>332</v>
      </c>
    </row>
    <row r="58" spans="1:22">
      <c r="A58" t="s">
        <v>170</v>
      </c>
      <c r="B58">
        <f>U58</f>
        <v>0.59530026109660583</v>
      </c>
      <c r="D58" t="s">
        <v>50</v>
      </c>
      <c r="E58" t="s">
        <v>38</v>
      </c>
      <c r="F58" s="30" t="s">
        <v>372</v>
      </c>
      <c r="G58" t="s">
        <v>333</v>
      </c>
      <c r="H58" t="s">
        <v>33</v>
      </c>
      <c r="I58">
        <v>2</v>
      </c>
      <c r="J58">
        <v>6.6281192500000001</v>
      </c>
      <c r="K58">
        <v>0.30331501799999999</v>
      </c>
      <c r="L58" t="s">
        <v>31</v>
      </c>
      <c r="M58" t="s">
        <v>31</v>
      </c>
      <c r="N58" t="s">
        <v>31</v>
      </c>
      <c r="O58" t="s">
        <v>327</v>
      </c>
      <c r="P58" t="s">
        <v>328</v>
      </c>
      <c r="Q58" s="31" t="s">
        <v>386</v>
      </c>
      <c r="S58" s="31">
        <f>114*0.4*0.5</f>
        <v>22.8</v>
      </c>
      <c r="T58" s="31" t="s">
        <v>331</v>
      </c>
      <c r="U58" s="31">
        <f>S58/38.3</f>
        <v>0.59530026109660583</v>
      </c>
      <c r="V58" s="31" t="s">
        <v>335</v>
      </c>
    </row>
    <row r="59" spans="1:22">
      <c r="A59" s="51" t="s">
        <v>336</v>
      </c>
      <c r="B59" s="45">
        <f>S59</f>
        <v>0.5</v>
      </c>
      <c r="C59" s="45"/>
      <c r="D59" s="31" t="s">
        <v>37</v>
      </c>
      <c r="E59" s="31" t="s">
        <v>38</v>
      </c>
      <c r="F59" s="30" t="s">
        <v>372</v>
      </c>
      <c r="G59" s="31" t="s">
        <v>60</v>
      </c>
      <c r="H59" s="31" t="s">
        <v>98</v>
      </c>
      <c r="I59" s="31">
        <v>2</v>
      </c>
      <c r="J59" s="31">
        <f t="shared" ref="J59" si="0">LN(B59)</f>
        <v>-0.69314718055994529</v>
      </c>
      <c r="K59" s="31">
        <v>0.30331501776206199</v>
      </c>
      <c r="L59" s="31" t="s">
        <v>31</v>
      </c>
      <c r="M59" s="31" t="s">
        <v>31</v>
      </c>
      <c r="N59" s="31" t="s">
        <v>31</v>
      </c>
      <c r="O59" s="31" t="s">
        <v>327</v>
      </c>
      <c r="P59" t="s">
        <v>328</v>
      </c>
      <c r="Q59" s="31"/>
      <c r="R59" s="31"/>
      <c r="S59" s="31">
        <v>0.5</v>
      </c>
      <c r="T59" s="31" t="s">
        <v>337</v>
      </c>
    </row>
    <row r="60" spans="1:22" ht="15.75">
      <c r="A60" t="s">
        <v>103</v>
      </c>
      <c r="B60" s="22">
        <f>-0.5</f>
        <v>-0.5</v>
      </c>
      <c r="D60" t="s">
        <v>37</v>
      </c>
      <c r="E60" s="232" t="s">
        <v>38</v>
      </c>
      <c r="F60" s="30" t="s">
        <v>372</v>
      </c>
      <c r="G60" t="s">
        <v>60</v>
      </c>
      <c r="H60" t="s">
        <v>33</v>
      </c>
      <c r="I60">
        <v>0</v>
      </c>
      <c r="J60" t="s">
        <v>31</v>
      </c>
      <c r="K60" t="s">
        <v>31</v>
      </c>
      <c r="L60" t="s">
        <v>31</v>
      </c>
      <c r="M60" t="s">
        <v>31</v>
      </c>
      <c r="N60" t="s">
        <v>31</v>
      </c>
      <c r="O60" s="17"/>
      <c r="P60" s="30" t="s">
        <v>338</v>
      </c>
    </row>
    <row r="61" spans="1:22" s="42" customFormat="1" ht="15.75">
      <c r="A61" s="392" t="s">
        <v>5</v>
      </c>
      <c r="B61" s="392" t="s">
        <v>387</v>
      </c>
      <c r="C61" s="392"/>
      <c r="D61" s="120"/>
      <c r="E61" s="393"/>
      <c r="F61" s="393"/>
      <c r="G61" s="393"/>
      <c r="H61" s="393"/>
      <c r="I61" s="393"/>
      <c r="J61" s="393"/>
      <c r="K61" s="393"/>
      <c r="L61" s="393"/>
      <c r="M61" s="393"/>
      <c r="N61" s="393"/>
      <c r="O61" s="393"/>
      <c r="P61" s="393"/>
    </row>
    <row r="62" spans="1:22">
      <c r="A62" s="30" t="s">
        <v>7</v>
      </c>
      <c r="B62" s="30" t="s">
        <v>322</v>
      </c>
      <c r="C62" s="30"/>
      <c r="D62" s="30"/>
      <c r="E62" s="30"/>
      <c r="F62" s="30"/>
      <c r="G62" s="30"/>
      <c r="H62" s="30"/>
      <c r="I62" s="30"/>
      <c r="J62" s="30"/>
      <c r="K62" s="30"/>
      <c r="L62" s="30"/>
      <c r="M62" s="30"/>
      <c r="N62" s="30"/>
      <c r="O62" s="30"/>
      <c r="P62" s="30"/>
    </row>
    <row r="63" spans="1:22">
      <c r="A63" s="30" t="s">
        <v>9</v>
      </c>
      <c r="B63" s="394" t="s">
        <v>388</v>
      </c>
      <c r="C63" s="30"/>
      <c r="D63" s="30"/>
      <c r="E63" s="30"/>
      <c r="F63" s="30"/>
      <c r="G63" s="30"/>
      <c r="H63" s="30"/>
      <c r="I63" s="30"/>
      <c r="J63" s="30"/>
      <c r="K63" s="30"/>
      <c r="L63" s="30"/>
      <c r="M63" s="30"/>
      <c r="N63" s="30"/>
      <c r="O63" s="30"/>
      <c r="P63" s="30"/>
    </row>
    <row r="64" spans="1:22">
      <c r="A64" s="30" t="s">
        <v>11</v>
      </c>
      <c r="B64" s="30" t="s">
        <v>371</v>
      </c>
      <c r="C64" s="30"/>
      <c r="D64" s="30"/>
      <c r="E64" s="30"/>
      <c r="F64" s="30"/>
      <c r="G64" s="30"/>
      <c r="H64" s="30"/>
      <c r="I64" s="30"/>
      <c r="J64" s="30"/>
      <c r="K64" s="30"/>
      <c r="L64" s="30"/>
      <c r="M64" s="30"/>
      <c r="N64" s="30"/>
      <c r="O64" s="30"/>
      <c r="P64" s="30"/>
    </row>
    <row r="65" spans="1:16">
      <c r="A65" s="30" t="s">
        <v>13</v>
      </c>
      <c r="B65" s="30" t="s">
        <v>60</v>
      </c>
      <c r="C65" s="30"/>
      <c r="D65" s="30"/>
      <c r="E65" s="30"/>
      <c r="F65" s="30"/>
      <c r="G65" s="30"/>
      <c r="H65" s="30"/>
      <c r="I65" s="30"/>
      <c r="J65" s="30"/>
      <c r="K65" s="30"/>
      <c r="L65" s="30"/>
      <c r="M65" s="30"/>
      <c r="N65" s="30"/>
      <c r="O65" s="30"/>
      <c r="P65" s="30"/>
    </row>
    <row r="66" spans="1:16">
      <c r="A66" s="30" t="s">
        <v>15</v>
      </c>
      <c r="B66" s="30">
        <v>1</v>
      </c>
      <c r="C66" s="30"/>
      <c r="D66" s="30"/>
      <c r="E66" s="30"/>
      <c r="F66" s="30"/>
      <c r="G66" s="30"/>
      <c r="H66" s="30"/>
      <c r="I66" s="30"/>
      <c r="J66" s="30"/>
      <c r="K66" s="30"/>
      <c r="L66" s="30"/>
      <c r="M66" s="30"/>
      <c r="N66" s="30"/>
      <c r="O66" s="30"/>
      <c r="P66" s="30"/>
    </row>
    <row r="67" spans="1:16">
      <c r="A67" s="30" t="s">
        <v>16</v>
      </c>
      <c r="B67" s="30" t="s">
        <v>17</v>
      </c>
      <c r="C67" s="30"/>
      <c r="D67" s="30"/>
      <c r="E67" s="30"/>
      <c r="F67" s="30"/>
      <c r="G67" s="30"/>
      <c r="H67" s="30"/>
      <c r="I67" s="30"/>
      <c r="J67" s="30"/>
      <c r="K67" s="30"/>
      <c r="L67" s="30"/>
      <c r="M67" s="30"/>
      <c r="N67" s="30"/>
      <c r="O67" s="30"/>
      <c r="P67" s="30"/>
    </row>
    <row r="68" spans="1:16" ht="15.75">
      <c r="A68" s="30" t="s">
        <v>18</v>
      </c>
      <c r="B68" s="274" t="s">
        <v>37</v>
      </c>
      <c r="C68" s="30"/>
      <c r="D68" s="30"/>
      <c r="E68" s="30" t="s">
        <v>77</v>
      </c>
      <c r="F68" s="30"/>
      <c r="G68" s="30"/>
      <c r="H68" s="30"/>
      <c r="I68" s="30"/>
      <c r="J68" s="30"/>
      <c r="K68" s="30"/>
      <c r="L68" s="30"/>
      <c r="M68" s="30"/>
      <c r="N68" s="30"/>
      <c r="O68" s="30"/>
      <c r="P68" s="30"/>
    </row>
    <row r="69" spans="1:16" ht="15.75">
      <c r="A69" s="395" t="s">
        <v>19</v>
      </c>
      <c r="B69" s="30"/>
      <c r="C69" s="30"/>
      <c r="D69" s="30"/>
      <c r="E69" s="30"/>
      <c r="F69" s="30"/>
      <c r="G69" s="30"/>
      <c r="H69" s="30"/>
      <c r="I69" s="30"/>
      <c r="J69" s="30"/>
      <c r="K69" s="30"/>
      <c r="L69" s="30"/>
      <c r="M69" s="30"/>
      <c r="N69" s="30"/>
      <c r="O69" s="30"/>
      <c r="P69" s="30"/>
    </row>
    <row r="70" spans="1:16" ht="15.75">
      <c r="A70" s="395" t="s">
        <v>20</v>
      </c>
      <c r="B70" s="395" t="s">
        <v>21</v>
      </c>
      <c r="C70" s="395" t="s">
        <v>78</v>
      </c>
      <c r="D70" s="395" t="s">
        <v>18</v>
      </c>
      <c r="E70" s="395" t="s">
        <v>22</v>
      </c>
      <c r="F70" s="395" t="s">
        <v>7</v>
      </c>
      <c r="G70" s="395" t="s">
        <v>13</v>
      </c>
      <c r="H70" s="395" t="s">
        <v>16</v>
      </c>
      <c r="I70" s="395" t="s">
        <v>23</v>
      </c>
      <c r="J70" s="395" t="s">
        <v>24</v>
      </c>
      <c r="K70" s="395" t="s">
        <v>25</v>
      </c>
      <c r="L70" s="395" t="s">
        <v>26</v>
      </c>
      <c r="M70" s="395" t="s">
        <v>27</v>
      </c>
      <c r="N70" s="395" t="s">
        <v>28</v>
      </c>
      <c r="O70" s="395" t="s">
        <v>11</v>
      </c>
      <c r="P70" s="395" t="s">
        <v>79</v>
      </c>
    </row>
    <row r="71" spans="1:16" ht="15.75">
      <c r="A71" s="274" t="str">
        <f>B61</f>
        <v>treatment of aluminium, tail, airframe, Gt-bat, Medium-Term</v>
      </c>
      <c r="B71" s="274">
        <v>1</v>
      </c>
      <c r="C71" s="274"/>
      <c r="D71" s="274" t="s">
        <v>37</v>
      </c>
      <c r="E71" s="30" t="s">
        <v>2</v>
      </c>
      <c r="F71" s="30" t="s">
        <v>372</v>
      </c>
      <c r="G71" s="274" t="s">
        <v>60</v>
      </c>
      <c r="H71" s="30" t="s">
        <v>30</v>
      </c>
      <c r="I71" s="30">
        <v>0</v>
      </c>
      <c r="J71" s="274" t="s">
        <v>31</v>
      </c>
      <c r="K71" s="274" t="s">
        <v>31</v>
      </c>
      <c r="L71" s="274" t="s">
        <v>31</v>
      </c>
      <c r="M71" s="274" t="s">
        <v>31</v>
      </c>
      <c r="N71" s="274" t="s">
        <v>31</v>
      </c>
      <c r="O71" s="274" t="s">
        <v>389</v>
      </c>
      <c r="P71" s="30"/>
    </row>
    <row r="72" spans="1:16" ht="15.75">
      <c r="A72" t="s">
        <v>93</v>
      </c>
      <c r="B72" s="22">
        <v>0.64</v>
      </c>
      <c r="C72" s="274"/>
      <c r="D72" s="274" t="s">
        <v>37</v>
      </c>
      <c r="E72" s="185" t="s">
        <v>38</v>
      </c>
      <c r="F72" s="30" t="s">
        <v>372</v>
      </c>
      <c r="G72" s="274" t="s">
        <v>86</v>
      </c>
      <c r="H72" s="30" t="s">
        <v>33</v>
      </c>
      <c r="I72" s="30">
        <v>0</v>
      </c>
      <c r="J72" s="274" t="s">
        <v>31</v>
      </c>
      <c r="K72" s="274" t="s">
        <v>31</v>
      </c>
      <c r="L72" s="274" t="s">
        <v>31</v>
      </c>
      <c r="M72" s="274" t="s">
        <v>31</v>
      </c>
      <c r="N72" s="274" t="s">
        <v>31</v>
      </c>
      <c r="O72" s="30"/>
      <c r="P72" s="30"/>
    </row>
    <row r="73" spans="1:16" ht="15.75">
      <c r="A73" t="s">
        <v>94</v>
      </c>
      <c r="B73" s="22">
        <v>0.64</v>
      </c>
      <c r="C73" s="31" t="s">
        <v>95</v>
      </c>
      <c r="D73" t="s">
        <v>37</v>
      </c>
      <c r="E73" s="173" t="s">
        <v>38</v>
      </c>
      <c r="F73" s="30" t="s">
        <v>372</v>
      </c>
      <c r="G73" s="274" t="s">
        <v>86</v>
      </c>
      <c r="H73" s="30" t="s">
        <v>33</v>
      </c>
      <c r="I73" s="30">
        <v>0</v>
      </c>
      <c r="J73" s="274" t="s">
        <v>31</v>
      </c>
      <c r="K73" s="274" t="s">
        <v>31</v>
      </c>
      <c r="L73" s="274" t="s">
        <v>31</v>
      </c>
      <c r="M73" s="274" t="s">
        <v>31</v>
      </c>
      <c r="N73" s="274" t="s">
        <v>31</v>
      </c>
      <c r="O73" s="274" t="s">
        <v>349</v>
      </c>
    </row>
    <row r="74" spans="1:16" ht="15.75">
      <c r="A74" t="s">
        <v>97</v>
      </c>
      <c r="B74" s="22">
        <f>B73*0.9</f>
        <v>0.57600000000000007</v>
      </c>
      <c r="D74" t="s">
        <v>37</v>
      </c>
      <c r="E74" s="173" t="s">
        <v>38</v>
      </c>
      <c r="F74" s="30" t="s">
        <v>372</v>
      </c>
      <c r="G74" t="s">
        <v>60</v>
      </c>
      <c r="H74" s="30" t="s">
        <v>98</v>
      </c>
      <c r="I74" s="30">
        <v>0</v>
      </c>
      <c r="J74" s="274" t="s">
        <v>31</v>
      </c>
      <c r="K74" s="274" t="s">
        <v>31</v>
      </c>
      <c r="L74" s="274" t="s">
        <v>31</v>
      </c>
      <c r="M74" s="274" t="s">
        <v>31</v>
      </c>
      <c r="N74" s="274" t="s">
        <v>31</v>
      </c>
      <c r="O74" s="30"/>
      <c r="P74" s="274" t="s">
        <v>374</v>
      </c>
    </row>
    <row r="75" spans="1:16" ht="15.75">
      <c r="A75" t="s">
        <v>103</v>
      </c>
      <c r="B75" s="22">
        <f>-(1-B74)</f>
        <v>-0.42399999999999993</v>
      </c>
      <c r="D75" t="s">
        <v>37</v>
      </c>
      <c r="E75" s="232" t="s">
        <v>38</v>
      </c>
      <c r="F75" s="30" t="s">
        <v>372</v>
      </c>
      <c r="G75" t="s">
        <v>60</v>
      </c>
      <c r="H75" t="s">
        <v>33</v>
      </c>
      <c r="I75">
        <v>0</v>
      </c>
      <c r="J75" t="s">
        <v>31</v>
      </c>
      <c r="K75" t="s">
        <v>31</v>
      </c>
      <c r="L75" t="s">
        <v>31</v>
      </c>
      <c r="M75" t="s">
        <v>31</v>
      </c>
      <c r="N75" t="s">
        <v>31</v>
      </c>
      <c r="O75" s="17"/>
      <c r="P75" s="30"/>
    </row>
    <row r="76" spans="1:16" s="42" customFormat="1" ht="15.75">
      <c r="A76" s="392" t="s">
        <v>5</v>
      </c>
      <c r="B76" s="392" t="s">
        <v>390</v>
      </c>
      <c r="C76" s="392"/>
      <c r="D76" s="120"/>
      <c r="E76" s="393"/>
      <c r="F76" s="393"/>
      <c r="G76" s="393"/>
      <c r="H76" s="393"/>
      <c r="I76" s="393"/>
      <c r="J76" s="393"/>
      <c r="K76" s="393"/>
      <c r="L76" s="393"/>
      <c r="M76" s="393"/>
      <c r="N76" s="393"/>
      <c r="O76" s="393"/>
      <c r="P76" s="393"/>
    </row>
    <row r="77" spans="1:16">
      <c r="A77" s="30" t="s">
        <v>7</v>
      </c>
      <c r="B77" s="30" t="s">
        <v>322</v>
      </c>
      <c r="C77" s="30"/>
      <c r="D77" s="30"/>
      <c r="E77" s="30"/>
      <c r="F77" s="30"/>
      <c r="G77" s="30"/>
      <c r="H77" s="30"/>
      <c r="I77" s="30"/>
      <c r="J77" s="30"/>
      <c r="K77" s="30"/>
      <c r="L77" s="30"/>
      <c r="M77" s="30"/>
      <c r="N77" s="30"/>
      <c r="O77" s="30"/>
      <c r="P77" s="30"/>
    </row>
    <row r="78" spans="1:16">
      <c r="A78" s="30" t="s">
        <v>9</v>
      </c>
      <c r="B78" s="394" t="s">
        <v>391</v>
      </c>
      <c r="C78" s="30"/>
      <c r="D78" s="30"/>
      <c r="E78" s="30"/>
      <c r="F78" s="30"/>
      <c r="G78" s="30"/>
      <c r="H78" s="30"/>
      <c r="I78" s="30"/>
      <c r="J78" s="30"/>
      <c r="K78" s="30"/>
      <c r="L78" s="30"/>
      <c r="M78" s="30"/>
      <c r="N78" s="30"/>
      <c r="O78" s="30"/>
      <c r="P78" s="30"/>
    </row>
    <row r="79" spans="1:16">
      <c r="A79" s="30" t="s">
        <v>11</v>
      </c>
      <c r="B79" s="30" t="s">
        <v>392</v>
      </c>
      <c r="C79" s="30"/>
      <c r="D79" s="30"/>
      <c r="E79" s="30"/>
      <c r="F79" s="30"/>
      <c r="G79" s="30"/>
      <c r="H79" s="30"/>
      <c r="I79" s="30"/>
      <c r="J79" s="30"/>
      <c r="K79" s="30"/>
      <c r="L79" s="30"/>
      <c r="M79" s="30"/>
      <c r="N79" s="30"/>
      <c r="O79" s="30"/>
      <c r="P79" s="30"/>
    </row>
    <row r="80" spans="1:16">
      <c r="A80" s="30" t="s">
        <v>13</v>
      </c>
      <c r="B80" s="30" t="s">
        <v>60</v>
      </c>
      <c r="C80" s="30"/>
      <c r="D80" s="30"/>
      <c r="E80" s="30"/>
      <c r="F80" s="30"/>
      <c r="G80" s="30"/>
      <c r="H80" s="30"/>
      <c r="I80" s="30"/>
      <c r="J80" s="30"/>
      <c r="K80" s="30"/>
      <c r="L80" s="30"/>
      <c r="M80" s="30"/>
      <c r="N80" s="30"/>
      <c r="O80" s="30"/>
      <c r="P80" s="30"/>
    </row>
    <row r="81" spans="1:16">
      <c r="A81" s="30" t="s">
        <v>15</v>
      </c>
      <c r="B81" s="30">
        <v>1</v>
      </c>
      <c r="C81" s="30"/>
      <c r="D81" s="30"/>
      <c r="E81" s="30"/>
      <c r="F81" s="30"/>
      <c r="G81" s="30"/>
      <c r="H81" s="30"/>
      <c r="I81" s="30"/>
      <c r="J81" s="30"/>
      <c r="K81" s="30"/>
      <c r="L81" s="30"/>
      <c r="M81" s="30"/>
      <c r="N81" s="30"/>
      <c r="O81" s="30"/>
      <c r="P81" s="30"/>
    </row>
    <row r="82" spans="1:16">
      <c r="A82" s="30" t="s">
        <v>16</v>
      </c>
      <c r="B82" s="30" t="s">
        <v>17</v>
      </c>
      <c r="C82" s="30"/>
      <c r="D82" s="30"/>
      <c r="E82" s="30"/>
      <c r="F82" s="30"/>
      <c r="G82" s="30"/>
      <c r="H82" s="30"/>
      <c r="I82" s="30"/>
      <c r="J82" s="30"/>
      <c r="K82" s="30"/>
      <c r="L82" s="30"/>
      <c r="M82" s="30"/>
      <c r="N82" s="30"/>
      <c r="O82" s="30"/>
      <c r="P82" s="30"/>
    </row>
    <row r="83" spans="1:16" ht="15.75">
      <c r="A83" s="30" t="s">
        <v>18</v>
      </c>
      <c r="B83" s="274" t="s">
        <v>37</v>
      </c>
      <c r="C83" s="30"/>
      <c r="D83" s="30"/>
      <c r="E83" s="30" t="s">
        <v>77</v>
      </c>
      <c r="F83" s="30"/>
      <c r="G83" s="30"/>
      <c r="H83" s="30"/>
      <c r="I83" s="30"/>
      <c r="J83" s="30"/>
      <c r="K83" s="30"/>
      <c r="L83" s="30"/>
      <c r="M83" s="30"/>
      <c r="N83" s="30"/>
      <c r="O83" s="30"/>
      <c r="P83" s="30"/>
    </row>
    <row r="84" spans="1:16" ht="15.75">
      <c r="A84" s="395" t="s">
        <v>19</v>
      </c>
      <c r="B84" s="30"/>
      <c r="C84" s="30"/>
      <c r="D84" s="30"/>
      <c r="E84" s="30"/>
      <c r="F84" s="30"/>
      <c r="G84" s="30"/>
      <c r="H84" s="30"/>
      <c r="I84" s="30"/>
      <c r="J84" s="30"/>
      <c r="K84" s="30"/>
      <c r="L84" s="30"/>
      <c r="M84" s="30"/>
      <c r="N84" s="30"/>
      <c r="O84" s="30"/>
      <c r="P84" s="30"/>
    </row>
    <row r="85" spans="1:16" ht="15.75">
      <c r="A85" s="395" t="s">
        <v>20</v>
      </c>
      <c r="B85" s="395" t="s">
        <v>21</v>
      </c>
      <c r="C85" s="395" t="s">
        <v>78</v>
      </c>
      <c r="D85" s="395" t="s">
        <v>18</v>
      </c>
      <c r="E85" s="395" t="s">
        <v>22</v>
      </c>
      <c r="F85" s="395" t="s">
        <v>7</v>
      </c>
      <c r="G85" s="395" t="s">
        <v>13</v>
      </c>
      <c r="H85" s="395" t="s">
        <v>16</v>
      </c>
      <c r="I85" s="395" t="s">
        <v>23</v>
      </c>
      <c r="J85" s="395" t="s">
        <v>24</v>
      </c>
      <c r="K85" s="395" t="s">
        <v>25</v>
      </c>
      <c r="L85" s="395" t="s">
        <v>26</v>
      </c>
      <c r="M85" s="395" t="s">
        <v>27</v>
      </c>
      <c r="N85" s="395" t="s">
        <v>28</v>
      </c>
      <c r="O85" s="395" t="s">
        <v>11</v>
      </c>
      <c r="P85" s="395" t="s">
        <v>79</v>
      </c>
    </row>
    <row r="86" spans="1:16" ht="15.75">
      <c r="A86" s="274" t="str">
        <f>B76</f>
        <v>treatment of composites, tail, airframe, Gt-bat, Medium-Term</v>
      </c>
      <c r="B86" s="274">
        <v>1</v>
      </c>
      <c r="C86" s="274"/>
      <c r="D86" s="274" t="s">
        <v>37</v>
      </c>
      <c r="E86" s="30" t="s">
        <v>2</v>
      </c>
      <c r="F86" s="30" t="s">
        <v>372</v>
      </c>
      <c r="G86" s="274" t="s">
        <v>60</v>
      </c>
      <c r="H86" s="30" t="s">
        <v>30</v>
      </c>
      <c r="I86" s="30">
        <v>0</v>
      </c>
      <c r="J86" s="274" t="s">
        <v>31</v>
      </c>
      <c r="K86" s="274" t="s">
        <v>31</v>
      </c>
      <c r="L86" s="274" t="s">
        <v>31</v>
      </c>
      <c r="M86" s="274" t="s">
        <v>31</v>
      </c>
      <c r="N86" s="274" t="s">
        <v>31</v>
      </c>
      <c r="O86" s="274" t="s">
        <v>393</v>
      </c>
      <c r="P86" s="30"/>
    </row>
    <row r="87" spans="1:16" ht="15.75">
      <c r="A87" s="232" t="s">
        <v>109</v>
      </c>
      <c r="B87">
        <v>-0.5</v>
      </c>
      <c r="D87" t="s">
        <v>37</v>
      </c>
      <c r="E87" s="173" t="s">
        <v>38</v>
      </c>
      <c r="F87" s="30" t="s">
        <v>372</v>
      </c>
      <c r="G87" t="s">
        <v>86</v>
      </c>
      <c r="H87" t="s">
        <v>33</v>
      </c>
      <c r="I87" s="30">
        <v>0</v>
      </c>
      <c r="J87" s="274" t="s">
        <v>31</v>
      </c>
      <c r="K87" s="274" t="s">
        <v>31</v>
      </c>
      <c r="L87" s="274" t="s">
        <v>31</v>
      </c>
      <c r="M87" s="274" t="s">
        <v>31</v>
      </c>
      <c r="N87" s="274" t="s">
        <v>31</v>
      </c>
      <c r="O87" s="274" t="s">
        <v>110</v>
      </c>
      <c r="P87" s="274" t="s">
        <v>341</v>
      </c>
    </row>
    <row r="88" spans="1:16" ht="15.75">
      <c r="A88" t="s">
        <v>40</v>
      </c>
      <c r="B88">
        <f>B89*0.277777777</f>
        <v>2.415277771015</v>
      </c>
      <c r="D88" t="s">
        <v>41</v>
      </c>
      <c r="E88" s="173" t="s">
        <v>38</v>
      </c>
      <c r="F88" s="30" t="s">
        <v>372</v>
      </c>
      <c r="G88" t="s">
        <v>60</v>
      </c>
      <c r="H88" s="30" t="s">
        <v>98</v>
      </c>
      <c r="I88" s="30">
        <v>0</v>
      </c>
      <c r="J88" s="274" t="s">
        <v>31</v>
      </c>
      <c r="K88" s="274" t="s">
        <v>31</v>
      </c>
      <c r="L88" s="274" t="s">
        <v>31</v>
      </c>
      <c r="M88" s="274" t="s">
        <v>31</v>
      </c>
      <c r="N88" s="274" t="s">
        <v>31</v>
      </c>
      <c r="O88" t="s">
        <v>342</v>
      </c>
    </row>
    <row r="89" spans="1:16" ht="15.75">
      <c r="A89" t="s">
        <v>112</v>
      </c>
      <c r="B89">
        <f>-B87*0.5*34.78</f>
        <v>8.6950000000000003</v>
      </c>
      <c r="D89" t="s">
        <v>113</v>
      </c>
      <c r="E89" s="173" t="s">
        <v>38</v>
      </c>
      <c r="F89" s="30" t="s">
        <v>372</v>
      </c>
      <c r="G89" t="s">
        <v>60</v>
      </c>
      <c r="H89" s="30" t="s">
        <v>98</v>
      </c>
      <c r="I89" s="30">
        <v>0</v>
      </c>
      <c r="J89" s="274" t="s">
        <v>31</v>
      </c>
      <c r="K89" s="274" t="s">
        <v>31</v>
      </c>
      <c r="L89" s="274" t="s">
        <v>31</v>
      </c>
      <c r="M89" s="274" t="s">
        <v>31</v>
      </c>
      <c r="N89" s="274" t="s">
        <v>31</v>
      </c>
      <c r="O89" t="s">
        <v>378</v>
      </c>
    </row>
    <row r="90" spans="1:16" ht="15.75">
      <c r="A90" s="232" t="s">
        <v>344</v>
      </c>
      <c r="B90">
        <v>-0.5</v>
      </c>
      <c r="D90" t="s">
        <v>37</v>
      </c>
      <c r="E90" s="173" t="s">
        <v>38</v>
      </c>
      <c r="F90" s="30" t="s">
        <v>372</v>
      </c>
      <c r="G90" t="s">
        <v>86</v>
      </c>
      <c r="H90" s="30" t="s">
        <v>33</v>
      </c>
      <c r="I90" s="30">
        <v>0</v>
      </c>
      <c r="J90" s="274" t="s">
        <v>31</v>
      </c>
      <c r="K90" s="274" t="s">
        <v>31</v>
      </c>
      <c r="L90" s="274" t="s">
        <v>31</v>
      </c>
      <c r="M90" s="274" t="s">
        <v>31</v>
      </c>
      <c r="N90" s="274" t="s">
        <v>31</v>
      </c>
      <c r="O90" s="274"/>
    </row>
    <row r="91" spans="1:16" s="42" customFormat="1" ht="15.75">
      <c r="A91" s="392" t="s">
        <v>5</v>
      </c>
      <c r="B91" s="392" t="s">
        <v>394</v>
      </c>
      <c r="C91" s="392"/>
      <c r="D91" s="120"/>
      <c r="E91" s="393"/>
      <c r="F91" s="393"/>
      <c r="G91" s="393"/>
      <c r="H91" s="393"/>
      <c r="I91" s="393"/>
      <c r="J91" s="393"/>
      <c r="K91" s="393"/>
      <c r="L91" s="393"/>
      <c r="M91" s="393"/>
      <c r="N91" s="393"/>
      <c r="O91" s="393"/>
      <c r="P91" s="393"/>
    </row>
    <row r="92" spans="1:16">
      <c r="A92" s="30" t="s">
        <v>7</v>
      </c>
      <c r="B92" s="30" t="s">
        <v>322</v>
      </c>
      <c r="C92" s="30"/>
      <c r="D92" s="30"/>
      <c r="E92" s="30"/>
      <c r="F92" s="30"/>
      <c r="G92" s="30"/>
      <c r="H92" s="30"/>
      <c r="I92" s="30"/>
      <c r="J92" s="30"/>
      <c r="K92" s="30"/>
      <c r="L92" s="30"/>
      <c r="M92" s="30"/>
      <c r="N92" s="30"/>
      <c r="O92" s="30"/>
      <c r="P92" s="30"/>
    </row>
    <row r="93" spans="1:16">
      <c r="A93" s="30" t="s">
        <v>9</v>
      </c>
      <c r="B93" s="394" t="s">
        <v>395</v>
      </c>
      <c r="C93" s="30"/>
      <c r="D93" s="30"/>
      <c r="E93" s="30"/>
      <c r="F93" s="30"/>
      <c r="G93" s="30"/>
      <c r="H93" s="30"/>
      <c r="I93" s="30"/>
      <c r="J93" s="30"/>
      <c r="K93" s="30"/>
      <c r="L93" s="30"/>
      <c r="M93" s="30"/>
      <c r="N93" s="30"/>
      <c r="O93" s="30"/>
      <c r="P93" s="30"/>
    </row>
    <row r="94" spans="1:16">
      <c r="A94" s="30" t="s">
        <v>11</v>
      </c>
      <c r="B94" s="30" t="s">
        <v>371</v>
      </c>
      <c r="C94" s="30"/>
      <c r="D94" s="30"/>
      <c r="E94" s="30"/>
      <c r="F94" s="30"/>
      <c r="G94" s="30"/>
      <c r="H94" s="30"/>
      <c r="I94" s="30"/>
      <c r="J94" s="30"/>
      <c r="K94" s="30"/>
      <c r="L94" s="30"/>
      <c r="M94" s="30"/>
      <c r="N94" s="30"/>
      <c r="O94" s="30"/>
      <c r="P94" s="30"/>
    </row>
    <row r="95" spans="1:16">
      <c r="A95" s="30" t="s">
        <v>13</v>
      </c>
      <c r="B95" s="30" t="s">
        <v>60</v>
      </c>
      <c r="C95" s="30"/>
      <c r="D95" s="30"/>
      <c r="E95" s="30"/>
      <c r="F95" s="30"/>
      <c r="G95" s="30"/>
      <c r="H95" s="30"/>
      <c r="I95" s="30"/>
      <c r="J95" s="30"/>
      <c r="K95" s="30"/>
      <c r="L95" s="30"/>
      <c r="M95" s="30"/>
      <c r="N95" s="30"/>
      <c r="O95" s="30"/>
      <c r="P95" s="30"/>
    </row>
    <row r="96" spans="1:16">
      <c r="A96" s="30" t="s">
        <v>15</v>
      </c>
      <c r="B96" s="30">
        <v>1</v>
      </c>
      <c r="C96" s="30"/>
      <c r="D96" s="30"/>
      <c r="E96" s="30"/>
      <c r="F96" s="30"/>
      <c r="G96" s="30"/>
      <c r="H96" s="30"/>
      <c r="I96" s="30"/>
      <c r="J96" s="30"/>
      <c r="K96" s="30"/>
      <c r="L96" s="30"/>
      <c r="M96" s="30"/>
      <c r="N96" s="30"/>
      <c r="O96" s="30"/>
      <c r="P96" s="30"/>
    </row>
    <row r="97" spans="1:16">
      <c r="A97" s="30" t="s">
        <v>16</v>
      </c>
      <c r="B97" s="30" t="s">
        <v>17</v>
      </c>
      <c r="C97" s="30"/>
      <c r="D97" s="30"/>
      <c r="E97" s="30"/>
      <c r="F97" s="30"/>
      <c r="G97" s="30"/>
      <c r="H97" s="30"/>
      <c r="I97" s="30"/>
      <c r="J97" s="30"/>
      <c r="K97" s="30"/>
      <c r="L97" s="30"/>
      <c r="M97" s="30"/>
      <c r="N97" s="30"/>
      <c r="O97" s="30"/>
      <c r="P97" s="30"/>
    </row>
    <row r="98" spans="1:16" ht="15.75">
      <c r="A98" s="30" t="s">
        <v>18</v>
      </c>
      <c r="B98" s="274" t="s">
        <v>37</v>
      </c>
      <c r="C98" s="30"/>
      <c r="D98" s="30"/>
      <c r="E98" s="30" t="s">
        <v>77</v>
      </c>
      <c r="F98" s="30"/>
      <c r="G98" s="30"/>
      <c r="H98" s="30"/>
      <c r="I98" s="30"/>
      <c r="J98" s="30"/>
      <c r="K98" s="30"/>
      <c r="L98" s="30"/>
      <c r="M98" s="30"/>
      <c r="N98" s="30"/>
      <c r="O98" s="30"/>
      <c r="P98" s="30"/>
    </row>
    <row r="99" spans="1:16" ht="15.75">
      <c r="A99" s="395" t="s">
        <v>19</v>
      </c>
      <c r="B99" s="30"/>
      <c r="C99" s="30"/>
      <c r="D99" s="30"/>
      <c r="E99" s="30"/>
      <c r="F99" s="30"/>
      <c r="G99" s="30"/>
      <c r="H99" s="30"/>
      <c r="I99" s="30"/>
      <c r="J99" s="30"/>
      <c r="K99" s="30"/>
      <c r="L99" s="30"/>
      <c r="M99" s="30"/>
      <c r="N99" s="30"/>
      <c r="O99" s="30"/>
      <c r="P99" s="30"/>
    </row>
    <row r="100" spans="1:16" ht="15.75">
      <c r="A100" s="395" t="s">
        <v>20</v>
      </c>
      <c r="B100" s="395" t="s">
        <v>21</v>
      </c>
      <c r="C100" s="395" t="s">
        <v>78</v>
      </c>
      <c r="D100" s="395" t="s">
        <v>18</v>
      </c>
      <c r="E100" s="395" t="s">
        <v>22</v>
      </c>
      <c r="F100" s="395" t="s">
        <v>7</v>
      </c>
      <c r="G100" s="395" t="s">
        <v>13</v>
      </c>
      <c r="H100" s="395" t="s">
        <v>16</v>
      </c>
      <c r="I100" s="395" t="s">
        <v>23</v>
      </c>
      <c r="J100" s="395" t="s">
        <v>24</v>
      </c>
      <c r="K100" s="395" t="s">
        <v>25</v>
      </c>
      <c r="L100" s="395" t="s">
        <v>26</v>
      </c>
      <c r="M100" s="395" t="s">
        <v>27</v>
      </c>
      <c r="N100" s="395" t="s">
        <v>28</v>
      </c>
      <c r="O100" s="395" t="s">
        <v>11</v>
      </c>
      <c r="P100" s="395" t="s">
        <v>79</v>
      </c>
    </row>
    <row r="101" spans="1:16" ht="15.75">
      <c r="A101" s="274" t="str">
        <f>B91</f>
        <v>treatment of aluminium, fuselage, airframe, Gt-bat, Medium-Term</v>
      </c>
      <c r="B101" s="274">
        <v>1</v>
      </c>
      <c r="C101" s="274"/>
      <c r="D101" s="274" t="s">
        <v>37</v>
      </c>
      <c r="E101" s="30" t="s">
        <v>2</v>
      </c>
      <c r="F101" s="30" t="s">
        <v>372</v>
      </c>
      <c r="G101" s="274" t="s">
        <v>60</v>
      </c>
      <c r="H101" s="30" t="s">
        <v>30</v>
      </c>
      <c r="I101" s="30">
        <v>0</v>
      </c>
      <c r="J101" s="274" t="s">
        <v>31</v>
      </c>
      <c r="K101" s="274" t="s">
        <v>31</v>
      </c>
      <c r="L101" s="274" t="s">
        <v>31</v>
      </c>
      <c r="M101" s="274" t="s">
        <v>31</v>
      </c>
      <c r="N101" s="274" t="s">
        <v>31</v>
      </c>
      <c r="O101" s="274" t="s">
        <v>396</v>
      </c>
      <c r="P101" s="30"/>
    </row>
    <row r="102" spans="1:16" ht="15.75">
      <c r="A102" t="s">
        <v>93</v>
      </c>
      <c r="B102" s="22">
        <v>0.85</v>
      </c>
      <c r="C102" s="274"/>
      <c r="D102" s="274" t="s">
        <v>37</v>
      </c>
      <c r="E102" s="185" t="s">
        <v>38</v>
      </c>
      <c r="F102" s="30" t="s">
        <v>372</v>
      </c>
      <c r="G102" s="274" t="s">
        <v>86</v>
      </c>
      <c r="H102" s="30" t="s">
        <v>33</v>
      </c>
      <c r="I102" s="30">
        <v>0</v>
      </c>
      <c r="J102" s="274" t="s">
        <v>31</v>
      </c>
      <c r="K102" s="274" t="s">
        <v>31</v>
      </c>
      <c r="L102" s="274" t="s">
        <v>31</v>
      </c>
      <c r="M102" s="274" t="s">
        <v>31</v>
      </c>
      <c r="N102" s="274" t="s">
        <v>31</v>
      </c>
      <c r="O102" s="30"/>
      <c r="P102" s="30"/>
    </row>
    <row r="103" spans="1:16" ht="15.75">
      <c r="A103" t="s">
        <v>94</v>
      </c>
      <c r="B103" s="22">
        <v>0.85</v>
      </c>
      <c r="C103" s="31" t="s">
        <v>95</v>
      </c>
      <c r="D103" t="s">
        <v>37</v>
      </c>
      <c r="E103" s="173" t="s">
        <v>38</v>
      </c>
      <c r="F103" s="30" t="s">
        <v>372</v>
      </c>
      <c r="G103" s="274" t="s">
        <v>86</v>
      </c>
      <c r="H103" s="30" t="s">
        <v>33</v>
      </c>
      <c r="I103" s="30">
        <v>0</v>
      </c>
      <c r="J103" s="274" t="s">
        <v>31</v>
      </c>
      <c r="K103" s="274" t="s">
        <v>31</v>
      </c>
      <c r="L103" s="274" t="s">
        <v>31</v>
      </c>
      <c r="M103" s="274" t="s">
        <v>31</v>
      </c>
      <c r="N103" s="274" t="s">
        <v>31</v>
      </c>
      <c r="O103" s="274" t="s">
        <v>349</v>
      </c>
    </row>
    <row r="104" spans="1:16" ht="15.75">
      <c r="A104" t="s">
        <v>97</v>
      </c>
      <c r="B104" s="22">
        <f>B103*0.9</f>
        <v>0.76500000000000001</v>
      </c>
      <c r="D104" t="s">
        <v>37</v>
      </c>
      <c r="E104" s="173" t="s">
        <v>38</v>
      </c>
      <c r="F104" s="30" t="s">
        <v>372</v>
      </c>
      <c r="G104" t="s">
        <v>60</v>
      </c>
      <c r="H104" s="30" t="s">
        <v>98</v>
      </c>
      <c r="I104" s="30">
        <v>0</v>
      </c>
      <c r="J104" s="274" t="s">
        <v>31</v>
      </c>
      <c r="K104" s="274" t="s">
        <v>31</v>
      </c>
      <c r="L104" s="274" t="s">
        <v>31</v>
      </c>
      <c r="M104" s="274" t="s">
        <v>31</v>
      </c>
      <c r="N104" s="274" t="s">
        <v>31</v>
      </c>
      <c r="O104" s="30"/>
      <c r="P104" s="274" t="s">
        <v>374</v>
      </c>
    </row>
    <row r="105" spans="1:16" ht="15.75">
      <c r="A105" t="s">
        <v>103</v>
      </c>
      <c r="B105" s="22">
        <f>-(1-B104)</f>
        <v>-0.23499999999999999</v>
      </c>
      <c r="D105" t="s">
        <v>37</v>
      </c>
      <c r="E105" s="232" t="s">
        <v>38</v>
      </c>
      <c r="F105" s="30" t="s">
        <v>372</v>
      </c>
      <c r="G105" t="s">
        <v>60</v>
      </c>
      <c r="H105" t="s">
        <v>33</v>
      </c>
      <c r="I105">
        <v>0</v>
      </c>
      <c r="J105" t="s">
        <v>31</v>
      </c>
      <c r="K105" t="s">
        <v>31</v>
      </c>
      <c r="L105" t="s">
        <v>31</v>
      </c>
      <c r="M105" t="s">
        <v>31</v>
      </c>
      <c r="N105" t="s">
        <v>31</v>
      </c>
      <c r="O105" s="17"/>
      <c r="P105" s="30"/>
    </row>
    <row r="106" spans="1:16" s="42" customFormat="1" ht="15.75">
      <c r="A106" s="392" t="s">
        <v>5</v>
      </c>
      <c r="B106" s="392" t="s">
        <v>397</v>
      </c>
      <c r="C106" s="392"/>
      <c r="D106" s="120"/>
      <c r="E106" s="393"/>
      <c r="F106" s="393"/>
      <c r="G106" s="393"/>
      <c r="H106" s="393"/>
      <c r="I106" s="393"/>
      <c r="J106" s="393"/>
      <c r="K106" s="393"/>
      <c r="L106" s="393"/>
      <c r="M106" s="393"/>
      <c r="N106" s="393"/>
      <c r="O106" s="393"/>
      <c r="P106" s="393"/>
    </row>
    <row r="107" spans="1:16">
      <c r="A107" s="30" t="s">
        <v>7</v>
      </c>
      <c r="B107" s="30" t="s">
        <v>322</v>
      </c>
      <c r="C107" s="30"/>
      <c r="D107" s="30"/>
      <c r="E107" s="30"/>
      <c r="F107" s="30"/>
      <c r="G107" s="30"/>
      <c r="H107" s="30"/>
      <c r="I107" s="30"/>
      <c r="J107" s="30"/>
      <c r="K107" s="30"/>
      <c r="L107" s="30"/>
      <c r="M107" s="30"/>
      <c r="N107" s="30"/>
      <c r="O107" s="30"/>
      <c r="P107" s="30"/>
    </row>
    <row r="108" spans="1:16">
      <c r="A108" s="30" t="s">
        <v>9</v>
      </c>
      <c r="B108" s="394" t="s">
        <v>398</v>
      </c>
      <c r="C108" s="30"/>
      <c r="D108" s="30"/>
      <c r="E108" s="30"/>
      <c r="F108" s="30"/>
      <c r="G108" s="30"/>
      <c r="H108" s="30"/>
      <c r="I108" s="30"/>
      <c r="J108" s="30"/>
      <c r="K108" s="30"/>
      <c r="L108" s="30"/>
      <c r="M108" s="30"/>
      <c r="N108" s="30"/>
      <c r="O108" s="30"/>
      <c r="P108" s="30"/>
    </row>
    <row r="109" spans="1:16">
      <c r="A109" s="30" t="s">
        <v>11</v>
      </c>
      <c r="B109" s="30" t="s">
        <v>371</v>
      </c>
      <c r="C109" s="30"/>
      <c r="D109" s="30"/>
      <c r="E109" s="30"/>
      <c r="F109" s="30"/>
      <c r="G109" s="30"/>
      <c r="H109" s="30"/>
      <c r="I109" s="30"/>
      <c r="J109" s="30"/>
      <c r="K109" s="30"/>
      <c r="L109" s="30"/>
      <c r="M109" s="30"/>
      <c r="N109" s="30"/>
      <c r="O109" s="30"/>
      <c r="P109" s="30"/>
    </row>
    <row r="110" spans="1:16">
      <c r="A110" s="30" t="s">
        <v>13</v>
      </c>
      <c r="B110" s="30" t="s">
        <v>60</v>
      </c>
      <c r="C110" s="30"/>
      <c r="D110" s="30"/>
      <c r="E110" s="30"/>
      <c r="F110" s="30"/>
      <c r="G110" s="30"/>
      <c r="H110" s="30"/>
      <c r="I110" s="30"/>
      <c r="J110" s="30"/>
      <c r="K110" s="30"/>
      <c r="L110" s="30"/>
      <c r="M110" s="30"/>
      <c r="N110" s="30"/>
      <c r="O110" s="30"/>
      <c r="P110" s="30"/>
    </row>
    <row r="111" spans="1:16">
      <c r="A111" s="30" t="s">
        <v>15</v>
      </c>
      <c r="B111" s="30">
        <v>1</v>
      </c>
      <c r="C111" s="30"/>
      <c r="D111" s="30"/>
      <c r="E111" s="30"/>
      <c r="F111" s="30"/>
      <c r="G111" s="30"/>
      <c r="H111" s="30"/>
      <c r="I111" s="30"/>
      <c r="J111" s="30"/>
      <c r="K111" s="30"/>
      <c r="L111" s="30"/>
      <c r="M111" s="30"/>
      <c r="N111" s="30"/>
      <c r="O111" s="30"/>
      <c r="P111" s="30"/>
    </row>
    <row r="112" spans="1:16">
      <c r="A112" s="30" t="s">
        <v>16</v>
      </c>
      <c r="B112" s="30" t="s">
        <v>17</v>
      </c>
      <c r="C112" s="30"/>
      <c r="D112" s="30"/>
      <c r="E112" s="30"/>
      <c r="F112" s="30"/>
      <c r="G112" s="30"/>
      <c r="H112" s="30"/>
      <c r="I112" s="30"/>
      <c r="J112" s="30"/>
      <c r="K112" s="30"/>
      <c r="L112" s="30"/>
      <c r="M112" s="30"/>
      <c r="N112" s="30"/>
      <c r="O112" s="30"/>
      <c r="P112" s="30"/>
    </row>
    <row r="113" spans="1:16" ht="15.75">
      <c r="A113" s="30" t="s">
        <v>18</v>
      </c>
      <c r="B113" s="274" t="s">
        <v>37</v>
      </c>
      <c r="C113" s="30"/>
      <c r="D113" s="30"/>
      <c r="E113" s="30" t="s">
        <v>77</v>
      </c>
      <c r="F113" s="30"/>
      <c r="G113" s="30"/>
      <c r="H113" s="30"/>
      <c r="I113" s="30"/>
      <c r="J113" s="30"/>
      <c r="K113" s="30"/>
      <c r="L113" s="30"/>
      <c r="M113" s="30"/>
      <c r="N113" s="30"/>
      <c r="O113" s="30"/>
      <c r="P113" s="30"/>
    </row>
    <row r="114" spans="1:16" ht="15.75">
      <c r="A114" s="395" t="s">
        <v>19</v>
      </c>
      <c r="B114" s="30"/>
      <c r="C114" s="30"/>
      <c r="D114" s="30"/>
      <c r="E114" s="30"/>
      <c r="F114" s="30"/>
      <c r="G114" s="30"/>
      <c r="H114" s="30"/>
      <c r="I114" s="30"/>
      <c r="J114" s="30"/>
      <c r="K114" s="30"/>
      <c r="L114" s="30"/>
      <c r="M114" s="30"/>
      <c r="N114" s="30"/>
      <c r="O114" s="30"/>
      <c r="P114" s="30"/>
    </row>
    <row r="115" spans="1:16" ht="15.75">
      <c r="A115" s="395" t="s">
        <v>20</v>
      </c>
      <c r="B115" s="395" t="s">
        <v>21</v>
      </c>
      <c r="C115" s="395" t="s">
        <v>78</v>
      </c>
      <c r="D115" s="395" t="s">
        <v>18</v>
      </c>
      <c r="E115" s="395" t="s">
        <v>22</v>
      </c>
      <c r="F115" s="395" t="s">
        <v>7</v>
      </c>
      <c r="G115" s="395" t="s">
        <v>13</v>
      </c>
      <c r="H115" s="395" t="s">
        <v>16</v>
      </c>
      <c r="I115" s="395" t="s">
        <v>23</v>
      </c>
      <c r="J115" s="395" t="s">
        <v>24</v>
      </c>
      <c r="K115" s="395" t="s">
        <v>25</v>
      </c>
      <c r="L115" s="395" t="s">
        <v>26</v>
      </c>
      <c r="M115" s="395" t="s">
        <v>27</v>
      </c>
      <c r="N115" s="395" t="s">
        <v>28</v>
      </c>
      <c r="O115" s="395" t="s">
        <v>11</v>
      </c>
      <c r="P115" s="395" t="s">
        <v>79</v>
      </c>
    </row>
    <row r="116" spans="1:16" ht="15.75">
      <c r="A116" s="274" t="str">
        <f>B106</f>
        <v>treatment of composites, fuselage, airframe, Gt-bat, Medium-Term</v>
      </c>
      <c r="B116" s="274">
        <v>1</v>
      </c>
      <c r="C116" s="274"/>
      <c r="D116" s="274" t="s">
        <v>37</v>
      </c>
      <c r="E116" s="30" t="s">
        <v>2</v>
      </c>
      <c r="F116" s="30" t="s">
        <v>372</v>
      </c>
      <c r="G116" s="274" t="s">
        <v>60</v>
      </c>
      <c r="H116" s="30" t="s">
        <v>30</v>
      </c>
      <c r="I116" s="30">
        <v>0</v>
      </c>
      <c r="J116" s="274" t="s">
        <v>31</v>
      </c>
      <c r="K116" s="274" t="s">
        <v>31</v>
      </c>
      <c r="L116" s="274" t="s">
        <v>31</v>
      </c>
      <c r="M116" s="274" t="s">
        <v>31</v>
      </c>
      <c r="N116" s="274" t="s">
        <v>31</v>
      </c>
      <c r="O116" s="274" t="s">
        <v>399</v>
      </c>
      <c r="P116" s="30"/>
    </row>
    <row r="117" spans="1:16" ht="15.75">
      <c r="A117" s="232" t="s">
        <v>109</v>
      </c>
      <c r="B117">
        <v>-0.5</v>
      </c>
      <c r="D117" t="s">
        <v>37</v>
      </c>
      <c r="E117" s="173" t="s">
        <v>38</v>
      </c>
      <c r="F117" s="30" t="s">
        <v>372</v>
      </c>
      <c r="G117" t="s">
        <v>86</v>
      </c>
      <c r="H117" t="s">
        <v>33</v>
      </c>
      <c r="I117" s="30">
        <v>0</v>
      </c>
      <c r="J117" s="274" t="s">
        <v>31</v>
      </c>
      <c r="K117" s="274" t="s">
        <v>31</v>
      </c>
      <c r="L117" s="274" t="s">
        <v>31</v>
      </c>
      <c r="M117" s="274" t="s">
        <v>31</v>
      </c>
      <c r="N117" s="274" t="s">
        <v>31</v>
      </c>
      <c r="O117" s="274" t="s">
        <v>110</v>
      </c>
      <c r="P117" s="274" t="s">
        <v>341</v>
      </c>
    </row>
    <row r="118" spans="1:16" ht="15.75">
      <c r="A118" t="s">
        <v>40</v>
      </c>
      <c r="B118">
        <f>B119*0.277777777</f>
        <v>2.415277771015</v>
      </c>
      <c r="D118" t="s">
        <v>41</v>
      </c>
      <c r="E118" s="173" t="s">
        <v>38</v>
      </c>
      <c r="F118" s="30" t="s">
        <v>372</v>
      </c>
      <c r="G118" t="s">
        <v>60</v>
      </c>
      <c r="H118" s="30" t="s">
        <v>98</v>
      </c>
      <c r="I118" s="30">
        <v>0</v>
      </c>
      <c r="J118" s="274" t="s">
        <v>31</v>
      </c>
      <c r="K118" s="274" t="s">
        <v>31</v>
      </c>
      <c r="L118" s="274" t="s">
        <v>31</v>
      </c>
      <c r="M118" s="274" t="s">
        <v>31</v>
      </c>
      <c r="N118" s="274" t="s">
        <v>31</v>
      </c>
      <c r="O118" t="s">
        <v>342</v>
      </c>
    </row>
    <row r="119" spans="1:16" ht="15.75">
      <c r="A119" t="s">
        <v>112</v>
      </c>
      <c r="B119">
        <f>-B117*0.5*34.78</f>
        <v>8.6950000000000003</v>
      </c>
      <c r="D119" t="s">
        <v>113</v>
      </c>
      <c r="E119" s="173" t="s">
        <v>38</v>
      </c>
      <c r="F119" s="30" t="s">
        <v>372</v>
      </c>
      <c r="G119" t="s">
        <v>60</v>
      </c>
      <c r="H119" s="30" t="s">
        <v>98</v>
      </c>
      <c r="I119" s="30">
        <v>0</v>
      </c>
      <c r="J119" s="274" t="s">
        <v>31</v>
      </c>
      <c r="K119" s="274" t="s">
        <v>31</v>
      </c>
      <c r="L119" s="274" t="s">
        <v>31</v>
      </c>
      <c r="M119" s="274" t="s">
        <v>31</v>
      </c>
      <c r="N119" s="274" t="s">
        <v>31</v>
      </c>
      <c r="O119" t="s">
        <v>378</v>
      </c>
    </row>
    <row r="120" spans="1:16" ht="15.75">
      <c r="A120" s="232" t="s">
        <v>344</v>
      </c>
      <c r="B120">
        <v>-0.5</v>
      </c>
      <c r="D120" t="s">
        <v>37</v>
      </c>
      <c r="E120" s="173" t="s">
        <v>38</v>
      </c>
      <c r="F120" s="30" t="s">
        <v>372</v>
      </c>
      <c r="G120" t="s">
        <v>86</v>
      </c>
      <c r="H120" s="30" t="s">
        <v>33</v>
      </c>
      <c r="I120" s="30">
        <v>0</v>
      </c>
      <c r="J120" s="274" t="s">
        <v>31</v>
      </c>
      <c r="K120" s="274" t="s">
        <v>31</v>
      </c>
      <c r="L120" s="274" t="s">
        <v>31</v>
      </c>
      <c r="M120" s="274" t="s">
        <v>31</v>
      </c>
      <c r="N120" s="274" t="s">
        <v>31</v>
      </c>
      <c r="O120" s="274"/>
    </row>
    <row r="121" spans="1:16" s="42" customFormat="1" ht="15.75">
      <c r="A121" s="392" t="s">
        <v>5</v>
      </c>
      <c r="B121" s="392" t="s">
        <v>400</v>
      </c>
      <c r="C121" s="392"/>
      <c r="D121" s="120"/>
      <c r="E121" s="393"/>
      <c r="F121" s="393"/>
      <c r="G121" s="393"/>
      <c r="H121" s="393"/>
      <c r="I121" s="393"/>
      <c r="J121" s="393"/>
      <c r="K121" s="393"/>
      <c r="L121" s="393"/>
      <c r="M121" s="393"/>
      <c r="N121" s="393"/>
      <c r="O121" s="393"/>
      <c r="P121" s="393"/>
    </row>
    <row r="122" spans="1:16">
      <c r="A122" s="30" t="s">
        <v>7</v>
      </c>
      <c r="B122" s="30" t="s">
        <v>322</v>
      </c>
      <c r="C122" s="30"/>
      <c r="D122" s="30"/>
      <c r="E122" s="30"/>
      <c r="F122" s="30"/>
      <c r="G122" s="30"/>
      <c r="H122" s="30"/>
      <c r="I122" s="30"/>
      <c r="J122" s="30"/>
      <c r="K122" s="30"/>
      <c r="L122" s="30"/>
      <c r="M122" s="30"/>
      <c r="N122" s="30"/>
      <c r="O122" s="30"/>
      <c r="P122" s="30"/>
    </row>
    <row r="123" spans="1:16">
      <c r="A123" s="30" t="s">
        <v>9</v>
      </c>
      <c r="B123" s="394" t="s">
        <v>401</v>
      </c>
      <c r="C123" s="30"/>
      <c r="D123" s="30"/>
      <c r="E123" s="30"/>
      <c r="F123" s="30"/>
      <c r="G123" s="30"/>
      <c r="H123" s="30"/>
      <c r="I123" s="30"/>
      <c r="J123" s="30"/>
      <c r="K123" s="30"/>
      <c r="L123" s="30"/>
      <c r="M123" s="30"/>
      <c r="N123" s="30"/>
      <c r="O123" s="30"/>
      <c r="P123" s="30"/>
    </row>
    <row r="124" spans="1:16">
      <c r="A124" s="30" t="s">
        <v>11</v>
      </c>
      <c r="B124" s="30" t="s">
        <v>371</v>
      </c>
      <c r="C124" s="30"/>
      <c r="D124" s="30"/>
      <c r="E124" s="30"/>
      <c r="F124" s="30"/>
      <c r="G124" s="30"/>
      <c r="H124" s="30"/>
      <c r="I124" s="30"/>
      <c r="J124" s="30"/>
      <c r="K124" s="30"/>
      <c r="L124" s="30"/>
      <c r="M124" s="30"/>
      <c r="N124" s="30"/>
      <c r="O124" s="30"/>
      <c r="P124" s="30"/>
    </row>
    <row r="125" spans="1:16">
      <c r="A125" s="30" t="s">
        <v>13</v>
      </c>
      <c r="B125" s="30" t="s">
        <v>60</v>
      </c>
      <c r="C125" s="30"/>
      <c r="D125" s="30"/>
      <c r="E125" s="30"/>
      <c r="F125" s="30"/>
      <c r="G125" s="30"/>
      <c r="H125" s="30"/>
      <c r="I125" s="30"/>
      <c r="J125" s="30"/>
      <c r="K125" s="30"/>
      <c r="L125" s="30"/>
      <c r="M125" s="30"/>
      <c r="N125" s="30"/>
      <c r="O125" s="30"/>
      <c r="P125" s="30"/>
    </row>
    <row r="126" spans="1:16">
      <c r="A126" s="30" t="s">
        <v>15</v>
      </c>
      <c r="B126" s="30">
        <v>1</v>
      </c>
      <c r="C126" s="30"/>
      <c r="D126" s="30"/>
      <c r="E126" s="30"/>
      <c r="F126" s="30"/>
      <c r="G126" s="30"/>
      <c r="H126" s="30"/>
      <c r="I126" s="30"/>
      <c r="J126" s="30"/>
      <c r="K126" s="30"/>
      <c r="L126" s="30"/>
      <c r="M126" s="30"/>
      <c r="N126" s="30"/>
      <c r="O126" s="30"/>
      <c r="P126" s="30"/>
    </row>
    <row r="127" spans="1:16">
      <c r="A127" s="30" t="s">
        <v>16</v>
      </c>
      <c r="B127" s="30" t="s">
        <v>17</v>
      </c>
      <c r="C127" s="30"/>
      <c r="D127" s="30"/>
      <c r="E127" s="30"/>
      <c r="F127" s="30"/>
      <c r="G127" s="30"/>
      <c r="H127" s="30"/>
      <c r="I127" s="30"/>
      <c r="J127" s="30"/>
      <c r="K127" s="30"/>
      <c r="L127" s="30"/>
      <c r="M127" s="30"/>
      <c r="N127" s="30"/>
      <c r="O127" s="30"/>
      <c r="P127" s="30"/>
    </row>
    <row r="128" spans="1:16" ht="15.75">
      <c r="A128" s="30" t="s">
        <v>18</v>
      </c>
      <c r="B128" s="274" t="s">
        <v>37</v>
      </c>
      <c r="C128" s="30"/>
      <c r="D128" s="30"/>
      <c r="E128" s="30" t="s">
        <v>77</v>
      </c>
      <c r="F128" s="30"/>
      <c r="G128" s="30"/>
      <c r="H128" s="30"/>
      <c r="I128" s="30"/>
      <c r="J128" s="30"/>
      <c r="K128" s="30"/>
      <c r="L128" s="30"/>
      <c r="M128" s="30"/>
      <c r="N128" s="30"/>
      <c r="O128" s="30"/>
      <c r="P128" s="30"/>
    </row>
    <row r="129" spans="1:16" ht="15.75">
      <c r="A129" s="395" t="s">
        <v>19</v>
      </c>
      <c r="B129" s="30"/>
      <c r="C129" s="30"/>
      <c r="D129" s="30"/>
      <c r="E129" s="30"/>
      <c r="F129" s="30"/>
      <c r="G129" s="30"/>
      <c r="H129" s="30"/>
      <c r="I129" s="30"/>
      <c r="J129" s="30"/>
      <c r="K129" s="30"/>
      <c r="L129" s="30"/>
      <c r="M129" s="30"/>
      <c r="N129" s="30"/>
      <c r="O129" s="30"/>
      <c r="P129" s="30"/>
    </row>
    <row r="130" spans="1:16" ht="15.75">
      <c r="A130" s="395" t="s">
        <v>20</v>
      </c>
      <c r="B130" s="395" t="s">
        <v>21</v>
      </c>
      <c r="C130" s="395" t="s">
        <v>78</v>
      </c>
      <c r="D130" s="395" t="s">
        <v>18</v>
      </c>
      <c r="E130" s="395" t="s">
        <v>22</v>
      </c>
      <c r="F130" s="395" t="s">
        <v>7</v>
      </c>
      <c r="G130" s="395" t="s">
        <v>13</v>
      </c>
      <c r="H130" s="395" t="s">
        <v>16</v>
      </c>
      <c r="I130" s="395" t="s">
        <v>23</v>
      </c>
      <c r="J130" s="395" t="s">
        <v>24</v>
      </c>
      <c r="K130" s="395" t="s">
        <v>25</v>
      </c>
      <c r="L130" s="395" t="s">
        <v>26</v>
      </c>
      <c r="M130" s="395" t="s">
        <v>27</v>
      </c>
      <c r="N130" s="395" t="s">
        <v>28</v>
      </c>
      <c r="O130" s="395" t="s">
        <v>11</v>
      </c>
      <c r="P130" s="395" t="s">
        <v>79</v>
      </c>
    </row>
    <row r="131" spans="1:16" ht="15.75">
      <c r="A131" s="274" t="str">
        <f>B121</f>
        <v>treatment of steel, fuselage, airframe, Gt-bat, Medium-Term</v>
      </c>
      <c r="B131" s="274">
        <v>1</v>
      </c>
      <c r="C131" s="274"/>
      <c r="D131" s="274" t="s">
        <v>37</v>
      </c>
      <c r="E131" s="30" t="s">
        <v>2</v>
      </c>
      <c r="F131" s="30" t="s">
        <v>372</v>
      </c>
      <c r="G131" s="274" t="s">
        <v>60</v>
      </c>
      <c r="H131" s="30" t="s">
        <v>30</v>
      </c>
      <c r="I131" s="30">
        <v>0</v>
      </c>
      <c r="J131" s="274" t="s">
        <v>31</v>
      </c>
      <c r="K131" s="274" t="s">
        <v>31</v>
      </c>
      <c r="L131" s="274" t="s">
        <v>31</v>
      </c>
      <c r="M131" s="274" t="s">
        <v>31</v>
      </c>
      <c r="N131" s="274" t="s">
        <v>31</v>
      </c>
      <c r="O131" s="274" t="s">
        <v>402</v>
      </c>
      <c r="P131" s="30"/>
    </row>
    <row r="132" spans="1:16" ht="15.75">
      <c r="A132" t="s">
        <v>134</v>
      </c>
      <c r="B132" s="22">
        <v>0.85</v>
      </c>
      <c r="C132" s="274"/>
      <c r="D132" s="274" t="s">
        <v>37</v>
      </c>
      <c r="E132" s="232" t="s">
        <v>38</v>
      </c>
      <c r="F132" s="30" t="s">
        <v>372</v>
      </c>
      <c r="G132" s="274" t="s">
        <v>86</v>
      </c>
      <c r="H132" s="30" t="s">
        <v>33</v>
      </c>
      <c r="I132" s="30">
        <v>0</v>
      </c>
      <c r="J132" s="274" t="s">
        <v>31</v>
      </c>
      <c r="K132" s="274" t="s">
        <v>31</v>
      </c>
      <c r="L132" s="274" t="s">
        <v>31</v>
      </c>
      <c r="M132" s="274" t="s">
        <v>31</v>
      </c>
      <c r="N132" s="274" t="s">
        <v>31</v>
      </c>
      <c r="O132" s="30"/>
      <c r="P132" s="30"/>
    </row>
    <row r="133" spans="1:16" ht="15.75">
      <c r="A133" t="s">
        <v>137</v>
      </c>
      <c r="B133" s="22">
        <f>0.9*B132</f>
        <v>0.76500000000000001</v>
      </c>
      <c r="C133" s="274"/>
      <c r="D133" s="274" t="s">
        <v>37</v>
      </c>
      <c r="E133" s="232" t="s">
        <v>38</v>
      </c>
      <c r="F133" s="30" t="s">
        <v>372</v>
      </c>
      <c r="G133" s="274" t="s">
        <v>60</v>
      </c>
      <c r="H133" s="30" t="s">
        <v>98</v>
      </c>
      <c r="I133" s="30">
        <v>0</v>
      </c>
      <c r="J133" s="274" t="s">
        <v>31</v>
      </c>
      <c r="K133" s="274" t="s">
        <v>31</v>
      </c>
      <c r="L133" s="274" t="s">
        <v>31</v>
      </c>
      <c r="M133" s="274" t="s">
        <v>31</v>
      </c>
      <c r="N133" s="274" t="s">
        <v>31</v>
      </c>
      <c r="O133" s="30"/>
      <c r="P133" s="30" t="s">
        <v>99</v>
      </c>
    </row>
    <row r="134" spans="1:16" ht="16.5" customHeight="1">
      <c r="A134" t="s">
        <v>103</v>
      </c>
      <c r="B134" s="22">
        <f>-(1-B133)</f>
        <v>-0.23499999999999999</v>
      </c>
      <c r="D134" t="s">
        <v>37</v>
      </c>
      <c r="E134" s="232" t="s">
        <v>38</v>
      </c>
      <c r="F134" s="30" t="s">
        <v>372</v>
      </c>
      <c r="G134" t="s">
        <v>60</v>
      </c>
      <c r="H134" t="s">
        <v>33</v>
      </c>
      <c r="I134">
        <v>0</v>
      </c>
      <c r="J134" t="s">
        <v>31</v>
      </c>
      <c r="K134" t="s">
        <v>31</v>
      </c>
      <c r="L134" t="s">
        <v>31</v>
      </c>
      <c r="M134" t="s">
        <v>31</v>
      </c>
      <c r="N134" t="s">
        <v>31</v>
      </c>
      <c r="O134" s="17"/>
      <c r="P134" s="30" t="s">
        <v>382</v>
      </c>
    </row>
    <row r="135" spans="1:16" s="42" customFormat="1" ht="15.75">
      <c r="A135" s="392" t="s">
        <v>5</v>
      </c>
      <c r="B135" s="392" t="s">
        <v>403</v>
      </c>
      <c r="C135" s="392"/>
      <c r="D135" s="120"/>
      <c r="E135" s="393"/>
      <c r="F135" s="393"/>
      <c r="G135" s="393"/>
      <c r="H135" s="393"/>
      <c r="I135" s="393"/>
      <c r="J135" s="393"/>
      <c r="K135" s="393"/>
      <c r="L135" s="393"/>
      <c r="M135" s="393"/>
      <c r="N135" s="393"/>
      <c r="O135" s="393"/>
      <c r="P135" s="393"/>
    </row>
    <row r="136" spans="1:16">
      <c r="A136" s="30" t="s">
        <v>7</v>
      </c>
      <c r="B136" s="30" t="s">
        <v>322</v>
      </c>
      <c r="C136" s="30"/>
      <c r="D136" s="30"/>
      <c r="E136" s="30"/>
      <c r="F136" s="30"/>
      <c r="G136" s="30"/>
      <c r="H136" s="30"/>
      <c r="I136" s="30"/>
      <c r="J136" s="30"/>
      <c r="K136" s="30"/>
      <c r="L136" s="30"/>
      <c r="M136" s="30"/>
      <c r="N136" s="30"/>
      <c r="O136" s="30"/>
      <c r="P136" s="30"/>
    </row>
    <row r="137" spans="1:16">
      <c r="A137" s="30" t="s">
        <v>9</v>
      </c>
      <c r="B137" s="394" t="s">
        <v>404</v>
      </c>
      <c r="C137" s="30"/>
      <c r="D137" s="30"/>
      <c r="E137" s="30"/>
      <c r="F137" s="30"/>
      <c r="G137" s="30"/>
      <c r="H137" s="30"/>
      <c r="I137" s="30"/>
      <c r="J137" s="30"/>
      <c r="K137" s="30"/>
      <c r="L137" s="30"/>
      <c r="M137" s="30"/>
      <c r="N137" s="30"/>
      <c r="O137" s="30"/>
      <c r="P137" s="30"/>
    </row>
    <row r="138" spans="1:16">
      <c r="A138" s="30" t="s">
        <v>11</v>
      </c>
      <c r="B138" s="30" t="s">
        <v>371</v>
      </c>
      <c r="C138" s="30"/>
      <c r="D138" s="30"/>
      <c r="E138" s="30"/>
      <c r="F138" s="30"/>
      <c r="G138" s="30"/>
      <c r="H138" s="30"/>
      <c r="I138" s="30"/>
      <c r="J138" s="30"/>
      <c r="K138" s="30"/>
      <c r="L138" s="30"/>
      <c r="M138" s="30"/>
      <c r="N138" s="30"/>
      <c r="O138" s="30"/>
      <c r="P138" s="30"/>
    </row>
    <row r="139" spans="1:16">
      <c r="A139" s="30" t="s">
        <v>13</v>
      </c>
      <c r="B139" s="30" t="s">
        <v>60</v>
      </c>
      <c r="C139" s="30"/>
      <c r="D139" s="30"/>
      <c r="E139" s="30"/>
      <c r="F139" s="30"/>
      <c r="G139" s="30"/>
      <c r="H139" s="30"/>
      <c r="I139" s="30"/>
      <c r="J139" s="30"/>
      <c r="K139" s="30"/>
      <c r="L139" s="30"/>
      <c r="M139" s="30"/>
      <c r="N139" s="30"/>
      <c r="O139" s="30"/>
      <c r="P139" s="30"/>
    </row>
    <row r="140" spans="1:16">
      <c r="A140" s="30" t="s">
        <v>15</v>
      </c>
      <c r="B140" s="30">
        <v>1</v>
      </c>
      <c r="C140" s="30"/>
      <c r="D140" s="30"/>
      <c r="E140" s="30"/>
      <c r="F140" s="30"/>
      <c r="G140" s="30"/>
      <c r="H140" s="30"/>
      <c r="I140" s="30"/>
      <c r="J140" s="30"/>
      <c r="K140" s="30"/>
      <c r="L140" s="30"/>
      <c r="M140" s="30"/>
      <c r="N140" s="30"/>
      <c r="O140" s="30"/>
      <c r="P140" s="30"/>
    </row>
    <row r="141" spans="1:16">
      <c r="A141" s="30" t="s">
        <v>16</v>
      </c>
      <c r="B141" s="30" t="s">
        <v>17</v>
      </c>
      <c r="C141" s="30"/>
      <c r="D141" s="30"/>
      <c r="E141" s="30"/>
      <c r="F141" s="30"/>
      <c r="G141" s="30"/>
      <c r="H141" s="30"/>
      <c r="I141" s="30"/>
      <c r="J141" s="30"/>
      <c r="K141" s="30"/>
      <c r="L141" s="30"/>
      <c r="M141" s="30"/>
      <c r="N141" s="30"/>
      <c r="O141" s="30"/>
      <c r="P141" s="30"/>
    </row>
    <row r="142" spans="1:16" ht="15.75">
      <c r="A142" s="30" t="s">
        <v>18</v>
      </c>
      <c r="B142" s="274" t="s">
        <v>37</v>
      </c>
      <c r="C142" s="30"/>
      <c r="D142" s="30"/>
      <c r="E142" s="30" t="s">
        <v>77</v>
      </c>
      <c r="F142" s="30"/>
      <c r="G142" s="30"/>
      <c r="H142" s="30"/>
      <c r="I142" s="30"/>
      <c r="J142" s="30"/>
      <c r="K142" s="30"/>
      <c r="L142" s="30"/>
      <c r="M142" s="30"/>
      <c r="N142" s="30"/>
      <c r="O142" s="30"/>
      <c r="P142" s="30"/>
    </row>
    <row r="143" spans="1:16" ht="15.75">
      <c r="A143" s="395" t="s">
        <v>19</v>
      </c>
      <c r="B143" s="30"/>
      <c r="C143" s="30"/>
      <c r="D143" s="30"/>
      <c r="E143" s="30"/>
      <c r="F143" s="30"/>
      <c r="G143" s="30"/>
      <c r="H143" s="30"/>
      <c r="I143" s="30"/>
      <c r="J143" s="30"/>
      <c r="K143" s="30"/>
      <c r="L143" s="30"/>
      <c r="M143" s="30"/>
      <c r="N143" s="30"/>
      <c r="O143" s="30"/>
      <c r="P143" s="30"/>
    </row>
    <row r="144" spans="1:16" ht="15.75">
      <c r="A144" s="395" t="s">
        <v>20</v>
      </c>
      <c r="B144" s="395" t="s">
        <v>21</v>
      </c>
      <c r="C144" s="395" t="s">
        <v>78</v>
      </c>
      <c r="D144" s="395" t="s">
        <v>18</v>
      </c>
      <c r="E144" s="395" t="s">
        <v>22</v>
      </c>
      <c r="F144" s="395" t="s">
        <v>7</v>
      </c>
      <c r="G144" s="395" t="s">
        <v>13</v>
      </c>
      <c r="H144" s="395" t="s">
        <v>16</v>
      </c>
      <c r="I144" s="395" t="s">
        <v>23</v>
      </c>
      <c r="J144" s="395" t="s">
        <v>24</v>
      </c>
      <c r="K144" s="395" t="s">
        <v>25</v>
      </c>
      <c r="L144" s="395" t="s">
        <v>26</v>
      </c>
      <c r="M144" s="395" t="s">
        <v>27</v>
      </c>
      <c r="N144" s="395" t="s">
        <v>28</v>
      </c>
      <c r="O144" s="395" t="s">
        <v>11</v>
      </c>
      <c r="P144" s="395" t="s">
        <v>79</v>
      </c>
    </row>
    <row r="145" spans="1:22" ht="15.75">
      <c r="A145" s="274" t="str">
        <f>B135</f>
        <v>treatment of titanium, fuselage, airframe, Gt-bat, Medium-Term</v>
      </c>
      <c r="B145" s="274">
        <v>1</v>
      </c>
      <c r="C145" s="274"/>
      <c r="D145" s="274" t="s">
        <v>37</v>
      </c>
      <c r="E145" s="30" t="s">
        <v>2</v>
      </c>
      <c r="F145" s="30" t="s">
        <v>372</v>
      </c>
      <c r="G145" s="274" t="s">
        <v>60</v>
      </c>
      <c r="H145" s="30" t="s">
        <v>30</v>
      </c>
      <c r="I145" s="30">
        <v>0</v>
      </c>
      <c r="J145" s="274" t="s">
        <v>31</v>
      </c>
      <c r="K145" s="274" t="s">
        <v>31</v>
      </c>
      <c r="L145" s="274" t="s">
        <v>31</v>
      </c>
      <c r="M145" s="274" t="s">
        <v>31</v>
      </c>
      <c r="N145" s="274" t="s">
        <v>31</v>
      </c>
      <c r="O145" s="274" t="s">
        <v>381</v>
      </c>
      <c r="P145" s="30"/>
    </row>
    <row r="146" spans="1:22">
      <c r="A146" t="s">
        <v>168</v>
      </c>
      <c r="B146">
        <f>U146</f>
        <v>19.0000152</v>
      </c>
      <c r="D146" t="s">
        <v>41</v>
      </c>
      <c r="E146" t="s">
        <v>38</v>
      </c>
      <c r="F146" s="30" t="s">
        <v>372</v>
      </c>
      <c r="G146" t="s">
        <v>60</v>
      </c>
      <c r="H146" t="s">
        <v>33</v>
      </c>
      <c r="I146">
        <v>2</v>
      </c>
      <c r="J146">
        <v>9.398101209</v>
      </c>
      <c r="K146">
        <v>0.30331501799999999</v>
      </c>
      <c r="L146" t="s">
        <v>31</v>
      </c>
      <c r="M146" t="s">
        <v>31</v>
      </c>
      <c r="N146" t="s">
        <v>31</v>
      </c>
      <c r="O146" t="s">
        <v>405</v>
      </c>
      <c r="P146" t="s">
        <v>406</v>
      </c>
      <c r="Q146" s="31" t="s">
        <v>385</v>
      </c>
      <c r="S146" s="31">
        <f>114*0.6</f>
        <v>68.399999999999991</v>
      </c>
      <c r="T146" s="31" t="s">
        <v>331</v>
      </c>
      <c r="U146" s="31">
        <f>S146*0.277778</f>
        <v>19.0000152</v>
      </c>
      <c r="V146" s="31" t="s">
        <v>332</v>
      </c>
    </row>
    <row r="147" spans="1:22">
      <c r="A147" t="s">
        <v>170</v>
      </c>
      <c r="B147">
        <f>U147</f>
        <v>1.1906005221932117</v>
      </c>
      <c r="D147" t="s">
        <v>50</v>
      </c>
      <c r="E147" t="s">
        <v>38</v>
      </c>
      <c r="F147" s="30" t="s">
        <v>372</v>
      </c>
      <c r="G147" t="s">
        <v>333</v>
      </c>
      <c r="H147" t="s">
        <v>33</v>
      </c>
      <c r="I147">
        <v>2</v>
      </c>
      <c r="J147">
        <v>6.6281192500000001</v>
      </c>
      <c r="K147">
        <v>0.30331501799999999</v>
      </c>
      <c r="L147" t="s">
        <v>31</v>
      </c>
      <c r="M147" t="s">
        <v>31</v>
      </c>
      <c r="N147" t="s">
        <v>31</v>
      </c>
      <c r="O147" t="s">
        <v>407</v>
      </c>
      <c r="P147" t="s">
        <v>408</v>
      </c>
      <c r="Q147" s="31" t="s">
        <v>386</v>
      </c>
      <c r="S147" s="31">
        <f>114*0.4</f>
        <v>45.6</v>
      </c>
      <c r="T147" s="31" t="s">
        <v>331</v>
      </c>
      <c r="U147" s="31">
        <f>S147/38.3</f>
        <v>1.1906005221932117</v>
      </c>
      <c r="V147" s="31" t="s">
        <v>335</v>
      </c>
    </row>
    <row r="148" spans="1:22" ht="15.75">
      <c r="A148" t="s">
        <v>103</v>
      </c>
      <c r="B148" s="22">
        <f>-1</f>
        <v>-1</v>
      </c>
      <c r="D148" t="s">
        <v>37</v>
      </c>
      <c r="E148" s="232" t="s">
        <v>38</v>
      </c>
      <c r="F148" s="30" t="s">
        <v>372</v>
      </c>
      <c r="G148" t="s">
        <v>60</v>
      </c>
      <c r="H148" t="s">
        <v>33</v>
      </c>
      <c r="I148">
        <v>0</v>
      </c>
      <c r="J148" t="s">
        <v>31</v>
      </c>
      <c r="K148" t="s">
        <v>31</v>
      </c>
      <c r="L148" t="s">
        <v>31</v>
      </c>
      <c r="M148" t="s">
        <v>31</v>
      </c>
      <c r="N148" t="s">
        <v>31</v>
      </c>
      <c r="O148" s="17"/>
      <c r="P148" s="30" t="s">
        <v>409</v>
      </c>
    </row>
    <row r="149" spans="1:22" s="42" customFormat="1" ht="15.75">
      <c r="A149" s="392" t="s">
        <v>5</v>
      </c>
      <c r="B149" s="392" t="s">
        <v>410</v>
      </c>
      <c r="C149" s="392"/>
      <c r="D149" s="120"/>
      <c r="E149" s="393"/>
      <c r="F149" s="393"/>
      <c r="G149" s="393"/>
      <c r="H149" s="393"/>
      <c r="I149" s="393"/>
      <c r="J149" s="393"/>
      <c r="K149" s="393"/>
      <c r="L149" s="393"/>
      <c r="M149" s="393"/>
      <c r="N149" s="393"/>
      <c r="O149" s="393"/>
      <c r="P149" s="393"/>
    </row>
    <row r="150" spans="1:22">
      <c r="A150" s="30" t="s">
        <v>7</v>
      </c>
      <c r="B150" s="30" t="s">
        <v>322</v>
      </c>
      <c r="C150" s="30"/>
      <c r="D150" s="30"/>
      <c r="E150" s="30"/>
      <c r="F150" s="30"/>
      <c r="G150" s="30"/>
      <c r="H150" s="30"/>
      <c r="I150" s="30"/>
      <c r="J150" s="30"/>
      <c r="K150" s="30"/>
      <c r="L150" s="30"/>
      <c r="M150" s="30"/>
      <c r="N150" s="30"/>
      <c r="O150" s="30"/>
      <c r="P150" s="30"/>
    </row>
    <row r="151" spans="1:22">
      <c r="A151" s="30" t="s">
        <v>9</v>
      </c>
      <c r="B151" s="394" t="s">
        <v>411</v>
      </c>
      <c r="C151" s="30"/>
      <c r="D151" s="30"/>
      <c r="E151" s="30"/>
      <c r="F151" s="30"/>
      <c r="G151" s="30"/>
      <c r="H151" s="30"/>
      <c r="I151" s="30"/>
      <c r="J151" s="30"/>
      <c r="K151" s="30"/>
      <c r="L151" s="30"/>
      <c r="M151" s="30"/>
      <c r="N151" s="30"/>
      <c r="O151" s="30"/>
      <c r="P151" s="30"/>
    </row>
    <row r="152" spans="1:22">
      <c r="A152" s="30" t="s">
        <v>11</v>
      </c>
      <c r="B152" s="30" t="s">
        <v>371</v>
      </c>
      <c r="C152" s="30"/>
      <c r="D152" s="30"/>
      <c r="E152" s="30"/>
      <c r="F152" s="30"/>
      <c r="G152" s="30"/>
      <c r="H152" s="30"/>
      <c r="I152" s="30"/>
      <c r="J152" s="30"/>
      <c r="K152" s="30"/>
      <c r="L152" s="30"/>
      <c r="M152" s="30"/>
      <c r="N152" s="30"/>
      <c r="O152" s="30"/>
      <c r="P152" s="30"/>
    </row>
    <row r="153" spans="1:22">
      <c r="A153" s="30" t="s">
        <v>13</v>
      </c>
      <c r="B153" s="30" t="s">
        <v>60</v>
      </c>
      <c r="C153" s="30"/>
      <c r="D153" s="30"/>
      <c r="E153" s="30"/>
      <c r="F153" s="30"/>
      <c r="G153" s="30"/>
      <c r="H153" s="30"/>
      <c r="I153" s="30"/>
      <c r="J153" s="30"/>
      <c r="K153" s="30"/>
      <c r="L153" s="30"/>
      <c r="M153" s="30"/>
      <c r="N153" s="30"/>
      <c r="O153" s="30"/>
      <c r="P153" s="30"/>
    </row>
    <row r="154" spans="1:22">
      <c r="A154" s="30" t="s">
        <v>15</v>
      </c>
      <c r="B154" s="30">
        <v>1</v>
      </c>
      <c r="C154" s="30"/>
      <c r="D154" s="30"/>
      <c r="E154" s="30"/>
      <c r="F154" s="30"/>
      <c r="G154" s="30"/>
      <c r="H154" s="30"/>
      <c r="I154" s="30"/>
      <c r="J154" s="30"/>
      <c r="K154" s="30"/>
      <c r="L154" s="30"/>
      <c r="M154" s="30"/>
      <c r="N154" s="30"/>
      <c r="O154" s="30"/>
      <c r="P154" s="30"/>
    </row>
    <row r="155" spans="1:22">
      <c r="A155" s="30" t="s">
        <v>16</v>
      </c>
      <c r="B155" s="30" t="s">
        <v>17</v>
      </c>
      <c r="C155" s="30"/>
      <c r="D155" s="30"/>
      <c r="E155" s="30"/>
      <c r="F155" s="30"/>
      <c r="G155" s="30"/>
      <c r="H155" s="30"/>
      <c r="I155" s="30"/>
      <c r="J155" s="30"/>
      <c r="K155" s="30"/>
      <c r="L155" s="30"/>
      <c r="M155" s="30"/>
      <c r="N155" s="30"/>
      <c r="O155" s="30"/>
      <c r="P155" s="30"/>
    </row>
    <row r="156" spans="1:22" ht="15.75">
      <c r="A156" s="30" t="s">
        <v>18</v>
      </c>
      <c r="B156" s="274" t="s">
        <v>37</v>
      </c>
      <c r="C156" s="30"/>
      <c r="D156" s="30"/>
      <c r="E156" s="30" t="s">
        <v>77</v>
      </c>
      <c r="F156" s="30"/>
      <c r="G156" s="30"/>
      <c r="H156" s="30"/>
      <c r="I156" s="30"/>
      <c r="J156" s="30"/>
      <c r="K156" s="30"/>
      <c r="L156" s="30"/>
      <c r="M156" s="30"/>
      <c r="N156" s="30"/>
      <c r="O156" s="30"/>
      <c r="P156" s="30"/>
    </row>
    <row r="157" spans="1:22" ht="15.75">
      <c r="A157" s="395" t="s">
        <v>19</v>
      </c>
      <c r="B157" s="30"/>
      <c r="C157" s="30"/>
      <c r="D157" s="30"/>
      <c r="E157" s="30"/>
      <c r="F157" s="30"/>
      <c r="G157" s="30"/>
      <c r="H157" s="30"/>
      <c r="I157" s="30"/>
      <c r="J157" s="30"/>
      <c r="K157" s="30"/>
      <c r="L157" s="30"/>
      <c r="M157" s="30"/>
      <c r="N157" s="30"/>
      <c r="O157" s="30"/>
      <c r="P157" s="30"/>
    </row>
    <row r="158" spans="1:22" ht="15.75">
      <c r="A158" s="395" t="s">
        <v>20</v>
      </c>
      <c r="B158" s="395" t="s">
        <v>21</v>
      </c>
      <c r="C158" s="395" t="s">
        <v>78</v>
      </c>
      <c r="D158" s="395" t="s">
        <v>18</v>
      </c>
      <c r="E158" s="395" t="s">
        <v>22</v>
      </c>
      <c r="F158" s="395" t="s">
        <v>7</v>
      </c>
      <c r="G158" s="395" t="s">
        <v>13</v>
      </c>
      <c r="H158" s="395" t="s">
        <v>16</v>
      </c>
      <c r="I158" s="395" t="s">
        <v>23</v>
      </c>
      <c r="J158" s="395" t="s">
        <v>24</v>
      </c>
      <c r="K158" s="395" t="s">
        <v>25</v>
      </c>
      <c r="L158" s="395" t="s">
        <v>26</v>
      </c>
      <c r="M158" s="395" t="s">
        <v>27</v>
      </c>
      <c r="N158" s="395" t="s">
        <v>28</v>
      </c>
      <c r="O158" s="395" t="s">
        <v>11</v>
      </c>
      <c r="P158" s="395" t="s">
        <v>79</v>
      </c>
    </row>
    <row r="159" spans="1:22" ht="15.75">
      <c r="A159" s="274" t="str">
        <f>B149</f>
        <v>treatment of system, frunishing and, operative equipment, airframe, Gt-bat, Medium-Term</v>
      </c>
      <c r="B159" s="274">
        <v>1</v>
      </c>
      <c r="C159" s="274"/>
      <c r="D159" s="274" t="s">
        <v>37</v>
      </c>
      <c r="E159" s="30" t="s">
        <v>2</v>
      </c>
      <c r="F159" s="30" t="s">
        <v>372</v>
      </c>
      <c r="G159" s="274" t="s">
        <v>60</v>
      </c>
      <c r="H159" s="30" t="s">
        <v>30</v>
      </c>
      <c r="I159" s="30">
        <v>0</v>
      </c>
      <c r="J159" s="274" t="s">
        <v>31</v>
      </c>
      <c r="K159" s="274" t="s">
        <v>31</v>
      </c>
      <c r="L159" s="274" t="s">
        <v>31</v>
      </c>
      <c r="M159" s="274" t="s">
        <v>31</v>
      </c>
      <c r="N159" s="274" t="s">
        <v>31</v>
      </c>
      <c r="O159" s="274"/>
      <c r="P159" s="30"/>
    </row>
    <row r="160" spans="1:22" ht="15.75">
      <c r="A160" t="str">
        <f>B91</f>
        <v>treatment of aluminium, fuselage, airframe, Gt-bat, Medium-Term</v>
      </c>
      <c r="B160">
        <v>430.15800000000013</v>
      </c>
      <c r="D160" s="274" t="s">
        <v>37</v>
      </c>
      <c r="E160" s="30" t="s">
        <v>2</v>
      </c>
      <c r="F160" s="30" t="s">
        <v>372</v>
      </c>
      <c r="G160" s="274" t="s">
        <v>60</v>
      </c>
      <c r="H160" s="30" t="s">
        <v>30</v>
      </c>
      <c r="I160" s="30">
        <v>0</v>
      </c>
      <c r="J160" s="274" t="s">
        <v>31</v>
      </c>
      <c r="K160" s="274" t="s">
        <v>31</v>
      </c>
      <c r="L160" s="274" t="s">
        <v>31</v>
      </c>
      <c r="M160" s="274" t="s">
        <v>31</v>
      </c>
      <c r="N160" s="274" t="s">
        <v>31</v>
      </c>
      <c r="O160" s="274" t="s">
        <v>412</v>
      </c>
    </row>
    <row r="161" spans="1:16" ht="15.75">
      <c r="A161" s="232" t="s">
        <v>118</v>
      </c>
      <c r="B161" s="30">
        <v>420.41844479999997</v>
      </c>
      <c r="D161" t="s">
        <v>37</v>
      </c>
      <c r="E161" s="173" t="s">
        <v>38</v>
      </c>
      <c r="F161" s="30" t="s">
        <v>372</v>
      </c>
      <c r="G161" t="s">
        <v>86</v>
      </c>
      <c r="H161" t="s">
        <v>33</v>
      </c>
      <c r="I161" s="30">
        <v>0</v>
      </c>
      <c r="J161" s="274" t="s">
        <v>31</v>
      </c>
      <c r="K161" s="274" t="s">
        <v>31</v>
      </c>
      <c r="L161" s="274" t="s">
        <v>31</v>
      </c>
      <c r="M161" s="274" t="s">
        <v>31</v>
      </c>
      <c r="N161" s="274" t="s">
        <v>31</v>
      </c>
      <c r="O161" s="274" t="s">
        <v>413</v>
      </c>
    </row>
    <row r="162" spans="1:16">
      <c r="A162" t="s">
        <v>103</v>
      </c>
      <c r="B162" s="22">
        <v>-47.819000000000003</v>
      </c>
      <c r="D162" t="s">
        <v>37</v>
      </c>
      <c r="E162" s="232" t="s">
        <v>38</v>
      </c>
      <c r="F162" s="30" t="s">
        <v>372</v>
      </c>
      <c r="G162" t="s">
        <v>60</v>
      </c>
      <c r="H162" t="s">
        <v>33</v>
      </c>
      <c r="I162">
        <v>0</v>
      </c>
      <c r="J162" t="s">
        <v>31</v>
      </c>
      <c r="K162" t="s">
        <v>31</v>
      </c>
      <c r="L162" t="s">
        <v>31</v>
      </c>
      <c r="M162" t="s">
        <v>31</v>
      </c>
      <c r="N162" t="s">
        <v>31</v>
      </c>
      <c r="O162" s="30" t="s">
        <v>414</v>
      </c>
    </row>
    <row r="163" spans="1:16">
      <c r="A163" t="s">
        <v>103</v>
      </c>
      <c r="B163">
        <v>-7.3369999999999997</v>
      </c>
      <c r="D163" t="s">
        <v>37</v>
      </c>
      <c r="E163" s="232" t="s">
        <v>38</v>
      </c>
      <c r="F163" s="30" t="s">
        <v>372</v>
      </c>
      <c r="G163" t="s">
        <v>60</v>
      </c>
      <c r="H163" t="s">
        <v>33</v>
      </c>
      <c r="I163">
        <v>0</v>
      </c>
      <c r="J163" t="s">
        <v>31</v>
      </c>
      <c r="K163" t="s">
        <v>31</v>
      </c>
      <c r="L163" t="s">
        <v>31</v>
      </c>
      <c r="M163" t="s">
        <v>31</v>
      </c>
      <c r="N163" t="s">
        <v>31</v>
      </c>
      <c r="O163" s="30" t="s">
        <v>415</v>
      </c>
    </row>
    <row r="164" spans="1:16" ht="15.75">
      <c r="A164" s="232" t="s">
        <v>118</v>
      </c>
      <c r="B164" s="30">
        <v>133.7013024</v>
      </c>
      <c r="D164" t="s">
        <v>37</v>
      </c>
      <c r="E164" s="173" t="s">
        <v>38</v>
      </c>
      <c r="F164" s="30" t="s">
        <v>372</v>
      </c>
      <c r="G164" t="s">
        <v>86</v>
      </c>
      <c r="H164" t="s">
        <v>33</v>
      </c>
      <c r="I164" s="30">
        <v>0</v>
      </c>
      <c r="J164" s="274" t="s">
        <v>31</v>
      </c>
      <c r="K164" s="274" t="s">
        <v>31</v>
      </c>
      <c r="L164" s="274" t="s">
        <v>31</v>
      </c>
      <c r="M164" s="274" t="s">
        <v>31</v>
      </c>
      <c r="N164" s="274" t="s">
        <v>31</v>
      </c>
      <c r="O164" s="274" t="s">
        <v>416</v>
      </c>
    </row>
    <row r="165" spans="1:16" ht="15.75">
      <c r="A165" s="232" t="s">
        <v>118</v>
      </c>
      <c r="B165" s="30">
        <v>10</v>
      </c>
      <c r="D165" t="s">
        <v>37</v>
      </c>
      <c r="E165" s="173" t="s">
        <v>38</v>
      </c>
      <c r="F165" s="30" t="s">
        <v>372</v>
      </c>
      <c r="G165" t="s">
        <v>86</v>
      </c>
      <c r="H165" t="s">
        <v>33</v>
      </c>
      <c r="I165" s="30">
        <v>0</v>
      </c>
      <c r="J165" s="274" t="s">
        <v>31</v>
      </c>
      <c r="K165" s="274" t="s">
        <v>31</v>
      </c>
      <c r="L165" s="274" t="s">
        <v>31</v>
      </c>
      <c r="M165" s="274" t="s">
        <v>31</v>
      </c>
      <c r="N165" s="274" t="s">
        <v>31</v>
      </c>
      <c r="O165" s="274" t="s">
        <v>417</v>
      </c>
    </row>
    <row r="166" spans="1:16" ht="15.75">
      <c r="A166" s="232" t="s">
        <v>118</v>
      </c>
      <c r="B166" s="30">
        <v>10.5</v>
      </c>
      <c r="D166" t="s">
        <v>37</v>
      </c>
      <c r="E166" s="173" t="s">
        <v>38</v>
      </c>
      <c r="F166" s="30" t="s">
        <v>372</v>
      </c>
      <c r="G166" t="s">
        <v>86</v>
      </c>
      <c r="H166" t="s">
        <v>33</v>
      </c>
      <c r="I166" s="30">
        <v>0</v>
      </c>
      <c r="J166" s="274" t="s">
        <v>31</v>
      </c>
      <c r="K166" s="274" t="s">
        <v>31</v>
      </c>
      <c r="L166" s="274" t="s">
        <v>31</v>
      </c>
      <c r="M166" s="274" t="s">
        <v>31</v>
      </c>
      <c r="N166" s="274" t="s">
        <v>31</v>
      </c>
      <c r="O166" s="274" t="s">
        <v>418</v>
      </c>
    </row>
    <row r="167" spans="1:16" ht="15.75">
      <c r="A167" t="s">
        <v>103</v>
      </c>
      <c r="B167" s="30">
        <v>-6.26</v>
      </c>
      <c r="D167" t="s">
        <v>37</v>
      </c>
      <c r="E167" s="232" t="s">
        <v>38</v>
      </c>
      <c r="F167" s="30" t="s">
        <v>372</v>
      </c>
      <c r="G167" t="s">
        <v>60</v>
      </c>
      <c r="H167" t="s">
        <v>33</v>
      </c>
      <c r="I167">
        <v>0</v>
      </c>
      <c r="J167" t="s">
        <v>31</v>
      </c>
      <c r="K167" t="s">
        <v>31</v>
      </c>
      <c r="L167" t="s">
        <v>31</v>
      </c>
      <c r="M167" t="s">
        <v>31</v>
      </c>
      <c r="N167" t="s">
        <v>31</v>
      </c>
      <c r="O167" s="274" t="s">
        <v>419</v>
      </c>
    </row>
    <row r="168" spans="1:16">
      <c r="A168" t="s">
        <v>103</v>
      </c>
      <c r="B168" s="30">
        <v>-15.526999999999999</v>
      </c>
      <c r="D168" t="s">
        <v>37</v>
      </c>
      <c r="E168" s="232" t="s">
        <v>38</v>
      </c>
      <c r="F168" s="30" t="s">
        <v>372</v>
      </c>
      <c r="G168" t="s">
        <v>60</v>
      </c>
      <c r="H168" t="s">
        <v>33</v>
      </c>
      <c r="I168">
        <v>0</v>
      </c>
      <c r="J168" t="s">
        <v>31</v>
      </c>
      <c r="K168" t="s">
        <v>31</v>
      </c>
      <c r="L168" t="s">
        <v>31</v>
      </c>
      <c r="M168" t="s">
        <v>31</v>
      </c>
      <c r="N168" t="s">
        <v>31</v>
      </c>
      <c r="O168" s="30" t="s">
        <v>420</v>
      </c>
    </row>
    <row r="169" spans="1:16" s="399" customFormat="1" ht="15.75">
      <c r="A169" s="396" t="s">
        <v>5</v>
      </c>
      <c r="B169" s="396" t="s">
        <v>421</v>
      </c>
      <c r="C169" s="396"/>
      <c r="D169" s="397"/>
      <c r="E169" s="398"/>
      <c r="F169" s="398"/>
      <c r="G169" s="398"/>
      <c r="H169" s="398"/>
      <c r="I169" s="398"/>
      <c r="J169" s="398"/>
      <c r="K169" s="398"/>
      <c r="L169" s="398"/>
      <c r="M169" s="398"/>
      <c r="N169" s="398"/>
      <c r="O169" s="398"/>
      <c r="P169" s="398"/>
    </row>
    <row r="170" spans="1:16">
      <c r="A170" s="30" t="s">
        <v>7</v>
      </c>
      <c r="B170" s="30" t="s">
        <v>322</v>
      </c>
      <c r="C170" s="30"/>
      <c r="D170" s="30"/>
      <c r="E170" s="30"/>
      <c r="F170" s="30"/>
      <c r="G170" s="30"/>
      <c r="H170" s="30"/>
      <c r="I170" s="30"/>
      <c r="J170" s="30"/>
      <c r="K170" s="30"/>
      <c r="L170" s="30"/>
      <c r="M170" s="30"/>
      <c r="N170" s="30"/>
      <c r="O170" s="30"/>
      <c r="P170" s="30"/>
    </row>
    <row r="171" spans="1:16">
      <c r="A171" s="30" t="s">
        <v>9</v>
      </c>
      <c r="B171" s="394" t="s">
        <v>422</v>
      </c>
      <c r="C171" s="30"/>
      <c r="D171" s="30"/>
      <c r="E171" s="30"/>
      <c r="F171" s="30"/>
      <c r="G171" s="30"/>
      <c r="H171" s="30"/>
      <c r="I171" s="30"/>
      <c r="J171" s="30"/>
      <c r="K171" s="30"/>
      <c r="L171" s="30"/>
      <c r="M171" s="30"/>
      <c r="N171" s="30"/>
      <c r="O171" s="30"/>
      <c r="P171" s="30"/>
    </row>
    <row r="172" spans="1:16">
      <c r="A172" s="30" t="s">
        <v>11</v>
      </c>
      <c r="B172" s="30" t="s">
        <v>423</v>
      </c>
      <c r="C172" s="30"/>
      <c r="D172" s="30"/>
      <c r="E172" s="30"/>
      <c r="F172" s="30"/>
      <c r="G172" s="30"/>
      <c r="H172" s="30"/>
      <c r="I172" s="30"/>
      <c r="J172" s="30"/>
      <c r="K172" s="30"/>
      <c r="L172" s="30"/>
      <c r="M172" s="30"/>
      <c r="N172" s="30"/>
      <c r="O172" s="30"/>
      <c r="P172" s="30"/>
    </row>
    <row r="173" spans="1:16">
      <c r="A173" s="30" t="s">
        <v>13</v>
      </c>
      <c r="B173" s="30" t="s">
        <v>60</v>
      </c>
      <c r="C173" s="30"/>
      <c r="D173" s="30"/>
      <c r="E173" s="30"/>
      <c r="F173" s="30"/>
      <c r="G173" s="30"/>
      <c r="H173" s="30"/>
      <c r="I173" s="30"/>
      <c r="J173" s="30"/>
      <c r="K173" s="30"/>
      <c r="L173" s="30"/>
      <c r="M173" s="30"/>
      <c r="N173" s="30"/>
      <c r="O173" s="30"/>
      <c r="P173" s="30"/>
    </row>
    <row r="174" spans="1:16">
      <c r="A174" s="30" t="s">
        <v>15</v>
      </c>
      <c r="B174" s="30">
        <v>1</v>
      </c>
      <c r="C174" s="30"/>
      <c r="D174" s="30"/>
      <c r="E174" s="30"/>
      <c r="F174" s="30"/>
      <c r="G174" s="30"/>
      <c r="H174" s="30"/>
      <c r="I174" s="30"/>
      <c r="J174" s="30"/>
      <c r="K174" s="30"/>
      <c r="L174" s="30"/>
      <c r="M174" s="30"/>
      <c r="N174" s="30"/>
      <c r="O174" s="30"/>
      <c r="P174" s="30"/>
    </row>
    <row r="175" spans="1:16">
      <c r="A175" s="30" t="s">
        <v>16</v>
      </c>
      <c r="B175" s="30" t="s">
        <v>17</v>
      </c>
      <c r="C175" s="30"/>
      <c r="D175" s="30"/>
      <c r="E175" s="30"/>
      <c r="F175" s="30"/>
      <c r="G175" s="30"/>
      <c r="H175" s="30"/>
      <c r="I175" s="30"/>
      <c r="J175" s="30"/>
      <c r="K175" s="30"/>
      <c r="L175" s="30"/>
      <c r="M175" s="30"/>
      <c r="N175" s="30"/>
      <c r="O175" s="30"/>
      <c r="P175" s="30"/>
    </row>
    <row r="176" spans="1:16" ht="15.75">
      <c r="A176" s="30" t="s">
        <v>18</v>
      </c>
      <c r="B176" s="274" t="s">
        <v>18</v>
      </c>
      <c r="C176" s="30"/>
      <c r="D176" s="30"/>
      <c r="E176" s="30" t="s">
        <v>77</v>
      </c>
      <c r="F176" s="30"/>
      <c r="G176" s="30"/>
      <c r="H176" s="30"/>
      <c r="I176" s="30"/>
      <c r="J176" s="30"/>
      <c r="K176" s="30"/>
      <c r="L176" s="30"/>
      <c r="M176" s="30"/>
      <c r="N176" s="30"/>
      <c r="O176" s="30"/>
      <c r="P176" s="30"/>
    </row>
    <row r="177" spans="1:16" ht="15.75">
      <c r="A177" s="395" t="s">
        <v>19</v>
      </c>
      <c r="B177" s="30"/>
      <c r="C177" s="30"/>
      <c r="D177" s="30"/>
      <c r="E177" s="30"/>
      <c r="F177" s="30"/>
      <c r="G177" s="30"/>
      <c r="H177" s="30"/>
      <c r="I177" s="30"/>
      <c r="J177" s="30"/>
      <c r="K177" s="30"/>
      <c r="L177" s="30"/>
      <c r="M177" s="30"/>
      <c r="N177" s="30"/>
      <c r="O177" s="30"/>
      <c r="P177" s="30"/>
    </row>
    <row r="178" spans="1:16" ht="15.75">
      <c r="A178" s="395" t="s">
        <v>20</v>
      </c>
      <c r="B178" s="395" t="s">
        <v>21</v>
      </c>
      <c r="C178" s="395" t="s">
        <v>78</v>
      </c>
      <c r="D178" s="395" t="s">
        <v>18</v>
      </c>
      <c r="E178" s="395" t="s">
        <v>22</v>
      </c>
      <c r="F178" s="395" t="s">
        <v>7</v>
      </c>
      <c r="G178" s="395" t="s">
        <v>13</v>
      </c>
      <c r="H178" s="395" t="s">
        <v>16</v>
      </c>
      <c r="I178" s="395" t="s">
        <v>23</v>
      </c>
      <c r="J178" s="395" t="s">
        <v>24</v>
      </c>
      <c r="K178" s="395" t="s">
        <v>25</v>
      </c>
      <c r="L178" s="395" t="s">
        <v>26</v>
      </c>
      <c r="M178" s="395" t="s">
        <v>27</v>
      </c>
      <c r="N178" s="395" t="s">
        <v>28</v>
      </c>
      <c r="O178" s="395" t="s">
        <v>11</v>
      </c>
      <c r="P178" s="395" t="s">
        <v>79</v>
      </c>
    </row>
    <row r="179" spans="1:16" ht="15.75">
      <c r="A179" s="274" t="str">
        <f>B169</f>
        <v>treatment wing , airframe, Gt-bat, Medium-Term</v>
      </c>
      <c r="B179">
        <v>1</v>
      </c>
      <c r="C179" s="274"/>
      <c r="D179" s="274" t="s">
        <v>18</v>
      </c>
      <c r="E179" s="30" t="s">
        <v>2</v>
      </c>
      <c r="F179" s="30" t="s">
        <v>372</v>
      </c>
      <c r="G179" s="274" t="s">
        <v>60</v>
      </c>
      <c r="H179" s="30" t="s">
        <v>30</v>
      </c>
      <c r="I179" s="30">
        <v>0</v>
      </c>
      <c r="J179" s="274" t="s">
        <v>31</v>
      </c>
      <c r="K179" s="274" t="s">
        <v>31</v>
      </c>
      <c r="L179" s="274" t="s">
        <v>31</v>
      </c>
      <c r="M179" s="274" t="s">
        <v>31</v>
      </c>
      <c r="N179" s="274" t="s">
        <v>31</v>
      </c>
      <c r="O179" s="274"/>
      <c r="P179" s="30"/>
    </row>
    <row r="180" spans="1:16" ht="15.75">
      <c r="A180" t="str">
        <f>B2</f>
        <v>treatment of aluminium, wing, airframe, Gt-bat, Medium-Term</v>
      </c>
      <c r="B180" s="403">
        <v>151.81819999999999</v>
      </c>
      <c r="C180" s="274"/>
      <c r="D180" s="274" t="s">
        <v>37</v>
      </c>
      <c r="E180" s="30" t="s">
        <v>2</v>
      </c>
      <c r="F180" s="30" t="s">
        <v>372</v>
      </c>
      <c r="G180" s="274" t="s">
        <v>60</v>
      </c>
      <c r="H180" s="30" t="s">
        <v>33</v>
      </c>
      <c r="I180" s="30">
        <v>0</v>
      </c>
      <c r="J180" s="274" t="s">
        <v>31</v>
      </c>
      <c r="K180" s="274" t="s">
        <v>31</v>
      </c>
      <c r="L180" s="274" t="s">
        <v>31</v>
      </c>
      <c r="M180" s="274" t="s">
        <v>31</v>
      </c>
      <c r="N180" s="274" t="s">
        <v>31</v>
      </c>
    </row>
    <row r="181" spans="1:16" ht="15.75">
      <c r="A181" t="str">
        <f>B17</f>
        <v>treatment of CFRP, wing, airframe, Gt-bat, Medium-Term</v>
      </c>
      <c r="B181" s="403">
        <v>1663.28</v>
      </c>
      <c r="C181" s="274"/>
      <c r="D181" s="274" t="s">
        <v>37</v>
      </c>
      <c r="E181" s="30" t="s">
        <v>2</v>
      </c>
      <c r="F181" s="30" t="s">
        <v>372</v>
      </c>
      <c r="G181" s="274" t="s">
        <v>60</v>
      </c>
      <c r="H181" s="30" t="s">
        <v>33</v>
      </c>
      <c r="I181" s="30">
        <v>0</v>
      </c>
      <c r="J181" s="274" t="s">
        <v>31</v>
      </c>
      <c r="K181" s="274" t="s">
        <v>31</v>
      </c>
      <c r="L181" s="274" t="s">
        <v>31</v>
      </c>
      <c r="M181" s="274" t="s">
        <v>31</v>
      </c>
      <c r="N181" s="274" t="s">
        <v>31</v>
      </c>
    </row>
    <row r="182" spans="1:16" ht="15.75">
      <c r="A182" t="str">
        <f>B32</f>
        <v>treatment of steel, wing, airframe, Gt-bat, Medium-Term</v>
      </c>
      <c r="B182" s="403">
        <v>55.943440000000002</v>
      </c>
      <c r="C182" s="274"/>
      <c r="D182" s="274" t="s">
        <v>37</v>
      </c>
      <c r="E182" s="30" t="s">
        <v>2</v>
      </c>
      <c r="F182" s="30" t="s">
        <v>372</v>
      </c>
      <c r="G182" s="274" t="s">
        <v>60</v>
      </c>
      <c r="H182" s="30" t="s">
        <v>33</v>
      </c>
      <c r="I182" s="30">
        <v>0</v>
      </c>
      <c r="J182" s="274" t="s">
        <v>31</v>
      </c>
      <c r="K182" s="274" t="s">
        <v>31</v>
      </c>
      <c r="L182" s="274" t="s">
        <v>31</v>
      </c>
      <c r="M182" s="274" t="s">
        <v>31</v>
      </c>
      <c r="N182" s="274" t="s">
        <v>31</v>
      </c>
    </row>
    <row r="183" spans="1:16" ht="15.75">
      <c r="A183" t="str">
        <f>B46</f>
        <v>treatment of titanium, wing, airframe, Gt-bat, Medium-Term</v>
      </c>
      <c r="B183" s="403">
        <v>105.75879999999999</v>
      </c>
      <c r="C183" s="274"/>
      <c r="D183" s="274" t="s">
        <v>37</v>
      </c>
      <c r="E183" s="30" t="s">
        <v>2</v>
      </c>
      <c r="F183" s="30" t="s">
        <v>372</v>
      </c>
      <c r="G183" s="274" t="s">
        <v>60</v>
      </c>
      <c r="H183" s="30" t="s">
        <v>33</v>
      </c>
      <c r="I183" s="30">
        <v>0</v>
      </c>
      <c r="J183" s="274" t="s">
        <v>31</v>
      </c>
      <c r="K183" s="274" t="s">
        <v>31</v>
      </c>
      <c r="L183" s="274" t="s">
        <v>31</v>
      </c>
      <c r="M183" s="274" t="s">
        <v>31</v>
      </c>
      <c r="N183" s="274" t="s">
        <v>31</v>
      </c>
    </row>
    <row r="184" spans="1:16" s="399" customFormat="1" ht="15.75">
      <c r="A184" s="396" t="s">
        <v>5</v>
      </c>
      <c r="B184" s="396" t="s">
        <v>424</v>
      </c>
      <c r="C184" s="396"/>
      <c r="D184" s="397"/>
      <c r="E184" s="398"/>
      <c r="F184" s="398"/>
      <c r="G184" s="398"/>
      <c r="H184" s="398"/>
      <c r="I184" s="398"/>
      <c r="J184" s="398"/>
      <c r="K184" s="398"/>
      <c r="L184" s="398"/>
      <c r="M184" s="398"/>
      <c r="N184" s="398"/>
      <c r="O184" s="398"/>
      <c r="P184" s="398"/>
    </row>
    <row r="185" spans="1:16">
      <c r="A185" s="30" t="s">
        <v>7</v>
      </c>
      <c r="B185" s="30" t="s">
        <v>322</v>
      </c>
      <c r="C185" s="30"/>
      <c r="D185" s="30"/>
      <c r="E185" s="30"/>
      <c r="F185" s="30"/>
      <c r="G185" s="30"/>
      <c r="H185" s="30"/>
      <c r="I185" s="30"/>
      <c r="J185" s="30"/>
      <c r="K185" s="30"/>
      <c r="L185" s="30"/>
      <c r="M185" s="30"/>
      <c r="N185" s="30"/>
      <c r="O185" s="30"/>
      <c r="P185" s="30"/>
    </row>
    <row r="186" spans="1:16">
      <c r="A186" s="30" t="s">
        <v>9</v>
      </c>
      <c r="B186" s="394" t="s">
        <v>425</v>
      </c>
      <c r="C186" s="30"/>
      <c r="D186" s="30"/>
      <c r="E186" s="30"/>
      <c r="F186" s="30"/>
      <c r="G186" s="30"/>
      <c r="H186" s="30"/>
      <c r="I186" s="30"/>
      <c r="J186" s="30"/>
      <c r="K186" s="30"/>
      <c r="L186" s="30"/>
      <c r="M186" s="30"/>
      <c r="N186" s="30"/>
      <c r="O186" s="30"/>
      <c r="P186" s="30"/>
    </row>
    <row r="187" spans="1:16">
      <c r="A187" s="30" t="s">
        <v>11</v>
      </c>
      <c r="B187" s="30" t="s">
        <v>423</v>
      </c>
      <c r="C187" s="30"/>
      <c r="D187" s="30"/>
      <c r="E187" s="30"/>
      <c r="F187" s="30"/>
      <c r="G187" s="30"/>
      <c r="H187" s="30"/>
      <c r="I187" s="30"/>
      <c r="J187" s="30"/>
      <c r="K187" s="30"/>
      <c r="L187" s="30"/>
      <c r="M187" s="30"/>
      <c r="N187" s="30"/>
      <c r="O187" s="30"/>
      <c r="P187" s="30"/>
    </row>
    <row r="188" spans="1:16">
      <c r="A188" s="30" t="s">
        <v>13</v>
      </c>
      <c r="B188" s="30" t="s">
        <v>60</v>
      </c>
      <c r="C188" s="30"/>
      <c r="D188" s="30"/>
      <c r="E188" s="30"/>
      <c r="F188" s="30"/>
      <c r="G188" s="30"/>
      <c r="H188" s="30"/>
      <c r="I188" s="30"/>
      <c r="J188" s="30"/>
      <c r="K188" s="30"/>
      <c r="L188" s="30"/>
      <c r="M188" s="30"/>
      <c r="N188" s="30"/>
      <c r="O188" s="30"/>
      <c r="P188" s="30"/>
    </row>
    <row r="189" spans="1:16">
      <c r="A189" s="30" t="s">
        <v>15</v>
      </c>
      <c r="B189" s="30">
        <v>1</v>
      </c>
      <c r="C189" s="30"/>
      <c r="D189" s="30"/>
      <c r="E189" s="30"/>
      <c r="F189" s="30"/>
      <c r="G189" s="30"/>
      <c r="H189" s="30"/>
      <c r="I189" s="30"/>
      <c r="J189" s="30"/>
      <c r="K189" s="30"/>
      <c r="L189" s="30"/>
      <c r="M189" s="30"/>
      <c r="N189" s="30"/>
      <c r="O189" s="30"/>
      <c r="P189" s="30"/>
    </row>
    <row r="190" spans="1:16">
      <c r="A190" s="30" t="s">
        <v>16</v>
      </c>
      <c r="B190" s="30" t="s">
        <v>17</v>
      </c>
      <c r="C190" s="30"/>
      <c r="D190" s="30"/>
      <c r="E190" s="30"/>
      <c r="F190" s="30"/>
      <c r="G190" s="30"/>
      <c r="H190" s="30"/>
      <c r="I190" s="30"/>
      <c r="J190" s="30"/>
      <c r="K190" s="30"/>
      <c r="L190" s="30"/>
      <c r="M190" s="30"/>
      <c r="N190" s="30"/>
      <c r="O190" s="30"/>
      <c r="P190" s="30"/>
    </row>
    <row r="191" spans="1:16" ht="15.75">
      <c r="A191" s="30" t="s">
        <v>18</v>
      </c>
      <c r="B191" s="274" t="s">
        <v>18</v>
      </c>
      <c r="C191" s="30"/>
      <c r="D191" s="30"/>
      <c r="E191" s="30" t="s">
        <v>77</v>
      </c>
      <c r="F191" s="30"/>
      <c r="G191" s="30"/>
      <c r="H191" s="30"/>
      <c r="I191" s="30"/>
      <c r="J191" s="30"/>
      <c r="K191" s="30"/>
      <c r="L191" s="30"/>
      <c r="M191" s="30"/>
      <c r="N191" s="30"/>
      <c r="O191" s="30"/>
      <c r="P191" s="30"/>
    </row>
    <row r="192" spans="1:16" ht="15.75">
      <c r="A192" s="395" t="s">
        <v>19</v>
      </c>
      <c r="B192" s="30"/>
      <c r="C192" s="30"/>
      <c r="D192" s="30"/>
      <c r="E192" s="30"/>
      <c r="F192" s="30"/>
      <c r="G192" s="30"/>
      <c r="H192" s="30"/>
      <c r="I192" s="30"/>
      <c r="J192" s="30"/>
      <c r="K192" s="30"/>
      <c r="L192" s="30"/>
      <c r="M192" s="30"/>
      <c r="N192" s="30"/>
      <c r="O192" s="30"/>
      <c r="P192" s="30"/>
    </row>
    <row r="193" spans="1:16" ht="15.75">
      <c r="A193" s="395" t="s">
        <v>20</v>
      </c>
      <c r="B193" s="395" t="s">
        <v>21</v>
      </c>
      <c r="C193" s="395" t="s">
        <v>78</v>
      </c>
      <c r="D193" s="395" t="s">
        <v>18</v>
      </c>
      <c r="E193" s="395" t="s">
        <v>22</v>
      </c>
      <c r="F193" s="395" t="s">
        <v>7</v>
      </c>
      <c r="G193" s="395" t="s">
        <v>13</v>
      </c>
      <c r="H193" s="395" t="s">
        <v>16</v>
      </c>
      <c r="I193" s="395" t="s">
        <v>23</v>
      </c>
      <c r="J193" s="395" t="s">
        <v>24</v>
      </c>
      <c r="K193" s="395" t="s">
        <v>25</v>
      </c>
      <c r="L193" s="395" t="s">
        <v>26</v>
      </c>
      <c r="M193" s="395" t="s">
        <v>27</v>
      </c>
      <c r="N193" s="395" t="s">
        <v>28</v>
      </c>
      <c r="O193" s="395" t="s">
        <v>11</v>
      </c>
      <c r="P193" s="395" t="s">
        <v>79</v>
      </c>
    </row>
    <row r="194" spans="1:16" ht="15.75">
      <c r="A194" s="274" t="str">
        <f>B184</f>
        <v>treatment tail , airframe, Gt-bat, Medium-Term</v>
      </c>
      <c r="B194">
        <v>1</v>
      </c>
      <c r="C194" s="274"/>
      <c r="D194" s="274" t="s">
        <v>18</v>
      </c>
      <c r="E194" s="30" t="s">
        <v>2</v>
      </c>
      <c r="F194" s="30" t="s">
        <v>372</v>
      </c>
      <c r="G194" s="274" t="s">
        <v>60</v>
      </c>
      <c r="H194" s="30" t="s">
        <v>30</v>
      </c>
      <c r="I194" s="30">
        <v>0</v>
      </c>
      <c r="J194" s="274" t="s">
        <v>31</v>
      </c>
      <c r="K194" s="274" t="s">
        <v>31</v>
      </c>
      <c r="L194" s="274" t="s">
        <v>31</v>
      </c>
      <c r="M194" s="274" t="s">
        <v>31</v>
      </c>
      <c r="N194" s="274" t="s">
        <v>31</v>
      </c>
      <c r="O194" s="274"/>
      <c r="P194" s="30"/>
    </row>
    <row r="195" spans="1:16" ht="15.75">
      <c r="A195" t="str">
        <f>B61</f>
        <v>treatment of aluminium, tail, airframe, Gt-bat, Medium-Term</v>
      </c>
      <c r="B195" s="403">
        <v>21.98705</v>
      </c>
      <c r="D195" s="274" t="s">
        <v>37</v>
      </c>
      <c r="E195" s="30" t="s">
        <v>2</v>
      </c>
      <c r="F195" s="30" t="s">
        <v>372</v>
      </c>
      <c r="G195" s="274" t="s">
        <v>60</v>
      </c>
      <c r="H195" s="30" t="s">
        <v>33</v>
      </c>
      <c r="I195" s="30">
        <v>0</v>
      </c>
      <c r="J195" s="274" t="s">
        <v>31</v>
      </c>
      <c r="K195" s="274" t="s">
        <v>31</v>
      </c>
      <c r="L195" s="274" t="s">
        <v>31</v>
      </c>
      <c r="M195" s="274" t="s">
        <v>31</v>
      </c>
      <c r="N195" s="274" t="s">
        <v>31</v>
      </c>
    </row>
    <row r="196" spans="1:16" ht="15.75">
      <c r="A196" t="str">
        <f>B76</f>
        <v>treatment of composites, tail, airframe, Gt-bat, Medium-Term</v>
      </c>
      <c r="B196" s="403">
        <v>363.70299999999997</v>
      </c>
      <c r="D196" s="274" t="s">
        <v>37</v>
      </c>
      <c r="E196" s="30" t="s">
        <v>2</v>
      </c>
      <c r="F196" s="30" t="s">
        <v>372</v>
      </c>
      <c r="G196" s="274" t="s">
        <v>60</v>
      </c>
      <c r="H196" s="30" t="s">
        <v>33</v>
      </c>
      <c r="I196" s="30">
        <v>0</v>
      </c>
      <c r="J196" s="274" t="s">
        <v>31</v>
      </c>
      <c r="K196" s="274" t="s">
        <v>31</v>
      </c>
      <c r="L196" s="274" t="s">
        <v>31</v>
      </c>
      <c r="M196" s="274" t="s">
        <v>31</v>
      </c>
      <c r="N196" s="274" t="s">
        <v>31</v>
      </c>
      <c r="O196" s="274" t="s">
        <v>426</v>
      </c>
    </row>
    <row r="197" spans="1:16" ht="15.75">
      <c r="A197" t="str">
        <f>B76</f>
        <v>treatment of composites, tail, airframe, Gt-bat, Medium-Term</v>
      </c>
      <c r="B197" s="403">
        <v>134.51</v>
      </c>
      <c r="D197" s="274" t="s">
        <v>37</v>
      </c>
      <c r="E197" s="30" t="s">
        <v>2</v>
      </c>
      <c r="F197" s="30" t="s">
        <v>372</v>
      </c>
      <c r="G197" s="274" t="s">
        <v>60</v>
      </c>
      <c r="H197" s="30" t="s">
        <v>33</v>
      </c>
      <c r="I197" s="30">
        <v>0</v>
      </c>
      <c r="J197" s="274" t="s">
        <v>31</v>
      </c>
      <c r="K197" s="274" t="s">
        <v>31</v>
      </c>
      <c r="L197" s="274" t="s">
        <v>31</v>
      </c>
      <c r="M197" s="274" t="s">
        <v>31</v>
      </c>
      <c r="N197" s="274" t="s">
        <v>31</v>
      </c>
      <c r="O197" s="274" t="s">
        <v>427</v>
      </c>
    </row>
    <row r="198" spans="1:16" s="399" customFormat="1" ht="15.75">
      <c r="A198" s="396" t="s">
        <v>5</v>
      </c>
      <c r="B198" s="396" t="s">
        <v>428</v>
      </c>
      <c r="C198" s="396"/>
      <c r="D198" s="397"/>
      <c r="E198" s="398"/>
      <c r="F198" s="398"/>
      <c r="G198" s="398"/>
      <c r="H198" s="398"/>
      <c r="I198" s="398"/>
      <c r="J198" s="398"/>
      <c r="K198" s="398"/>
      <c r="L198" s="398"/>
      <c r="M198" s="398"/>
      <c r="N198" s="398"/>
      <c r="O198" s="398"/>
      <c r="P198" s="398"/>
    </row>
    <row r="199" spans="1:16">
      <c r="A199" s="30" t="s">
        <v>7</v>
      </c>
      <c r="B199" s="30" t="s">
        <v>322</v>
      </c>
      <c r="C199" s="30"/>
      <c r="D199" s="30"/>
      <c r="E199" s="30"/>
      <c r="F199" s="30"/>
      <c r="G199" s="30"/>
      <c r="H199" s="30"/>
      <c r="I199" s="30"/>
      <c r="J199" s="30"/>
      <c r="K199" s="30"/>
      <c r="L199" s="30"/>
      <c r="M199" s="30"/>
      <c r="N199" s="30"/>
      <c r="O199" s="30"/>
      <c r="P199" s="30"/>
    </row>
    <row r="200" spans="1:16">
      <c r="A200" s="30" t="s">
        <v>9</v>
      </c>
      <c r="B200" s="394" t="s">
        <v>429</v>
      </c>
      <c r="C200" s="30"/>
      <c r="D200" s="30"/>
      <c r="E200" s="30"/>
      <c r="F200" s="30"/>
      <c r="G200" s="30"/>
      <c r="H200" s="30"/>
      <c r="I200" s="30"/>
      <c r="J200" s="30"/>
      <c r="K200" s="30"/>
      <c r="L200" s="30"/>
      <c r="M200" s="30"/>
      <c r="N200" s="30"/>
      <c r="O200" s="30"/>
      <c r="P200" s="30"/>
    </row>
    <row r="201" spans="1:16">
      <c r="A201" s="30" t="s">
        <v>11</v>
      </c>
      <c r="B201" s="30" t="s">
        <v>423</v>
      </c>
      <c r="C201" s="30"/>
      <c r="D201" s="30"/>
      <c r="E201" s="30"/>
      <c r="F201" s="30"/>
      <c r="G201" s="30"/>
      <c r="H201" s="30"/>
      <c r="I201" s="30"/>
      <c r="J201" s="30"/>
      <c r="K201" s="30"/>
      <c r="L201" s="30"/>
      <c r="M201" s="30"/>
      <c r="N201" s="30"/>
      <c r="O201" s="30"/>
      <c r="P201" s="30"/>
    </row>
    <row r="202" spans="1:16">
      <c r="A202" s="30" t="s">
        <v>13</v>
      </c>
      <c r="B202" s="30" t="s">
        <v>60</v>
      </c>
      <c r="C202" s="30"/>
      <c r="D202" s="30"/>
      <c r="E202" s="30"/>
      <c r="F202" s="30"/>
      <c r="G202" s="30"/>
      <c r="H202" s="30"/>
      <c r="I202" s="30"/>
      <c r="J202" s="30"/>
      <c r="K202" s="30"/>
      <c r="L202" s="30"/>
      <c r="M202" s="30"/>
      <c r="N202" s="30"/>
      <c r="O202" s="30"/>
      <c r="P202" s="30"/>
    </row>
    <row r="203" spans="1:16">
      <c r="A203" s="30" t="s">
        <v>15</v>
      </c>
      <c r="B203" s="30">
        <v>1</v>
      </c>
      <c r="C203" s="30"/>
      <c r="D203" s="30"/>
      <c r="E203" s="30"/>
      <c r="F203" s="30"/>
      <c r="G203" s="30"/>
      <c r="H203" s="30"/>
      <c r="I203" s="30"/>
      <c r="J203" s="30"/>
      <c r="K203" s="30"/>
      <c r="L203" s="30"/>
      <c r="M203" s="30"/>
      <c r="N203" s="30"/>
      <c r="O203" s="30"/>
      <c r="P203" s="30"/>
    </row>
    <row r="204" spans="1:16">
      <c r="A204" s="30" t="s">
        <v>16</v>
      </c>
      <c r="B204" s="30" t="s">
        <v>17</v>
      </c>
      <c r="C204" s="30"/>
      <c r="D204" s="30"/>
      <c r="E204" s="30"/>
      <c r="F204" s="30"/>
      <c r="G204" s="30"/>
      <c r="H204" s="30"/>
      <c r="I204" s="30"/>
      <c r="J204" s="30"/>
      <c r="K204" s="30"/>
      <c r="L204" s="30"/>
      <c r="M204" s="30"/>
      <c r="N204" s="30"/>
      <c r="O204" s="30"/>
      <c r="P204" s="30"/>
    </row>
    <row r="205" spans="1:16" ht="15.75">
      <c r="A205" s="30" t="s">
        <v>18</v>
      </c>
      <c r="B205" s="274" t="s">
        <v>18</v>
      </c>
      <c r="C205" s="30"/>
      <c r="D205" s="30"/>
      <c r="E205" s="30" t="s">
        <v>77</v>
      </c>
      <c r="F205" s="30"/>
      <c r="G205" s="30"/>
      <c r="H205" s="30"/>
      <c r="I205" s="30"/>
      <c r="J205" s="30"/>
      <c r="K205" s="30"/>
      <c r="L205" s="30"/>
      <c r="M205" s="30"/>
      <c r="N205" s="30"/>
      <c r="O205" s="30"/>
      <c r="P205" s="30"/>
    </row>
    <row r="206" spans="1:16" ht="15.75">
      <c r="A206" s="395" t="s">
        <v>19</v>
      </c>
      <c r="B206" s="30"/>
      <c r="C206" s="30"/>
      <c r="D206" s="30"/>
      <c r="E206" s="30"/>
      <c r="F206" s="30"/>
      <c r="G206" s="30"/>
      <c r="H206" s="30"/>
      <c r="I206" s="30"/>
      <c r="J206" s="30"/>
      <c r="K206" s="30"/>
      <c r="L206" s="30"/>
      <c r="M206" s="30"/>
      <c r="N206" s="30"/>
      <c r="O206" s="30"/>
      <c r="P206" s="30"/>
    </row>
    <row r="207" spans="1:16" ht="15.75">
      <c r="A207" s="395" t="s">
        <v>20</v>
      </c>
      <c r="B207" s="395" t="s">
        <v>21</v>
      </c>
      <c r="C207" s="395" t="s">
        <v>78</v>
      </c>
      <c r="D207" s="395" t="s">
        <v>18</v>
      </c>
      <c r="E207" s="395" t="s">
        <v>22</v>
      </c>
      <c r="F207" s="395" t="s">
        <v>7</v>
      </c>
      <c r="G207" s="395" t="s">
        <v>13</v>
      </c>
      <c r="H207" s="395" t="s">
        <v>16</v>
      </c>
      <c r="I207" s="395" t="s">
        <v>23</v>
      </c>
      <c r="J207" s="395" t="s">
        <v>24</v>
      </c>
      <c r="K207" s="395" t="s">
        <v>25</v>
      </c>
      <c r="L207" s="395" t="s">
        <v>26</v>
      </c>
      <c r="M207" s="395" t="s">
        <v>27</v>
      </c>
      <c r="N207" s="395" t="s">
        <v>28</v>
      </c>
      <c r="O207" s="395" t="s">
        <v>11</v>
      </c>
      <c r="P207" s="395" t="s">
        <v>79</v>
      </c>
    </row>
    <row r="208" spans="1:16" ht="15.75">
      <c r="A208" s="274" t="str">
        <f>B198</f>
        <v>treatment fuselage , airframe, Gt-bat, Medium-Term</v>
      </c>
      <c r="B208">
        <v>1</v>
      </c>
      <c r="C208" s="274"/>
      <c r="D208" s="274" t="s">
        <v>18</v>
      </c>
      <c r="E208" s="30" t="s">
        <v>2</v>
      </c>
      <c r="F208" s="30" t="s">
        <v>372</v>
      </c>
      <c r="G208" s="274" t="s">
        <v>60</v>
      </c>
      <c r="H208" s="30" t="s">
        <v>30</v>
      </c>
      <c r="I208" s="30">
        <v>0</v>
      </c>
      <c r="J208" s="274" t="s">
        <v>31</v>
      </c>
      <c r="K208" s="274" t="s">
        <v>31</v>
      </c>
      <c r="L208" s="274" t="s">
        <v>31</v>
      </c>
      <c r="M208" s="274" t="s">
        <v>31</v>
      </c>
      <c r="N208" s="274" t="s">
        <v>31</v>
      </c>
      <c r="O208" s="274"/>
      <c r="P208" s="30"/>
    </row>
    <row r="209" spans="1:16" ht="15.75">
      <c r="A209" t="str">
        <f>B91</f>
        <v>treatment of aluminium, fuselage, airframe, Gt-bat, Medium-Term</v>
      </c>
      <c r="B209" s="403">
        <v>207.30459999999999</v>
      </c>
      <c r="D209" s="274" t="s">
        <v>37</v>
      </c>
      <c r="E209" s="30" t="s">
        <v>2</v>
      </c>
      <c r="F209" s="30" t="s">
        <v>372</v>
      </c>
      <c r="G209" s="274" t="s">
        <v>60</v>
      </c>
      <c r="H209" s="30" t="s">
        <v>33</v>
      </c>
      <c r="I209" s="30">
        <v>0</v>
      </c>
      <c r="J209" s="274" t="s">
        <v>31</v>
      </c>
      <c r="K209" s="274" t="s">
        <v>31</v>
      </c>
      <c r="L209" s="274" t="s">
        <v>31</v>
      </c>
      <c r="M209" s="274" t="s">
        <v>31</v>
      </c>
      <c r="N209" s="274" t="s">
        <v>31</v>
      </c>
    </row>
    <row r="210" spans="1:16" ht="15.75">
      <c r="A210" t="str">
        <f>B106</f>
        <v>treatment of composites, fuselage, airframe, Gt-bat, Medium-Term</v>
      </c>
      <c r="B210" s="403">
        <v>2118.5659999999998</v>
      </c>
      <c r="D210" s="274" t="s">
        <v>37</v>
      </c>
      <c r="E210" s="30" t="s">
        <v>2</v>
      </c>
      <c r="F210" s="30" t="s">
        <v>372</v>
      </c>
      <c r="G210" s="274" t="s">
        <v>60</v>
      </c>
      <c r="H210" s="30" t="s">
        <v>33</v>
      </c>
      <c r="I210" s="30">
        <v>0</v>
      </c>
      <c r="J210" s="274" t="s">
        <v>31</v>
      </c>
      <c r="K210" s="274" t="s">
        <v>31</v>
      </c>
      <c r="L210" s="274" t="s">
        <v>31</v>
      </c>
      <c r="M210" s="274" t="s">
        <v>31</v>
      </c>
      <c r="N210" s="274" t="s">
        <v>31</v>
      </c>
      <c r="O210" s="274" t="s">
        <v>426</v>
      </c>
    </row>
    <row r="211" spans="1:16" ht="15.75">
      <c r="A211" t="str">
        <f>B106</f>
        <v>treatment of composites, fuselage, airframe, Gt-bat, Medium-Term</v>
      </c>
      <c r="B211" s="403">
        <v>11.21837</v>
      </c>
      <c r="D211" s="274" t="s">
        <v>37</v>
      </c>
      <c r="E211" s="30" t="s">
        <v>2</v>
      </c>
      <c r="F211" s="30" t="s">
        <v>372</v>
      </c>
      <c r="G211" s="274" t="s">
        <v>60</v>
      </c>
      <c r="H211" s="30" t="s">
        <v>33</v>
      </c>
      <c r="I211" s="30">
        <v>0</v>
      </c>
      <c r="J211" s="274" t="s">
        <v>31</v>
      </c>
      <c r="K211" s="274" t="s">
        <v>31</v>
      </c>
      <c r="L211" s="274" t="s">
        <v>31</v>
      </c>
      <c r="M211" s="274" t="s">
        <v>31</v>
      </c>
      <c r="N211" s="274" t="s">
        <v>31</v>
      </c>
      <c r="O211" s="274" t="s">
        <v>427</v>
      </c>
    </row>
    <row r="212" spans="1:16" ht="15.75">
      <c r="A212" t="str">
        <f>B121</f>
        <v>treatment of steel, fuselage, airframe, Gt-bat, Medium-Term</v>
      </c>
      <c r="B212" s="403">
        <v>921.77710000000002</v>
      </c>
      <c r="D212" s="274" t="s">
        <v>37</v>
      </c>
      <c r="E212" s="30" t="s">
        <v>2</v>
      </c>
      <c r="F212" s="30" t="s">
        <v>372</v>
      </c>
      <c r="G212" s="274" t="s">
        <v>60</v>
      </c>
      <c r="H212" s="30" t="s">
        <v>33</v>
      </c>
      <c r="I212" s="30">
        <v>0</v>
      </c>
      <c r="J212" s="274" t="s">
        <v>31</v>
      </c>
      <c r="K212" s="274" t="s">
        <v>31</v>
      </c>
      <c r="L212" s="274" t="s">
        <v>31</v>
      </c>
      <c r="M212" s="274" t="s">
        <v>31</v>
      </c>
      <c r="N212" s="274" t="s">
        <v>31</v>
      </c>
    </row>
    <row r="213" spans="1:16" ht="16.5" thickBot="1">
      <c r="A213" t="str">
        <f>B135</f>
        <v>treatment of titanium, fuselage, airframe, Gt-bat, Medium-Term</v>
      </c>
      <c r="B213" s="404">
        <v>161.53370000000001</v>
      </c>
      <c r="D213" s="274" t="s">
        <v>37</v>
      </c>
      <c r="E213" s="30" t="s">
        <v>2</v>
      </c>
      <c r="F213" s="30" t="s">
        <v>372</v>
      </c>
      <c r="G213" s="274" t="s">
        <v>60</v>
      </c>
      <c r="H213" s="30" t="s">
        <v>33</v>
      </c>
      <c r="I213" s="30">
        <v>0</v>
      </c>
      <c r="J213" s="274" t="s">
        <v>31</v>
      </c>
      <c r="K213" s="274" t="s">
        <v>31</v>
      </c>
      <c r="L213" s="274" t="s">
        <v>31</v>
      </c>
      <c r="M213" s="274" t="s">
        <v>31</v>
      </c>
      <c r="N213" s="274" t="s">
        <v>31</v>
      </c>
    </row>
    <row r="214" spans="1:16" s="399" customFormat="1" ht="15.75">
      <c r="A214" s="396" t="s">
        <v>5</v>
      </c>
      <c r="B214" s="396" t="s">
        <v>430</v>
      </c>
      <c r="C214" s="396"/>
      <c r="D214" s="397"/>
      <c r="E214" s="398"/>
      <c r="F214" s="398"/>
      <c r="G214" s="398"/>
      <c r="H214" s="398"/>
      <c r="I214" s="398"/>
      <c r="J214" s="398"/>
      <c r="K214" s="398"/>
      <c r="L214" s="398"/>
      <c r="M214" s="398"/>
      <c r="N214" s="398"/>
      <c r="O214" s="398"/>
      <c r="P214" s="398"/>
    </row>
    <row r="215" spans="1:16">
      <c r="A215" s="30" t="s">
        <v>7</v>
      </c>
      <c r="B215" s="30" t="s">
        <v>322</v>
      </c>
      <c r="C215" s="30"/>
      <c r="D215" s="30"/>
      <c r="E215" s="30"/>
      <c r="F215" s="30"/>
      <c r="G215" s="30"/>
      <c r="H215" s="30"/>
      <c r="I215" s="30"/>
      <c r="J215" s="30"/>
      <c r="K215" s="30"/>
      <c r="L215" s="30"/>
      <c r="M215" s="30"/>
      <c r="N215" s="30"/>
      <c r="O215" s="30"/>
      <c r="P215" s="30"/>
    </row>
    <row r="216" spans="1:16">
      <c r="A216" s="30" t="s">
        <v>9</v>
      </c>
      <c r="B216" s="394" t="s">
        <v>431</v>
      </c>
      <c r="C216" s="30"/>
      <c r="D216" s="30"/>
      <c r="E216" s="30"/>
      <c r="F216" s="30"/>
      <c r="G216" s="30"/>
      <c r="H216" s="30"/>
      <c r="I216" s="30"/>
      <c r="J216" s="30"/>
      <c r="K216" s="30"/>
      <c r="L216" s="30"/>
      <c r="M216" s="30"/>
      <c r="N216" s="30"/>
      <c r="O216" s="30"/>
      <c r="P216" s="30"/>
    </row>
    <row r="217" spans="1:16">
      <c r="A217" s="30" t="s">
        <v>11</v>
      </c>
      <c r="B217" s="30" t="s">
        <v>423</v>
      </c>
      <c r="C217" s="30"/>
      <c r="D217" s="30"/>
      <c r="E217" s="30"/>
      <c r="F217" s="30"/>
      <c r="G217" s="30"/>
      <c r="H217" s="30"/>
      <c r="I217" s="30"/>
      <c r="J217" s="30"/>
      <c r="K217" s="30"/>
      <c r="L217" s="30"/>
      <c r="M217" s="30"/>
      <c r="N217" s="30"/>
      <c r="O217" s="30"/>
      <c r="P217" s="30"/>
    </row>
    <row r="218" spans="1:16">
      <c r="A218" s="30" t="s">
        <v>13</v>
      </c>
      <c r="B218" s="30" t="s">
        <v>60</v>
      </c>
      <c r="C218" s="30"/>
      <c r="D218" s="30"/>
      <c r="E218" s="30"/>
      <c r="F218" s="30"/>
      <c r="G218" s="30"/>
      <c r="H218" s="30"/>
      <c r="I218" s="30"/>
      <c r="J218" s="30"/>
      <c r="K218" s="30"/>
      <c r="L218" s="30"/>
      <c r="M218" s="30"/>
      <c r="N218" s="30"/>
      <c r="O218" s="30"/>
      <c r="P218" s="30"/>
    </row>
    <row r="219" spans="1:16">
      <c r="A219" s="30" t="s">
        <v>15</v>
      </c>
      <c r="B219" s="30">
        <v>1</v>
      </c>
      <c r="C219" s="30"/>
      <c r="D219" s="30"/>
      <c r="E219" s="30"/>
      <c r="F219" s="30"/>
      <c r="G219" s="30"/>
      <c r="H219" s="30"/>
      <c r="I219" s="30"/>
      <c r="J219" s="30"/>
      <c r="K219" s="30"/>
      <c r="L219" s="30"/>
      <c r="M219" s="30"/>
      <c r="N219" s="30"/>
      <c r="O219" s="30"/>
      <c r="P219" s="30"/>
    </row>
    <row r="220" spans="1:16">
      <c r="A220" s="30" t="s">
        <v>16</v>
      </c>
      <c r="B220" s="30" t="s">
        <v>17</v>
      </c>
      <c r="C220" s="30"/>
      <c r="D220" s="30"/>
      <c r="E220" s="30"/>
      <c r="F220" s="30"/>
      <c r="G220" s="30"/>
      <c r="H220" s="30"/>
      <c r="I220" s="30"/>
      <c r="J220" s="30"/>
      <c r="K220" s="30"/>
      <c r="L220" s="30"/>
      <c r="M220" s="30"/>
      <c r="N220" s="30"/>
      <c r="O220" s="30"/>
      <c r="P220" s="30"/>
    </row>
    <row r="221" spans="1:16" ht="15.75">
      <c r="A221" s="30" t="s">
        <v>18</v>
      </c>
      <c r="B221" s="274" t="s">
        <v>18</v>
      </c>
      <c r="C221" s="30"/>
      <c r="D221" s="30"/>
      <c r="E221" s="30" t="s">
        <v>77</v>
      </c>
      <c r="F221" s="30"/>
      <c r="G221" s="30"/>
      <c r="H221" s="30"/>
      <c r="I221" s="30"/>
      <c r="J221" s="30"/>
      <c r="K221" s="30"/>
      <c r="L221" s="30"/>
      <c r="M221" s="30"/>
      <c r="N221" s="30"/>
      <c r="O221" s="30"/>
      <c r="P221" s="30"/>
    </row>
    <row r="222" spans="1:16" ht="15.75">
      <c r="A222" s="395" t="s">
        <v>19</v>
      </c>
      <c r="B222" s="30"/>
      <c r="C222" s="30"/>
      <c r="D222" s="30"/>
      <c r="E222" s="30"/>
      <c r="F222" s="30"/>
      <c r="G222" s="30"/>
      <c r="H222" s="30"/>
      <c r="I222" s="30"/>
      <c r="J222" s="30"/>
      <c r="K222" s="30"/>
      <c r="L222" s="30"/>
      <c r="M222" s="30"/>
      <c r="N222" s="30"/>
      <c r="O222" s="30"/>
      <c r="P222" s="30"/>
    </row>
    <row r="223" spans="1:16" ht="15.75">
      <c r="A223" s="395" t="s">
        <v>20</v>
      </c>
      <c r="B223" s="395" t="s">
        <v>21</v>
      </c>
      <c r="C223" s="395" t="s">
        <v>78</v>
      </c>
      <c r="D223" s="395" t="s">
        <v>18</v>
      </c>
      <c r="E223" s="395" t="s">
        <v>22</v>
      </c>
      <c r="F223" s="395" t="s">
        <v>7</v>
      </c>
      <c r="G223" s="395" t="s">
        <v>13</v>
      </c>
      <c r="H223" s="395" t="s">
        <v>16</v>
      </c>
      <c r="I223" s="395" t="s">
        <v>23</v>
      </c>
      <c r="J223" s="395" t="s">
        <v>24</v>
      </c>
      <c r="K223" s="395" t="s">
        <v>25</v>
      </c>
      <c r="L223" s="395" t="s">
        <v>26</v>
      </c>
      <c r="M223" s="395" t="s">
        <v>27</v>
      </c>
      <c r="N223" s="395" t="s">
        <v>28</v>
      </c>
      <c r="O223" s="395" t="s">
        <v>11</v>
      </c>
      <c r="P223" s="395" t="s">
        <v>79</v>
      </c>
    </row>
    <row r="224" spans="1:16" ht="15.75">
      <c r="A224" s="274" t="str">
        <f>B214</f>
        <v>treatment systems, airframe, Gt-bat, Medium-Term</v>
      </c>
      <c r="B224">
        <v>1</v>
      </c>
      <c r="C224" s="274"/>
      <c r="D224" s="274" t="s">
        <v>18</v>
      </c>
      <c r="E224" s="30" t="s">
        <v>2</v>
      </c>
      <c r="F224" s="30" t="s">
        <v>432</v>
      </c>
      <c r="G224" s="274" t="s">
        <v>60</v>
      </c>
      <c r="H224" s="30" t="s">
        <v>30</v>
      </c>
      <c r="I224" s="30">
        <v>0</v>
      </c>
      <c r="J224" s="274" t="s">
        <v>31</v>
      </c>
      <c r="K224" s="274" t="s">
        <v>31</v>
      </c>
      <c r="L224" s="274" t="s">
        <v>31</v>
      </c>
      <c r="M224" s="274" t="s">
        <v>31</v>
      </c>
      <c r="N224" s="274" t="s">
        <v>31</v>
      </c>
      <c r="O224" s="274"/>
      <c r="P224" s="30"/>
    </row>
    <row r="225" spans="1:16" ht="15.75">
      <c r="A225" t="s">
        <v>394</v>
      </c>
      <c r="B225">
        <v>212.34949999999992</v>
      </c>
      <c r="D225" t="s">
        <v>37</v>
      </c>
      <c r="E225" s="30" t="s">
        <v>2</v>
      </c>
      <c r="F225" s="30" t="s">
        <v>432</v>
      </c>
      <c r="G225" s="274" t="s">
        <v>60</v>
      </c>
      <c r="H225" t="s">
        <v>33</v>
      </c>
      <c r="I225" s="30">
        <v>0</v>
      </c>
      <c r="J225" s="274" t="s">
        <v>31</v>
      </c>
      <c r="K225" s="274" t="s">
        <v>31</v>
      </c>
      <c r="L225" s="274" t="s">
        <v>31</v>
      </c>
      <c r="M225" s="274" t="s">
        <v>31</v>
      </c>
      <c r="N225" s="274" t="s">
        <v>31</v>
      </c>
      <c r="O225" t="s">
        <v>433</v>
      </c>
    </row>
    <row r="226" spans="1:16" ht="15.75">
      <c r="A226" t="s">
        <v>397</v>
      </c>
      <c r="B226">
        <v>8.9057499999999994</v>
      </c>
      <c r="D226" t="s">
        <v>37</v>
      </c>
      <c r="E226" s="30" t="s">
        <v>2</v>
      </c>
      <c r="F226" s="30" t="s">
        <v>432</v>
      </c>
      <c r="G226" s="274" t="s">
        <v>60</v>
      </c>
      <c r="H226" t="s">
        <v>33</v>
      </c>
      <c r="I226" s="30">
        <v>0</v>
      </c>
      <c r="J226" s="274" t="s">
        <v>31</v>
      </c>
      <c r="K226" s="274" t="s">
        <v>31</v>
      </c>
      <c r="L226" s="274" t="s">
        <v>31</v>
      </c>
      <c r="M226" s="274" t="s">
        <v>31</v>
      </c>
      <c r="N226" s="274" t="s">
        <v>31</v>
      </c>
    </row>
    <row r="227" spans="1:16" ht="15.75">
      <c r="A227" s="274" t="s">
        <v>356</v>
      </c>
      <c r="B227" s="274">
        <v>131.423</v>
      </c>
      <c r="C227" s="274"/>
      <c r="D227" t="s">
        <v>37</v>
      </c>
      <c r="E227" s="30" t="s">
        <v>2</v>
      </c>
      <c r="F227" s="30" t="s">
        <v>432</v>
      </c>
      <c r="G227" s="274" t="s">
        <v>60</v>
      </c>
      <c r="H227" t="s">
        <v>33</v>
      </c>
      <c r="I227" s="30">
        <v>0</v>
      </c>
      <c r="J227" s="274" t="s">
        <v>31</v>
      </c>
      <c r="K227" s="274" t="s">
        <v>31</v>
      </c>
      <c r="L227" s="274" t="s">
        <v>31</v>
      </c>
      <c r="M227" s="274" t="s">
        <v>31</v>
      </c>
      <c r="N227" s="274" t="s">
        <v>31</v>
      </c>
      <c r="O227" s="30" t="s">
        <v>434</v>
      </c>
    </row>
    <row r="228" spans="1:16" ht="15.75">
      <c r="A228" t="s">
        <v>85</v>
      </c>
      <c r="B228">
        <v>-1312.7</v>
      </c>
      <c r="D228" t="s">
        <v>37</v>
      </c>
      <c r="E228" s="232" t="s">
        <v>38</v>
      </c>
      <c r="F228" s="30" t="s">
        <v>432</v>
      </c>
      <c r="G228" s="274" t="s">
        <v>86</v>
      </c>
      <c r="H228" t="s">
        <v>33</v>
      </c>
      <c r="I228" s="30">
        <v>0</v>
      </c>
      <c r="J228" s="274" t="s">
        <v>31</v>
      </c>
      <c r="K228" s="274" t="s">
        <v>31</v>
      </c>
      <c r="L228" s="274" t="s">
        <v>31</v>
      </c>
      <c r="M228" s="274" t="s">
        <v>31</v>
      </c>
      <c r="N228" s="274" t="s">
        <v>31</v>
      </c>
    </row>
    <row r="229" spans="1:16" ht="15.75">
      <c r="A229" t="s">
        <v>397</v>
      </c>
      <c r="B229">
        <v>159.09100000000001</v>
      </c>
      <c r="D229" t="s">
        <v>37</v>
      </c>
      <c r="E229" s="30" t="s">
        <v>2</v>
      </c>
      <c r="F229" s="30" t="s">
        <v>432</v>
      </c>
      <c r="G229" s="274" t="s">
        <v>60</v>
      </c>
      <c r="H229" t="s">
        <v>33</v>
      </c>
      <c r="I229" s="30">
        <v>0</v>
      </c>
      <c r="J229" s="274" t="s">
        <v>31</v>
      </c>
      <c r="K229" s="274" t="s">
        <v>31</v>
      </c>
      <c r="L229" s="274" t="s">
        <v>31</v>
      </c>
      <c r="M229" s="274" t="s">
        <v>31</v>
      </c>
      <c r="N229" s="274" t="s">
        <v>31</v>
      </c>
    </row>
    <row r="230" spans="1:16" ht="15.75">
      <c r="A230" t="s">
        <v>400</v>
      </c>
      <c r="B230">
        <v>644.30208300000004</v>
      </c>
      <c r="D230" t="s">
        <v>37</v>
      </c>
      <c r="E230" s="30" t="s">
        <v>2</v>
      </c>
      <c r="F230" s="30" t="s">
        <v>432</v>
      </c>
      <c r="G230" s="274" t="s">
        <v>60</v>
      </c>
      <c r="H230" t="s">
        <v>33</v>
      </c>
      <c r="I230" s="30">
        <v>0</v>
      </c>
      <c r="J230" s="274" t="s">
        <v>31</v>
      </c>
      <c r="K230" s="274" t="s">
        <v>31</v>
      </c>
      <c r="L230" s="274" t="s">
        <v>31</v>
      </c>
      <c r="M230" s="274" t="s">
        <v>31</v>
      </c>
      <c r="N230" s="274" t="s">
        <v>31</v>
      </c>
    </row>
    <row r="231" spans="1:16" ht="15.75">
      <c r="A231" t="s">
        <v>397</v>
      </c>
      <c r="B231">
        <v>44.528999999999996</v>
      </c>
      <c r="D231" t="s">
        <v>37</v>
      </c>
      <c r="E231" s="30" t="s">
        <v>2</v>
      </c>
      <c r="F231" s="30" t="s">
        <v>432</v>
      </c>
      <c r="G231" s="274" t="s">
        <v>60</v>
      </c>
      <c r="H231" t="s">
        <v>33</v>
      </c>
      <c r="I231" s="30">
        <v>0</v>
      </c>
      <c r="J231" s="274" t="s">
        <v>31</v>
      </c>
      <c r="K231" s="274" t="s">
        <v>31</v>
      </c>
      <c r="L231" s="274" t="s">
        <v>31</v>
      </c>
      <c r="M231" s="274" t="s">
        <v>31</v>
      </c>
      <c r="N231" s="274" t="s">
        <v>31</v>
      </c>
    </row>
    <row r="232" spans="1:16" s="42" customFormat="1" ht="15.75">
      <c r="A232" s="392" t="s">
        <v>5</v>
      </c>
      <c r="B232" s="392" t="s">
        <v>435</v>
      </c>
      <c r="C232" s="392"/>
      <c r="D232" s="120"/>
      <c r="E232" s="393"/>
      <c r="F232" s="393"/>
      <c r="G232" s="393"/>
      <c r="H232" s="393"/>
      <c r="I232" s="393"/>
      <c r="J232" s="393"/>
      <c r="K232" s="393"/>
      <c r="L232" s="393"/>
      <c r="M232" s="393"/>
      <c r="N232" s="393"/>
      <c r="O232" s="393"/>
      <c r="P232" s="393"/>
    </row>
    <row r="233" spans="1:16">
      <c r="A233" s="30" t="s">
        <v>7</v>
      </c>
      <c r="B233" s="30" t="s">
        <v>322</v>
      </c>
      <c r="C233" s="30"/>
      <c r="D233" s="30"/>
      <c r="E233" s="30"/>
      <c r="F233" s="30"/>
      <c r="G233" s="30"/>
      <c r="H233" s="30"/>
      <c r="I233" s="30"/>
      <c r="J233" s="30"/>
      <c r="K233" s="30"/>
      <c r="L233" s="30"/>
      <c r="M233" s="30"/>
      <c r="N233" s="30"/>
      <c r="O233" s="30"/>
      <c r="P233" s="30"/>
    </row>
    <row r="234" spans="1:16">
      <c r="A234" s="30" t="s">
        <v>9</v>
      </c>
      <c r="B234" s="394" t="s">
        <v>436</v>
      </c>
      <c r="C234" s="30"/>
      <c r="D234" s="30"/>
      <c r="E234" s="30"/>
      <c r="F234" s="30"/>
      <c r="G234" s="30"/>
      <c r="H234" s="30"/>
      <c r="I234" s="30"/>
      <c r="J234" s="30"/>
      <c r="K234" s="30"/>
      <c r="L234" s="30"/>
      <c r="M234" s="30"/>
      <c r="N234" s="30"/>
      <c r="O234" s="30"/>
      <c r="P234" s="30"/>
    </row>
    <row r="235" spans="1:16">
      <c r="A235" s="30" t="s">
        <v>11</v>
      </c>
      <c r="B235" s="30" t="s">
        <v>423</v>
      </c>
      <c r="C235" s="30"/>
      <c r="D235" s="30"/>
      <c r="E235" s="30"/>
      <c r="F235" s="30"/>
      <c r="G235" s="30"/>
      <c r="H235" s="30"/>
      <c r="I235" s="30"/>
      <c r="J235" s="30"/>
      <c r="K235" s="30"/>
      <c r="L235" s="30"/>
      <c r="M235" s="30"/>
      <c r="N235" s="30"/>
      <c r="O235" s="30"/>
      <c r="P235" s="30"/>
    </row>
    <row r="236" spans="1:16">
      <c r="A236" s="30" t="s">
        <v>13</v>
      </c>
      <c r="B236" s="30" t="s">
        <v>60</v>
      </c>
      <c r="C236" s="30"/>
      <c r="D236" s="30"/>
      <c r="E236" s="30"/>
      <c r="F236" s="30"/>
      <c r="G236" s="30"/>
      <c r="H236" s="30"/>
      <c r="I236" s="30"/>
      <c r="J236" s="30"/>
      <c r="K236" s="30"/>
      <c r="L236" s="30"/>
      <c r="M236" s="30"/>
      <c r="N236" s="30"/>
      <c r="O236" s="30"/>
      <c r="P236" s="30"/>
    </row>
    <row r="237" spans="1:16">
      <c r="A237" s="30" t="s">
        <v>15</v>
      </c>
      <c r="B237" s="30">
        <v>1</v>
      </c>
      <c r="C237" s="30"/>
      <c r="D237" s="30"/>
      <c r="E237" s="30"/>
      <c r="F237" s="30"/>
      <c r="G237" s="30"/>
      <c r="H237" s="30"/>
      <c r="I237" s="30"/>
      <c r="J237" s="30"/>
      <c r="K237" s="30"/>
      <c r="L237" s="30"/>
      <c r="M237" s="30"/>
      <c r="N237" s="30"/>
      <c r="O237" s="30"/>
      <c r="P237" s="30"/>
    </row>
    <row r="238" spans="1:16">
      <c r="A238" s="30" t="s">
        <v>16</v>
      </c>
      <c r="B238" s="30" t="s">
        <v>17</v>
      </c>
      <c r="C238" s="30"/>
      <c r="D238" s="30"/>
      <c r="E238" s="30"/>
      <c r="F238" s="30"/>
      <c r="G238" s="30"/>
      <c r="H238" s="30"/>
      <c r="I238" s="30"/>
      <c r="J238" s="30"/>
      <c r="K238" s="30"/>
      <c r="L238" s="30"/>
      <c r="M238" s="30"/>
      <c r="N238" s="30"/>
      <c r="O238" s="30"/>
      <c r="P238" s="30"/>
    </row>
    <row r="239" spans="1:16" ht="15.75">
      <c r="A239" s="30" t="s">
        <v>18</v>
      </c>
      <c r="B239" s="274" t="s">
        <v>18</v>
      </c>
      <c r="C239" s="30"/>
      <c r="D239" s="30"/>
      <c r="E239" s="30" t="s">
        <v>77</v>
      </c>
      <c r="F239" s="30"/>
      <c r="G239" s="30"/>
      <c r="H239" s="30"/>
      <c r="I239" s="30"/>
      <c r="J239" s="30"/>
      <c r="K239" s="30"/>
      <c r="L239" s="30"/>
      <c r="M239" s="30"/>
      <c r="N239" s="30"/>
      <c r="O239" s="30"/>
      <c r="P239" s="30"/>
    </row>
    <row r="240" spans="1:16" ht="15.75">
      <c r="A240" s="395" t="s">
        <v>19</v>
      </c>
      <c r="B240" s="30"/>
      <c r="C240" s="30"/>
      <c r="D240" s="30"/>
      <c r="E240" s="30"/>
      <c r="F240" s="30"/>
      <c r="G240" s="30"/>
      <c r="H240" s="30"/>
      <c r="I240" s="30"/>
      <c r="J240" s="30"/>
      <c r="K240" s="30"/>
      <c r="L240" s="30"/>
      <c r="M240" s="30"/>
      <c r="N240" s="30"/>
      <c r="O240" s="30"/>
      <c r="P240" s="30"/>
    </row>
    <row r="241" spans="1:16" ht="15.75">
      <c r="A241" s="395" t="s">
        <v>20</v>
      </c>
      <c r="B241" s="395" t="s">
        <v>21</v>
      </c>
      <c r="C241" s="395" t="s">
        <v>78</v>
      </c>
      <c r="D241" s="395" t="s">
        <v>18</v>
      </c>
      <c r="E241" s="395" t="s">
        <v>22</v>
      </c>
      <c r="F241" s="395" t="s">
        <v>7</v>
      </c>
      <c r="G241" s="395" t="s">
        <v>13</v>
      </c>
      <c r="H241" s="395" t="s">
        <v>16</v>
      </c>
      <c r="I241" s="395" t="s">
        <v>23</v>
      </c>
      <c r="J241" s="395" t="s">
        <v>24</v>
      </c>
      <c r="K241" s="395" t="s">
        <v>25</v>
      </c>
      <c r="L241" s="395" t="s">
        <v>26</v>
      </c>
      <c r="M241" s="395" t="s">
        <v>27</v>
      </c>
      <c r="N241" s="395" t="s">
        <v>28</v>
      </c>
      <c r="O241" s="395" t="s">
        <v>11</v>
      </c>
      <c r="P241" s="395" t="s">
        <v>79</v>
      </c>
    </row>
    <row r="242" spans="1:16" ht="15.75">
      <c r="A242" s="274" t="str">
        <f>B232</f>
        <v>treatment of airframe , Gt-bat, Medium-Term</v>
      </c>
      <c r="B242">
        <v>1</v>
      </c>
      <c r="C242" s="274"/>
      <c r="D242" s="274" t="s">
        <v>18</v>
      </c>
      <c r="E242" s="30" t="s">
        <v>2</v>
      </c>
      <c r="F242" s="30" t="s">
        <v>372</v>
      </c>
      <c r="G242" s="274" t="s">
        <v>60</v>
      </c>
      <c r="H242" s="30" t="s">
        <v>30</v>
      </c>
      <c r="I242" s="30">
        <v>0</v>
      </c>
      <c r="J242" s="274" t="s">
        <v>31</v>
      </c>
      <c r="K242" s="274" t="s">
        <v>31</v>
      </c>
      <c r="L242" s="274" t="s">
        <v>31</v>
      </c>
      <c r="M242" s="274" t="s">
        <v>31</v>
      </c>
      <c r="N242" s="274" t="s">
        <v>31</v>
      </c>
      <c r="O242" s="274"/>
      <c r="P242" s="30"/>
    </row>
    <row r="243" spans="1:16">
      <c r="A243" t="str">
        <f>A208</f>
        <v>treatment fuselage , airframe, Gt-bat, Medium-Term</v>
      </c>
      <c r="B243">
        <f t="shared" ref="B243:N243" si="1">B208</f>
        <v>1</v>
      </c>
      <c r="D243" t="str">
        <f t="shared" si="1"/>
        <v>unit</v>
      </c>
      <c r="E243" t="str">
        <f t="shared" si="1"/>
        <v>GENESIS_2040_GT-bat_NDC</v>
      </c>
      <c r="F243" s="30" t="s">
        <v>372</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Gt-bat, Medium-Term</v>
      </c>
      <c r="B244">
        <f t="shared" ref="B244:N244" si="2">B194</f>
        <v>1</v>
      </c>
      <c r="D244" t="str">
        <f t="shared" si="2"/>
        <v>unit</v>
      </c>
      <c r="E244" t="str">
        <f t="shared" si="2"/>
        <v>GENESIS_2040_GT-bat_NDC</v>
      </c>
      <c r="F244" s="30" t="s">
        <v>372</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Gt-bat, Medium-Term</v>
      </c>
      <c r="B245">
        <f t="shared" ref="B245:N245" si="3">B179</f>
        <v>1</v>
      </c>
      <c r="D245" t="str">
        <f t="shared" si="3"/>
        <v>unit</v>
      </c>
      <c r="E245" t="str">
        <f t="shared" si="3"/>
        <v>GENESIS_2040_GT-bat_NDC</v>
      </c>
      <c r="F245" s="30" t="s">
        <v>372</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Gt-bat, Medium-Term</v>
      </c>
      <c r="B246">
        <f t="shared" ref="B246:N246" si="4">B159</f>
        <v>1</v>
      </c>
      <c r="D246" t="str">
        <f t="shared" si="4"/>
        <v>kilogram</v>
      </c>
      <c r="E246" t="str">
        <f t="shared" si="4"/>
        <v>GENESIS_2040_GT-bat_NDC</v>
      </c>
      <c r="F246" s="30" t="s">
        <v>372</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
        <v>430</v>
      </c>
      <c r="B247">
        <v>1</v>
      </c>
      <c r="D247" t="s">
        <v>18</v>
      </c>
      <c r="E247" t="s">
        <v>2</v>
      </c>
      <c r="F247" t="s">
        <v>432</v>
      </c>
      <c r="G247" t="s">
        <v>60</v>
      </c>
      <c r="H247" t="s">
        <v>33</v>
      </c>
      <c r="I247">
        <v>0</v>
      </c>
      <c r="J247" t="s">
        <v>31</v>
      </c>
      <c r="K247" t="s">
        <v>31</v>
      </c>
      <c r="L247" t="s">
        <v>31</v>
      </c>
      <c r="M247" t="s">
        <v>31</v>
      </c>
      <c r="N247" t="s">
        <v>31</v>
      </c>
    </row>
    <row r="249" spans="1:16">
      <c r="F249" t="s">
        <v>437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40" sqref="B140"/>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69</v>
      </c>
      <c r="C2" s="3"/>
      <c r="D2" s="11"/>
      <c r="E2" s="11"/>
      <c r="F2" s="11"/>
      <c r="G2" s="11"/>
      <c r="H2" s="11"/>
      <c r="I2" s="11"/>
      <c r="J2" s="11"/>
      <c r="K2" s="11"/>
      <c r="L2" s="11"/>
      <c r="M2" s="11"/>
    </row>
    <row r="3" spans="1:13">
      <c r="A3" s="12" t="s">
        <v>7</v>
      </c>
      <c r="B3" s="13" t="s">
        <v>438</v>
      </c>
      <c r="C3" s="4"/>
      <c r="D3" s="13"/>
      <c r="E3" s="13"/>
      <c r="F3" s="13"/>
      <c r="G3" s="13"/>
      <c r="H3" s="13"/>
      <c r="I3" s="13"/>
      <c r="J3" s="13"/>
      <c r="K3" s="13"/>
      <c r="L3" s="13"/>
      <c r="M3" s="13"/>
    </row>
    <row r="4" spans="1:13">
      <c r="A4" s="12" t="s">
        <v>9</v>
      </c>
      <c r="B4" s="13" t="s">
        <v>439</v>
      </c>
      <c r="C4" s="4"/>
      <c r="D4" s="13"/>
      <c r="E4" s="13"/>
      <c r="F4" s="13"/>
      <c r="G4" s="13"/>
      <c r="H4" s="13"/>
      <c r="I4" s="13"/>
      <c r="J4" s="13"/>
      <c r="K4" s="13"/>
      <c r="L4" s="13"/>
      <c r="M4" s="13"/>
    </row>
    <row r="5" spans="1:13" ht="30">
      <c r="A5" s="12" t="s">
        <v>11</v>
      </c>
      <c r="B5" s="14" t="s">
        <v>440</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69</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441</v>
      </c>
      <c r="B13" s="13">
        <v>1</v>
      </c>
      <c r="C13" s="13" t="s">
        <v>18</v>
      </c>
      <c r="D13" s="13" t="s">
        <v>2</v>
      </c>
      <c r="E13" s="13" t="s">
        <v>29</v>
      </c>
      <c r="F13" s="13" t="s">
        <v>14</v>
      </c>
      <c r="G13" s="13" t="s">
        <v>33</v>
      </c>
      <c r="H13" s="13">
        <v>1</v>
      </c>
      <c r="I13" s="13">
        <v>1</v>
      </c>
      <c r="J13" s="13" t="s">
        <v>31</v>
      </c>
      <c r="K13" s="13" t="s">
        <v>31</v>
      </c>
      <c r="L13" s="13" t="s">
        <v>31</v>
      </c>
      <c r="M13" s="13" t="s">
        <v>31</v>
      </c>
    </row>
    <row r="14" spans="1:13">
      <c r="A14" s="12" t="s">
        <v>442</v>
      </c>
      <c r="B14" s="13">
        <v>1</v>
      </c>
      <c r="C14" s="13" t="s">
        <v>18</v>
      </c>
      <c r="D14" s="13" t="s">
        <v>2</v>
      </c>
      <c r="E14" s="13" t="s">
        <v>29</v>
      </c>
      <c r="F14" s="13" t="s">
        <v>14</v>
      </c>
      <c r="G14" s="13" t="s">
        <v>33</v>
      </c>
      <c r="H14" s="13">
        <v>1</v>
      </c>
      <c r="I14" s="13">
        <v>1</v>
      </c>
      <c r="J14" s="13" t="s">
        <v>31</v>
      </c>
      <c r="K14" s="13" t="s">
        <v>31</v>
      </c>
      <c r="L14" s="13" t="s">
        <v>31</v>
      </c>
      <c r="M14" s="13" t="s">
        <v>31</v>
      </c>
    </row>
    <row r="15" spans="1:13">
      <c r="A15" s="12" t="s">
        <v>443</v>
      </c>
      <c r="B15" s="13">
        <v>1</v>
      </c>
      <c r="C15" s="13" t="s">
        <v>18</v>
      </c>
      <c r="D15" s="13" t="s">
        <v>2</v>
      </c>
      <c r="E15" s="13" t="s">
        <v>29</v>
      </c>
      <c r="F15" s="13" t="s">
        <v>14</v>
      </c>
      <c r="G15" s="13" t="s">
        <v>33</v>
      </c>
      <c r="H15" s="13">
        <v>1</v>
      </c>
      <c r="I15" s="13">
        <v>1</v>
      </c>
      <c r="J15" s="13" t="s">
        <v>31</v>
      </c>
      <c r="K15" s="13" t="s">
        <v>31</v>
      </c>
      <c r="L15" s="13" t="s">
        <v>31</v>
      </c>
      <c r="M15" s="13" t="s">
        <v>31</v>
      </c>
    </row>
    <row r="16" spans="1:13">
      <c r="A16" s="12" t="s">
        <v>444</v>
      </c>
      <c r="B16" s="13">
        <v>1</v>
      </c>
      <c r="C16" s="13" t="s">
        <v>18</v>
      </c>
      <c r="D16" s="13" t="s">
        <v>2</v>
      </c>
      <c r="E16" s="13" t="s">
        <v>29</v>
      </c>
      <c r="F16" s="13" t="s">
        <v>14</v>
      </c>
      <c r="G16" s="13" t="s">
        <v>33</v>
      </c>
      <c r="H16" s="13">
        <v>1</v>
      </c>
      <c r="I16" s="13">
        <v>1</v>
      </c>
      <c r="J16" s="13" t="s">
        <v>31</v>
      </c>
      <c r="K16" s="13" t="s">
        <v>31</v>
      </c>
      <c r="L16" s="13" t="s">
        <v>31</v>
      </c>
      <c r="M16" s="13" t="s">
        <v>31</v>
      </c>
    </row>
    <row r="17" spans="1:13">
      <c r="A17" s="12" t="s">
        <v>445</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441</v>
      </c>
      <c r="C18" s="3"/>
      <c r="D18" s="11"/>
      <c r="E18" s="11"/>
      <c r="F18" s="11"/>
      <c r="G18" s="11"/>
      <c r="H18" s="11"/>
      <c r="I18" s="11"/>
      <c r="J18" s="11"/>
      <c r="K18" s="11"/>
      <c r="L18" s="11"/>
      <c r="M18" s="11"/>
    </row>
    <row r="19" spans="1:13">
      <c r="A19" s="12" t="s">
        <v>7</v>
      </c>
      <c r="B19" s="13" t="s">
        <v>446</v>
      </c>
      <c r="C19" s="4"/>
      <c r="D19" s="13"/>
      <c r="E19" s="13"/>
      <c r="F19" s="13"/>
      <c r="G19" s="13"/>
      <c r="H19" s="13"/>
      <c r="I19" s="13"/>
      <c r="J19" s="13"/>
      <c r="K19" s="13"/>
      <c r="L19" s="13"/>
      <c r="M19" s="13"/>
    </row>
    <row r="20" spans="1:13">
      <c r="A20" s="12" t="s">
        <v>9</v>
      </c>
      <c r="B20" s="13" t="s">
        <v>447</v>
      </c>
      <c r="C20" s="4"/>
      <c r="D20" s="13"/>
      <c r="E20" s="13"/>
      <c r="F20" s="13"/>
      <c r="G20" s="13"/>
      <c r="H20" s="13"/>
      <c r="I20" s="13"/>
      <c r="J20" s="13"/>
      <c r="K20" s="13"/>
      <c r="L20" s="13"/>
      <c r="M20" s="13"/>
    </row>
    <row r="21" spans="1:13" ht="30">
      <c r="A21" s="12" t="s">
        <v>11</v>
      </c>
      <c r="B21" s="14" t="s">
        <v>448</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441</v>
      </c>
      <c r="B28" s="13">
        <v>1</v>
      </c>
      <c r="C28" s="13" t="s">
        <v>18</v>
      </c>
      <c r="D28" s="13" t="s">
        <v>2</v>
      </c>
      <c r="E28" s="13" t="s">
        <v>29</v>
      </c>
      <c r="F28" s="13" t="s">
        <v>14</v>
      </c>
      <c r="G28" s="13" t="s">
        <v>30</v>
      </c>
      <c r="H28" s="13">
        <v>1</v>
      </c>
      <c r="I28" s="13">
        <v>1</v>
      </c>
      <c r="J28" s="13" t="s">
        <v>31</v>
      </c>
      <c r="K28" s="13" t="s">
        <v>31</v>
      </c>
      <c r="L28" s="13" t="s">
        <v>31</v>
      </c>
      <c r="M28" s="13" t="s">
        <v>31</v>
      </c>
    </row>
    <row r="29" spans="1:13">
      <c r="A29" s="12" t="s">
        <v>253</v>
      </c>
      <c r="B29" s="13">
        <v>318.18200000000002</v>
      </c>
      <c r="C29" s="13" t="s">
        <v>37</v>
      </c>
      <c r="D29" s="13" t="s">
        <v>38</v>
      </c>
      <c r="E29" s="13" t="s">
        <v>29</v>
      </c>
      <c r="F29" s="13" t="s">
        <v>60</v>
      </c>
      <c r="G29" s="13" t="s">
        <v>33</v>
      </c>
      <c r="H29" s="13">
        <v>2</v>
      </c>
      <c r="I29" s="13">
        <f>LN(B29)</f>
        <v>5.7626235461075428</v>
      </c>
      <c r="J29" s="13">
        <v>0.24083189157584584</v>
      </c>
      <c r="K29" s="13" t="s">
        <v>31</v>
      </c>
      <c r="L29" s="13" t="s">
        <v>31</v>
      </c>
      <c r="M29" s="13" t="s">
        <v>31</v>
      </c>
    </row>
    <row r="30" spans="1:13">
      <c r="A30" s="12" t="s">
        <v>449</v>
      </c>
      <c r="B30" s="13">
        <v>83.004000000000005</v>
      </c>
      <c r="C30" s="13" t="s">
        <v>37</v>
      </c>
      <c r="D30" s="13" t="s">
        <v>38</v>
      </c>
      <c r="E30" s="13" t="s">
        <v>29</v>
      </c>
      <c r="F30" s="13" t="s">
        <v>60</v>
      </c>
      <c r="G30" s="13" t="s">
        <v>33</v>
      </c>
      <c r="H30" s="13">
        <v>2</v>
      </c>
      <c r="I30" s="13">
        <f t="shared" ref="I30:I32" si="0">LN(B30)</f>
        <v>4.4188887994064476</v>
      </c>
      <c r="J30" s="13">
        <v>0.24083189157584584</v>
      </c>
      <c r="K30" s="13" t="s">
        <v>31</v>
      </c>
      <c r="L30" s="13" t="s">
        <v>31</v>
      </c>
      <c r="M30" s="13" t="s">
        <v>31</v>
      </c>
    </row>
    <row r="31" spans="1:13">
      <c r="A31" s="12" t="s">
        <v>450</v>
      </c>
      <c r="B31" s="13">
        <v>131.423</v>
      </c>
      <c r="C31" s="13" t="s">
        <v>37</v>
      </c>
      <c r="D31" s="13" t="s">
        <v>38</v>
      </c>
      <c r="E31" s="13" t="s">
        <v>29</v>
      </c>
      <c r="F31" s="13" t="s">
        <v>60</v>
      </c>
      <c r="G31" s="13" t="s">
        <v>33</v>
      </c>
      <c r="H31" s="13">
        <v>2</v>
      </c>
      <c r="I31" s="13">
        <f t="shared" si="0"/>
        <v>4.878421128784888</v>
      </c>
      <c r="J31" s="13">
        <v>0.24083189157584584</v>
      </c>
      <c r="K31" s="13" t="s">
        <v>31</v>
      </c>
      <c r="L31" s="13" t="s">
        <v>31</v>
      </c>
      <c r="M31" s="13" t="s">
        <v>31</v>
      </c>
    </row>
    <row r="32" spans="1:13">
      <c r="A32" s="12" t="s">
        <v>451</v>
      </c>
      <c r="B32" s="13">
        <v>159.09100000000001</v>
      </c>
      <c r="C32" s="13" t="s">
        <v>37</v>
      </c>
      <c r="D32" s="13" t="s">
        <v>38</v>
      </c>
      <c r="E32" s="13" t="s">
        <v>29</v>
      </c>
      <c r="F32" s="13" t="s">
        <v>60</v>
      </c>
      <c r="G32" s="13" t="s">
        <v>33</v>
      </c>
      <c r="H32" s="13">
        <v>2</v>
      </c>
      <c r="I32" s="13">
        <f t="shared" si="0"/>
        <v>5.0694763655475974</v>
      </c>
      <c r="J32" s="13">
        <v>0.24083189157584584</v>
      </c>
      <c r="K32" s="13" t="s">
        <v>31</v>
      </c>
      <c r="L32" s="13" t="s">
        <v>31</v>
      </c>
      <c r="M32" s="13" t="s">
        <v>31</v>
      </c>
    </row>
    <row r="33" spans="1:13">
      <c r="A33" s="18" t="s">
        <v>5</v>
      </c>
      <c r="B33" s="19" t="s">
        <v>442</v>
      </c>
      <c r="C33" s="3"/>
      <c r="D33" s="11"/>
      <c r="E33" s="11"/>
      <c r="F33" s="11"/>
      <c r="G33" s="11"/>
      <c r="H33" s="11"/>
      <c r="I33" s="11"/>
      <c r="J33" s="11"/>
      <c r="K33" s="11"/>
      <c r="L33" s="11"/>
      <c r="M33" s="11"/>
    </row>
    <row r="34" spans="1:13">
      <c r="A34" s="12" t="s">
        <v>7</v>
      </c>
      <c r="B34" s="13" t="s">
        <v>446</v>
      </c>
      <c r="C34" s="4"/>
      <c r="D34" s="13"/>
      <c r="E34" s="13"/>
      <c r="F34" s="13"/>
      <c r="G34" s="13"/>
      <c r="H34" s="13"/>
      <c r="I34" s="13"/>
      <c r="J34" s="13"/>
      <c r="K34" s="13"/>
      <c r="L34" s="13"/>
      <c r="M34" s="13"/>
    </row>
    <row r="35" spans="1:13">
      <c r="A35" s="12" t="s">
        <v>9</v>
      </c>
      <c r="B35" s="13" t="s">
        <v>452</v>
      </c>
      <c r="C35" s="4"/>
      <c r="D35" s="13"/>
      <c r="E35" s="13"/>
      <c r="F35" s="13"/>
      <c r="G35" s="13"/>
      <c r="H35" s="13"/>
      <c r="I35" s="13"/>
      <c r="J35" s="13"/>
      <c r="K35" s="13"/>
      <c r="L35" s="13"/>
      <c r="M35" s="13"/>
    </row>
    <row r="36" spans="1:13" ht="30">
      <c r="A36" s="12" t="s">
        <v>11</v>
      </c>
      <c r="B36" s="14" t="s">
        <v>453</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442</v>
      </c>
      <c r="B43" s="13">
        <v>1</v>
      </c>
      <c r="C43" s="13" t="s">
        <v>18</v>
      </c>
      <c r="D43" s="13" t="s">
        <v>2</v>
      </c>
      <c r="E43" s="13" t="s">
        <v>29</v>
      </c>
      <c r="F43" s="13" t="s">
        <v>14</v>
      </c>
      <c r="G43" s="13" t="s">
        <v>30</v>
      </c>
      <c r="H43" s="13">
        <v>1</v>
      </c>
      <c r="I43" s="13">
        <v>1</v>
      </c>
      <c r="J43" s="13" t="s">
        <v>31</v>
      </c>
      <c r="K43" s="13" t="s">
        <v>31</v>
      </c>
      <c r="L43" s="13" t="s">
        <v>31</v>
      </c>
      <c r="M43" s="13" t="s">
        <v>31</v>
      </c>
    </row>
    <row r="44" spans="1:13">
      <c r="A44" s="12" t="s">
        <v>454</v>
      </c>
      <c r="B44" s="13">
        <v>881.9</v>
      </c>
      <c r="C44" s="13" t="s">
        <v>37</v>
      </c>
      <c r="D44" s="13" t="s">
        <v>38</v>
      </c>
      <c r="E44" s="13" t="s">
        <v>29</v>
      </c>
      <c r="F44" s="13" t="s">
        <v>60</v>
      </c>
      <c r="G44" s="13" t="s">
        <v>33</v>
      </c>
      <c r="H44" s="13">
        <v>2</v>
      </c>
      <c r="I44" s="13">
        <f>LN(B44)</f>
        <v>6.7820786708941352</v>
      </c>
      <c r="J44" s="13">
        <v>0.24083189157584584</v>
      </c>
      <c r="K44" s="13" t="s">
        <v>31</v>
      </c>
      <c r="L44" s="13" t="s">
        <v>31</v>
      </c>
      <c r="M44" s="13" t="s">
        <v>31</v>
      </c>
    </row>
    <row r="45" spans="1:13">
      <c r="A45" s="18" t="s">
        <v>5</v>
      </c>
      <c r="B45" s="19" t="s">
        <v>443</v>
      </c>
      <c r="C45" s="3"/>
      <c r="D45" s="11"/>
      <c r="E45" s="11"/>
      <c r="F45" s="11"/>
      <c r="G45" s="11"/>
      <c r="H45" s="11"/>
      <c r="I45" s="11"/>
      <c r="J45" s="11"/>
      <c r="K45" s="11"/>
      <c r="L45" s="11"/>
      <c r="M45" s="11"/>
    </row>
    <row r="46" spans="1:13">
      <c r="A46" s="12" t="s">
        <v>7</v>
      </c>
      <c r="B46" s="13" t="s">
        <v>446</v>
      </c>
      <c r="C46" s="4"/>
      <c r="D46" s="13"/>
      <c r="E46" s="13"/>
      <c r="F46" s="13"/>
      <c r="G46" s="13"/>
      <c r="H46" s="13"/>
      <c r="I46" s="13"/>
      <c r="J46" s="13"/>
      <c r="K46" s="13"/>
      <c r="L46" s="13"/>
      <c r="M46" s="13"/>
    </row>
    <row r="47" spans="1:13">
      <c r="A47" s="12" t="s">
        <v>9</v>
      </c>
      <c r="B47" s="13" t="s">
        <v>455</v>
      </c>
      <c r="C47" s="4"/>
      <c r="D47" s="13"/>
      <c r="E47" s="13"/>
      <c r="F47" s="13"/>
      <c r="G47" s="13"/>
      <c r="H47" s="13"/>
      <c r="I47" s="13"/>
      <c r="J47" s="13"/>
      <c r="K47" s="13"/>
      <c r="L47" s="13"/>
      <c r="M47" s="13"/>
    </row>
    <row r="48" spans="1:13" ht="30">
      <c r="A48" s="12" t="s">
        <v>11</v>
      </c>
      <c r="B48" s="14" t="s">
        <v>456</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443</v>
      </c>
      <c r="B55" s="13">
        <v>1</v>
      </c>
      <c r="C55" s="13" t="s">
        <v>18</v>
      </c>
      <c r="D55" s="13" t="s">
        <v>2</v>
      </c>
      <c r="E55" s="13" t="s">
        <v>29</v>
      </c>
      <c r="F55" s="13" t="s">
        <v>14</v>
      </c>
      <c r="G55" s="13" t="s">
        <v>30</v>
      </c>
      <c r="H55" s="13">
        <v>1</v>
      </c>
      <c r="I55" s="13">
        <v>1</v>
      </c>
      <c r="J55" s="13" t="s">
        <v>31</v>
      </c>
      <c r="K55" s="13" t="s">
        <v>31</v>
      </c>
      <c r="L55" s="13" t="s">
        <v>31</v>
      </c>
      <c r="M55" s="13" t="s">
        <v>31</v>
      </c>
    </row>
    <row r="56" spans="1:13">
      <c r="A56" s="12" t="s">
        <v>457</v>
      </c>
      <c r="B56" s="13">
        <v>1</v>
      </c>
      <c r="C56" s="13" t="s">
        <v>18</v>
      </c>
      <c r="D56" s="13" t="s">
        <v>2</v>
      </c>
      <c r="E56" s="13" t="s">
        <v>29</v>
      </c>
      <c r="F56" s="13" t="s">
        <v>14</v>
      </c>
      <c r="G56" s="13" t="s">
        <v>33</v>
      </c>
      <c r="H56" s="13">
        <v>1</v>
      </c>
      <c r="I56" s="13">
        <v>1</v>
      </c>
      <c r="J56" s="13" t="s">
        <v>31</v>
      </c>
      <c r="K56" s="13" t="s">
        <v>31</v>
      </c>
      <c r="L56" s="13" t="s">
        <v>31</v>
      </c>
      <c r="M56" s="13" t="s">
        <v>31</v>
      </c>
    </row>
    <row r="57" spans="1:13">
      <c r="A57" s="12" t="s">
        <v>458</v>
      </c>
      <c r="B57" s="13">
        <v>1</v>
      </c>
      <c r="C57" s="13" t="s">
        <v>18</v>
      </c>
      <c r="D57" s="13" t="s">
        <v>2</v>
      </c>
      <c r="E57" s="13" t="s">
        <v>29</v>
      </c>
      <c r="F57" s="13" t="s">
        <v>14</v>
      </c>
      <c r="G57" s="13" t="s">
        <v>33</v>
      </c>
      <c r="H57" s="13">
        <v>1</v>
      </c>
      <c r="I57" s="13">
        <v>1</v>
      </c>
      <c r="J57" s="13" t="s">
        <v>31</v>
      </c>
      <c r="K57" s="13" t="s">
        <v>31</v>
      </c>
      <c r="L57" s="13" t="s">
        <v>31</v>
      </c>
      <c r="M57" s="13" t="s">
        <v>31</v>
      </c>
    </row>
    <row r="58" spans="1:13">
      <c r="A58" s="12" t="s">
        <v>459</v>
      </c>
      <c r="B58" s="13">
        <v>1</v>
      </c>
      <c r="C58" s="13" t="s">
        <v>18</v>
      </c>
      <c r="D58" s="13" t="s">
        <v>2</v>
      </c>
      <c r="E58" s="13" t="s">
        <v>29</v>
      </c>
      <c r="F58" s="13" t="s">
        <v>14</v>
      </c>
      <c r="G58" s="13" t="s">
        <v>33</v>
      </c>
      <c r="H58" s="13">
        <v>1</v>
      </c>
      <c r="I58" s="13">
        <v>1</v>
      </c>
      <c r="J58" s="13" t="s">
        <v>31</v>
      </c>
      <c r="K58" s="13" t="s">
        <v>31</v>
      </c>
      <c r="L58" s="13" t="s">
        <v>31</v>
      </c>
      <c r="M58" s="13" t="s">
        <v>31</v>
      </c>
    </row>
    <row r="59" spans="1:13">
      <c r="A59" s="12" t="s">
        <v>460</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457</v>
      </c>
      <c r="C60" s="3"/>
      <c r="D60" s="11"/>
      <c r="E60" s="11"/>
      <c r="F60" s="11"/>
      <c r="G60" s="11"/>
      <c r="H60" s="11"/>
      <c r="I60" s="11"/>
      <c r="J60" s="11"/>
      <c r="K60" s="11"/>
      <c r="L60" s="11"/>
      <c r="M60" s="11"/>
    </row>
    <row r="61" spans="1:13">
      <c r="A61" s="12" t="s">
        <v>7</v>
      </c>
      <c r="B61" s="13" t="s">
        <v>461</v>
      </c>
      <c r="C61" s="4"/>
      <c r="D61" s="13"/>
      <c r="E61" s="13"/>
      <c r="F61" s="13"/>
      <c r="G61" s="13"/>
      <c r="H61" s="13"/>
      <c r="I61" s="13"/>
      <c r="J61" s="13"/>
      <c r="K61" s="13"/>
      <c r="L61" s="13"/>
      <c r="M61" s="13"/>
    </row>
    <row r="62" spans="1:13">
      <c r="A62" s="12" t="s">
        <v>9</v>
      </c>
      <c r="B62" s="13" t="s">
        <v>462</v>
      </c>
      <c r="C62" s="4"/>
      <c r="D62" s="13"/>
      <c r="E62" s="13"/>
      <c r="F62" s="13"/>
      <c r="G62" s="13"/>
      <c r="H62" s="13"/>
      <c r="I62" s="13"/>
      <c r="J62" s="13"/>
      <c r="K62" s="13"/>
      <c r="L62" s="13"/>
      <c r="M62" s="13"/>
    </row>
    <row r="63" spans="1:13" ht="30">
      <c r="A63" s="12" t="s">
        <v>11</v>
      </c>
      <c r="B63" s="14" t="s">
        <v>463</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457</v>
      </c>
      <c r="B70" s="13">
        <v>1</v>
      </c>
      <c r="C70" s="13" t="s">
        <v>18</v>
      </c>
      <c r="D70" s="13" t="s">
        <v>2</v>
      </c>
      <c r="E70" s="13" t="s">
        <v>29</v>
      </c>
      <c r="F70" s="13" t="s">
        <v>14</v>
      </c>
      <c r="G70" s="13" t="s">
        <v>30</v>
      </c>
      <c r="H70" s="13">
        <v>1</v>
      </c>
      <c r="I70" s="13">
        <v>1</v>
      </c>
      <c r="J70" s="13" t="s">
        <v>31</v>
      </c>
      <c r="K70" s="13" t="s">
        <v>31</v>
      </c>
      <c r="L70" s="13" t="s">
        <v>31</v>
      </c>
      <c r="M70" s="13" t="s">
        <v>31</v>
      </c>
    </row>
    <row r="71" spans="1:13">
      <c r="A71" s="12" t="s">
        <v>464</v>
      </c>
      <c r="B71" s="13">
        <f>118.655*15</f>
        <v>1779.825</v>
      </c>
      <c r="C71" s="13" t="s">
        <v>37</v>
      </c>
      <c r="D71" s="13" t="s">
        <v>38</v>
      </c>
      <c r="E71" s="13" t="s">
        <v>29</v>
      </c>
      <c r="F71" s="13" t="s">
        <v>60</v>
      </c>
      <c r="G71" s="13" t="s">
        <v>33</v>
      </c>
      <c r="H71" s="13">
        <v>2</v>
      </c>
      <c r="I71" s="13">
        <f>LN(B71)</f>
        <v>7.4842703238461912</v>
      </c>
      <c r="J71" s="13">
        <v>0.30331501776206199</v>
      </c>
      <c r="K71" s="13" t="s">
        <v>31</v>
      </c>
      <c r="L71" s="13" t="s">
        <v>31</v>
      </c>
      <c r="M71" s="13" t="s">
        <v>31</v>
      </c>
    </row>
    <row r="72" spans="1:13">
      <c r="A72" s="12" t="s">
        <v>134</v>
      </c>
      <c r="B72" s="13">
        <f>118.655*14</f>
        <v>1661.17</v>
      </c>
      <c r="C72" s="13" t="s">
        <v>37</v>
      </c>
      <c r="D72" s="13" t="s">
        <v>38</v>
      </c>
      <c r="E72" s="13" t="s">
        <v>29</v>
      </c>
      <c r="F72" s="13" t="s">
        <v>86</v>
      </c>
      <c r="G72" s="13" t="s">
        <v>33</v>
      </c>
      <c r="H72" s="13">
        <v>2</v>
      </c>
      <c r="I72" s="13">
        <f>LN(B72)</f>
        <v>7.4152774523592404</v>
      </c>
      <c r="J72" s="13">
        <v>0.30331501776206199</v>
      </c>
      <c r="K72" s="13" t="s">
        <v>31</v>
      </c>
      <c r="L72" s="13" t="s">
        <v>31</v>
      </c>
      <c r="M72" s="13" t="s">
        <v>31</v>
      </c>
    </row>
    <row r="73" spans="1:13">
      <c r="A73" s="12" t="s">
        <v>464</v>
      </c>
      <c r="B73" s="13">
        <f>118.655*14</f>
        <v>1661.17</v>
      </c>
      <c r="C73" s="13" t="s">
        <v>37</v>
      </c>
      <c r="D73" s="13" t="s">
        <v>38</v>
      </c>
      <c r="E73" s="13" t="s">
        <v>29</v>
      </c>
      <c r="F73" s="13" t="s">
        <v>60</v>
      </c>
      <c r="G73" s="13" t="s">
        <v>98</v>
      </c>
      <c r="H73" s="13">
        <v>2</v>
      </c>
      <c r="I73" s="13">
        <f>LN(B73)</f>
        <v>7.4152774523592404</v>
      </c>
      <c r="J73" s="13">
        <v>0.30331501776206199</v>
      </c>
      <c r="K73" s="13" t="s">
        <v>31</v>
      </c>
      <c r="L73" s="13" t="s">
        <v>31</v>
      </c>
      <c r="M73" s="13" t="s">
        <v>31</v>
      </c>
    </row>
    <row r="74" spans="1:13">
      <c r="A74" s="18" t="s">
        <v>5</v>
      </c>
      <c r="B74" s="19" t="s">
        <v>458</v>
      </c>
      <c r="C74" s="3"/>
      <c r="D74" s="11"/>
      <c r="E74" s="11"/>
      <c r="F74" s="11"/>
      <c r="G74" s="11"/>
      <c r="H74" s="11"/>
      <c r="I74" s="11"/>
      <c r="J74" s="11"/>
      <c r="K74" s="11"/>
      <c r="L74" s="11"/>
      <c r="M74" s="11"/>
    </row>
    <row r="75" spans="1:13">
      <c r="A75" s="12" t="s">
        <v>7</v>
      </c>
      <c r="B75" s="13" t="s">
        <v>461</v>
      </c>
      <c r="C75" s="4"/>
      <c r="D75" s="13"/>
      <c r="E75" s="13"/>
      <c r="F75" s="13"/>
      <c r="G75" s="13"/>
      <c r="H75" s="13"/>
      <c r="I75" s="13"/>
      <c r="J75" s="13"/>
      <c r="K75" s="13"/>
      <c r="L75" s="13"/>
      <c r="M75" s="13"/>
    </row>
    <row r="76" spans="1:13">
      <c r="A76" s="12" t="s">
        <v>9</v>
      </c>
      <c r="B76" s="13" t="s">
        <v>465</v>
      </c>
      <c r="C76" s="4"/>
      <c r="D76" s="13"/>
      <c r="E76" s="13"/>
      <c r="F76" s="13"/>
      <c r="G76" s="13"/>
      <c r="H76" s="13"/>
      <c r="I76" s="13"/>
      <c r="J76" s="13"/>
      <c r="K76" s="13"/>
      <c r="L76" s="13"/>
      <c r="M76" s="13"/>
    </row>
    <row r="77" spans="1:13" ht="30">
      <c r="A77" s="12" t="s">
        <v>11</v>
      </c>
      <c r="B77" s="14" t="s">
        <v>466</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458</v>
      </c>
      <c r="B84" s="13">
        <v>1</v>
      </c>
      <c r="C84" s="13" t="s">
        <v>18</v>
      </c>
      <c r="D84" s="13" t="s">
        <v>2</v>
      </c>
      <c r="E84" s="13" t="s">
        <v>29</v>
      </c>
      <c r="F84" s="13" t="s">
        <v>14</v>
      </c>
      <c r="G84" s="13" t="s">
        <v>30</v>
      </c>
      <c r="H84" s="13">
        <v>1</v>
      </c>
      <c r="I84" s="13">
        <v>1</v>
      </c>
      <c r="J84" s="13" t="s">
        <v>31</v>
      </c>
      <c r="K84" s="13" t="s">
        <v>31</v>
      </c>
      <c r="L84" s="13" t="s">
        <v>31</v>
      </c>
      <c r="M84" s="13" t="s">
        <v>31</v>
      </c>
    </row>
    <row r="85" spans="1:13">
      <c r="A85" s="12" t="s">
        <v>464</v>
      </c>
      <c r="B85" s="13">
        <f>34.972*15</f>
        <v>524.58000000000004</v>
      </c>
      <c r="C85" s="13" t="s">
        <v>37</v>
      </c>
      <c r="D85" s="13" t="s">
        <v>38</v>
      </c>
      <c r="E85" s="13" t="s">
        <v>29</v>
      </c>
      <c r="F85" s="13" t="s">
        <v>60</v>
      </c>
      <c r="G85" s="13" t="s">
        <v>33</v>
      </c>
      <c r="H85" s="13">
        <v>2</v>
      </c>
      <c r="I85" s="13">
        <f>LN(B85)</f>
        <v>6.2625979424208547</v>
      </c>
      <c r="J85" s="13">
        <v>0.30331501776206199</v>
      </c>
      <c r="K85" s="13" t="s">
        <v>31</v>
      </c>
      <c r="L85" s="13" t="s">
        <v>31</v>
      </c>
      <c r="M85" s="13" t="s">
        <v>31</v>
      </c>
    </row>
    <row r="86" spans="1:13">
      <c r="A86" s="12" t="s">
        <v>134</v>
      </c>
      <c r="B86" s="13">
        <f>34.972*14</f>
        <v>489.608</v>
      </c>
      <c r="C86" s="13" t="s">
        <v>37</v>
      </c>
      <c r="D86" s="13" t="s">
        <v>38</v>
      </c>
      <c r="E86" s="13" t="s">
        <v>29</v>
      </c>
      <c r="F86" s="13" t="s">
        <v>86</v>
      </c>
      <c r="G86" s="13" t="s">
        <v>33</v>
      </c>
      <c r="H86" s="13">
        <v>2</v>
      </c>
      <c r="I86" s="13">
        <f>LN(B86)</f>
        <v>6.193605070933903</v>
      </c>
      <c r="J86" s="13">
        <v>0.30331501776206199</v>
      </c>
      <c r="K86" s="13" t="s">
        <v>31</v>
      </c>
      <c r="L86" s="13" t="s">
        <v>31</v>
      </c>
      <c r="M86" s="13" t="s">
        <v>31</v>
      </c>
    </row>
    <row r="87" spans="1:13">
      <c r="A87" s="12" t="s">
        <v>464</v>
      </c>
      <c r="B87" s="13">
        <f>34.972*14</f>
        <v>489.608</v>
      </c>
      <c r="C87" s="13" t="s">
        <v>37</v>
      </c>
      <c r="D87" s="13" t="s">
        <v>38</v>
      </c>
      <c r="E87" s="13" t="s">
        <v>29</v>
      </c>
      <c r="F87" s="13" t="s">
        <v>60</v>
      </c>
      <c r="G87" s="13" t="s">
        <v>98</v>
      </c>
      <c r="H87" s="13">
        <v>2</v>
      </c>
      <c r="I87" s="13">
        <f>LN(B87)</f>
        <v>6.193605070933903</v>
      </c>
      <c r="J87" s="13">
        <v>0.30331501776206199</v>
      </c>
      <c r="K87" s="13" t="s">
        <v>31</v>
      </c>
      <c r="L87" s="13" t="s">
        <v>31</v>
      </c>
      <c r="M87" s="13" t="s">
        <v>31</v>
      </c>
    </row>
    <row r="88" spans="1:13">
      <c r="A88" s="12" t="s">
        <v>467</v>
      </c>
      <c r="B88" s="13">
        <v>8.7430000000000003</v>
      </c>
      <c r="C88" s="13" t="s">
        <v>37</v>
      </c>
      <c r="D88" s="13" t="s">
        <v>38</v>
      </c>
      <c r="E88" s="13" t="s">
        <v>29</v>
      </c>
      <c r="F88" s="13" t="s">
        <v>86</v>
      </c>
      <c r="G88" s="13" t="s">
        <v>33</v>
      </c>
      <c r="H88" s="13">
        <v>2</v>
      </c>
      <c r="I88" s="13">
        <f>LN(B88)</f>
        <v>2.1682533801987538</v>
      </c>
      <c r="J88" s="13">
        <v>0.30331501776206199</v>
      </c>
      <c r="K88" s="13" t="s">
        <v>31</v>
      </c>
      <c r="L88" s="13" t="s">
        <v>31</v>
      </c>
      <c r="M88" s="13" t="s">
        <v>31</v>
      </c>
    </row>
    <row r="89" spans="1:13">
      <c r="A89" s="18" t="s">
        <v>5</v>
      </c>
      <c r="B89" s="19" t="s">
        <v>459</v>
      </c>
      <c r="C89" s="3"/>
      <c r="D89" s="11"/>
      <c r="E89" s="11"/>
      <c r="F89" s="11"/>
      <c r="G89" s="11"/>
      <c r="H89" s="11"/>
      <c r="I89" s="11"/>
      <c r="J89" s="11"/>
      <c r="K89" s="11"/>
      <c r="L89" s="11"/>
      <c r="M89" s="11"/>
    </row>
    <row r="90" spans="1:13">
      <c r="A90" s="12" t="s">
        <v>7</v>
      </c>
      <c r="B90" s="13" t="s">
        <v>461</v>
      </c>
      <c r="C90" s="4"/>
      <c r="D90" s="13"/>
      <c r="E90" s="13"/>
      <c r="F90" s="13"/>
      <c r="G90" s="13"/>
      <c r="H90" s="13"/>
      <c r="I90" s="13"/>
      <c r="J90" s="13"/>
      <c r="K90" s="13"/>
      <c r="L90" s="13"/>
      <c r="M90" s="13"/>
    </row>
    <row r="91" spans="1:13">
      <c r="A91" s="12" t="s">
        <v>9</v>
      </c>
      <c r="B91" s="13" t="s">
        <v>468</v>
      </c>
      <c r="C91" s="4"/>
      <c r="D91" s="13"/>
      <c r="E91" s="13"/>
      <c r="F91" s="13"/>
      <c r="G91" s="13"/>
      <c r="H91" s="13"/>
      <c r="I91" s="13"/>
      <c r="J91" s="13"/>
      <c r="K91" s="13"/>
      <c r="L91" s="13"/>
      <c r="M91" s="13"/>
    </row>
    <row r="92" spans="1:13" ht="30">
      <c r="A92" s="12" t="s">
        <v>11</v>
      </c>
      <c r="B92" s="14" t="s">
        <v>469</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459</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464</v>
      </c>
      <c r="B100" s="13">
        <f>79.103*15</f>
        <v>1186.5449999999998</v>
      </c>
      <c r="C100" s="13" t="s">
        <v>37</v>
      </c>
      <c r="D100" s="13" t="s">
        <v>38</v>
      </c>
      <c r="E100" s="13" t="s">
        <v>29</v>
      </c>
      <c r="F100" s="13" t="s">
        <v>60</v>
      </c>
      <c r="G100" s="13" t="s">
        <v>33</v>
      </c>
      <c r="H100" s="13">
        <v>2</v>
      </c>
      <c r="I100" s="13">
        <f>LN(B100)</f>
        <v>7.0788010018317147</v>
      </c>
      <c r="J100" s="13">
        <v>0.30331501776206199</v>
      </c>
      <c r="K100" s="13" t="s">
        <v>31</v>
      </c>
      <c r="L100" s="13" t="s">
        <v>31</v>
      </c>
      <c r="M100" s="13" t="s">
        <v>31</v>
      </c>
    </row>
    <row r="101" spans="1:13">
      <c r="A101" s="12" t="s">
        <v>134</v>
      </c>
      <c r="B101" s="13">
        <f>79.103*14</f>
        <v>1107.442</v>
      </c>
      <c r="C101" s="13" t="s">
        <v>37</v>
      </c>
      <c r="D101" s="13" t="s">
        <v>38</v>
      </c>
      <c r="E101" s="13" t="s">
        <v>29</v>
      </c>
      <c r="F101" s="13" t="s">
        <v>86</v>
      </c>
      <c r="G101" s="13" t="s">
        <v>33</v>
      </c>
      <c r="H101" s="13">
        <v>2</v>
      </c>
      <c r="I101" s="13">
        <f>LN(B101)</f>
        <v>7.0098081303447639</v>
      </c>
      <c r="J101" s="13">
        <v>0.30331501776206199</v>
      </c>
      <c r="K101" s="13" t="s">
        <v>31</v>
      </c>
      <c r="L101" s="13" t="s">
        <v>31</v>
      </c>
      <c r="M101" s="13" t="s">
        <v>31</v>
      </c>
    </row>
    <row r="102" spans="1:13">
      <c r="A102" s="12" t="s">
        <v>464</v>
      </c>
      <c r="B102" s="13">
        <f>79.103*14</f>
        <v>1107.442</v>
      </c>
      <c r="C102" s="13" t="s">
        <v>37</v>
      </c>
      <c r="D102" s="13" t="s">
        <v>38</v>
      </c>
      <c r="E102" s="13" t="s">
        <v>29</v>
      </c>
      <c r="F102" s="13" t="s">
        <v>60</v>
      </c>
      <c r="G102" s="13" t="s">
        <v>98</v>
      </c>
      <c r="H102" s="13">
        <v>2</v>
      </c>
      <c r="I102" s="13">
        <f>LN(B102)</f>
        <v>7.0098081303447639</v>
      </c>
      <c r="J102" s="13">
        <v>0.30331501776206199</v>
      </c>
      <c r="K102" s="13" t="s">
        <v>31</v>
      </c>
      <c r="L102" s="13" t="s">
        <v>31</v>
      </c>
      <c r="M102" s="13" t="s">
        <v>31</v>
      </c>
    </row>
    <row r="103" spans="1:13">
      <c r="A103" s="12" t="s">
        <v>449</v>
      </c>
      <c r="B103" s="13">
        <f>39.552*15</f>
        <v>593.28</v>
      </c>
      <c r="C103" s="13" t="s">
        <v>37</v>
      </c>
      <c r="D103" s="13" t="s">
        <v>38</v>
      </c>
      <c r="E103" s="13" t="s">
        <v>29</v>
      </c>
      <c r="F103" s="13" t="s">
        <v>60</v>
      </c>
      <c r="G103" s="13" t="s">
        <v>33</v>
      </c>
      <c r="H103" s="13">
        <v>2</v>
      </c>
      <c r="I103" s="13">
        <f t="shared" ref="I103:I105" si="1">LN(B103)</f>
        <v>6.3856664629374356</v>
      </c>
      <c r="J103" s="13">
        <v>0.30331501776206199</v>
      </c>
      <c r="K103" s="13" t="s">
        <v>31</v>
      </c>
      <c r="L103" s="13" t="s">
        <v>31</v>
      </c>
      <c r="M103" s="13" t="s">
        <v>31</v>
      </c>
    </row>
    <row r="104" spans="1:13">
      <c r="A104" s="12" t="s">
        <v>470</v>
      </c>
      <c r="B104" s="13">
        <f>39.552*14</f>
        <v>553.72799999999995</v>
      </c>
      <c r="C104" s="13" t="s">
        <v>37</v>
      </c>
      <c r="D104" s="13" t="s">
        <v>38</v>
      </c>
      <c r="E104" s="13" t="s">
        <v>29</v>
      </c>
      <c r="F104" s="13" t="s">
        <v>35</v>
      </c>
      <c r="G104" s="13" t="s">
        <v>33</v>
      </c>
      <c r="H104" s="13">
        <v>2</v>
      </c>
      <c r="I104" s="13">
        <f t="shared" si="1"/>
        <v>6.3166735914504839</v>
      </c>
      <c r="J104" s="13">
        <v>0.30331501776206199</v>
      </c>
      <c r="K104" s="13" t="s">
        <v>31</v>
      </c>
      <c r="L104" s="13" t="s">
        <v>31</v>
      </c>
      <c r="M104" s="13" t="s">
        <v>31</v>
      </c>
    </row>
    <row r="105" spans="1:13">
      <c r="A105" s="12" t="s">
        <v>449</v>
      </c>
      <c r="B105" s="13">
        <f>39.552*14</f>
        <v>553.72799999999995</v>
      </c>
      <c r="C105" s="13" t="s">
        <v>37</v>
      </c>
      <c r="D105" s="13" t="s">
        <v>38</v>
      </c>
      <c r="E105" s="13" t="s">
        <v>29</v>
      </c>
      <c r="F105" s="13" t="s">
        <v>60</v>
      </c>
      <c r="G105" s="13" t="s">
        <v>98</v>
      </c>
      <c r="H105" s="13">
        <v>2</v>
      </c>
      <c r="I105" s="13">
        <f t="shared" si="1"/>
        <v>6.3166735914504839</v>
      </c>
      <c r="J105" s="13">
        <v>0.30331501776206199</v>
      </c>
      <c r="K105" s="13" t="s">
        <v>31</v>
      </c>
      <c r="L105" s="13" t="s">
        <v>31</v>
      </c>
      <c r="M105" s="13" t="s">
        <v>31</v>
      </c>
    </row>
    <row r="106" spans="1:13">
      <c r="A106" s="18" t="s">
        <v>5</v>
      </c>
      <c r="B106" s="19" t="s">
        <v>460</v>
      </c>
      <c r="C106" s="3"/>
      <c r="D106" s="11"/>
      <c r="E106" s="11"/>
      <c r="F106" s="11"/>
      <c r="G106" s="11"/>
      <c r="H106" s="11"/>
      <c r="I106" s="11"/>
      <c r="J106" s="11"/>
      <c r="K106" s="11"/>
      <c r="L106" s="11"/>
      <c r="M106" s="11"/>
    </row>
    <row r="107" spans="1:13">
      <c r="A107" s="12" t="s">
        <v>7</v>
      </c>
      <c r="B107" s="13" t="s">
        <v>461</v>
      </c>
      <c r="C107" s="4"/>
      <c r="D107" s="13"/>
      <c r="E107" s="13"/>
      <c r="F107" s="13"/>
      <c r="G107" s="13"/>
      <c r="H107" s="13"/>
      <c r="I107" s="13"/>
      <c r="J107" s="13"/>
      <c r="K107" s="13"/>
      <c r="L107" s="13"/>
      <c r="M107" s="13"/>
    </row>
    <row r="108" spans="1:13">
      <c r="A108" s="12" t="s">
        <v>9</v>
      </c>
      <c r="B108" s="13" t="s">
        <v>471</v>
      </c>
      <c r="C108" s="4"/>
      <c r="D108" s="13"/>
      <c r="E108" s="13"/>
      <c r="F108" s="13"/>
      <c r="G108" s="13"/>
      <c r="H108" s="13"/>
      <c r="I108" s="13"/>
      <c r="J108" s="13"/>
      <c r="K108" s="13"/>
      <c r="L108" s="13"/>
      <c r="M108" s="13"/>
    </row>
    <row r="109" spans="1:13" ht="30">
      <c r="A109" s="12" t="s">
        <v>11</v>
      </c>
      <c r="B109" s="14" t="s">
        <v>472</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460</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449</v>
      </c>
      <c r="B117" s="13">
        <f>87.43*15</f>
        <v>1311.45</v>
      </c>
      <c r="C117" s="13" t="s">
        <v>37</v>
      </c>
      <c r="D117" s="13" t="s">
        <v>38</v>
      </c>
      <c r="E117" s="13" t="s">
        <v>29</v>
      </c>
      <c r="F117" s="13" t="s">
        <v>60</v>
      </c>
      <c r="G117" s="13" t="s">
        <v>33</v>
      </c>
      <c r="H117" s="13">
        <v>2</v>
      </c>
      <c r="I117" s="13">
        <f>LN(B117)</f>
        <v>7.1788886742950098</v>
      </c>
      <c r="J117" s="13">
        <v>0.30331501776206199</v>
      </c>
      <c r="K117" s="13" t="s">
        <v>31</v>
      </c>
      <c r="L117" s="13" t="s">
        <v>31</v>
      </c>
      <c r="M117" s="13" t="s">
        <v>31</v>
      </c>
    </row>
    <row r="118" spans="1:13">
      <c r="A118" s="12" t="s">
        <v>470</v>
      </c>
      <c r="B118" s="13">
        <f>87.43*14</f>
        <v>1224.02</v>
      </c>
      <c r="C118" s="13" t="s">
        <v>37</v>
      </c>
      <c r="D118" s="13" t="s">
        <v>38</v>
      </c>
      <c r="E118" s="13" t="s">
        <v>29</v>
      </c>
      <c r="F118" s="13" t="s">
        <v>35</v>
      </c>
      <c r="G118" s="13" t="s">
        <v>33</v>
      </c>
      <c r="H118" s="13">
        <v>2</v>
      </c>
      <c r="I118" s="13">
        <f>LN(B118)</f>
        <v>7.1098958028080581</v>
      </c>
      <c r="J118" s="13">
        <v>0.30331501776206199</v>
      </c>
      <c r="K118" s="13" t="s">
        <v>31</v>
      </c>
      <c r="L118" s="13" t="s">
        <v>31</v>
      </c>
      <c r="M118" s="13" t="s">
        <v>31</v>
      </c>
    </row>
    <row r="119" spans="1:13">
      <c r="A119" s="12" t="s">
        <v>449</v>
      </c>
      <c r="B119" s="13">
        <f>87.43*14</f>
        <v>1224.02</v>
      </c>
      <c r="C119" s="13" t="s">
        <v>37</v>
      </c>
      <c r="D119" s="13" t="s">
        <v>38</v>
      </c>
      <c r="E119" s="13" t="s">
        <v>29</v>
      </c>
      <c r="F119" s="13" t="s">
        <v>60</v>
      </c>
      <c r="G119" s="13" t="s">
        <v>98</v>
      </c>
      <c r="H119" s="13">
        <v>2</v>
      </c>
      <c r="I119" s="13">
        <f>LN(B119)</f>
        <v>7.1098958028080581</v>
      </c>
      <c r="J119" s="13">
        <v>0.30331501776206199</v>
      </c>
      <c r="K119" s="13" t="s">
        <v>31</v>
      </c>
      <c r="L119" s="13" t="s">
        <v>31</v>
      </c>
      <c r="M119" s="13" t="s">
        <v>31</v>
      </c>
    </row>
    <row r="120" spans="1:13">
      <c r="A120" s="12" t="s">
        <v>464</v>
      </c>
      <c r="B120" s="13">
        <f t="shared" ref="B120" si="2">87.43*15</f>
        <v>1311.45</v>
      </c>
      <c r="C120" s="13" t="s">
        <v>37</v>
      </c>
      <c r="D120" s="13" t="s">
        <v>38</v>
      </c>
      <c r="E120" s="13" t="s">
        <v>29</v>
      </c>
      <c r="F120" s="13" t="s">
        <v>60</v>
      </c>
      <c r="G120" s="13" t="s">
        <v>33</v>
      </c>
      <c r="H120" s="13">
        <v>2</v>
      </c>
      <c r="I120" s="13">
        <f t="shared" ref="I120:I124" si="3">LN(B120)</f>
        <v>7.1788886742950098</v>
      </c>
      <c r="J120" s="13">
        <v>0.30331501776206199</v>
      </c>
      <c r="K120" s="13" t="s">
        <v>31</v>
      </c>
      <c r="L120" s="13" t="s">
        <v>31</v>
      </c>
      <c r="M120" s="13" t="s">
        <v>31</v>
      </c>
    </row>
    <row r="121" spans="1:13">
      <c r="A121" s="12" t="s">
        <v>134</v>
      </c>
      <c r="B121" s="13">
        <f>87.43*14</f>
        <v>1224.02</v>
      </c>
      <c r="C121" s="13" t="s">
        <v>37</v>
      </c>
      <c r="D121" s="13" t="s">
        <v>38</v>
      </c>
      <c r="E121" s="13" t="s">
        <v>29</v>
      </c>
      <c r="F121" s="13" t="s">
        <v>86</v>
      </c>
      <c r="G121" s="13" t="s">
        <v>33</v>
      </c>
      <c r="H121" s="13">
        <v>2</v>
      </c>
      <c r="I121" s="13">
        <f t="shared" si="3"/>
        <v>7.1098958028080581</v>
      </c>
      <c r="J121" s="13">
        <v>0.30331501776206199</v>
      </c>
      <c r="K121" s="13" t="s">
        <v>31</v>
      </c>
      <c r="L121" s="13" t="s">
        <v>31</v>
      </c>
      <c r="M121" s="13" t="s">
        <v>31</v>
      </c>
    </row>
    <row r="122" spans="1:13">
      <c r="A122" s="12" t="s">
        <v>464</v>
      </c>
      <c r="B122" s="13">
        <f>87.43*14</f>
        <v>1224.02</v>
      </c>
      <c r="C122" s="13" t="s">
        <v>37</v>
      </c>
      <c r="D122" s="13" t="s">
        <v>38</v>
      </c>
      <c r="E122" s="13" t="s">
        <v>29</v>
      </c>
      <c r="F122" s="13" t="s">
        <v>60</v>
      </c>
      <c r="G122" s="13" t="s">
        <v>98</v>
      </c>
      <c r="H122" s="13">
        <v>2</v>
      </c>
      <c r="I122" s="13">
        <f t="shared" si="3"/>
        <v>7.1098958028080581</v>
      </c>
      <c r="J122" s="13">
        <v>0.30331501776206199</v>
      </c>
      <c r="K122" s="13" t="s">
        <v>31</v>
      </c>
      <c r="L122" s="13" t="s">
        <v>31</v>
      </c>
      <c r="M122" s="13" t="s">
        <v>31</v>
      </c>
    </row>
    <row r="123" spans="1:13">
      <c r="A123" s="12" t="s">
        <v>473</v>
      </c>
      <c r="B123" s="13">
        <f>43.715*15</f>
        <v>655.72500000000002</v>
      </c>
      <c r="C123" s="13" t="s">
        <v>37</v>
      </c>
      <c r="D123" s="13" t="s">
        <v>38</v>
      </c>
      <c r="E123" s="13" t="s">
        <v>29</v>
      </c>
      <c r="F123" s="13" t="s">
        <v>60</v>
      </c>
      <c r="G123" s="13" t="s">
        <v>33</v>
      </c>
      <c r="H123" s="13">
        <v>2</v>
      </c>
      <c r="I123" s="13">
        <f t="shared" si="3"/>
        <v>6.4857414937350644</v>
      </c>
      <c r="J123" s="13">
        <v>0.30331501776206199</v>
      </c>
      <c r="K123" s="13" t="s">
        <v>31</v>
      </c>
      <c r="L123" s="13" t="s">
        <v>31</v>
      </c>
      <c r="M123" s="13" t="s">
        <v>31</v>
      </c>
    </row>
    <row r="124" spans="1:13">
      <c r="A124" s="12" t="s">
        <v>474</v>
      </c>
      <c r="B124" s="13">
        <f>43.715*14</f>
        <v>612.01</v>
      </c>
      <c r="C124" s="13" t="s">
        <v>37</v>
      </c>
      <c r="D124" s="13" t="s">
        <v>38</v>
      </c>
      <c r="E124" s="13" t="s">
        <v>29</v>
      </c>
      <c r="F124" s="13" t="s">
        <v>86</v>
      </c>
      <c r="G124" s="13" t="s">
        <v>33</v>
      </c>
      <c r="H124" s="13">
        <v>2</v>
      </c>
      <c r="I124" s="13">
        <f t="shared" si="3"/>
        <v>6.4167486222481127</v>
      </c>
      <c r="J124" s="13">
        <v>0.30331501776206199</v>
      </c>
      <c r="K124" s="13" t="s">
        <v>31</v>
      </c>
      <c r="L124" s="13" t="s">
        <v>31</v>
      </c>
      <c r="M124" s="13" t="s">
        <v>31</v>
      </c>
    </row>
    <row r="125" spans="1:13">
      <c r="A125" s="18" t="s">
        <v>5</v>
      </c>
      <c r="B125" s="19" t="s">
        <v>444</v>
      </c>
      <c r="C125" s="3"/>
      <c r="D125" s="11"/>
      <c r="E125" s="11"/>
      <c r="F125" s="11"/>
      <c r="G125" s="11"/>
      <c r="H125" s="11"/>
      <c r="I125" s="11"/>
      <c r="J125" s="11"/>
      <c r="K125" s="11"/>
      <c r="L125" s="11"/>
      <c r="M125" s="11"/>
    </row>
    <row r="126" spans="1:13">
      <c r="A126" s="12" t="s">
        <v>7</v>
      </c>
      <c r="B126" s="13" t="s">
        <v>461</v>
      </c>
      <c r="C126" s="4"/>
      <c r="D126" s="13"/>
      <c r="E126" s="13"/>
      <c r="F126" s="13"/>
      <c r="G126" s="13"/>
      <c r="H126" s="13"/>
      <c r="I126" s="13"/>
      <c r="J126" s="13"/>
      <c r="K126" s="13"/>
      <c r="L126" s="13"/>
      <c r="M126" s="13"/>
    </row>
    <row r="127" spans="1:13">
      <c r="A127" s="12" t="s">
        <v>9</v>
      </c>
      <c r="B127" s="13" t="s">
        <v>475</v>
      </c>
      <c r="C127" s="4"/>
      <c r="D127" s="13"/>
      <c r="E127" s="13"/>
      <c r="F127" s="13"/>
      <c r="G127" s="13"/>
      <c r="H127" s="13"/>
      <c r="I127" s="13"/>
      <c r="J127" s="13"/>
      <c r="K127" s="13"/>
      <c r="L127" s="13"/>
      <c r="M127" s="13"/>
    </row>
    <row r="128" spans="1:13" ht="30">
      <c r="A128" s="12" t="s">
        <v>11</v>
      </c>
      <c r="B128" s="14" t="s">
        <v>476</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444</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454</v>
      </c>
      <c r="B136" s="13">
        <v>421.3</v>
      </c>
      <c r="C136" s="13" t="s">
        <v>37</v>
      </c>
      <c r="D136" s="13" t="s">
        <v>38</v>
      </c>
      <c r="E136" s="13" t="s">
        <v>29</v>
      </c>
      <c r="F136" s="13" t="s">
        <v>60</v>
      </c>
      <c r="G136" s="13" t="s">
        <v>33</v>
      </c>
      <c r="H136" s="13">
        <v>2</v>
      </c>
      <c r="I136" s="13">
        <f>LN(B136)</f>
        <v>6.0433451689849713</v>
      </c>
      <c r="J136" s="13">
        <v>0.24083189157584584</v>
      </c>
      <c r="K136" s="13" t="s">
        <v>31</v>
      </c>
      <c r="L136" s="13" t="s">
        <v>31</v>
      </c>
      <c r="M136" s="13" t="s">
        <v>31</v>
      </c>
    </row>
    <row r="137" spans="1:13">
      <c r="A137" s="18" t="s">
        <v>5</v>
      </c>
      <c r="B137" s="19" t="s">
        <v>445</v>
      </c>
      <c r="C137" s="3"/>
      <c r="D137" s="11"/>
      <c r="E137" s="11"/>
      <c r="F137" s="11"/>
      <c r="G137" s="11"/>
      <c r="H137" s="11"/>
      <c r="I137" s="11"/>
      <c r="J137" s="11"/>
      <c r="K137" s="11"/>
      <c r="L137" s="11"/>
      <c r="M137" s="11"/>
    </row>
    <row r="138" spans="1:13">
      <c r="A138" s="12" t="s">
        <v>7</v>
      </c>
      <c r="B138" s="13" t="s">
        <v>461</v>
      </c>
      <c r="C138" s="4"/>
      <c r="D138" s="13"/>
      <c r="E138" s="13"/>
      <c r="F138" s="13"/>
      <c r="G138" s="13"/>
      <c r="H138" s="13"/>
      <c r="I138" s="13"/>
      <c r="J138" s="13"/>
      <c r="K138" s="13"/>
      <c r="L138" s="13"/>
      <c r="M138" s="13"/>
    </row>
    <row r="139" spans="1:13">
      <c r="A139" s="12" t="s">
        <v>9</v>
      </c>
      <c r="B139" s="13" t="s">
        <v>477</v>
      </c>
      <c r="C139" s="4"/>
      <c r="D139" s="13"/>
      <c r="E139" s="13"/>
      <c r="F139" s="13"/>
      <c r="G139" s="13"/>
      <c r="H139" s="13"/>
      <c r="I139" s="13"/>
      <c r="J139" s="13"/>
      <c r="K139" s="13"/>
      <c r="L139" s="13"/>
      <c r="M139" s="13"/>
    </row>
    <row r="140" spans="1:13" ht="30">
      <c r="A140" s="12" t="s">
        <v>11</v>
      </c>
      <c r="B140" s="14" t="s">
        <v>478</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449</v>
      </c>
      <c r="B147" s="13">
        <f>110.918*10</f>
        <v>1109.18</v>
      </c>
      <c r="C147" s="13" t="s">
        <v>37</v>
      </c>
      <c r="D147" s="13" t="s">
        <v>38</v>
      </c>
      <c r="E147" s="13" t="s">
        <v>29</v>
      </c>
      <c r="F147" s="13" t="s">
        <v>60</v>
      </c>
      <c r="G147" s="13" t="s">
        <v>33</v>
      </c>
      <c r="H147" s="13">
        <v>2</v>
      </c>
      <c r="I147" s="13">
        <f t="shared" ref="I147:I158" si="4">LN(B147)</f>
        <v>7.0113762825657195</v>
      </c>
      <c r="J147" s="13">
        <v>0.30331501776206199</v>
      </c>
      <c r="K147" s="13" t="s">
        <v>31</v>
      </c>
      <c r="L147" s="13" t="s">
        <v>31</v>
      </c>
      <c r="M147" s="13" t="s">
        <v>31</v>
      </c>
    </row>
    <row r="148" spans="1:13">
      <c r="A148" s="12" t="s">
        <v>470</v>
      </c>
      <c r="B148" s="13">
        <f>110.918*9</f>
        <v>998.26200000000006</v>
      </c>
      <c r="C148" s="13" t="s">
        <v>37</v>
      </c>
      <c r="D148" s="13" t="s">
        <v>38</v>
      </c>
      <c r="E148" s="13" t="s">
        <v>29</v>
      </c>
      <c r="F148" s="13" t="s">
        <v>35</v>
      </c>
      <c r="G148" s="13" t="s">
        <v>33</v>
      </c>
      <c r="H148" s="13">
        <v>2</v>
      </c>
      <c r="I148" s="13">
        <f t="shared" si="4"/>
        <v>6.9060157669078928</v>
      </c>
      <c r="J148" s="13">
        <v>0.30331501776206199</v>
      </c>
      <c r="K148" s="13" t="s">
        <v>31</v>
      </c>
      <c r="L148" s="13" t="s">
        <v>31</v>
      </c>
      <c r="M148" s="13" t="s">
        <v>31</v>
      </c>
    </row>
    <row r="149" spans="1:13">
      <c r="A149" s="12" t="s">
        <v>449</v>
      </c>
      <c r="B149" s="13">
        <f>110.918*9</f>
        <v>998.26200000000006</v>
      </c>
      <c r="C149" s="13" t="s">
        <v>37</v>
      </c>
      <c r="D149" s="13" t="s">
        <v>38</v>
      </c>
      <c r="E149" s="13" t="s">
        <v>29</v>
      </c>
      <c r="F149" s="13" t="s">
        <v>60</v>
      </c>
      <c r="G149" s="13" t="s">
        <v>98</v>
      </c>
      <c r="H149" s="13">
        <v>2</v>
      </c>
      <c r="I149" s="13">
        <f t="shared" si="4"/>
        <v>6.9060157669078928</v>
      </c>
      <c r="J149" s="13">
        <v>0.30331501776206199</v>
      </c>
      <c r="K149" s="13" t="s">
        <v>31</v>
      </c>
      <c r="L149" s="13" t="s">
        <v>31</v>
      </c>
      <c r="M149" s="13" t="s">
        <v>31</v>
      </c>
    </row>
    <row r="150" spans="1:13">
      <c r="A150" s="12" t="s">
        <v>336</v>
      </c>
      <c r="B150" s="13">
        <f>15.527*2.2</f>
        <v>34.159399999999998</v>
      </c>
      <c r="C150" s="13" t="s">
        <v>37</v>
      </c>
      <c r="D150" s="13" t="s">
        <v>38</v>
      </c>
      <c r="E150" s="13" t="s">
        <v>29</v>
      </c>
      <c r="F150" s="13" t="s">
        <v>60</v>
      </c>
      <c r="G150" s="13" t="s">
        <v>33</v>
      </c>
      <c r="H150" s="13">
        <v>2</v>
      </c>
      <c r="I150" s="13">
        <f t="shared" si="4"/>
        <v>3.5310378043633026</v>
      </c>
      <c r="J150" s="13">
        <v>0.30331501776206199</v>
      </c>
      <c r="K150" s="13" t="s">
        <v>31</v>
      </c>
      <c r="L150" s="13" t="s">
        <v>31</v>
      </c>
      <c r="M150" s="13" t="s">
        <v>31</v>
      </c>
    </row>
    <row r="151" spans="1:13">
      <c r="A151" s="12" t="s">
        <v>134</v>
      </c>
      <c r="B151" s="13">
        <f>15.527*(2.2-1)</f>
        <v>18.632400000000001</v>
      </c>
      <c r="C151" s="13" t="s">
        <v>37</v>
      </c>
      <c r="D151" s="13" t="s">
        <v>38</v>
      </c>
      <c r="E151" s="13" t="s">
        <v>29</v>
      </c>
      <c r="F151" s="13" t="s">
        <v>86</v>
      </c>
      <c r="G151" s="13" t="s">
        <v>33</v>
      </c>
      <c r="H151" s="13">
        <v>2</v>
      </c>
      <c r="I151" s="13">
        <v>7.1283395581514224</v>
      </c>
      <c r="J151" s="13">
        <v>0.30331501776206199</v>
      </c>
      <c r="K151" s="13" t="s">
        <v>31</v>
      </c>
      <c r="L151" s="13" t="s">
        <v>31</v>
      </c>
      <c r="M151" s="13" t="s">
        <v>31</v>
      </c>
    </row>
    <row r="152" spans="1:13">
      <c r="A152" s="12" t="s">
        <v>336</v>
      </c>
      <c r="B152" s="13">
        <f>15.527*(2.2-1)</f>
        <v>18.632400000000001</v>
      </c>
      <c r="C152" s="13" t="s">
        <v>37</v>
      </c>
      <c r="D152" s="13" t="s">
        <v>38</v>
      </c>
      <c r="E152" s="13" t="s">
        <v>29</v>
      </c>
      <c r="F152" s="13" t="s">
        <v>60</v>
      </c>
      <c r="G152" s="13" t="s">
        <v>98</v>
      </c>
      <c r="H152" s="13">
        <v>2</v>
      </c>
      <c r="I152" s="13">
        <f t="shared" si="4"/>
        <v>2.9249020007929873</v>
      </c>
      <c r="J152" s="13">
        <v>0.30331501776206199</v>
      </c>
      <c r="K152" s="13" t="s">
        <v>31</v>
      </c>
      <c r="L152" s="13" t="s">
        <v>31</v>
      </c>
      <c r="M152" s="13" t="s">
        <v>31</v>
      </c>
    </row>
    <row r="153" spans="1:13">
      <c r="A153" s="12" t="s">
        <v>479</v>
      </c>
      <c r="B153" s="13">
        <f>7.337*1.2</f>
        <v>8.8043999999999993</v>
      </c>
      <c r="C153" s="13" t="s">
        <v>37</v>
      </c>
      <c r="D153" s="13" t="s">
        <v>38</v>
      </c>
      <c r="E153" s="13" t="s">
        <v>29</v>
      </c>
      <c r="F153" s="13" t="s">
        <v>60</v>
      </c>
      <c r="G153" s="13" t="s">
        <v>33</v>
      </c>
      <c r="H153" s="13">
        <v>2</v>
      </c>
      <c r="I153" s="13">
        <f t="shared" si="4"/>
        <v>2.1752515965258117</v>
      </c>
      <c r="J153" s="13">
        <v>0.30331501776206199</v>
      </c>
      <c r="K153" s="13" t="s">
        <v>31</v>
      </c>
      <c r="L153" s="13" t="s">
        <v>31</v>
      </c>
      <c r="M153" s="13" t="s">
        <v>31</v>
      </c>
    </row>
    <row r="154" spans="1:13">
      <c r="A154" s="12" t="s">
        <v>134</v>
      </c>
      <c r="B154" s="13">
        <f>7.337*(1.2-1)</f>
        <v>1.4673999999999996</v>
      </c>
      <c r="C154" s="13" t="s">
        <v>37</v>
      </c>
      <c r="D154" s="13" t="s">
        <v>38</v>
      </c>
      <c r="E154" s="13" t="s">
        <v>29</v>
      </c>
      <c r="F154" s="13" t="s">
        <v>86</v>
      </c>
      <c r="G154" s="13" t="s">
        <v>33</v>
      </c>
      <c r="H154" s="13">
        <v>2</v>
      </c>
      <c r="I154" s="13">
        <v>7.1283395581514224</v>
      </c>
      <c r="J154" s="13">
        <v>0.30331501776206199</v>
      </c>
      <c r="K154" s="13" t="s">
        <v>31</v>
      </c>
      <c r="L154" s="13" t="s">
        <v>31</v>
      </c>
      <c r="M154" s="13" t="s">
        <v>31</v>
      </c>
    </row>
    <row r="155" spans="1:13">
      <c r="A155" s="12" t="s">
        <v>479</v>
      </c>
      <c r="B155" s="13">
        <f>7.337*(1.2-1)</f>
        <v>1.4673999999999996</v>
      </c>
      <c r="C155" s="13" t="s">
        <v>37</v>
      </c>
      <c r="D155" s="13" t="s">
        <v>38</v>
      </c>
      <c r="E155" s="13" t="s">
        <v>29</v>
      </c>
      <c r="F155" s="13" t="s">
        <v>60</v>
      </c>
      <c r="G155" s="13" t="s">
        <v>98</v>
      </c>
      <c r="H155" s="13">
        <v>2</v>
      </c>
      <c r="I155" s="13">
        <f t="shared" si="4"/>
        <v>0.38349212729775656</v>
      </c>
      <c r="J155" s="13">
        <v>0.30331501776206199</v>
      </c>
      <c r="K155" s="13" t="s">
        <v>31</v>
      </c>
      <c r="L155" s="13" t="s">
        <v>31</v>
      </c>
      <c r="M155" s="13" t="s">
        <v>31</v>
      </c>
    </row>
    <row r="156" spans="1:13">
      <c r="A156" s="12" t="s">
        <v>352</v>
      </c>
      <c r="B156" s="13">
        <f>47.819*2.2</f>
        <v>105.20180000000002</v>
      </c>
      <c r="C156" s="13" t="s">
        <v>37</v>
      </c>
      <c r="D156" s="13" t="s">
        <v>38</v>
      </c>
      <c r="E156" s="13" t="s">
        <v>29</v>
      </c>
      <c r="F156" s="13" t="s">
        <v>60</v>
      </c>
      <c r="G156" s="13" t="s">
        <v>33</v>
      </c>
      <c r="H156" s="13">
        <v>2</v>
      </c>
      <c r="I156" s="13">
        <f t="shared" si="4"/>
        <v>4.6558804104233902</v>
      </c>
      <c r="J156" s="13">
        <v>0.30331501776206199</v>
      </c>
      <c r="K156" s="13" t="s">
        <v>31</v>
      </c>
      <c r="L156" s="13" t="s">
        <v>31</v>
      </c>
      <c r="M156" s="13" t="s">
        <v>31</v>
      </c>
    </row>
    <row r="157" spans="1:13">
      <c r="A157" s="12" t="s">
        <v>134</v>
      </c>
      <c r="B157" s="13">
        <f>47.819*(2.2-1)</f>
        <v>57.38280000000001</v>
      </c>
      <c r="C157" s="13" t="s">
        <v>37</v>
      </c>
      <c r="D157" s="13" t="s">
        <v>38</v>
      </c>
      <c r="E157" s="13" t="s">
        <v>29</v>
      </c>
      <c r="F157" s="13" t="s">
        <v>86</v>
      </c>
      <c r="G157" s="13" t="s">
        <v>33</v>
      </c>
      <c r="H157" s="13">
        <v>2</v>
      </c>
      <c r="I157" s="13">
        <v>7.1283395581514224</v>
      </c>
      <c r="J157" s="13">
        <v>0.30331501776206199</v>
      </c>
      <c r="K157" s="13" t="s">
        <v>31</v>
      </c>
      <c r="L157" s="13" t="s">
        <v>31</v>
      </c>
      <c r="M157" s="13" t="s">
        <v>31</v>
      </c>
    </row>
    <row r="158" spans="1:13">
      <c r="A158" s="12" t="s">
        <v>352</v>
      </c>
      <c r="B158" s="13">
        <f>47.819*(2.2-1)</f>
        <v>57.38280000000001</v>
      </c>
      <c r="C158" s="13" t="s">
        <v>37</v>
      </c>
      <c r="D158" s="13" t="s">
        <v>38</v>
      </c>
      <c r="E158" s="13" t="s">
        <v>29</v>
      </c>
      <c r="F158" s="13" t="s">
        <v>60</v>
      </c>
      <c r="G158" s="13" t="s">
        <v>98</v>
      </c>
      <c r="H158" s="13">
        <v>2</v>
      </c>
      <c r="I158" s="13">
        <f t="shared" si="4"/>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topLeftCell="A17" zoomScale="85" zoomScaleNormal="85" workbookViewId="0">
      <selection activeCell="A21" sqref="A21"/>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68</v>
      </c>
      <c r="C2" s="3"/>
      <c r="D2" s="11"/>
      <c r="E2" s="11"/>
      <c r="F2" s="11"/>
      <c r="G2" s="11"/>
      <c r="H2" s="11"/>
      <c r="I2" s="11"/>
      <c r="J2" s="11"/>
      <c r="K2" s="11"/>
      <c r="L2" s="11"/>
      <c r="M2" s="11"/>
    </row>
    <row r="3" spans="1:13">
      <c r="A3" s="12" t="s">
        <v>7</v>
      </c>
      <c r="B3" s="13" t="s">
        <v>438</v>
      </c>
      <c r="C3" s="4"/>
      <c r="D3" s="13"/>
      <c r="E3" s="13"/>
      <c r="F3" s="13"/>
      <c r="G3" s="13"/>
      <c r="H3" s="13"/>
      <c r="I3" s="13"/>
      <c r="J3" s="13"/>
      <c r="K3" s="13"/>
      <c r="L3" s="13"/>
      <c r="M3" s="13"/>
    </row>
    <row r="4" spans="1:13">
      <c r="A4" s="12" t="s">
        <v>9</v>
      </c>
      <c r="B4" s="13" t="s">
        <v>480</v>
      </c>
      <c r="C4" s="4"/>
      <c r="D4" s="13"/>
      <c r="E4" s="13"/>
      <c r="F4" s="13"/>
      <c r="G4" s="13"/>
      <c r="H4" s="13"/>
      <c r="I4" s="13"/>
      <c r="J4" s="13"/>
      <c r="K4" s="13"/>
      <c r="L4" s="13"/>
      <c r="M4" s="13"/>
    </row>
    <row r="5" spans="1:13" ht="30">
      <c r="A5" s="12" t="s">
        <v>11</v>
      </c>
      <c r="B5" s="14" t="s">
        <v>481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68</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482</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483</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484</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485</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486</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487</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40</v>
      </c>
      <c r="B19" s="13">
        <v>57753.823999999993</v>
      </c>
      <c r="C19" s="13" t="s">
        <v>41</v>
      </c>
      <c r="D19" s="8" t="s">
        <v>38</v>
      </c>
      <c r="E19" s="13" t="s">
        <v>29</v>
      </c>
      <c r="F19" s="15" t="s">
        <v>14</v>
      </c>
      <c r="G19" s="13" t="s">
        <v>33</v>
      </c>
      <c r="H19" s="13">
        <v>2</v>
      </c>
      <c r="I19" s="13">
        <f>LN(B19)</f>
        <v>10.963944842642045</v>
      </c>
      <c r="J19" s="13">
        <v>5.0990195135927806E-2</v>
      </c>
      <c r="K19" s="13" t="s">
        <v>31</v>
      </c>
      <c r="L19" s="13" t="s">
        <v>31</v>
      </c>
      <c r="M19" s="13" t="s">
        <v>31</v>
      </c>
    </row>
    <row r="20" spans="1:13" ht="15.75">
      <c r="A20" s="7" t="s">
        <v>170</v>
      </c>
      <c r="B20" s="13">
        <f>118046.2126/(1/3.6)/38.3</f>
        <v>11095.727555091384</v>
      </c>
      <c r="C20" s="13" t="s">
        <v>50</v>
      </c>
      <c r="D20" s="8" t="s">
        <v>38</v>
      </c>
      <c r="E20" s="13" t="s">
        <v>29</v>
      </c>
      <c r="F20" s="15" t="s">
        <v>14</v>
      </c>
      <c r="G20" s="13" t="s">
        <v>33</v>
      </c>
      <c r="H20" s="13">
        <v>2</v>
      </c>
      <c r="I20" s="13">
        <f t="shared" ref="I20:I30" si="1">LN(B20)</f>
        <v>9.3143154082587802</v>
      </c>
      <c r="J20" s="13">
        <v>5.0990195135927806E-2</v>
      </c>
      <c r="K20" s="13" t="s">
        <v>31</v>
      </c>
      <c r="L20" s="13" t="s">
        <v>31</v>
      </c>
      <c r="M20" s="13" t="s">
        <v>31</v>
      </c>
    </row>
    <row r="21" spans="1:13" ht="15.75">
      <c r="A21" s="7" t="s">
        <v>112</v>
      </c>
      <c r="B21" s="13">
        <f>18000.7308*3.6</f>
        <v>64802.630880000004</v>
      </c>
      <c r="C21" s="13" t="s">
        <v>113</v>
      </c>
      <c r="D21" s="8" t="s">
        <v>38</v>
      </c>
      <c r="E21" s="13" t="s">
        <v>29</v>
      </c>
      <c r="F21" s="15" t="s">
        <v>60</v>
      </c>
      <c r="G21" s="13" t="s">
        <v>33</v>
      </c>
      <c r="H21" s="13">
        <v>2</v>
      </c>
      <c r="I21" s="13">
        <f t="shared" si="1"/>
        <v>11.079101481516208</v>
      </c>
      <c r="J21" s="13">
        <v>5.0990195135927806E-2</v>
      </c>
      <c r="K21" s="13" t="s">
        <v>31</v>
      </c>
      <c r="L21" s="13" t="s">
        <v>31</v>
      </c>
      <c r="M21" s="13" t="s">
        <v>31</v>
      </c>
    </row>
    <row r="22" spans="1:13" ht="15.75">
      <c r="A22" s="7" t="s">
        <v>488</v>
      </c>
      <c r="B22" s="13">
        <f>106.5132*3.6/44.8</f>
        <v>8.5590964285714293</v>
      </c>
      <c r="C22" s="13" t="s">
        <v>37</v>
      </c>
      <c r="D22" s="8" t="s">
        <v>38</v>
      </c>
      <c r="E22" s="13" t="s">
        <v>29</v>
      </c>
      <c r="F22" s="15" t="s">
        <v>14</v>
      </c>
      <c r="G22" s="13" t="s">
        <v>33</v>
      </c>
      <c r="H22" s="13">
        <v>2</v>
      </c>
      <c r="I22" s="13">
        <f t="shared" si="1"/>
        <v>2.1469946271721954</v>
      </c>
      <c r="J22" s="13">
        <v>5.0990195135927806E-2</v>
      </c>
      <c r="K22" s="13" t="s">
        <v>31</v>
      </c>
      <c r="L22" s="13" t="s">
        <v>31</v>
      </c>
      <c r="M22" s="13" t="s">
        <v>31</v>
      </c>
    </row>
    <row r="23" spans="1:13" ht="15.75">
      <c r="A23" s="7" t="s">
        <v>36</v>
      </c>
      <c r="B23" s="13">
        <f>11290.4938*3.6/46.2</f>
        <v>879.77873766233756</v>
      </c>
      <c r="C23" s="13" t="s">
        <v>37</v>
      </c>
      <c r="D23" s="8" t="s">
        <v>38</v>
      </c>
      <c r="E23" s="13" t="s">
        <v>29</v>
      </c>
      <c r="F23" s="15" t="s">
        <v>39</v>
      </c>
      <c r="G23" s="13" t="s">
        <v>33</v>
      </c>
      <c r="H23" s="13">
        <v>2</v>
      </c>
      <c r="I23" s="13">
        <f t="shared" si="1"/>
        <v>6.7796704413826889</v>
      </c>
      <c r="J23" s="13">
        <v>5.0990195135927806E-2</v>
      </c>
      <c r="K23" s="13" t="s">
        <v>31</v>
      </c>
      <c r="L23" s="13" t="s">
        <v>31</v>
      </c>
      <c r="M23" s="13" t="s">
        <v>31</v>
      </c>
    </row>
    <row r="24" spans="1:13" ht="15.75">
      <c r="A24" s="7" t="s">
        <v>172</v>
      </c>
      <c r="B24" s="9">
        <v>17752.199999999997</v>
      </c>
      <c r="C24" s="13" t="s">
        <v>37</v>
      </c>
      <c r="D24" s="8" t="s">
        <v>38</v>
      </c>
      <c r="E24" s="13" t="s">
        <v>29</v>
      </c>
      <c r="F24" s="15" t="s">
        <v>60</v>
      </c>
      <c r="G24" s="13" t="s">
        <v>33</v>
      </c>
      <c r="H24" s="13">
        <v>2</v>
      </c>
      <c r="I24" s="13">
        <f t="shared" si="1"/>
        <v>9.7842647308851518</v>
      </c>
      <c r="J24" s="13">
        <v>5.0990195135927806E-2</v>
      </c>
      <c r="K24" s="13" t="s">
        <v>31</v>
      </c>
      <c r="L24" s="13" t="s">
        <v>31</v>
      </c>
      <c r="M24" s="13" t="s">
        <v>31</v>
      </c>
    </row>
    <row r="25" spans="1:13" ht="15.75">
      <c r="A25" s="7" t="s">
        <v>489</v>
      </c>
      <c r="B25" s="9">
        <f>23669.6/1000</f>
        <v>23.669599999999999</v>
      </c>
      <c r="C25" s="13" t="s">
        <v>50</v>
      </c>
      <c r="D25" s="8" t="s">
        <v>38</v>
      </c>
      <c r="E25" s="13" t="s">
        <v>29</v>
      </c>
      <c r="F25" s="15" t="s">
        <v>39</v>
      </c>
      <c r="G25" s="13" t="s">
        <v>33</v>
      </c>
      <c r="H25" s="13">
        <v>2</v>
      </c>
      <c r="I25" s="13">
        <f t="shared" si="1"/>
        <v>3.1641915243547967</v>
      </c>
      <c r="J25" s="13">
        <v>5.0990195135927806E-2</v>
      </c>
      <c r="K25" s="13" t="s">
        <v>31</v>
      </c>
      <c r="L25" s="13" t="s">
        <v>31</v>
      </c>
      <c r="M25" s="13" t="s">
        <v>31</v>
      </c>
    </row>
    <row r="26" spans="1:13" ht="15.75">
      <c r="A26" s="7" t="s">
        <v>48</v>
      </c>
      <c r="B26" s="9">
        <v>10505.822968799999</v>
      </c>
      <c r="C26" s="13" t="s">
        <v>37</v>
      </c>
      <c r="D26" s="8" t="s">
        <v>43</v>
      </c>
      <c r="E26" s="13" t="s">
        <v>44</v>
      </c>
      <c r="F26" s="15" t="s">
        <v>29</v>
      </c>
      <c r="G26" s="13" t="s">
        <v>45</v>
      </c>
      <c r="H26" s="13">
        <v>2</v>
      </c>
      <c r="I26" s="13">
        <f t="shared" si="1"/>
        <v>9.2596849508864985</v>
      </c>
      <c r="J26" s="13">
        <v>5.0990195135927806E-2</v>
      </c>
      <c r="K26" s="13" t="s">
        <v>31</v>
      </c>
      <c r="L26" s="13" t="s">
        <v>31</v>
      </c>
      <c r="M26" s="13" t="s">
        <v>31</v>
      </c>
    </row>
    <row r="27" spans="1:13" ht="15.75">
      <c r="A27" s="7" t="s">
        <v>490</v>
      </c>
      <c r="B27" s="9">
        <v>57.054115119599999</v>
      </c>
      <c r="C27" s="13" t="s">
        <v>37</v>
      </c>
      <c r="D27" s="8" t="s">
        <v>43</v>
      </c>
      <c r="E27" s="13" t="s">
        <v>44</v>
      </c>
      <c r="F27" s="15" t="s">
        <v>29</v>
      </c>
      <c r="G27" s="13" t="s">
        <v>45</v>
      </c>
      <c r="H27" s="13">
        <v>2</v>
      </c>
      <c r="I27" s="13">
        <f t="shared" si="1"/>
        <v>4.0440002055138979</v>
      </c>
      <c r="J27" s="13">
        <v>5.0990195135927806E-2</v>
      </c>
      <c r="K27" s="13" t="s">
        <v>31</v>
      </c>
      <c r="L27" s="13" t="s">
        <v>31</v>
      </c>
      <c r="M27" s="13" t="s">
        <v>31</v>
      </c>
    </row>
    <row r="28" spans="1:13" ht="15.75">
      <c r="A28" s="7" t="s">
        <v>51</v>
      </c>
      <c r="B28" s="9">
        <v>0.70075034279999993</v>
      </c>
      <c r="C28" s="13" t="s">
        <v>37</v>
      </c>
      <c r="D28" s="8" t="s">
        <v>43</v>
      </c>
      <c r="E28" s="13" t="s">
        <v>44</v>
      </c>
      <c r="F28" s="15" t="s">
        <v>29</v>
      </c>
      <c r="G28" s="13" t="s">
        <v>45</v>
      </c>
      <c r="H28" s="13">
        <v>2</v>
      </c>
      <c r="I28" s="13">
        <f t="shared" si="1"/>
        <v>-0.35560359974720573</v>
      </c>
      <c r="J28" s="13">
        <v>5.0990195135927806E-2</v>
      </c>
      <c r="K28" s="13" t="s">
        <v>31</v>
      </c>
      <c r="L28" s="13" t="s">
        <v>31</v>
      </c>
      <c r="M28" s="13" t="s">
        <v>31</v>
      </c>
    </row>
    <row r="29" spans="1:13" ht="15.75">
      <c r="A29" s="7" t="s">
        <v>42</v>
      </c>
      <c r="B29" s="9">
        <v>1.9718788716</v>
      </c>
      <c r="C29" s="13" t="s">
        <v>37</v>
      </c>
      <c r="D29" s="8" t="s">
        <v>43</v>
      </c>
      <c r="E29" s="13" t="s">
        <v>44</v>
      </c>
      <c r="F29" s="15" t="s">
        <v>29</v>
      </c>
      <c r="G29" s="13" t="s">
        <v>45</v>
      </c>
      <c r="H29" s="13">
        <v>2</v>
      </c>
      <c r="I29" s="13">
        <f t="shared" si="1"/>
        <v>0.67898683015597305</v>
      </c>
      <c r="J29" s="13">
        <v>5.0990195135927806E-2</v>
      </c>
      <c r="K29" s="13" t="s">
        <v>31</v>
      </c>
      <c r="L29" s="13" t="s">
        <v>31</v>
      </c>
      <c r="M29" s="13" t="s">
        <v>31</v>
      </c>
    </row>
    <row r="30" spans="1:13" ht="15.75">
      <c r="A30" s="10" t="s">
        <v>491</v>
      </c>
      <c r="B30" s="9">
        <v>698.25319999999988</v>
      </c>
      <c r="C30" s="13" t="s">
        <v>37</v>
      </c>
      <c r="D30" s="8" t="s">
        <v>38</v>
      </c>
      <c r="E30" s="13" t="s">
        <v>29</v>
      </c>
      <c r="F30" s="15" t="s">
        <v>86</v>
      </c>
      <c r="G30" s="13" t="s">
        <v>33</v>
      </c>
      <c r="H30" s="13">
        <v>2</v>
      </c>
      <c r="I30" s="13">
        <f t="shared" si="1"/>
        <v>6.5485817877005701</v>
      </c>
      <c r="J30" s="13">
        <v>5.0990195135927806E-2</v>
      </c>
      <c r="K30" s="13" t="s">
        <v>31</v>
      </c>
      <c r="L30" s="13" t="s">
        <v>31</v>
      </c>
      <c r="M30" s="13" t="s">
        <v>31</v>
      </c>
    </row>
    <row r="31" spans="1:13" ht="15.75">
      <c r="A31" s="1" t="s">
        <v>5</v>
      </c>
      <c r="B31" s="2" t="s">
        <v>482</v>
      </c>
      <c r="C31" s="3"/>
      <c r="D31" s="11"/>
      <c r="E31" s="11"/>
      <c r="F31" s="11"/>
      <c r="G31" s="11"/>
      <c r="H31" s="11"/>
      <c r="I31" s="11"/>
      <c r="J31" s="11"/>
      <c r="K31" s="11"/>
      <c r="L31" s="11"/>
      <c r="M31" s="11"/>
    </row>
    <row r="32" spans="1:13">
      <c r="A32" s="12" t="s">
        <v>7</v>
      </c>
      <c r="B32" s="13" t="s">
        <v>64</v>
      </c>
      <c r="C32" s="4"/>
      <c r="D32" s="13"/>
      <c r="E32" s="13"/>
      <c r="F32" s="13"/>
      <c r="G32" s="13"/>
      <c r="H32" s="13"/>
      <c r="I32" s="13"/>
      <c r="J32" s="13"/>
      <c r="K32" s="13"/>
      <c r="L32" s="13"/>
      <c r="M32" s="13"/>
    </row>
    <row r="33" spans="1:13">
      <c r="A33" s="12" t="s">
        <v>9</v>
      </c>
      <c r="B33" s="13" t="s">
        <v>492</v>
      </c>
      <c r="C33" s="13"/>
      <c r="D33" s="13"/>
      <c r="E33" s="13"/>
      <c r="F33" s="13"/>
      <c r="G33" s="13"/>
      <c r="H33" s="13"/>
      <c r="I33" s="13"/>
      <c r="J33" s="13"/>
      <c r="K33" s="13"/>
      <c r="L33" s="13"/>
      <c r="M33" s="13"/>
    </row>
    <row r="34" spans="1:13" ht="30">
      <c r="A34" s="12" t="s">
        <v>11</v>
      </c>
      <c r="B34" s="14" t="s">
        <v>493</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482</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449</v>
      </c>
      <c r="B42" s="13">
        <v>151.81824</v>
      </c>
      <c r="C42" s="13" t="s">
        <v>37</v>
      </c>
      <c r="D42" s="8" t="s">
        <v>38</v>
      </c>
      <c r="E42" s="13" t="s">
        <v>29</v>
      </c>
      <c r="F42" s="15" t="s">
        <v>60</v>
      </c>
      <c r="G42" s="13" t="s">
        <v>33</v>
      </c>
      <c r="H42" s="13">
        <v>2</v>
      </c>
      <c r="I42" s="13">
        <f t="shared" ref="I42:I45" si="2">LN(B42)</f>
        <v>5.0226840158458899</v>
      </c>
      <c r="J42" s="13">
        <v>0.24083189157584584</v>
      </c>
      <c r="K42" s="13" t="s">
        <v>31</v>
      </c>
      <c r="L42" s="13" t="s">
        <v>31</v>
      </c>
      <c r="M42" s="13" t="s">
        <v>31</v>
      </c>
    </row>
    <row r="43" spans="1:13" ht="15.75">
      <c r="A43" s="7" t="s">
        <v>253</v>
      </c>
      <c r="B43" s="13">
        <v>55.943440000000002</v>
      </c>
      <c r="C43" s="13" t="s">
        <v>37</v>
      </c>
      <c r="D43" s="8" t="s">
        <v>38</v>
      </c>
      <c r="E43" s="13" t="s">
        <v>29</v>
      </c>
      <c r="F43" s="15" t="s">
        <v>60</v>
      </c>
      <c r="G43" s="13" t="s">
        <v>33</v>
      </c>
      <c r="H43" s="13">
        <v>2</v>
      </c>
      <c r="I43" s="13">
        <f t="shared" si="2"/>
        <v>4.0243411803414553</v>
      </c>
      <c r="J43" s="13">
        <v>0.24083189157584584</v>
      </c>
      <c r="K43" s="13" t="s">
        <v>31</v>
      </c>
      <c r="L43" s="13" t="s">
        <v>31</v>
      </c>
      <c r="M43" s="13" t="s">
        <v>31</v>
      </c>
    </row>
    <row r="44" spans="1:13" ht="15.75">
      <c r="A44" s="7" t="s">
        <v>494</v>
      </c>
      <c r="B44" s="13">
        <v>1663.2795200000003</v>
      </c>
      <c r="C44" s="13" t="s">
        <v>37</v>
      </c>
      <c r="D44" s="8" t="s">
        <v>38</v>
      </c>
      <c r="E44" s="13" t="s">
        <v>29</v>
      </c>
      <c r="F44" s="15" t="s">
        <v>60</v>
      </c>
      <c r="G44" s="13" t="s">
        <v>33</v>
      </c>
      <c r="H44" s="13">
        <v>2</v>
      </c>
      <c r="I44" s="13">
        <f t="shared" si="2"/>
        <v>7.416546546848684</v>
      </c>
      <c r="J44" s="13">
        <v>0.24083189157584584</v>
      </c>
      <c r="K44" s="13" t="s">
        <v>31</v>
      </c>
      <c r="L44" s="13" t="s">
        <v>31</v>
      </c>
      <c r="M44" s="13" t="s">
        <v>31</v>
      </c>
    </row>
    <row r="45" spans="1:13" ht="15.75">
      <c r="A45" s="7" t="s">
        <v>336</v>
      </c>
      <c r="B45" s="13">
        <v>105.75880000000001</v>
      </c>
      <c r="C45" s="13" t="s">
        <v>37</v>
      </c>
      <c r="D45" s="8" t="s">
        <v>38</v>
      </c>
      <c r="E45" s="13" t="s">
        <v>29</v>
      </c>
      <c r="F45" s="15" t="s">
        <v>60</v>
      </c>
      <c r="G45" s="13" t="s">
        <v>33</v>
      </c>
      <c r="H45" s="13">
        <v>2</v>
      </c>
      <c r="I45" s="13">
        <f t="shared" si="2"/>
        <v>4.6611610295942238</v>
      </c>
      <c r="J45" s="13">
        <v>0.24083189157584584</v>
      </c>
      <c r="K45" s="13" t="s">
        <v>31</v>
      </c>
      <c r="L45" s="13" t="s">
        <v>31</v>
      </c>
      <c r="M45" s="13" t="s">
        <v>31</v>
      </c>
    </row>
    <row r="46" spans="1:13" ht="15.75">
      <c r="A46" s="1" t="s">
        <v>5</v>
      </c>
      <c r="B46" s="2" t="s">
        <v>483</v>
      </c>
      <c r="C46" s="3"/>
      <c r="D46" s="11"/>
      <c r="E46" s="11"/>
      <c r="F46" s="11"/>
      <c r="G46" s="11"/>
      <c r="H46" s="11"/>
      <c r="I46" s="11"/>
      <c r="J46" s="11"/>
      <c r="K46" s="11"/>
      <c r="L46" s="11"/>
      <c r="M46" s="11"/>
    </row>
    <row r="47" spans="1:13">
      <c r="A47" s="12" t="s">
        <v>7</v>
      </c>
      <c r="B47" s="13" t="s">
        <v>64</v>
      </c>
      <c r="C47" s="4"/>
      <c r="D47" s="13"/>
      <c r="E47" s="13"/>
      <c r="F47" s="13"/>
      <c r="G47" s="13"/>
      <c r="H47" s="13"/>
      <c r="I47" s="13"/>
      <c r="J47" s="13"/>
      <c r="K47" s="13"/>
      <c r="L47" s="13"/>
      <c r="M47" s="13"/>
    </row>
    <row r="48" spans="1:13">
      <c r="A48" s="12" t="s">
        <v>9</v>
      </c>
      <c r="B48" s="13" t="s">
        <v>495</v>
      </c>
      <c r="C48" s="13"/>
      <c r="D48" s="13"/>
      <c r="E48" s="13"/>
      <c r="F48" s="13"/>
      <c r="G48" s="13"/>
      <c r="H48" s="13"/>
      <c r="I48" s="13"/>
      <c r="J48" s="13"/>
      <c r="K48" s="13"/>
      <c r="L48" s="13"/>
      <c r="M48" s="13"/>
    </row>
    <row r="49" spans="1:13" ht="30">
      <c r="A49" s="12" t="s">
        <v>11</v>
      </c>
      <c r="B49" s="14" t="s">
        <v>496</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483</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449</v>
      </c>
      <c r="B57" s="13">
        <v>11.348375066595633</v>
      </c>
      <c r="C57" s="13" t="s">
        <v>37</v>
      </c>
      <c r="D57" s="8" t="s">
        <v>38</v>
      </c>
      <c r="E57" s="13" t="s">
        <v>29</v>
      </c>
      <c r="F57" s="15" t="s">
        <v>60</v>
      </c>
      <c r="G57" s="13" t="s">
        <v>33</v>
      </c>
      <c r="H57" s="13">
        <v>2</v>
      </c>
      <c r="I57" s="13">
        <f>LN(B57)</f>
        <v>2.4290745677394798</v>
      </c>
      <c r="J57" s="13">
        <v>0.24083189157584584</v>
      </c>
      <c r="K57" s="13" t="s">
        <v>31</v>
      </c>
      <c r="L57" s="13" t="s">
        <v>31</v>
      </c>
      <c r="M57" s="13" t="s">
        <v>31</v>
      </c>
    </row>
    <row r="58" spans="1:13" ht="15.75">
      <c r="A58" s="7" t="s">
        <v>494</v>
      </c>
      <c r="B58" s="13">
        <v>193.48417687799682</v>
      </c>
      <c r="C58" s="13" t="s">
        <v>37</v>
      </c>
      <c r="D58" s="8" t="s">
        <v>38</v>
      </c>
      <c r="E58" s="13" t="s">
        <v>29</v>
      </c>
      <c r="F58" s="15" t="s">
        <v>60</v>
      </c>
      <c r="G58" s="13" t="s">
        <v>33</v>
      </c>
      <c r="H58" s="13">
        <v>2</v>
      </c>
      <c r="I58" s="13">
        <f>LN(B58)</f>
        <v>5.2651957358858965</v>
      </c>
      <c r="J58" s="13">
        <v>0.24083189157584584</v>
      </c>
      <c r="K58" s="13" t="s">
        <v>31</v>
      </c>
      <c r="L58" s="13" t="s">
        <v>31</v>
      </c>
      <c r="M58" s="13" t="s">
        <v>31</v>
      </c>
    </row>
    <row r="59" spans="1:13" ht="15.75">
      <c r="A59" s="7" t="s">
        <v>497</v>
      </c>
      <c r="B59" s="13">
        <v>6.0674480554075654</v>
      </c>
      <c r="C59" s="13" t="s">
        <v>37</v>
      </c>
      <c r="D59" s="8" t="s">
        <v>38</v>
      </c>
      <c r="E59" s="13" t="s">
        <v>29</v>
      </c>
      <c r="F59" s="15" t="s">
        <v>60</v>
      </c>
      <c r="G59" s="13" t="s">
        <v>33</v>
      </c>
      <c r="H59" s="13">
        <v>2</v>
      </c>
      <c r="I59" s="13">
        <f>LN(B59)</f>
        <v>1.8029380974624944</v>
      </c>
      <c r="J59" s="13">
        <v>0.24083189157584584</v>
      </c>
      <c r="K59" s="13" t="s">
        <v>31</v>
      </c>
      <c r="L59" s="13" t="s">
        <v>31</v>
      </c>
      <c r="M59" s="13" t="s">
        <v>31</v>
      </c>
    </row>
    <row r="60" spans="1:13" ht="15.75">
      <c r="A60" s="1" t="s">
        <v>5</v>
      </c>
      <c r="B60" s="2" t="s">
        <v>484</v>
      </c>
      <c r="C60" s="3"/>
      <c r="D60" s="11"/>
      <c r="E60" s="11"/>
      <c r="F60" s="11"/>
      <c r="G60" s="11"/>
      <c r="H60" s="11"/>
      <c r="I60" s="11"/>
      <c r="J60" s="11"/>
      <c r="K60" s="11"/>
      <c r="L60" s="11"/>
      <c r="M60" s="11"/>
    </row>
    <row r="61" spans="1:13">
      <c r="A61" s="12" t="s">
        <v>7</v>
      </c>
      <c r="B61" s="13" t="s">
        <v>64</v>
      </c>
      <c r="C61" s="4"/>
      <c r="D61" s="13"/>
      <c r="E61" s="13"/>
      <c r="F61" s="13"/>
      <c r="G61" s="13"/>
      <c r="H61" s="13"/>
      <c r="I61" s="13"/>
      <c r="J61" s="13"/>
      <c r="K61" s="13"/>
      <c r="L61" s="13"/>
      <c r="M61" s="13"/>
    </row>
    <row r="62" spans="1:13">
      <c r="A62" s="12" t="s">
        <v>9</v>
      </c>
      <c r="B62" s="13" t="s">
        <v>498</v>
      </c>
      <c r="C62" s="13"/>
      <c r="D62" s="13"/>
      <c r="E62" s="13"/>
      <c r="F62" s="13"/>
      <c r="G62" s="13"/>
      <c r="H62" s="13"/>
      <c r="I62" s="13"/>
      <c r="J62" s="13"/>
      <c r="K62" s="13"/>
      <c r="L62" s="13"/>
      <c r="M62" s="13"/>
    </row>
    <row r="63" spans="1:13" ht="30">
      <c r="A63" s="12" t="s">
        <v>11</v>
      </c>
      <c r="B63" s="14" t="s">
        <v>499</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484</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449</v>
      </c>
      <c r="B71" s="13">
        <v>10.638674496644295</v>
      </c>
      <c r="C71" s="13" t="s">
        <v>37</v>
      </c>
      <c r="D71" s="8" t="s">
        <v>38</v>
      </c>
      <c r="E71" s="13" t="s">
        <v>29</v>
      </c>
      <c r="F71" s="15" t="s">
        <v>60</v>
      </c>
      <c r="G71" s="13" t="s">
        <v>33</v>
      </c>
      <c r="H71" s="13">
        <v>2</v>
      </c>
      <c r="I71" s="13">
        <f>LN(B71)</f>
        <v>2.3644958987700369</v>
      </c>
      <c r="J71" s="13">
        <v>0.24083189157584584</v>
      </c>
      <c r="K71" s="13" t="s">
        <v>31</v>
      </c>
      <c r="L71" s="13" t="s">
        <v>31</v>
      </c>
      <c r="M71" s="13" t="s">
        <v>31</v>
      </c>
    </row>
    <row r="72" spans="1:13" ht="15.75">
      <c r="A72" s="7" t="s">
        <v>494</v>
      </c>
      <c r="B72" s="13">
        <v>170.21879194630873</v>
      </c>
      <c r="C72" s="13" t="s">
        <v>37</v>
      </c>
      <c r="D72" s="8" t="s">
        <v>38</v>
      </c>
      <c r="E72" s="13" t="s">
        <v>29</v>
      </c>
      <c r="F72" s="15" t="s">
        <v>60</v>
      </c>
      <c r="G72" s="13" t="s">
        <v>33</v>
      </c>
      <c r="H72" s="13">
        <v>2</v>
      </c>
      <c r="I72" s="13">
        <f>LN(B72)</f>
        <v>5.1370846210098176</v>
      </c>
      <c r="J72" s="13">
        <v>0.24083189157584584</v>
      </c>
      <c r="K72" s="13" t="s">
        <v>31</v>
      </c>
      <c r="L72" s="13" t="s">
        <v>31</v>
      </c>
      <c r="M72" s="13" t="s">
        <v>31</v>
      </c>
    </row>
    <row r="73" spans="1:13" ht="15.75">
      <c r="A73" s="7" t="s">
        <v>497</v>
      </c>
      <c r="B73" s="13">
        <v>128.44253355704697</v>
      </c>
      <c r="C73" s="13" t="s">
        <v>37</v>
      </c>
      <c r="D73" s="8" t="s">
        <v>38</v>
      </c>
      <c r="E73" s="13" t="s">
        <v>29</v>
      </c>
      <c r="F73" s="15" t="s">
        <v>60</v>
      </c>
      <c r="G73" s="13" t="s">
        <v>33</v>
      </c>
      <c r="H73" s="13">
        <v>2</v>
      </c>
      <c r="I73" s="13">
        <f>LN(B73)</f>
        <v>4.8554815946344192</v>
      </c>
      <c r="J73" s="13">
        <v>0.24083189157584584</v>
      </c>
      <c r="K73" s="13" t="s">
        <v>31</v>
      </c>
      <c r="L73" s="13" t="s">
        <v>31</v>
      </c>
      <c r="M73" s="13" t="s">
        <v>31</v>
      </c>
    </row>
    <row r="74" spans="1:13" ht="15.75">
      <c r="A74" s="1" t="s">
        <v>5</v>
      </c>
      <c r="B74" s="2" t="s">
        <v>485</v>
      </c>
      <c r="C74" s="3"/>
      <c r="D74" s="11"/>
      <c r="E74" s="11"/>
      <c r="F74" s="11"/>
      <c r="G74" s="11"/>
      <c r="H74" s="11"/>
      <c r="I74" s="11"/>
      <c r="J74" s="11"/>
      <c r="K74" s="11"/>
      <c r="L74" s="11"/>
      <c r="M74" s="11"/>
    </row>
    <row r="75" spans="1:13">
      <c r="A75" s="12" t="s">
        <v>7</v>
      </c>
      <c r="B75" s="13" t="s">
        <v>64</v>
      </c>
      <c r="C75" s="4"/>
      <c r="D75" s="13"/>
      <c r="E75" s="13"/>
      <c r="F75" s="13"/>
      <c r="G75" s="13"/>
      <c r="H75" s="13"/>
      <c r="I75" s="13"/>
      <c r="J75" s="13"/>
      <c r="K75" s="13"/>
      <c r="L75" s="13"/>
      <c r="M75" s="13"/>
    </row>
    <row r="76" spans="1:13">
      <c r="A76" s="12" t="s">
        <v>9</v>
      </c>
      <c r="B76" s="13" t="s">
        <v>500</v>
      </c>
      <c r="C76" s="13"/>
      <c r="D76" s="13"/>
      <c r="E76" s="13"/>
      <c r="F76" s="13"/>
      <c r="G76" s="13"/>
      <c r="H76" s="13"/>
      <c r="I76" s="13"/>
      <c r="J76" s="13"/>
      <c r="K76" s="13"/>
      <c r="L76" s="13"/>
      <c r="M76" s="13"/>
    </row>
    <row r="77" spans="1:13" ht="45">
      <c r="A77" s="12" t="s">
        <v>11</v>
      </c>
      <c r="B77" s="14" t="s">
        <v>501</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485</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449</v>
      </c>
      <c r="B85" s="13">
        <v>157.95463053080783</v>
      </c>
      <c r="C85" s="13" t="s">
        <v>37</v>
      </c>
      <c r="D85" s="8" t="s">
        <v>38</v>
      </c>
      <c r="E85" s="13" t="s">
        <v>29</v>
      </c>
      <c r="F85" s="15" t="s">
        <v>60</v>
      </c>
      <c r="G85" s="13" t="s">
        <v>33</v>
      </c>
      <c r="H85" s="13">
        <v>2</v>
      </c>
      <c r="I85" s="13">
        <f>LN(B85)</f>
        <v>5.0623078432527402</v>
      </c>
      <c r="J85" s="13">
        <v>0.24083189157584584</v>
      </c>
      <c r="K85" s="13" t="s">
        <v>31</v>
      </c>
      <c r="L85" s="13" t="s">
        <v>31</v>
      </c>
      <c r="M85" s="13" t="s">
        <v>31</v>
      </c>
    </row>
    <row r="86" spans="1:13" ht="15.75">
      <c r="A86" s="7" t="s">
        <v>497</v>
      </c>
      <c r="B86" s="13">
        <v>11.218368645653962</v>
      </c>
      <c r="C86" s="13" t="s">
        <v>37</v>
      </c>
      <c r="D86" s="8" t="s">
        <v>38</v>
      </c>
      <c r="E86" s="13" t="s">
        <v>29</v>
      </c>
      <c r="F86" s="15" t="s">
        <v>60</v>
      </c>
      <c r="G86" s="13" t="s">
        <v>33</v>
      </c>
      <c r="H86" s="13">
        <v>2</v>
      </c>
      <c r="I86" s="13">
        <f>LN(B86)</f>
        <v>2.4175524925228435</v>
      </c>
      <c r="J86" s="13">
        <v>0.24083189157584584</v>
      </c>
      <c r="K86" s="13" t="s">
        <v>31</v>
      </c>
      <c r="L86" s="13" t="s">
        <v>31</v>
      </c>
      <c r="M86" s="13" t="s">
        <v>31</v>
      </c>
    </row>
    <row r="87" spans="1:13" ht="15.75">
      <c r="A87" s="7" t="s">
        <v>253</v>
      </c>
      <c r="B87" s="13">
        <v>16.962173392228795</v>
      </c>
      <c r="C87" s="13" t="s">
        <v>37</v>
      </c>
      <c r="D87" s="8" t="s">
        <v>38</v>
      </c>
      <c r="E87" s="13" t="s">
        <v>29</v>
      </c>
      <c r="F87" s="15" t="s">
        <v>60</v>
      </c>
      <c r="G87" s="13" t="s">
        <v>33</v>
      </c>
      <c r="H87" s="13">
        <v>2</v>
      </c>
      <c r="I87" s="13">
        <f t="shared" ref="I87:I89" si="3">LN(B87)</f>
        <v>2.8309857702801851</v>
      </c>
      <c r="J87" s="13">
        <v>0.24083189157584584</v>
      </c>
      <c r="K87" s="13" t="s">
        <v>31</v>
      </c>
      <c r="L87" s="13" t="s">
        <v>31</v>
      </c>
      <c r="M87" s="13" t="s">
        <v>31</v>
      </c>
    </row>
    <row r="88" spans="1:13" ht="15.75">
      <c r="A88" s="7" t="s">
        <v>336</v>
      </c>
      <c r="B88" s="13">
        <v>112.18368645653965</v>
      </c>
      <c r="C88" s="13" t="s">
        <v>37</v>
      </c>
      <c r="D88" s="8" t="s">
        <v>38</v>
      </c>
      <c r="E88" s="13" t="s">
        <v>29</v>
      </c>
      <c r="F88" s="15" t="s">
        <v>60</v>
      </c>
      <c r="G88" s="13" t="s">
        <v>33</v>
      </c>
      <c r="H88" s="13">
        <v>2</v>
      </c>
      <c r="I88" s="13">
        <f t="shared" si="3"/>
        <v>4.7201375855168894</v>
      </c>
      <c r="J88" s="13">
        <v>0.24083189157584584</v>
      </c>
      <c r="K88" s="13" t="s">
        <v>31</v>
      </c>
      <c r="L88" s="13" t="s">
        <v>31</v>
      </c>
      <c r="M88" s="13" t="s">
        <v>31</v>
      </c>
    </row>
    <row r="89" spans="1:13" ht="15.75">
      <c r="A89" s="7" t="s">
        <v>494</v>
      </c>
      <c r="B89" s="13">
        <v>2099.1811409747697</v>
      </c>
      <c r="C89" s="13" t="s">
        <v>37</v>
      </c>
      <c r="D89" s="8" t="s">
        <v>38</v>
      </c>
      <c r="E89" s="13" t="s">
        <v>29</v>
      </c>
      <c r="F89" s="15" t="s">
        <v>60</v>
      </c>
      <c r="G89" s="13" t="s">
        <v>33</v>
      </c>
      <c r="H89" s="13">
        <v>2</v>
      </c>
      <c r="I89" s="13">
        <f t="shared" si="3"/>
        <v>7.6493026147987671</v>
      </c>
      <c r="J89" s="13">
        <v>0.24083189157584584</v>
      </c>
      <c r="K89" s="13" t="s">
        <v>31</v>
      </c>
      <c r="L89" s="13" t="s">
        <v>31</v>
      </c>
      <c r="M89" s="13" t="s">
        <v>31</v>
      </c>
    </row>
    <row r="90" spans="1:13" ht="15.75">
      <c r="A90" s="1" t="s">
        <v>5</v>
      </c>
      <c r="B90" s="2" t="s">
        <v>486</v>
      </c>
      <c r="C90" s="3"/>
      <c r="D90" s="11"/>
      <c r="E90" s="11"/>
      <c r="F90" s="11"/>
      <c r="G90" s="11"/>
      <c r="H90" s="11"/>
      <c r="I90" s="11"/>
      <c r="J90" s="11"/>
      <c r="K90" s="11"/>
      <c r="L90" s="11"/>
      <c r="M90" s="11"/>
    </row>
    <row r="91" spans="1:13">
      <c r="A91" s="12" t="s">
        <v>7</v>
      </c>
      <c r="B91" s="13" t="s">
        <v>64</v>
      </c>
      <c r="C91" s="4"/>
      <c r="D91" s="13"/>
      <c r="E91" s="13"/>
      <c r="F91" s="13"/>
      <c r="G91" s="13"/>
      <c r="H91" s="13"/>
      <c r="I91" s="13"/>
      <c r="J91" s="13"/>
      <c r="K91" s="13"/>
      <c r="L91" s="13"/>
      <c r="M91" s="13"/>
    </row>
    <row r="92" spans="1:13">
      <c r="A92" s="12" t="s">
        <v>9</v>
      </c>
      <c r="B92" s="13" t="s">
        <v>502</v>
      </c>
      <c r="C92" s="13"/>
      <c r="D92" s="13"/>
      <c r="E92" s="13"/>
      <c r="F92" s="13"/>
      <c r="G92" s="13"/>
      <c r="H92" s="13"/>
      <c r="I92" s="13"/>
      <c r="J92" s="13"/>
      <c r="K92" s="13"/>
      <c r="L92" s="13"/>
      <c r="M92" s="13"/>
    </row>
    <row r="93" spans="1:13" ht="30">
      <c r="A93" s="12" t="s">
        <v>11</v>
      </c>
      <c r="B93" s="14" t="s">
        <v>503</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486</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449</v>
      </c>
      <c r="B101" s="13">
        <v>40.913948759658396</v>
      </c>
      <c r="C101" s="13" t="s">
        <v>37</v>
      </c>
      <c r="D101" s="8" t="s">
        <v>38</v>
      </c>
      <c r="E101" s="13" t="s">
        <v>29</v>
      </c>
      <c r="F101" s="15" t="s">
        <v>60</v>
      </c>
      <c r="G101" s="13" t="s">
        <v>33</v>
      </c>
      <c r="H101" s="13">
        <v>2</v>
      </c>
      <c r="I101" s="13">
        <f>LN(B101)</f>
        <v>3.71147105037439</v>
      </c>
      <c r="J101" s="13">
        <v>0.24083189157584584</v>
      </c>
      <c r="K101" s="13" t="s">
        <v>31</v>
      </c>
      <c r="L101" s="13" t="s">
        <v>31</v>
      </c>
      <c r="M101" s="13" t="s">
        <v>31</v>
      </c>
    </row>
    <row r="102" spans="1:13" ht="15.75">
      <c r="A102" s="7" t="s">
        <v>253</v>
      </c>
      <c r="B102" s="13">
        <v>748.36445709638065</v>
      </c>
      <c r="C102" s="13" t="s">
        <v>37</v>
      </c>
      <c r="D102" s="8" t="s">
        <v>38</v>
      </c>
      <c r="E102" s="13" t="s">
        <v>29</v>
      </c>
      <c r="F102" s="15" t="s">
        <v>60</v>
      </c>
      <c r="G102" s="13" t="s">
        <v>33</v>
      </c>
      <c r="H102" s="13">
        <v>2</v>
      </c>
      <c r="I102" s="13">
        <f>LN(B102)</f>
        <v>6.6178901014180465</v>
      </c>
      <c r="J102" s="13">
        <v>0.24083189157584584</v>
      </c>
      <c r="K102" s="13" t="s">
        <v>31</v>
      </c>
      <c r="L102" s="13" t="s">
        <v>31</v>
      </c>
      <c r="M102" s="13" t="s">
        <v>31</v>
      </c>
    </row>
    <row r="103" spans="1:13" ht="15.75">
      <c r="A103" s="7" t="s">
        <v>494</v>
      </c>
      <c r="B103" s="13">
        <v>6.8076453843025613</v>
      </c>
      <c r="C103" s="13" t="s">
        <v>37</v>
      </c>
      <c r="D103" s="8" t="s">
        <v>38</v>
      </c>
      <c r="E103" s="13" t="s">
        <v>29</v>
      </c>
      <c r="F103" s="15" t="s">
        <v>60</v>
      </c>
      <c r="G103" s="13" t="s">
        <v>33</v>
      </c>
      <c r="H103" s="13">
        <v>2</v>
      </c>
      <c r="I103" s="13">
        <f t="shared" ref="I103:I104" si="4">LN(B103)</f>
        <v>1.9180463018272735</v>
      </c>
      <c r="J103" s="13">
        <v>0.24083189157584584</v>
      </c>
      <c r="K103" s="13" t="s">
        <v>31</v>
      </c>
      <c r="L103" s="13" t="s">
        <v>31</v>
      </c>
      <c r="M103" s="13" t="s">
        <v>31</v>
      </c>
    </row>
    <row r="104" spans="1:13" ht="15.75">
      <c r="A104" s="7" t="s">
        <v>336</v>
      </c>
      <c r="B104" s="13">
        <v>40.913948759658396</v>
      </c>
      <c r="C104" s="13" t="s">
        <v>37</v>
      </c>
      <c r="D104" s="8" t="s">
        <v>38</v>
      </c>
      <c r="E104" s="13" t="s">
        <v>29</v>
      </c>
      <c r="F104" s="15" t="s">
        <v>60</v>
      </c>
      <c r="G104" s="13" t="s">
        <v>33</v>
      </c>
      <c r="H104" s="13">
        <v>2</v>
      </c>
      <c r="I104" s="13">
        <f t="shared" si="4"/>
        <v>3.71147105037439</v>
      </c>
      <c r="J104" s="13">
        <v>0.24083189157584584</v>
      </c>
      <c r="K104" s="13" t="s">
        <v>31</v>
      </c>
      <c r="L104" s="13" t="s">
        <v>31</v>
      </c>
      <c r="M104" s="13" t="s">
        <v>31</v>
      </c>
    </row>
    <row r="105" spans="1:13" ht="15.75">
      <c r="A105" s="1" t="s">
        <v>5</v>
      </c>
      <c r="B105" s="2" t="s">
        <v>487</v>
      </c>
      <c r="C105" s="3"/>
      <c r="D105" s="11"/>
      <c r="E105" s="11"/>
      <c r="F105" s="11"/>
      <c r="G105" s="11"/>
      <c r="H105" s="11"/>
      <c r="I105" s="11"/>
      <c r="J105" s="11"/>
      <c r="K105" s="11"/>
      <c r="L105" s="11"/>
      <c r="M105" s="11"/>
    </row>
    <row r="106" spans="1:13">
      <c r="A106" s="12" t="s">
        <v>7</v>
      </c>
      <c r="B106" s="13" t="s">
        <v>64</v>
      </c>
      <c r="C106" s="4"/>
      <c r="D106" s="13"/>
      <c r="E106" s="13"/>
      <c r="F106" s="13"/>
      <c r="G106" s="13"/>
      <c r="H106" s="13"/>
      <c r="I106" s="13"/>
      <c r="J106" s="13"/>
      <c r="K106" s="13"/>
      <c r="L106" s="13"/>
      <c r="M106" s="13"/>
    </row>
    <row r="107" spans="1:13">
      <c r="A107" s="12" t="s">
        <v>9</v>
      </c>
      <c r="B107" s="13" t="s">
        <v>504</v>
      </c>
      <c r="C107" s="13"/>
      <c r="D107" s="13"/>
      <c r="E107" s="13"/>
      <c r="F107" s="13"/>
      <c r="G107" s="13"/>
      <c r="H107" s="13"/>
      <c r="I107" s="13"/>
      <c r="J107" s="13"/>
      <c r="K107" s="13"/>
      <c r="L107" s="13"/>
      <c r="M107" s="13"/>
    </row>
    <row r="108" spans="1:13" ht="30">
      <c r="A108" s="12" t="s">
        <v>11</v>
      </c>
      <c r="B108" s="14" t="s">
        <v>505</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487</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449</v>
      </c>
      <c r="B116" s="13">
        <v>8.4360561056105645</v>
      </c>
      <c r="C116" s="13" t="s">
        <v>37</v>
      </c>
      <c r="D116" s="8" t="s">
        <v>38</v>
      </c>
      <c r="E116" s="13" t="s">
        <v>29</v>
      </c>
      <c r="F116" s="15" t="s">
        <v>60</v>
      </c>
      <c r="G116" s="13" t="s">
        <v>33</v>
      </c>
      <c r="H116" s="13">
        <v>2</v>
      </c>
      <c r="I116" s="13">
        <f>LN(B116)</f>
        <v>2.1325149133306098</v>
      </c>
      <c r="J116" s="13">
        <v>0.24083189157584584</v>
      </c>
      <c r="K116" s="13" t="s">
        <v>31</v>
      </c>
      <c r="L116" s="13" t="s">
        <v>31</v>
      </c>
      <c r="M116" s="13" t="s">
        <v>31</v>
      </c>
    </row>
    <row r="117" spans="1:13" ht="15.75">
      <c r="A117" s="7" t="s">
        <v>253</v>
      </c>
      <c r="B117" s="13">
        <v>156.45049504950495</v>
      </c>
      <c r="C117" s="13" t="s">
        <v>37</v>
      </c>
      <c r="D117" s="8" t="s">
        <v>38</v>
      </c>
      <c r="E117" s="13" t="s">
        <v>29</v>
      </c>
      <c r="F117" s="15" t="s">
        <v>60</v>
      </c>
      <c r="G117" s="13" t="s">
        <v>33</v>
      </c>
      <c r="H117" s="13">
        <v>2</v>
      </c>
      <c r="I117" s="13">
        <f>LN(B117)</f>
        <v>5.0527396343764552</v>
      </c>
      <c r="J117" s="13">
        <v>0.24083189157584584</v>
      </c>
      <c r="K117" s="13" t="s">
        <v>31</v>
      </c>
      <c r="L117" s="13" t="s">
        <v>31</v>
      </c>
      <c r="M117" s="13" t="s">
        <v>31</v>
      </c>
    </row>
    <row r="118" spans="1:13" ht="15.75">
      <c r="A118" s="7" t="s">
        <v>494</v>
      </c>
      <c r="B118" s="13">
        <v>12.577392739273927</v>
      </c>
      <c r="C118" s="13" t="s">
        <v>37</v>
      </c>
      <c r="D118" s="8" t="s">
        <v>38</v>
      </c>
      <c r="E118" s="13" t="s">
        <v>29</v>
      </c>
      <c r="F118" s="15" t="s">
        <v>60</v>
      </c>
      <c r="G118" s="13" t="s">
        <v>33</v>
      </c>
      <c r="H118" s="13">
        <v>2</v>
      </c>
      <c r="I118" s="13">
        <f t="shared" ref="I118:I119" si="5">LN(B118)</f>
        <v>2.5319009753623916</v>
      </c>
      <c r="J118" s="13">
        <v>0.24083189157584584</v>
      </c>
      <c r="K118" s="13" t="s">
        <v>31</v>
      </c>
      <c r="L118" s="13" t="s">
        <v>31</v>
      </c>
      <c r="M118" s="13" t="s">
        <v>31</v>
      </c>
    </row>
    <row r="119" spans="1:13" ht="15.75">
      <c r="A119" s="7" t="s">
        <v>336</v>
      </c>
      <c r="B119" s="13">
        <v>8.436056105610561</v>
      </c>
      <c r="C119" s="13" t="s">
        <v>37</v>
      </c>
      <c r="D119" s="8" t="s">
        <v>38</v>
      </c>
      <c r="E119" s="13" t="s">
        <v>29</v>
      </c>
      <c r="F119" s="15" t="s">
        <v>60</v>
      </c>
      <c r="G119" s="13" t="s">
        <v>33</v>
      </c>
      <c r="H119" s="13">
        <v>2</v>
      </c>
      <c r="I119" s="13">
        <f t="shared" si="5"/>
        <v>2.1325149133306094</v>
      </c>
      <c r="J119" s="13">
        <v>0.24083189157584584</v>
      </c>
      <c r="K119" s="13" t="s">
        <v>31</v>
      </c>
      <c r="L119" s="13" t="s">
        <v>31</v>
      </c>
      <c r="M119" s="13" t="s">
        <v>31</v>
      </c>
    </row>
  </sheetData>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A2" sqref="A2:B3"/>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70</v>
      </c>
      <c r="C2" s="3"/>
      <c r="D2" s="11"/>
      <c r="E2" s="11"/>
      <c r="F2" s="11"/>
      <c r="G2" s="11"/>
      <c r="H2" s="11"/>
      <c r="I2" s="11"/>
      <c r="J2" s="11"/>
      <c r="K2" s="11"/>
      <c r="L2" s="11"/>
      <c r="M2" s="11"/>
    </row>
    <row r="3" spans="1:13">
      <c r="A3" s="12" t="s">
        <v>7</v>
      </c>
      <c r="B3" s="13" t="s">
        <v>438</v>
      </c>
      <c r="C3" s="4"/>
      <c r="D3" s="13"/>
      <c r="E3" s="13"/>
      <c r="F3" s="13"/>
      <c r="G3" s="13"/>
      <c r="H3" s="13"/>
      <c r="I3" s="13"/>
      <c r="J3" s="13"/>
      <c r="K3" s="13"/>
      <c r="L3" s="13"/>
      <c r="M3" s="13"/>
    </row>
    <row r="4" spans="1:13">
      <c r="A4" s="12" t="s">
        <v>9</v>
      </c>
      <c r="B4" s="13" t="s">
        <v>506</v>
      </c>
      <c r="C4" s="4"/>
      <c r="D4" s="13"/>
      <c r="E4" s="13"/>
      <c r="F4" s="13"/>
      <c r="G4" s="13"/>
      <c r="H4" s="13"/>
      <c r="I4" s="13"/>
      <c r="J4" s="13"/>
      <c r="K4" s="13"/>
      <c r="L4" s="13"/>
      <c r="M4" s="13"/>
    </row>
    <row r="5" spans="1:13" ht="30">
      <c r="A5" s="12" t="s">
        <v>11</v>
      </c>
      <c r="B5" s="14" t="s">
        <v>507</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70</v>
      </c>
      <c r="B12" s="13">
        <v>1</v>
      </c>
      <c r="C12" s="13" t="s">
        <v>18</v>
      </c>
      <c r="D12" s="13" t="s">
        <v>2</v>
      </c>
      <c r="E12" s="13" t="s">
        <v>29</v>
      </c>
      <c r="F12" s="13" t="s">
        <v>14</v>
      </c>
      <c r="G12" s="13" t="s">
        <v>30</v>
      </c>
      <c r="H12" s="13">
        <v>1</v>
      </c>
      <c r="I12" s="13">
        <v>1</v>
      </c>
      <c r="J12" s="13" t="s">
        <v>31</v>
      </c>
      <c r="K12" s="13" t="s">
        <v>31</v>
      </c>
      <c r="L12" s="13" t="s">
        <v>31</v>
      </c>
      <c r="M12" s="13" t="s">
        <v>31</v>
      </c>
    </row>
    <row r="13" spans="1:13">
      <c r="A13" s="12" t="s">
        <v>508</v>
      </c>
      <c r="B13" s="13">
        <v>71.151302400000006</v>
      </c>
      <c r="C13" s="13" t="s">
        <v>37</v>
      </c>
      <c r="D13" s="13" t="s">
        <v>38</v>
      </c>
      <c r="E13" s="13" t="s">
        <v>29</v>
      </c>
      <c r="F13" s="13" t="s">
        <v>86</v>
      </c>
      <c r="G13" s="13" t="s">
        <v>33</v>
      </c>
      <c r="H13" s="13">
        <v>2</v>
      </c>
      <c r="I13" s="13">
        <f>LN(B13)</f>
        <v>4.2648086293577858</v>
      </c>
      <c r="J13" s="13">
        <v>0.24207436873820401</v>
      </c>
      <c r="K13" s="13" t="s">
        <v>31</v>
      </c>
      <c r="L13" s="13" t="s">
        <v>31</v>
      </c>
      <c r="M13" s="13" t="s">
        <v>31</v>
      </c>
    </row>
    <row r="14" spans="1:13">
      <c r="A14" s="12" t="s">
        <v>509</v>
      </c>
      <c r="B14" s="13">
        <v>420.41844480000003</v>
      </c>
      <c r="C14" s="13" t="s">
        <v>37</v>
      </c>
      <c r="D14" s="13" t="s">
        <v>38</v>
      </c>
      <c r="E14" s="13" t="s">
        <v>29</v>
      </c>
      <c r="F14" s="13" t="s">
        <v>60</v>
      </c>
      <c r="G14" s="13" t="s">
        <v>33</v>
      </c>
      <c r="H14" s="13">
        <v>2</v>
      </c>
      <c r="I14" s="13">
        <f>LN(B14)</f>
        <v>6.0412505124456706</v>
      </c>
      <c r="J14" s="13">
        <v>0.24207436873820401</v>
      </c>
      <c r="K14" s="13" t="s">
        <v>31</v>
      </c>
      <c r="L14" s="13" t="s">
        <v>31</v>
      </c>
      <c r="M14" s="13" t="s">
        <v>31</v>
      </c>
    </row>
    <row r="15" spans="1:13">
      <c r="A15" s="12" t="s">
        <v>510</v>
      </c>
      <c r="B15" s="13">
        <v>667.24625279999998</v>
      </c>
      <c r="C15" s="13" t="s">
        <v>37</v>
      </c>
      <c r="D15" s="13" t="s">
        <v>38</v>
      </c>
      <c r="E15" s="13" t="s">
        <v>29</v>
      </c>
      <c r="F15" s="13" t="s">
        <v>60</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5" sqref="B5"/>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71</v>
      </c>
      <c r="C2" s="3"/>
      <c r="D2" s="11"/>
      <c r="E2" s="11"/>
      <c r="F2" s="11"/>
      <c r="G2" s="11"/>
      <c r="H2" s="11"/>
      <c r="I2" s="11"/>
      <c r="J2" s="11"/>
      <c r="K2" s="11"/>
      <c r="L2" s="11"/>
      <c r="M2" s="11"/>
    </row>
    <row r="3" spans="1:13">
      <c r="A3" s="12" t="s">
        <v>7</v>
      </c>
      <c r="B3" s="13" t="s">
        <v>438</v>
      </c>
      <c r="C3" s="4"/>
      <c r="D3" s="13"/>
      <c r="E3" s="13"/>
      <c r="F3" s="13"/>
      <c r="G3" s="13"/>
      <c r="H3" s="13"/>
      <c r="I3" s="13"/>
      <c r="J3" s="13"/>
      <c r="K3" s="13"/>
      <c r="L3" s="13"/>
      <c r="M3" s="13"/>
    </row>
    <row r="4" spans="1:13">
      <c r="A4" s="12" t="s">
        <v>9</v>
      </c>
      <c r="B4" s="13" t="s">
        <v>511</v>
      </c>
      <c r="C4" s="4"/>
      <c r="D4" s="13"/>
      <c r="E4" s="13"/>
      <c r="F4" s="13"/>
      <c r="G4" s="13"/>
      <c r="H4" s="13"/>
      <c r="I4" s="13"/>
      <c r="J4" s="13"/>
      <c r="K4" s="13"/>
      <c r="L4" s="13"/>
      <c r="M4" s="13"/>
    </row>
    <row r="5" spans="1:13" ht="45">
      <c r="A5" s="12" t="s">
        <v>11</v>
      </c>
      <c r="B5" s="14" t="s">
        <v>512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71</v>
      </c>
      <c r="B12" s="13">
        <v>1</v>
      </c>
      <c r="C12" s="13" t="s">
        <v>18</v>
      </c>
      <c r="D12" s="13" t="s">
        <v>2</v>
      </c>
      <c r="E12" s="13" t="s">
        <v>29</v>
      </c>
      <c r="F12" s="13" t="s">
        <v>14</v>
      </c>
      <c r="G12" s="13" t="s">
        <v>30</v>
      </c>
      <c r="H12" s="13">
        <v>1</v>
      </c>
      <c r="I12" s="13">
        <v>1</v>
      </c>
      <c r="J12" s="13" t="s">
        <v>31</v>
      </c>
      <c r="K12" s="13" t="s">
        <v>31</v>
      </c>
      <c r="L12" s="13" t="s">
        <v>31</v>
      </c>
      <c r="M12" s="13" t="s">
        <v>31</v>
      </c>
    </row>
    <row r="13" spans="1:13">
      <c r="A13" s="12" t="s">
        <v>513</v>
      </c>
      <c r="B13" s="13">
        <v>1</v>
      </c>
      <c r="C13" s="13" t="s">
        <v>18</v>
      </c>
      <c r="D13" s="13" t="s">
        <v>2</v>
      </c>
      <c r="E13" s="13" t="s">
        <v>29</v>
      </c>
      <c r="F13" s="13" t="s">
        <v>14</v>
      </c>
      <c r="G13" s="13" t="s">
        <v>33</v>
      </c>
      <c r="H13" s="13">
        <v>1</v>
      </c>
      <c r="I13" s="13">
        <v>1</v>
      </c>
      <c r="J13" s="13" t="s">
        <v>31</v>
      </c>
      <c r="K13" s="13" t="s">
        <v>31</v>
      </c>
      <c r="L13" s="13" t="s">
        <v>31</v>
      </c>
      <c r="M13" s="13" t="s">
        <v>31</v>
      </c>
    </row>
    <row r="14" spans="1:13">
      <c r="A14" s="12" t="s">
        <v>514</v>
      </c>
      <c r="B14" s="13">
        <v>1</v>
      </c>
      <c r="C14" s="13" t="s">
        <v>18</v>
      </c>
      <c r="D14" s="13" t="s">
        <v>2</v>
      </c>
      <c r="E14" s="13" t="s">
        <v>29</v>
      </c>
      <c r="F14" s="13" t="s">
        <v>14</v>
      </c>
      <c r="G14" s="13" t="s">
        <v>33</v>
      </c>
      <c r="H14" s="13">
        <v>1</v>
      </c>
      <c r="I14" s="13">
        <v>1</v>
      </c>
      <c r="J14" s="13" t="s">
        <v>31</v>
      </c>
      <c r="K14" s="13" t="s">
        <v>31</v>
      </c>
      <c r="L14" s="13" t="s">
        <v>31</v>
      </c>
      <c r="M14" s="13" t="s">
        <v>31</v>
      </c>
    </row>
    <row r="15" spans="1:13">
      <c r="A15" s="12" t="s">
        <v>515</v>
      </c>
      <c r="B15" s="13">
        <v>1</v>
      </c>
      <c r="C15" s="13" t="s">
        <v>18</v>
      </c>
      <c r="D15" s="13" t="s">
        <v>2</v>
      </c>
      <c r="E15" s="13" t="s">
        <v>29</v>
      </c>
      <c r="F15" s="13" t="s">
        <v>14</v>
      </c>
      <c r="G15" s="13" t="s">
        <v>33</v>
      </c>
      <c r="H15" s="13">
        <v>1</v>
      </c>
      <c r="I15" s="13">
        <v>1</v>
      </c>
      <c r="J15" s="13" t="s">
        <v>31</v>
      </c>
      <c r="K15" s="13" t="s">
        <v>31</v>
      </c>
      <c r="L15" s="13" t="s">
        <v>31</v>
      </c>
      <c r="M15" s="13" t="s">
        <v>31</v>
      </c>
    </row>
    <row r="16" spans="1:13">
      <c r="A16" s="12" t="s">
        <v>516</v>
      </c>
      <c r="B16" s="13">
        <v>1</v>
      </c>
      <c r="C16" s="13" t="s">
        <v>18</v>
      </c>
      <c r="D16" s="13" t="s">
        <v>2</v>
      </c>
      <c r="E16" s="13" t="s">
        <v>29</v>
      </c>
      <c r="F16" s="13" t="s">
        <v>14</v>
      </c>
      <c r="G16" s="13" t="s">
        <v>33</v>
      </c>
      <c r="H16" s="13">
        <v>1</v>
      </c>
      <c r="I16" s="13">
        <v>1</v>
      </c>
      <c r="J16" s="13" t="s">
        <v>31</v>
      </c>
      <c r="K16" s="13" t="s">
        <v>31</v>
      </c>
      <c r="L16" s="13" t="s">
        <v>31</v>
      </c>
      <c r="M16" s="13" t="s">
        <v>31</v>
      </c>
    </row>
    <row r="17" spans="1:13">
      <c r="A17" s="12" t="s">
        <v>517</v>
      </c>
      <c r="B17" s="13">
        <v>1</v>
      </c>
      <c r="C17" s="13" t="s">
        <v>18</v>
      </c>
      <c r="D17" s="13" t="s">
        <v>2</v>
      </c>
      <c r="E17" s="13" t="s">
        <v>29</v>
      </c>
      <c r="F17" s="13" t="s">
        <v>14</v>
      </c>
      <c r="G17" s="13" t="s">
        <v>33</v>
      </c>
      <c r="H17" s="13">
        <v>1</v>
      </c>
      <c r="I17" s="13">
        <v>1</v>
      </c>
      <c r="J17" s="13" t="s">
        <v>31</v>
      </c>
      <c r="K17" s="13" t="s">
        <v>31</v>
      </c>
      <c r="L17" s="13" t="s">
        <v>31</v>
      </c>
      <c r="M17" s="13" t="s">
        <v>31</v>
      </c>
    </row>
    <row r="18" spans="1:13">
      <c r="A18" s="13" t="s">
        <v>518</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513</v>
      </c>
      <c r="C19" s="3"/>
      <c r="D19" s="11"/>
      <c r="E19" s="11"/>
      <c r="F19" s="11"/>
      <c r="G19" s="11"/>
      <c r="H19" s="11"/>
      <c r="I19" s="11"/>
      <c r="J19" s="11"/>
      <c r="K19" s="11"/>
      <c r="L19" s="11"/>
      <c r="M19" s="11"/>
    </row>
    <row r="20" spans="1:13">
      <c r="A20" s="12" t="s">
        <v>7</v>
      </c>
      <c r="B20" s="13" t="s">
        <v>519</v>
      </c>
      <c r="C20" s="4"/>
      <c r="D20" s="13"/>
      <c r="E20" s="13"/>
      <c r="F20" s="13"/>
      <c r="G20" s="13"/>
      <c r="H20" s="13"/>
      <c r="I20" s="13"/>
      <c r="J20" s="13"/>
      <c r="K20" s="13"/>
      <c r="L20" s="13"/>
      <c r="M20" s="13"/>
    </row>
    <row r="21" spans="1:13">
      <c r="A21" s="12" t="s">
        <v>9</v>
      </c>
      <c r="B21" s="13" t="s">
        <v>520</v>
      </c>
      <c r="C21" s="4"/>
      <c r="D21" s="13"/>
      <c r="E21" s="13"/>
      <c r="F21" s="13"/>
      <c r="G21" s="13"/>
      <c r="H21" s="13"/>
      <c r="I21" s="13"/>
      <c r="J21" s="13"/>
      <c r="K21" s="13"/>
      <c r="L21" s="13"/>
      <c r="M21" s="13"/>
    </row>
    <row r="22" spans="1:13" ht="30">
      <c r="A22" s="12" t="s">
        <v>11</v>
      </c>
      <c r="B22" s="14" t="s">
        <v>521</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513</v>
      </c>
      <c r="B29" s="13">
        <v>1</v>
      </c>
      <c r="C29" s="13" t="s">
        <v>18</v>
      </c>
      <c r="D29" s="13" t="s">
        <v>2</v>
      </c>
      <c r="E29" s="13" t="s">
        <v>29</v>
      </c>
      <c r="F29" s="13" t="s">
        <v>14</v>
      </c>
      <c r="G29" s="13" t="s">
        <v>30</v>
      </c>
      <c r="H29" s="13">
        <v>1</v>
      </c>
      <c r="I29" s="13">
        <v>1</v>
      </c>
      <c r="J29" s="13" t="s">
        <v>31</v>
      </c>
      <c r="K29" s="13" t="s">
        <v>31</v>
      </c>
      <c r="L29" s="13" t="s">
        <v>31</v>
      </c>
      <c r="M29" s="13" t="s">
        <v>31</v>
      </c>
    </row>
    <row r="30" spans="1:13">
      <c r="A30" s="12" t="s">
        <v>508</v>
      </c>
      <c r="B30" s="13">
        <v>0.95000000000000007</v>
      </c>
      <c r="C30" s="13" t="s">
        <v>37</v>
      </c>
      <c r="D30" s="13" t="s">
        <v>38</v>
      </c>
      <c r="E30" s="13" t="s">
        <v>29</v>
      </c>
      <c r="F30" s="13" t="s">
        <v>86</v>
      </c>
      <c r="G30" s="13" t="s">
        <v>33</v>
      </c>
      <c r="H30" s="13">
        <v>2</v>
      </c>
      <c r="I30" s="13">
        <f>LN(B30)</f>
        <v>-5.129329438755046E-2</v>
      </c>
      <c r="J30" s="13">
        <v>0.29325756597230351</v>
      </c>
      <c r="K30" s="13" t="s">
        <v>31</v>
      </c>
      <c r="L30" s="13" t="s">
        <v>31</v>
      </c>
      <c r="M30" s="13" t="s">
        <v>31</v>
      </c>
    </row>
    <row r="31" spans="1:13">
      <c r="A31" s="12" t="s">
        <v>449</v>
      </c>
      <c r="B31" s="13">
        <v>18.05</v>
      </c>
      <c r="C31" s="13" t="s">
        <v>37</v>
      </c>
      <c r="D31" s="13" t="s">
        <v>38</v>
      </c>
      <c r="E31" s="13" t="s">
        <v>29</v>
      </c>
      <c r="F31" s="13" t="s">
        <v>60</v>
      </c>
      <c r="G31" s="13" t="s">
        <v>33</v>
      </c>
      <c r="H31" s="13">
        <v>2</v>
      </c>
      <c r="I31" s="13">
        <f>LN(B31)</f>
        <v>2.8931456847788901</v>
      </c>
      <c r="J31" s="13">
        <v>0.29325756597230351</v>
      </c>
      <c r="K31" s="13" t="s">
        <v>31</v>
      </c>
      <c r="L31" s="13" t="s">
        <v>31</v>
      </c>
      <c r="M31" s="13" t="s">
        <v>31</v>
      </c>
    </row>
    <row r="32" spans="1:13">
      <c r="A32" s="18" t="s">
        <v>5</v>
      </c>
      <c r="B32" s="19" t="s">
        <v>514</v>
      </c>
      <c r="C32" s="3"/>
      <c r="D32" s="11"/>
      <c r="E32" s="11"/>
      <c r="F32" s="11"/>
      <c r="G32" s="11"/>
      <c r="H32" s="11"/>
      <c r="I32" s="11"/>
      <c r="J32" s="11"/>
      <c r="K32" s="11"/>
      <c r="L32" s="11"/>
      <c r="M32" s="11"/>
    </row>
    <row r="33" spans="1:13">
      <c r="A33" s="12" t="s">
        <v>7</v>
      </c>
      <c r="B33" s="13" t="s">
        <v>519</v>
      </c>
      <c r="C33" s="4"/>
      <c r="D33" s="13"/>
      <c r="E33" s="13"/>
      <c r="F33" s="13"/>
      <c r="G33" s="13"/>
      <c r="H33" s="13"/>
      <c r="I33" s="13"/>
      <c r="J33" s="13"/>
      <c r="K33" s="13"/>
      <c r="L33" s="13"/>
      <c r="M33" s="13"/>
    </row>
    <row r="34" spans="1:13">
      <c r="A34" s="12" t="s">
        <v>9</v>
      </c>
      <c r="B34" s="13" t="s">
        <v>522</v>
      </c>
      <c r="C34" s="4"/>
      <c r="D34" s="13"/>
      <c r="E34" s="13"/>
      <c r="F34" s="13"/>
      <c r="G34" s="13"/>
      <c r="H34" s="13"/>
      <c r="I34" s="13"/>
      <c r="J34" s="13"/>
      <c r="K34" s="13"/>
      <c r="L34" s="13"/>
      <c r="M34" s="13"/>
    </row>
    <row r="35" spans="1:13" ht="30">
      <c r="A35" s="12" t="s">
        <v>11</v>
      </c>
      <c r="B35" s="14" t="s">
        <v>523</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514</v>
      </c>
      <c r="B42" s="13">
        <v>1</v>
      </c>
      <c r="C42" s="13" t="s">
        <v>18</v>
      </c>
      <c r="D42" s="13" t="s">
        <v>2</v>
      </c>
      <c r="E42" s="13" t="s">
        <v>29</v>
      </c>
      <c r="F42" s="13" t="s">
        <v>14</v>
      </c>
      <c r="G42" s="13" t="s">
        <v>30</v>
      </c>
      <c r="H42" s="13">
        <v>1</v>
      </c>
      <c r="I42" s="13">
        <v>1</v>
      </c>
      <c r="J42" s="13" t="s">
        <v>31</v>
      </c>
      <c r="K42" s="13" t="s">
        <v>31</v>
      </c>
      <c r="L42" s="13" t="s">
        <v>31</v>
      </c>
      <c r="M42" s="13" t="s">
        <v>31</v>
      </c>
    </row>
    <row r="43" spans="1:13">
      <c r="A43" s="12" t="s">
        <v>449</v>
      </c>
      <c r="B43" s="13">
        <v>301.19</v>
      </c>
      <c r="C43" s="13" t="s">
        <v>37</v>
      </c>
      <c r="D43" s="13" t="s">
        <v>38</v>
      </c>
      <c r="E43" s="13" t="s">
        <v>29</v>
      </c>
      <c r="F43" s="13" t="s">
        <v>60</v>
      </c>
      <c r="G43" s="13" t="s">
        <v>33</v>
      </c>
      <c r="H43" s="13">
        <v>2</v>
      </c>
      <c r="I43" s="13">
        <f>LN(B43)</f>
        <v>5.7077412948433803</v>
      </c>
      <c r="J43" s="13">
        <v>0.29325756597230351</v>
      </c>
      <c r="K43" s="13" t="s">
        <v>31</v>
      </c>
      <c r="L43" s="13" t="s">
        <v>31</v>
      </c>
      <c r="M43" s="13" t="s">
        <v>31</v>
      </c>
    </row>
    <row r="44" spans="1:13">
      <c r="A44" s="18" t="s">
        <v>5</v>
      </c>
      <c r="B44" s="19" t="s">
        <v>515</v>
      </c>
      <c r="C44" s="3"/>
      <c r="D44" s="11"/>
      <c r="E44" s="11"/>
      <c r="F44" s="11"/>
      <c r="G44" s="11"/>
      <c r="H44" s="11"/>
      <c r="I44" s="11"/>
      <c r="J44" s="11"/>
      <c r="K44" s="11"/>
      <c r="L44" s="11"/>
      <c r="M44" s="11"/>
    </row>
    <row r="45" spans="1:13">
      <c r="A45" s="12" t="s">
        <v>7</v>
      </c>
      <c r="B45" s="13" t="s">
        <v>519</v>
      </c>
      <c r="C45" s="4"/>
      <c r="D45" s="13"/>
      <c r="E45" s="13"/>
      <c r="F45" s="13"/>
      <c r="G45" s="13"/>
      <c r="H45" s="13"/>
      <c r="I45" s="13"/>
      <c r="J45" s="13"/>
      <c r="K45" s="13"/>
      <c r="L45" s="13"/>
      <c r="M45" s="13"/>
    </row>
    <row r="46" spans="1:13">
      <c r="A46" s="12" t="s">
        <v>9</v>
      </c>
      <c r="B46" s="13" t="s">
        <v>524</v>
      </c>
      <c r="C46" s="4"/>
      <c r="D46" s="13"/>
      <c r="E46" s="13"/>
      <c r="F46" s="13"/>
      <c r="G46" s="13"/>
      <c r="H46" s="13"/>
      <c r="I46" s="13"/>
      <c r="J46" s="13"/>
      <c r="K46" s="13"/>
      <c r="L46" s="13"/>
      <c r="M46" s="13"/>
    </row>
    <row r="47" spans="1:13" ht="30">
      <c r="A47" s="12" t="s">
        <v>11</v>
      </c>
      <c r="B47" s="14" t="s">
        <v>525</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515</v>
      </c>
      <c r="B54" s="13">
        <v>1</v>
      </c>
      <c r="C54" s="13" t="s">
        <v>18</v>
      </c>
      <c r="D54" s="13" t="s">
        <v>2</v>
      </c>
      <c r="E54" s="13" t="s">
        <v>29</v>
      </c>
      <c r="F54" s="13" t="s">
        <v>14</v>
      </c>
      <c r="G54" s="13" t="s">
        <v>30</v>
      </c>
      <c r="H54" s="13">
        <v>1</v>
      </c>
      <c r="I54" s="13">
        <v>1</v>
      </c>
      <c r="J54" s="13" t="s">
        <v>31</v>
      </c>
      <c r="K54" s="13" t="s">
        <v>31</v>
      </c>
      <c r="L54" s="13" t="s">
        <v>31</v>
      </c>
      <c r="M54" s="13" t="s">
        <v>31</v>
      </c>
    </row>
    <row r="55" spans="1:13">
      <c r="A55" s="12" t="s">
        <v>526</v>
      </c>
      <c r="B55" s="13">
        <v>10</v>
      </c>
      <c r="C55" s="13" t="s">
        <v>37</v>
      </c>
      <c r="D55" s="13" t="s">
        <v>38</v>
      </c>
      <c r="E55" s="13" t="s">
        <v>29</v>
      </c>
      <c r="F55" s="13" t="s">
        <v>60</v>
      </c>
      <c r="G55" s="13" t="s">
        <v>33</v>
      </c>
      <c r="H55" s="13">
        <v>2</v>
      </c>
      <c r="I55" s="13">
        <f>LN(B55)</f>
        <v>2.3025850929940459</v>
      </c>
      <c r="J55" s="13">
        <v>0.29325756597230351</v>
      </c>
      <c r="K55" s="13" t="s">
        <v>31</v>
      </c>
      <c r="L55" s="13" t="s">
        <v>31</v>
      </c>
      <c r="M55" s="13" t="s">
        <v>31</v>
      </c>
    </row>
    <row r="56" spans="1:13">
      <c r="A56" s="18" t="s">
        <v>5</v>
      </c>
      <c r="B56" s="19" t="s">
        <v>516</v>
      </c>
      <c r="C56" s="3"/>
      <c r="D56" s="11"/>
      <c r="E56" s="11"/>
      <c r="F56" s="11"/>
      <c r="G56" s="11"/>
      <c r="H56" s="11"/>
      <c r="I56" s="11"/>
      <c r="J56" s="11"/>
      <c r="K56" s="11"/>
      <c r="L56" s="11"/>
      <c r="M56" s="11"/>
    </row>
    <row r="57" spans="1:13">
      <c r="A57" s="12" t="s">
        <v>7</v>
      </c>
      <c r="B57" s="13" t="s">
        <v>519</v>
      </c>
      <c r="C57" s="4"/>
      <c r="D57" s="13"/>
      <c r="E57" s="13"/>
      <c r="F57" s="13"/>
      <c r="G57" s="13"/>
      <c r="H57" s="13"/>
      <c r="I57" s="13"/>
      <c r="J57" s="13"/>
      <c r="K57" s="13"/>
      <c r="L57" s="13"/>
      <c r="M57" s="13"/>
    </row>
    <row r="58" spans="1:13">
      <c r="A58" s="12" t="s">
        <v>9</v>
      </c>
      <c r="B58" s="13" t="s">
        <v>527</v>
      </c>
      <c r="C58" s="4"/>
      <c r="D58" s="13"/>
      <c r="E58" s="13"/>
      <c r="F58" s="13"/>
      <c r="G58" s="13"/>
      <c r="H58" s="13"/>
      <c r="I58" s="13"/>
      <c r="J58" s="13"/>
      <c r="K58" s="13"/>
      <c r="L58" s="13"/>
      <c r="M58" s="13"/>
    </row>
    <row r="59" spans="1:13" ht="45">
      <c r="A59" s="12" t="s">
        <v>11</v>
      </c>
      <c r="B59" s="14" t="s">
        <v>528</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516</v>
      </c>
      <c r="B66" s="13">
        <v>1</v>
      </c>
      <c r="C66" s="13" t="s">
        <v>18</v>
      </c>
      <c r="D66" s="13" t="s">
        <v>2</v>
      </c>
      <c r="E66" s="13" t="s">
        <v>29</v>
      </c>
      <c r="F66" s="13" t="s">
        <v>14</v>
      </c>
      <c r="G66" s="13" t="s">
        <v>30</v>
      </c>
      <c r="H66" s="13">
        <v>1</v>
      </c>
      <c r="I66" s="13">
        <v>1</v>
      </c>
      <c r="J66" s="13" t="s">
        <v>31</v>
      </c>
      <c r="K66" s="13" t="s">
        <v>31</v>
      </c>
      <c r="L66" s="13" t="s">
        <v>31</v>
      </c>
      <c r="M66" s="13" t="s">
        <v>31</v>
      </c>
    </row>
    <row r="67" spans="1:14">
      <c r="A67" s="12" t="s">
        <v>529</v>
      </c>
      <c r="B67" s="13">
        <v>11.8</v>
      </c>
      <c r="C67" s="13" t="s">
        <v>37</v>
      </c>
      <c r="D67" s="13" t="s">
        <v>38</v>
      </c>
      <c r="E67" s="13" t="s">
        <v>29</v>
      </c>
      <c r="F67" s="13" t="s">
        <v>60</v>
      </c>
      <c r="G67" s="13" t="s">
        <v>33</v>
      </c>
      <c r="H67" s="13">
        <v>2</v>
      </c>
      <c r="I67" s="13">
        <f>LN(B67)</f>
        <v>2.4680995314716192</v>
      </c>
      <c r="J67" s="13">
        <v>0.29325756597230351</v>
      </c>
      <c r="K67" s="13" t="s">
        <v>31</v>
      </c>
      <c r="L67" s="13" t="s">
        <v>31</v>
      </c>
      <c r="M67" s="13" t="s">
        <v>31</v>
      </c>
      <c r="N67" t="s">
        <v>530</v>
      </c>
    </row>
    <row r="68" spans="1:14">
      <c r="A68" s="12" t="s">
        <v>464</v>
      </c>
      <c r="B68" s="13">
        <v>6.26</v>
      </c>
      <c r="C68" s="13" t="s">
        <v>37</v>
      </c>
      <c r="D68" s="13" t="s">
        <v>38</v>
      </c>
      <c r="E68" s="13" t="s">
        <v>29</v>
      </c>
      <c r="F68" s="13" t="s">
        <v>60</v>
      </c>
      <c r="G68" s="13" t="s">
        <v>33</v>
      </c>
      <c r="H68" s="13">
        <v>2</v>
      </c>
      <c r="I68" s="13">
        <f>LN(B68)</f>
        <v>1.8341801851120072</v>
      </c>
      <c r="J68" s="13">
        <v>0.29325756597230351</v>
      </c>
      <c r="K68" s="13" t="s">
        <v>31</v>
      </c>
      <c r="L68" s="13" t="s">
        <v>31</v>
      </c>
      <c r="M68" s="13" t="s">
        <v>31</v>
      </c>
    </row>
    <row r="69" spans="1:14">
      <c r="A69" s="18" t="s">
        <v>5</v>
      </c>
      <c r="B69" s="19" t="s">
        <v>517</v>
      </c>
      <c r="C69" s="3"/>
      <c r="D69" s="11"/>
      <c r="E69" s="11"/>
      <c r="F69" s="11"/>
      <c r="G69" s="11"/>
      <c r="H69" s="11"/>
      <c r="I69" s="11"/>
      <c r="J69" s="11"/>
      <c r="K69" s="11"/>
      <c r="L69" s="11"/>
      <c r="M69" s="11"/>
    </row>
    <row r="70" spans="1:14">
      <c r="A70" s="12" t="s">
        <v>7</v>
      </c>
      <c r="B70" s="13" t="s">
        <v>519</v>
      </c>
      <c r="C70" s="4"/>
      <c r="D70" s="13"/>
      <c r="E70" s="13"/>
      <c r="F70" s="13"/>
      <c r="G70" s="13"/>
      <c r="H70" s="13"/>
      <c r="I70" s="13"/>
      <c r="J70" s="13"/>
      <c r="K70" s="13"/>
      <c r="L70" s="13"/>
      <c r="M70" s="13"/>
    </row>
    <row r="71" spans="1:14">
      <c r="A71" s="12" t="s">
        <v>9</v>
      </c>
      <c r="B71" s="13" t="s">
        <v>531</v>
      </c>
      <c r="C71" s="4"/>
      <c r="D71" s="13"/>
      <c r="E71" s="13"/>
      <c r="F71" s="13"/>
      <c r="G71" s="13"/>
      <c r="H71" s="13"/>
      <c r="I71" s="13"/>
      <c r="J71" s="13"/>
      <c r="K71" s="13"/>
      <c r="L71" s="13"/>
      <c r="M71" s="13"/>
    </row>
    <row r="72" spans="1:14" ht="45">
      <c r="A72" s="12" t="s">
        <v>11</v>
      </c>
      <c r="B72" s="14" t="s">
        <v>532</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517</v>
      </c>
      <c r="B79" s="13">
        <v>1</v>
      </c>
      <c r="C79" s="13" t="s">
        <v>18</v>
      </c>
      <c r="D79" s="13" t="s">
        <v>2</v>
      </c>
      <c r="E79" s="13" t="s">
        <v>29</v>
      </c>
      <c r="F79" s="13" t="s">
        <v>14</v>
      </c>
      <c r="G79" s="13" t="s">
        <v>30</v>
      </c>
      <c r="H79" s="13">
        <v>1</v>
      </c>
      <c r="I79" s="13">
        <v>1</v>
      </c>
      <c r="J79" s="13" t="s">
        <v>31</v>
      </c>
      <c r="K79" s="13" t="s">
        <v>31</v>
      </c>
      <c r="L79" s="13" t="s">
        <v>31</v>
      </c>
      <c r="M79" s="13" t="s">
        <v>31</v>
      </c>
    </row>
    <row r="80" spans="1:14">
      <c r="A80" s="12" t="s">
        <v>533</v>
      </c>
      <c r="B80" s="13">
        <v>10.5</v>
      </c>
      <c r="C80" s="13" t="s">
        <v>37</v>
      </c>
      <c r="D80" s="13" t="s">
        <v>38</v>
      </c>
      <c r="E80" s="13" t="s">
        <v>29</v>
      </c>
      <c r="F80" s="13" t="s">
        <v>35</v>
      </c>
      <c r="G80" s="13" t="s">
        <v>33</v>
      </c>
      <c r="H80" s="13">
        <v>2</v>
      </c>
      <c r="I80" s="13">
        <f>LN(B80)</f>
        <v>2.3513752571634776</v>
      </c>
      <c r="J80" s="13">
        <v>0.29325756597230351</v>
      </c>
      <c r="K80" s="13" t="s">
        <v>31</v>
      </c>
      <c r="L80" s="13" t="s">
        <v>31</v>
      </c>
      <c r="M80" s="13" t="s">
        <v>31</v>
      </c>
    </row>
    <row r="81" spans="1:13">
      <c r="A81" s="12" t="s">
        <v>534</v>
      </c>
      <c r="B81" s="13">
        <v>10.5</v>
      </c>
      <c r="C81" s="13" t="s">
        <v>37</v>
      </c>
      <c r="D81" s="13" t="s">
        <v>38</v>
      </c>
      <c r="E81" s="13" t="s">
        <v>29</v>
      </c>
      <c r="F81" s="13" t="s">
        <v>60</v>
      </c>
      <c r="G81" s="13" t="s">
        <v>33</v>
      </c>
      <c r="H81" s="13">
        <v>2</v>
      </c>
      <c r="I81" s="13">
        <f>LN(B81)</f>
        <v>2.3513752571634776</v>
      </c>
      <c r="J81" s="13">
        <v>0.29325756597230351</v>
      </c>
      <c r="K81" s="13" t="s">
        <v>31</v>
      </c>
      <c r="L81" s="13" t="s">
        <v>31</v>
      </c>
      <c r="M81" s="13" t="s">
        <v>31</v>
      </c>
    </row>
    <row r="82" spans="1:13">
      <c r="A82" s="18" t="s">
        <v>5</v>
      </c>
      <c r="B82" s="19" t="s">
        <v>518</v>
      </c>
      <c r="C82" s="3"/>
      <c r="D82" s="11"/>
      <c r="E82" s="11"/>
      <c r="F82" s="11"/>
      <c r="G82" s="11"/>
      <c r="H82" s="11"/>
      <c r="I82" s="11"/>
      <c r="J82" s="11"/>
      <c r="K82" s="11"/>
      <c r="L82" s="11"/>
      <c r="M82" s="11"/>
    </row>
    <row r="83" spans="1:13">
      <c r="A83" s="12" t="s">
        <v>7</v>
      </c>
      <c r="B83" s="13" t="s">
        <v>519</v>
      </c>
      <c r="C83" s="4"/>
      <c r="D83" s="13"/>
      <c r="E83" s="13"/>
      <c r="F83" s="13"/>
      <c r="G83" s="13"/>
      <c r="H83" s="13"/>
      <c r="I83" s="13"/>
      <c r="J83" s="13"/>
      <c r="K83" s="13"/>
      <c r="L83" s="13"/>
      <c r="M83" s="13"/>
    </row>
    <row r="84" spans="1:13">
      <c r="A84" s="12" t="s">
        <v>9</v>
      </c>
      <c r="B84" s="13" t="s">
        <v>535</v>
      </c>
      <c r="C84" s="4"/>
      <c r="D84" s="13"/>
      <c r="E84" s="13"/>
      <c r="F84" s="13"/>
      <c r="G84" s="13"/>
      <c r="H84" s="13"/>
      <c r="I84" s="13"/>
      <c r="J84" s="13"/>
      <c r="K84" s="13"/>
      <c r="L84" s="13"/>
      <c r="M84" s="13"/>
    </row>
    <row r="85" spans="1:13" ht="30">
      <c r="A85" s="12" t="s">
        <v>11</v>
      </c>
      <c r="B85" s="14" t="s">
        <v>536</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518</v>
      </c>
      <c r="B92" s="13">
        <v>1</v>
      </c>
      <c r="C92" s="13" t="s">
        <v>18</v>
      </c>
      <c r="D92" s="13" t="s">
        <v>2</v>
      </c>
      <c r="E92" s="13" t="s">
        <v>29</v>
      </c>
      <c r="F92" s="13" t="s">
        <v>14</v>
      </c>
      <c r="G92" s="13" t="s">
        <v>30</v>
      </c>
      <c r="H92" s="13">
        <v>1</v>
      </c>
      <c r="I92" s="13">
        <v>1</v>
      </c>
      <c r="J92" s="13" t="s">
        <v>31</v>
      </c>
      <c r="K92" s="13" t="s">
        <v>31</v>
      </c>
      <c r="L92" s="13" t="s">
        <v>31</v>
      </c>
      <c r="M92" s="13" t="s">
        <v>31</v>
      </c>
    </row>
    <row r="93" spans="1:13">
      <c r="A93" s="12" t="s">
        <v>508</v>
      </c>
      <c r="B93" s="13">
        <v>61.6</v>
      </c>
      <c r="C93" s="13" t="s">
        <v>37</v>
      </c>
      <c r="D93" s="13" t="s">
        <v>38</v>
      </c>
      <c r="E93" s="13" t="s">
        <v>29</v>
      </c>
      <c r="F93" s="13" t="s">
        <v>86</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1C1B-27E2-4D91-8D5F-0A0750DF87CF}">
  <dimension ref="A1:R17"/>
  <sheetViews>
    <sheetView zoomScale="83" zoomScaleNormal="85" workbookViewId="0">
      <pane xSplit="1" topLeftCell="B1" activePane="topRight" state="frozen"/>
      <selection activeCell="A36" sqref="A36"/>
      <selection pane="topRight" sqref="A1:B1"/>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c r="A1" t="s">
        <v>0</v>
      </c>
      <c r="B1" s="22">
        <v>14</v>
      </c>
      <c r="C1" s="23" t="s">
        <v>537</v>
      </c>
      <c r="D1" s="23"/>
    </row>
    <row r="2" spans="1:18">
      <c r="A2" s="25" t="s">
        <v>5</v>
      </c>
      <c r="B2" t="s">
        <v>59</v>
      </c>
      <c r="N2" s="26"/>
    </row>
    <row r="3" spans="1:18">
      <c r="A3" s="25" t="s">
        <v>7</v>
      </c>
      <c r="B3" t="s">
        <v>538</v>
      </c>
      <c r="N3" s="26"/>
      <c r="R3" s="24"/>
    </row>
    <row r="4" spans="1:18">
      <c r="A4" s="25" t="s">
        <v>9</v>
      </c>
      <c r="B4" t="s">
        <v>539</v>
      </c>
      <c r="N4" s="26"/>
      <c r="R4" s="24"/>
    </row>
    <row r="5" spans="1:18">
      <c r="A5" s="25" t="s">
        <v>11</v>
      </c>
      <c r="B5" t="s">
        <v>540</v>
      </c>
      <c r="N5" s="26"/>
      <c r="R5" s="24"/>
    </row>
    <row r="6" spans="1:18">
      <c r="A6" s="25" t="s">
        <v>13</v>
      </c>
      <c r="B6" t="s">
        <v>60</v>
      </c>
      <c r="N6" s="26"/>
    </row>
    <row r="7" spans="1:18">
      <c r="A7" s="25" t="s">
        <v>15</v>
      </c>
      <c r="B7">
        <v>1</v>
      </c>
      <c r="N7" s="26"/>
    </row>
    <row r="8" spans="1:18">
      <c r="A8" s="27" t="s">
        <v>16</v>
      </c>
      <c r="B8" t="s">
        <v>17</v>
      </c>
      <c r="N8" s="26"/>
    </row>
    <row r="9" spans="1:18">
      <c r="A9" s="27" t="s">
        <v>18</v>
      </c>
      <c r="B9" s="28" t="s">
        <v>37</v>
      </c>
      <c r="C9" s="28"/>
      <c r="D9" s="28"/>
      <c r="E9" s="28"/>
      <c r="F9" s="28"/>
      <c r="G9" s="28"/>
      <c r="H9" s="28"/>
      <c r="I9" s="28"/>
      <c r="J9" s="28"/>
      <c r="K9" s="28"/>
      <c r="L9" s="28"/>
      <c r="M9" s="28"/>
      <c r="N9" s="29"/>
    </row>
    <row r="10" spans="1:18">
      <c r="A10" s="25" t="s">
        <v>19</v>
      </c>
    </row>
    <row r="11" spans="1:18">
      <c r="A11" s="24" t="s">
        <v>20</v>
      </c>
      <c r="B11" t="s">
        <v>21</v>
      </c>
      <c r="C11" t="s">
        <v>18</v>
      </c>
      <c r="D11" s="24" t="s">
        <v>78</v>
      </c>
      <c r="E11" s="30" t="s">
        <v>22</v>
      </c>
      <c r="F11" t="s">
        <v>7</v>
      </c>
      <c r="G11" t="s">
        <v>13</v>
      </c>
      <c r="H11" t="s">
        <v>16</v>
      </c>
      <c r="I11" t="s">
        <v>23</v>
      </c>
      <c r="J11" t="s">
        <v>24</v>
      </c>
      <c r="K11" t="s">
        <v>25</v>
      </c>
      <c r="L11" t="s">
        <v>26</v>
      </c>
      <c r="M11" t="s">
        <v>27</v>
      </c>
      <c r="N11" t="s">
        <v>28</v>
      </c>
    </row>
    <row r="12" spans="1:18">
      <c r="A12" s="25" t="s">
        <v>59</v>
      </c>
      <c r="B12">
        <v>1</v>
      </c>
      <c r="C12" t="s">
        <v>37</v>
      </c>
      <c r="E12" t="s">
        <v>2</v>
      </c>
      <c r="F12" t="s">
        <v>29</v>
      </c>
      <c r="G12" t="s">
        <v>60</v>
      </c>
      <c r="H12" t="s">
        <v>30</v>
      </c>
      <c r="I12">
        <v>1</v>
      </c>
      <c r="J12" t="s">
        <v>31</v>
      </c>
      <c r="K12" t="s">
        <v>31</v>
      </c>
      <c r="L12" t="s">
        <v>31</v>
      </c>
      <c r="M12" t="s">
        <v>31</v>
      </c>
      <c r="N12" t="s">
        <v>31</v>
      </c>
    </row>
    <row r="13" spans="1:18">
      <c r="A13" s="25" t="s">
        <v>48</v>
      </c>
      <c r="B13">
        <v>-3.1</v>
      </c>
      <c r="C13" t="s">
        <v>37</v>
      </c>
      <c r="E13" t="s">
        <v>43</v>
      </c>
      <c r="F13" t="s">
        <v>44</v>
      </c>
      <c r="G13" t="s">
        <v>29</v>
      </c>
      <c r="H13" t="s">
        <v>45</v>
      </c>
      <c r="I13">
        <v>0</v>
      </c>
      <c r="J13" t="s">
        <v>31</v>
      </c>
      <c r="K13" t="s">
        <v>31</v>
      </c>
      <c r="L13" t="s">
        <v>31</v>
      </c>
      <c r="M13" t="s">
        <v>31</v>
      </c>
      <c r="N13" t="s">
        <v>31</v>
      </c>
      <c r="O13" t="s">
        <v>541</v>
      </c>
    </row>
    <row r="14" spans="1:18">
      <c r="A14" t="s">
        <v>542</v>
      </c>
      <c r="B14">
        <v>0.92</v>
      </c>
      <c r="C14" t="s">
        <v>37</v>
      </c>
      <c r="D14" s="24" t="s">
        <v>543</v>
      </c>
      <c r="E14" s="30" t="s">
        <v>38</v>
      </c>
      <c r="F14" t="s">
        <v>29</v>
      </c>
      <c r="G14" t="s">
        <v>544</v>
      </c>
      <c r="H14" t="s">
        <v>33</v>
      </c>
      <c r="I14">
        <v>0</v>
      </c>
      <c r="J14" t="s">
        <v>31</v>
      </c>
      <c r="K14" t="s">
        <v>31</v>
      </c>
      <c r="L14" t="s">
        <v>31</v>
      </c>
      <c r="M14" t="s">
        <v>31</v>
      </c>
      <c r="N14" t="s">
        <v>31</v>
      </c>
      <c r="O14" t="s">
        <v>545</v>
      </c>
    </row>
    <row r="15" spans="1:18">
      <c r="A15" t="s">
        <v>546</v>
      </c>
      <c r="B15">
        <v>2.6666666666666655E-2</v>
      </c>
      <c r="C15" t="s">
        <v>37</v>
      </c>
      <c r="E15" t="s">
        <v>38</v>
      </c>
      <c r="F15" t="s">
        <v>29</v>
      </c>
      <c r="G15" t="s">
        <v>35</v>
      </c>
      <c r="H15" t="s">
        <v>33</v>
      </c>
      <c r="I15">
        <v>0</v>
      </c>
      <c r="J15" t="s">
        <v>31</v>
      </c>
      <c r="K15" t="s">
        <v>31</v>
      </c>
      <c r="L15" t="s">
        <v>31</v>
      </c>
      <c r="M15" t="s">
        <v>31</v>
      </c>
      <c r="N15" t="s">
        <v>31</v>
      </c>
      <c r="O15" t="s">
        <v>547</v>
      </c>
    </row>
    <row r="16" spans="1:18">
      <c r="A16" t="s">
        <v>548</v>
      </c>
      <c r="B16">
        <v>2.6666666666666655E-2</v>
      </c>
      <c r="C16" t="s">
        <v>37</v>
      </c>
      <c r="E16" t="s">
        <v>38</v>
      </c>
      <c r="F16" t="s">
        <v>29</v>
      </c>
      <c r="G16" t="s">
        <v>35</v>
      </c>
      <c r="H16" t="s">
        <v>33</v>
      </c>
      <c r="I16">
        <v>0</v>
      </c>
      <c r="J16" t="s">
        <v>31</v>
      </c>
      <c r="K16" t="s">
        <v>31</v>
      </c>
      <c r="L16" t="s">
        <v>31</v>
      </c>
      <c r="M16" t="s">
        <v>31</v>
      </c>
      <c r="N16" t="s">
        <v>31</v>
      </c>
      <c r="O16" t="s">
        <v>549</v>
      </c>
    </row>
    <row r="17" spans="1:15">
      <c r="A17" t="s">
        <v>550</v>
      </c>
      <c r="B17">
        <v>2.6666666666666655E-2</v>
      </c>
      <c r="C17" t="s">
        <v>37</v>
      </c>
      <c r="E17" t="s">
        <v>38</v>
      </c>
      <c r="F17" t="s">
        <v>29</v>
      </c>
      <c r="G17" t="s">
        <v>35</v>
      </c>
      <c r="H17" t="s">
        <v>33</v>
      </c>
      <c r="I17">
        <v>0</v>
      </c>
      <c r="J17" t="s">
        <v>31</v>
      </c>
      <c r="K17" t="s">
        <v>31</v>
      </c>
      <c r="L17" t="s">
        <v>31</v>
      </c>
      <c r="M17" t="s">
        <v>31</v>
      </c>
      <c r="N17" t="s">
        <v>31</v>
      </c>
      <c r="O17" t="s">
        <v>551</v>
      </c>
    </row>
  </sheetData>
  <pageMargins left="0.7" right="0.7" top="0.75" bottom="0.75" header="0.3" footer="0.3"/>
  <pageSetup orientation="portrait" horizontalDpi="1200" verticalDpi="12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A8A6-1831-4E1C-A7E9-796AF75A442B}">
  <sheetPr>
    <tabColor rgb="FFFFFF00"/>
  </sheetPr>
  <dimension ref="A1:X761"/>
  <sheetViews>
    <sheetView topLeftCell="A459" zoomScale="70" zoomScaleNormal="70" workbookViewId="0">
      <selection activeCell="A487" sqref="A487"/>
    </sheetView>
  </sheetViews>
  <sheetFormatPr defaultColWidth="8.7109375" defaultRowHeight="15"/>
  <cols>
    <col min="1" max="1" width="92.7109375" customWidth="1"/>
    <col min="2" max="3" width="39.140625" customWidth="1"/>
    <col min="4" max="4" width="14.5703125" customWidth="1"/>
    <col min="5" max="5" width="31" bestFit="1" customWidth="1"/>
    <col min="6" max="6" width="13.5703125" customWidth="1"/>
    <col min="7" max="7" width="10.42578125" bestFit="1" customWidth="1"/>
    <col min="8" max="8" width="13.140625" bestFit="1" customWidth="1"/>
    <col min="9" max="9" width="15.7109375" bestFit="1" customWidth="1"/>
    <col min="12" max="14" width="10.85546875" bestFit="1" customWidth="1"/>
    <col min="15" max="15" width="28.140625" customWidth="1"/>
    <col min="16" max="16" width="58.140625" style="63" customWidth="1"/>
    <col min="17" max="17" width="52.140625" customWidth="1"/>
    <col min="18" max="21" width="8.7109375" style="31"/>
    <col min="23" max="23" width="8.7109375" style="31"/>
  </cols>
  <sheetData>
    <row r="1" spans="1:24">
      <c r="A1" t="s">
        <v>0</v>
      </c>
      <c r="B1" s="22">
        <v>14</v>
      </c>
      <c r="C1" s="31"/>
      <c r="D1" s="33"/>
      <c r="E1" s="31"/>
      <c r="F1" s="31"/>
      <c r="G1" s="31"/>
      <c r="H1" s="31"/>
      <c r="I1" s="31"/>
      <c r="J1" s="31"/>
      <c r="K1" s="31"/>
      <c r="L1" s="31"/>
      <c r="M1" s="31"/>
      <c r="N1" s="31"/>
      <c r="O1" s="31"/>
      <c r="P1" s="35" t="s">
        <v>552</v>
      </c>
      <c r="Q1" s="35"/>
      <c r="V1" s="31"/>
    </row>
    <row r="2" spans="1:24" s="42" customFormat="1">
      <c r="A2" s="36" t="s">
        <v>5</v>
      </c>
      <c r="B2" s="36" t="s">
        <v>67</v>
      </c>
      <c r="C2" s="36"/>
      <c r="D2" s="37"/>
      <c r="E2" s="38"/>
      <c r="F2" s="38"/>
      <c r="G2" s="38"/>
      <c r="H2" s="38"/>
      <c r="I2" s="38"/>
      <c r="J2" s="38"/>
      <c r="K2" s="38"/>
      <c r="L2" s="38"/>
      <c r="M2" s="38"/>
      <c r="N2" s="38"/>
      <c r="O2" s="38"/>
      <c r="P2" s="38" t="s">
        <v>329</v>
      </c>
      <c r="Q2" s="38"/>
      <c r="R2" s="39"/>
      <c r="S2" s="40"/>
      <c r="T2" s="41"/>
      <c r="U2" s="38"/>
      <c r="V2" s="38"/>
      <c r="W2" s="38"/>
    </row>
    <row r="3" spans="1:24">
      <c r="A3" s="31" t="s">
        <v>7</v>
      </c>
      <c r="B3" s="31" t="s">
        <v>324</v>
      </c>
      <c r="C3" s="31"/>
      <c r="D3" s="31"/>
      <c r="E3" s="31"/>
      <c r="F3" s="31"/>
      <c r="G3" s="31"/>
      <c r="H3" s="31"/>
      <c r="I3" s="31"/>
      <c r="J3" s="31"/>
      <c r="K3" s="31"/>
      <c r="L3" s="31"/>
      <c r="M3" s="31"/>
      <c r="N3" s="31"/>
      <c r="O3" s="31"/>
      <c r="P3" s="31" t="s">
        <v>329</v>
      </c>
      <c r="Q3" s="31"/>
      <c r="R3" s="39"/>
      <c r="S3" s="40"/>
      <c r="T3" s="41"/>
      <c r="V3" s="31"/>
    </row>
    <row r="4" spans="1:24">
      <c r="A4" s="31" t="s">
        <v>9</v>
      </c>
      <c r="B4" s="43" t="s">
        <v>553</v>
      </c>
      <c r="C4" s="31"/>
      <c r="D4" s="31"/>
      <c r="E4" s="31"/>
      <c r="F4" s="31"/>
      <c r="G4" s="31"/>
      <c r="H4" s="31"/>
      <c r="I4" s="31"/>
      <c r="J4" s="31"/>
      <c r="K4" s="31"/>
      <c r="L4" s="31"/>
      <c r="M4" s="31"/>
      <c r="N4" s="31"/>
      <c r="O4" s="31"/>
      <c r="P4" s="31" t="s">
        <v>329</v>
      </c>
      <c r="Q4" s="31"/>
      <c r="R4" s="39"/>
      <c r="S4" s="40"/>
      <c r="T4" s="41"/>
      <c r="V4" s="31"/>
    </row>
    <row r="5" spans="1:24">
      <c r="A5" s="31" t="s">
        <v>11</v>
      </c>
      <c r="B5" s="31" t="s">
        <v>554</v>
      </c>
      <c r="C5" s="31"/>
      <c r="D5" s="31"/>
      <c r="E5" s="31"/>
      <c r="F5" s="31"/>
      <c r="G5" s="31"/>
      <c r="H5" s="31"/>
      <c r="I5" s="31"/>
      <c r="J5" s="31"/>
      <c r="K5" s="31"/>
      <c r="L5" s="31"/>
      <c r="M5" s="31"/>
      <c r="N5" s="31"/>
      <c r="O5" s="31"/>
      <c r="P5" s="31" t="s">
        <v>329</v>
      </c>
      <c r="Q5" s="31"/>
      <c r="S5" s="40"/>
      <c r="V5" s="31"/>
    </row>
    <row r="6" spans="1:24">
      <c r="A6" s="31" t="s">
        <v>13</v>
      </c>
      <c r="B6" s="31" t="s">
        <v>14</v>
      </c>
      <c r="C6" s="31"/>
      <c r="D6" s="31"/>
      <c r="E6" s="31"/>
      <c r="F6" s="31"/>
      <c r="G6" s="31"/>
      <c r="H6" s="31"/>
      <c r="I6" s="31"/>
      <c r="J6" s="31"/>
      <c r="K6" s="31"/>
      <c r="L6" s="31"/>
      <c r="M6" s="31"/>
      <c r="N6" s="31"/>
      <c r="O6" s="31"/>
      <c r="P6" s="31" t="s">
        <v>329</v>
      </c>
      <c r="Q6" s="31"/>
      <c r="V6" s="31"/>
    </row>
    <row r="7" spans="1:24">
      <c r="A7" s="44" t="s">
        <v>15</v>
      </c>
      <c r="B7" s="31">
        <v>1</v>
      </c>
      <c r="C7" s="31"/>
      <c r="D7" s="31"/>
      <c r="E7" s="31"/>
      <c r="F7" s="31"/>
      <c r="G7" s="31"/>
      <c r="H7" s="31"/>
      <c r="I7" s="31"/>
      <c r="J7" s="31"/>
      <c r="K7" s="31"/>
      <c r="L7" s="31"/>
      <c r="M7" s="31"/>
      <c r="N7" s="31"/>
      <c r="O7" s="31"/>
      <c r="P7" s="31" t="s">
        <v>329</v>
      </c>
      <c r="Q7" s="31"/>
      <c r="V7" s="31"/>
    </row>
    <row r="8" spans="1:24">
      <c r="A8" s="31" t="s">
        <v>16</v>
      </c>
      <c r="B8" s="31" t="s">
        <v>17</v>
      </c>
      <c r="C8" s="31"/>
      <c r="D8" s="31"/>
      <c r="E8" s="31"/>
      <c r="F8" s="31"/>
      <c r="G8" s="31"/>
      <c r="H8" s="31"/>
      <c r="I8" s="31"/>
      <c r="J8" s="31"/>
      <c r="K8" s="31"/>
      <c r="L8" s="31"/>
      <c r="M8" s="31"/>
      <c r="N8" s="31"/>
      <c r="O8" s="31"/>
      <c r="P8" s="31" t="s">
        <v>329</v>
      </c>
      <c r="Q8" s="31"/>
      <c r="V8" s="31"/>
    </row>
    <row r="9" spans="1:24">
      <c r="A9" s="31" t="s">
        <v>18</v>
      </c>
      <c r="B9" s="31" t="s">
        <v>18</v>
      </c>
      <c r="C9" s="31"/>
      <c r="D9" s="31"/>
      <c r="E9" s="31" t="s">
        <v>77</v>
      </c>
      <c r="F9" s="31"/>
      <c r="G9" s="31"/>
      <c r="H9" s="31"/>
      <c r="I9" s="31"/>
      <c r="J9" s="31"/>
      <c r="K9" s="31"/>
      <c r="L9" s="31"/>
      <c r="M9" s="31"/>
      <c r="N9" s="31"/>
      <c r="O9" s="31"/>
      <c r="P9" s="31" t="s">
        <v>329</v>
      </c>
      <c r="Q9" s="31"/>
      <c r="V9" s="31"/>
    </row>
    <row r="10" spans="1:24">
      <c r="A10" s="32" t="s">
        <v>19</v>
      </c>
      <c r="B10" s="31"/>
      <c r="C10" s="31"/>
      <c r="D10" s="31"/>
      <c r="E10" s="31"/>
      <c r="F10" s="31"/>
      <c r="G10" s="31"/>
      <c r="H10" s="31"/>
      <c r="I10" s="31"/>
      <c r="J10" s="31"/>
      <c r="K10" s="31"/>
      <c r="L10" s="31"/>
      <c r="M10" s="31"/>
      <c r="N10" s="31"/>
      <c r="O10" s="31"/>
      <c r="P10" s="31" t="s">
        <v>329</v>
      </c>
      <c r="Q10" s="31"/>
      <c r="V10" s="31"/>
    </row>
    <row r="11" spans="1:24">
      <c r="A11" s="32" t="s">
        <v>20</v>
      </c>
      <c r="B11" s="32" t="s">
        <v>21</v>
      </c>
      <c r="C11" s="32" t="s">
        <v>78</v>
      </c>
      <c r="D11" s="32" t="s">
        <v>18</v>
      </c>
      <c r="E11" s="32" t="s">
        <v>22</v>
      </c>
      <c r="F11" s="32" t="s">
        <v>7</v>
      </c>
      <c r="G11" s="32" t="s">
        <v>13</v>
      </c>
      <c r="H11" s="32" t="s">
        <v>16</v>
      </c>
      <c r="I11" s="32" t="s">
        <v>23</v>
      </c>
      <c r="J11" s="32" t="s">
        <v>24</v>
      </c>
      <c r="K11" s="32" t="s">
        <v>25</v>
      </c>
      <c r="L11" s="32" t="s">
        <v>26</v>
      </c>
      <c r="M11" s="32" t="s">
        <v>27</v>
      </c>
      <c r="N11" s="32" t="s">
        <v>28</v>
      </c>
      <c r="O11" s="32" t="s">
        <v>11</v>
      </c>
      <c r="P11" s="32" t="s">
        <v>555</v>
      </c>
      <c r="Q11" s="31"/>
      <c r="V11" s="31"/>
    </row>
    <row r="12" spans="1:24">
      <c r="A12" s="31" t="s">
        <v>67</v>
      </c>
      <c r="B12" s="31">
        <v>1</v>
      </c>
      <c r="C12" s="31"/>
      <c r="D12" s="31" t="s">
        <v>18</v>
      </c>
      <c r="E12" s="31" t="s">
        <v>2</v>
      </c>
      <c r="F12" s="31" t="s">
        <v>556</v>
      </c>
      <c r="G12" s="31" t="s">
        <v>14</v>
      </c>
      <c r="H12" s="31" t="s">
        <v>30</v>
      </c>
      <c r="I12" s="31">
        <v>1</v>
      </c>
      <c r="J12" s="31">
        <f>B12</f>
        <v>1</v>
      </c>
      <c r="K12" s="31" t="s">
        <v>31</v>
      </c>
      <c r="L12" s="31" t="s">
        <v>31</v>
      </c>
      <c r="M12" s="31" t="s">
        <v>31</v>
      </c>
      <c r="N12" s="31" t="s">
        <v>31</v>
      </c>
      <c r="O12" s="31"/>
      <c r="P12" s="31" t="s">
        <v>329</v>
      </c>
      <c r="Q12" s="31"/>
      <c r="V12" s="31"/>
    </row>
    <row r="13" spans="1:24">
      <c r="A13" s="45" t="s">
        <v>557</v>
      </c>
      <c r="B13" s="46">
        <v>2</v>
      </c>
      <c r="C13" s="46"/>
      <c r="D13" s="31" t="s">
        <v>18</v>
      </c>
      <c r="E13" s="31" t="s">
        <v>2</v>
      </c>
      <c r="F13" s="31" t="s">
        <v>556</v>
      </c>
      <c r="G13" s="47" t="s">
        <v>60</v>
      </c>
      <c r="H13" s="31" t="s">
        <v>33</v>
      </c>
      <c r="I13" s="31">
        <v>2</v>
      </c>
      <c r="J13" s="31">
        <f t="shared" ref="J13:J36" si="0">LN(ABS(B13))</f>
        <v>0.69314718055994529</v>
      </c>
      <c r="K13" s="31">
        <v>0.4147288270665544</v>
      </c>
      <c r="L13" s="31" t="s">
        <v>31</v>
      </c>
      <c r="M13" s="31" t="s">
        <v>31</v>
      </c>
      <c r="N13" s="31" t="s">
        <v>31</v>
      </c>
      <c r="O13" s="31"/>
      <c r="P13" s="31" t="s">
        <v>329</v>
      </c>
      <c r="Q13" s="48" t="s">
        <v>558</v>
      </c>
      <c r="R13" s="49"/>
      <c r="S13" s="49"/>
      <c r="T13" s="38"/>
      <c r="U13" s="38"/>
      <c r="V13" s="38"/>
      <c r="W13" s="38"/>
      <c r="X13" s="50"/>
    </row>
    <row r="14" spans="1:24">
      <c r="A14" s="51" t="s">
        <v>559</v>
      </c>
      <c r="B14" s="46">
        <v>2</v>
      </c>
      <c r="C14" s="46"/>
      <c r="D14" s="31" t="s">
        <v>18</v>
      </c>
      <c r="E14" s="31" t="s">
        <v>2</v>
      </c>
      <c r="F14" s="31" t="s">
        <v>556</v>
      </c>
      <c r="G14" s="47" t="s">
        <v>60</v>
      </c>
      <c r="H14" s="31" t="s">
        <v>33</v>
      </c>
      <c r="I14" s="31">
        <v>2</v>
      </c>
      <c r="J14" s="31">
        <f t="shared" si="0"/>
        <v>0.69314718055994529</v>
      </c>
      <c r="K14" s="31">
        <v>0.4147288270665544</v>
      </c>
      <c r="L14" s="31" t="s">
        <v>31</v>
      </c>
      <c r="M14" s="31" t="s">
        <v>31</v>
      </c>
      <c r="N14" s="31" t="s">
        <v>31</v>
      </c>
      <c r="O14" s="31"/>
      <c r="P14" s="31" t="s">
        <v>329</v>
      </c>
      <c r="Q14" s="52" t="s">
        <v>560</v>
      </c>
      <c r="R14" s="53">
        <v>428</v>
      </c>
      <c r="S14" s="53"/>
      <c r="T14" s="31" t="s">
        <v>37</v>
      </c>
      <c r="U14" s="31" t="s">
        <v>561</v>
      </c>
      <c r="V14" s="31"/>
      <c r="X14" s="54"/>
    </row>
    <row r="15" spans="1:24">
      <c r="A15" s="51" t="s">
        <v>562</v>
      </c>
      <c r="B15" s="46">
        <v>8</v>
      </c>
      <c r="C15" s="46"/>
      <c r="D15" s="31" t="s">
        <v>18</v>
      </c>
      <c r="E15" s="31" t="s">
        <v>2</v>
      </c>
      <c r="F15" s="31" t="s">
        <v>556</v>
      </c>
      <c r="G15" s="47" t="s">
        <v>60</v>
      </c>
      <c r="H15" s="31" t="s">
        <v>33</v>
      </c>
      <c r="I15" s="31">
        <v>2</v>
      </c>
      <c r="J15" s="31">
        <f t="shared" si="0"/>
        <v>2.0794415416798357</v>
      </c>
      <c r="K15" s="31">
        <v>0.4147288270665544</v>
      </c>
      <c r="L15" s="31" t="s">
        <v>31</v>
      </c>
      <c r="M15" s="31" t="s">
        <v>31</v>
      </c>
      <c r="N15" s="31" t="s">
        <v>31</v>
      </c>
      <c r="O15" s="31"/>
      <c r="P15" s="31" t="s">
        <v>329</v>
      </c>
      <c r="Q15" s="52" t="s">
        <v>563</v>
      </c>
      <c r="R15" s="53">
        <v>346</v>
      </c>
      <c r="S15" s="53"/>
      <c r="T15" s="31" t="s">
        <v>37</v>
      </c>
      <c r="U15" s="31" t="s">
        <v>564</v>
      </c>
      <c r="V15" s="31"/>
      <c r="X15" s="54"/>
    </row>
    <row r="16" spans="1:24">
      <c r="A16" s="45" t="s">
        <v>565</v>
      </c>
      <c r="B16" s="46">
        <v>2</v>
      </c>
      <c r="C16" s="46"/>
      <c r="D16" s="31" t="s">
        <v>18</v>
      </c>
      <c r="E16" s="31" t="s">
        <v>2</v>
      </c>
      <c r="F16" s="31" t="s">
        <v>556</v>
      </c>
      <c r="G16" s="47" t="s">
        <v>60</v>
      </c>
      <c r="H16" s="31" t="s">
        <v>33</v>
      </c>
      <c r="I16" s="31">
        <v>2</v>
      </c>
      <c r="J16" s="31">
        <f t="shared" si="0"/>
        <v>0.69314718055994529</v>
      </c>
      <c r="K16" s="31">
        <v>0.4147288270665544</v>
      </c>
      <c r="L16" s="31" t="s">
        <v>31</v>
      </c>
      <c r="M16" s="31" t="s">
        <v>31</v>
      </c>
      <c r="N16" s="31" t="s">
        <v>31</v>
      </c>
      <c r="O16" s="31"/>
      <c r="P16" s="31" t="s">
        <v>329</v>
      </c>
      <c r="Q16" s="55" t="s">
        <v>566</v>
      </c>
      <c r="R16" s="56">
        <v>295.58249999999998</v>
      </c>
      <c r="S16" s="56"/>
      <c r="T16" s="57" t="s">
        <v>37</v>
      </c>
      <c r="U16" s="57" t="s">
        <v>567</v>
      </c>
      <c r="V16" s="57"/>
      <c r="W16" s="57"/>
      <c r="X16" s="58"/>
    </row>
    <row r="17" spans="1:23">
      <c r="A17" s="45" t="s">
        <v>568</v>
      </c>
      <c r="B17" s="46">
        <v>8</v>
      </c>
      <c r="C17" s="46"/>
      <c r="D17" s="31" t="s">
        <v>18</v>
      </c>
      <c r="E17" s="31" t="s">
        <v>2</v>
      </c>
      <c r="F17" s="31" t="s">
        <v>556</v>
      </c>
      <c r="G17" s="47" t="s">
        <v>60</v>
      </c>
      <c r="H17" s="31" t="s">
        <v>33</v>
      </c>
      <c r="I17" s="31">
        <v>2</v>
      </c>
      <c r="J17" s="31">
        <f t="shared" si="0"/>
        <v>2.0794415416798357</v>
      </c>
      <c r="K17" s="31">
        <v>0.4147288270665544</v>
      </c>
      <c r="L17" s="31" t="s">
        <v>31</v>
      </c>
      <c r="M17" s="31" t="s">
        <v>31</v>
      </c>
      <c r="N17" s="31" t="s">
        <v>31</v>
      </c>
      <c r="O17" s="31"/>
      <c r="P17" s="31" t="s">
        <v>329</v>
      </c>
      <c r="Q17" s="39" t="s">
        <v>569</v>
      </c>
      <c r="R17" s="59">
        <v>3341.2039697412401</v>
      </c>
      <c r="V17" s="31"/>
    </row>
    <row r="18" spans="1:23">
      <c r="A18" s="45" t="s">
        <v>570</v>
      </c>
      <c r="B18" s="46">
        <v>1</v>
      </c>
      <c r="C18" s="46"/>
      <c r="D18" s="31" t="s">
        <v>18</v>
      </c>
      <c r="E18" s="31" t="s">
        <v>2</v>
      </c>
      <c r="F18" s="31" t="s">
        <v>556</v>
      </c>
      <c r="G18" s="47" t="s">
        <v>60</v>
      </c>
      <c r="H18" s="31" t="s">
        <v>33</v>
      </c>
      <c r="I18" s="31">
        <v>2</v>
      </c>
      <c r="J18" s="31">
        <f t="shared" si="0"/>
        <v>0</v>
      </c>
      <c r="K18" s="31">
        <v>0.4147288270665544</v>
      </c>
      <c r="L18" s="31" t="s">
        <v>31</v>
      </c>
      <c r="M18" s="31" t="s">
        <v>31</v>
      </c>
      <c r="N18" s="31" t="s">
        <v>31</v>
      </c>
      <c r="O18" s="31"/>
      <c r="P18" s="31" t="s">
        <v>329</v>
      </c>
      <c r="Q18" s="31"/>
      <c r="V18" s="31"/>
    </row>
    <row r="19" spans="1:23">
      <c r="A19" s="45" t="s">
        <v>571</v>
      </c>
      <c r="B19" s="46">
        <v>8</v>
      </c>
      <c r="C19" s="46"/>
      <c r="D19" s="31" t="s">
        <v>18</v>
      </c>
      <c r="E19" s="31" t="s">
        <v>2</v>
      </c>
      <c r="F19" s="31" t="s">
        <v>556</v>
      </c>
      <c r="G19" s="47" t="s">
        <v>60</v>
      </c>
      <c r="H19" s="31" t="s">
        <v>33</v>
      </c>
      <c r="I19" s="31">
        <v>2</v>
      </c>
      <c r="J19" s="31">
        <f t="shared" si="0"/>
        <v>2.0794415416798357</v>
      </c>
      <c r="K19" s="31">
        <v>0.4147288270665544</v>
      </c>
      <c r="L19" s="31" t="s">
        <v>31</v>
      </c>
      <c r="M19" s="31" t="s">
        <v>31</v>
      </c>
      <c r="N19" s="31" t="s">
        <v>31</v>
      </c>
      <c r="O19" s="31"/>
      <c r="P19" s="31" t="s">
        <v>329</v>
      </c>
      <c r="Q19" s="31"/>
      <c r="V19" s="31"/>
    </row>
    <row r="20" spans="1:23" s="62" customFormat="1" ht="15.75">
      <c r="A20" s="17" t="s">
        <v>572</v>
      </c>
      <c r="B20" s="46">
        <f>1*(20/2.25)</f>
        <v>8.8888888888888893</v>
      </c>
      <c r="C20" s="46"/>
      <c r="D20" s="31" t="s">
        <v>18</v>
      </c>
      <c r="E20" s="31" t="s">
        <v>2</v>
      </c>
      <c r="F20" s="31" t="s">
        <v>556</v>
      </c>
      <c r="G20" s="60" t="s">
        <v>14</v>
      </c>
      <c r="H20" s="31" t="s">
        <v>33</v>
      </c>
      <c r="I20" s="31">
        <v>2</v>
      </c>
      <c r="J20" s="31">
        <f>LN(ABS(B20))</f>
        <v>2.1848020573376621</v>
      </c>
      <c r="K20" s="31">
        <v>0.4147288270665544</v>
      </c>
      <c r="L20" s="31" t="s">
        <v>31</v>
      </c>
      <c r="M20" s="31" t="s">
        <v>31</v>
      </c>
      <c r="N20" s="31" t="s">
        <v>31</v>
      </c>
      <c r="O20" s="61" t="s">
        <v>573</v>
      </c>
    </row>
    <row r="21" spans="1:23">
      <c r="A21" t="str">
        <f>'battery EoL Li-S'!A137</f>
        <v>treatment of battery LiS, GT-bat</v>
      </c>
      <c r="B21" s="46">
        <f>1*(20/2.25)</f>
        <v>8.8888888888888893</v>
      </c>
      <c r="D21" t="str">
        <f>'battery EoL Li-S'!D137</f>
        <v>unit</v>
      </c>
      <c r="E21" t="str">
        <f>'battery EoL Li-S'!E137</f>
        <v>GENESIS_2040_GT-bat_NDC</v>
      </c>
      <c r="F21" t="str">
        <f>'battery EoL Li-S'!F137</f>
        <v>battery including EoL</v>
      </c>
      <c r="G21" t="str">
        <f>'battery EoL Li-S'!G137</f>
        <v>GLO</v>
      </c>
      <c r="H21" s="31" t="s">
        <v>33</v>
      </c>
      <c r="I21" s="31">
        <v>2</v>
      </c>
      <c r="J21" s="31">
        <f>LN(ABS(B21))</f>
        <v>2.1848020573376621</v>
      </c>
      <c r="K21" s="31">
        <v>0.4147288270665544</v>
      </c>
      <c r="L21" s="31" t="s">
        <v>31</v>
      </c>
      <c r="M21" s="31" t="s">
        <v>31</v>
      </c>
      <c r="N21" s="31" t="s">
        <v>31</v>
      </c>
      <c r="O21" s="31" t="s">
        <v>574</v>
      </c>
    </row>
    <row r="22" spans="1:23">
      <c r="A22" s="45" t="str">
        <f>'0. PE&amp;MD'!A12</f>
        <v>production of power electronics and  motors and drives, GT-bat, Medium-Term</v>
      </c>
      <c r="B22" s="46">
        <v>1</v>
      </c>
      <c r="C22" s="46"/>
      <c r="D22" s="31" t="s">
        <v>18</v>
      </c>
      <c r="E22" s="31" t="s">
        <v>2</v>
      </c>
      <c r="F22" s="31" t="s">
        <v>556</v>
      </c>
      <c r="G22" s="60" t="s">
        <v>14</v>
      </c>
      <c r="H22" s="31" t="s">
        <v>33</v>
      </c>
      <c r="I22" s="31">
        <v>2</v>
      </c>
      <c r="J22" s="31">
        <f t="shared" ref="J22" si="1">LN(ABS(B22))</f>
        <v>0</v>
      </c>
      <c r="K22" s="31">
        <v>0.4147288270665544</v>
      </c>
      <c r="L22" s="31" t="s">
        <v>31</v>
      </c>
      <c r="M22" s="31" t="s">
        <v>31</v>
      </c>
      <c r="N22" s="31" t="s">
        <v>31</v>
      </c>
      <c r="O22" s="31"/>
      <c r="P22" s="31"/>
      <c r="Q22" s="31"/>
      <c r="V22" s="31"/>
    </row>
    <row r="23" spans="1:23">
      <c r="A23" s="51" t="s">
        <v>575</v>
      </c>
      <c r="B23" s="53">
        <v>72.776470888196656</v>
      </c>
      <c r="C23" s="53"/>
      <c r="D23" s="31" t="s">
        <v>37</v>
      </c>
      <c r="E23" s="31" t="s">
        <v>38</v>
      </c>
      <c r="F23" s="31" t="s">
        <v>29</v>
      </c>
      <c r="G23" s="31" t="s">
        <v>60</v>
      </c>
      <c r="H23" s="31" t="s">
        <v>33</v>
      </c>
      <c r="I23" s="31">
        <v>2</v>
      </c>
      <c r="J23" s="31">
        <f>LN(ABS(B23))</f>
        <v>4.2873927008763788</v>
      </c>
      <c r="K23" s="31">
        <v>0.4147288270665544</v>
      </c>
      <c r="L23" s="31" t="s">
        <v>31</v>
      </c>
      <c r="M23" s="31" t="s">
        <v>31</v>
      </c>
      <c r="N23" s="31" t="s">
        <v>31</v>
      </c>
      <c r="O23" s="31" t="s">
        <v>576</v>
      </c>
      <c r="P23" s="31"/>
      <c r="Q23" s="31"/>
      <c r="V23" s="31"/>
    </row>
    <row r="24" spans="1:23">
      <c r="A24" s="31" t="s">
        <v>577</v>
      </c>
      <c r="B24" s="46">
        <v>266627.09908284992</v>
      </c>
      <c r="C24" s="46"/>
      <c r="D24" s="31" t="s">
        <v>41</v>
      </c>
      <c r="E24" s="31" t="s">
        <v>38</v>
      </c>
      <c r="F24" s="31" t="s">
        <v>29</v>
      </c>
      <c r="G24" s="31" t="s">
        <v>60</v>
      </c>
      <c r="H24" s="31" t="s">
        <v>33</v>
      </c>
      <c r="I24" s="31">
        <v>2</v>
      </c>
      <c r="J24" s="31">
        <f t="shared" si="0"/>
        <v>12.493606328533472</v>
      </c>
      <c r="K24" s="31">
        <v>0.28635642126552707</v>
      </c>
      <c r="L24" s="31" t="s">
        <v>31</v>
      </c>
      <c r="M24" s="31" t="s">
        <v>31</v>
      </c>
      <c r="N24" s="31" t="s">
        <v>31</v>
      </c>
      <c r="O24" s="31"/>
      <c r="P24" s="31" t="s">
        <v>329</v>
      </c>
      <c r="Q24" s="31"/>
      <c r="R24" s="32" t="s">
        <v>578</v>
      </c>
      <c r="V24" s="31"/>
    </row>
    <row r="25" spans="1:23">
      <c r="A25" s="31" t="s">
        <v>170</v>
      </c>
      <c r="B25" s="46">
        <f>V25</f>
        <v>25200.876294067381</v>
      </c>
      <c r="C25" s="46"/>
      <c r="D25" s="31" t="s">
        <v>50</v>
      </c>
      <c r="E25" s="31" t="s">
        <v>38</v>
      </c>
      <c r="F25" s="31" t="s">
        <v>29</v>
      </c>
      <c r="G25" s="31" t="s">
        <v>333</v>
      </c>
      <c r="H25" s="31" t="s">
        <v>33</v>
      </c>
      <c r="I25" s="31">
        <v>2</v>
      </c>
      <c r="J25" s="31">
        <f t="shared" si="0"/>
        <v>10.13463404646903</v>
      </c>
      <c r="K25" s="31">
        <v>0.28635642126552707</v>
      </c>
      <c r="L25" s="31" t="s">
        <v>31</v>
      </c>
      <c r="M25" s="31" t="s">
        <v>31</v>
      </c>
      <c r="N25" s="31" t="s">
        <v>31</v>
      </c>
      <c r="O25" s="31"/>
      <c r="P25" s="31" t="s">
        <v>329</v>
      </c>
      <c r="Q25" s="31"/>
      <c r="R25" s="46">
        <v>268109.5372826751</v>
      </c>
      <c r="S25" s="31" t="s">
        <v>332</v>
      </c>
      <c r="T25" s="31">
        <f>R25/0.277778</f>
        <v>965193.56206278061</v>
      </c>
      <c r="U25" s="31" t="s">
        <v>331</v>
      </c>
      <c r="V25" s="31">
        <f>T25/38.3</f>
        <v>25200.876294067381</v>
      </c>
      <c r="W25" s="31" t="s">
        <v>335</v>
      </c>
    </row>
    <row r="26" spans="1:23">
      <c r="A26" s="31" t="s">
        <v>112</v>
      </c>
      <c r="B26" s="46">
        <f>T26</f>
        <v>120458.59621320645</v>
      </c>
      <c r="C26" s="46"/>
      <c r="D26" s="31" t="s">
        <v>113</v>
      </c>
      <c r="E26" s="31" t="s">
        <v>38</v>
      </c>
      <c r="F26" s="31" t="s">
        <v>29</v>
      </c>
      <c r="G26" s="31" t="s">
        <v>60</v>
      </c>
      <c r="H26" s="31" t="s">
        <v>33</v>
      </c>
      <c r="I26" s="31">
        <v>2</v>
      </c>
      <c r="J26" s="31">
        <f t="shared" si="0"/>
        <v>11.699061372978477</v>
      </c>
      <c r="K26" s="31">
        <v>0.28635642126552707</v>
      </c>
      <c r="L26" s="31" t="s">
        <v>31</v>
      </c>
      <c r="M26" s="31" t="s">
        <v>31</v>
      </c>
      <c r="N26" s="31" t="s">
        <v>31</v>
      </c>
      <c r="O26" s="31"/>
      <c r="P26" s="31" t="s">
        <v>329</v>
      </c>
      <c r="Q26" s="31"/>
      <c r="R26" s="46">
        <v>33460.747938912064</v>
      </c>
      <c r="S26" s="31" t="s">
        <v>332</v>
      </c>
      <c r="T26" s="31">
        <f>R26/0.277778</f>
        <v>120458.59621320645</v>
      </c>
      <c r="U26" s="31" t="s">
        <v>331</v>
      </c>
      <c r="V26" s="31"/>
    </row>
    <row r="27" spans="1:23">
      <c r="A27" s="31" t="s">
        <v>164</v>
      </c>
      <c r="B27" s="46">
        <f>V27</f>
        <v>5700.9535673915225</v>
      </c>
      <c r="C27" s="46"/>
      <c r="D27" s="31" t="s">
        <v>37</v>
      </c>
      <c r="E27" s="31" t="s">
        <v>38</v>
      </c>
      <c r="F27" s="31" t="s">
        <v>29</v>
      </c>
      <c r="G27" s="31" t="s">
        <v>60</v>
      </c>
      <c r="H27" s="31" t="s">
        <v>33</v>
      </c>
      <c r="I27" s="31">
        <v>2</v>
      </c>
      <c r="J27" s="31">
        <f t="shared" si="0"/>
        <v>8.6483887323556363</v>
      </c>
      <c r="K27" s="31">
        <v>0.28635642126552707</v>
      </c>
      <c r="L27" s="31" t="s">
        <v>31</v>
      </c>
      <c r="M27" s="31" t="s">
        <v>31</v>
      </c>
      <c r="N27" s="31" t="s">
        <v>31</v>
      </c>
      <c r="O27" s="31"/>
      <c r="P27" s="31" t="s">
        <v>329</v>
      </c>
      <c r="Q27" s="31"/>
      <c r="R27" s="46">
        <v>70945.256705921129</v>
      </c>
      <c r="S27" s="31" t="s">
        <v>332</v>
      </c>
      <c r="T27" s="31">
        <f>R27/0.277778</f>
        <v>255402.71981914018</v>
      </c>
      <c r="U27" s="31" t="s">
        <v>331</v>
      </c>
      <c r="V27" s="31">
        <f>T27/44.8</f>
        <v>5700.9535673915225</v>
      </c>
      <c r="W27" s="31" t="s">
        <v>337</v>
      </c>
    </row>
    <row r="28" spans="1:23">
      <c r="A28" s="31" t="s">
        <v>36</v>
      </c>
      <c r="B28" s="46">
        <f>V28</f>
        <v>11254.419778810727</v>
      </c>
      <c r="C28" s="46"/>
      <c r="D28" s="31" t="s">
        <v>37</v>
      </c>
      <c r="E28" s="31" t="s">
        <v>38</v>
      </c>
      <c r="F28" s="31" t="s">
        <v>29</v>
      </c>
      <c r="G28" s="31" t="s">
        <v>86</v>
      </c>
      <c r="H28" s="31" t="s">
        <v>33</v>
      </c>
      <c r="I28" s="31">
        <v>2</v>
      </c>
      <c r="J28" s="31">
        <f t="shared" si="0"/>
        <v>9.3285161997072787</v>
      </c>
      <c r="K28" s="31">
        <v>0.28635642126552707</v>
      </c>
      <c r="L28" s="31" t="s">
        <v>31</v>
      </c>
      <c r="M28" s="31" t="s">
        <v>31</v>
      </c>
      <c r="N28" s="31" t="s">
        <v>31</v>
      </c>
      <c r="O28" s="31"/>
      <c r="P28" s="31" t="s">
        <v>329</v>
      </c>
      <c r="Q28" s="31"/>
      <c r="R28" s="46">
        <v>144431.83604011408</v>
      </c>
      <c r="S28" s="31" t="s">
        <v>332</v>
      </c>
      <c r="T28" s="31">
        <f>R28/0.277778</f>
        <v>519954.19378105563</v>
      </c>
      <c r="U28" s="31" t="s">
        <v>331</v>
      </c>
      <c r="V28" s="31">
        <f>T28/46.2</f>
        <v>11254.419778810727</v>
      </c>
      <c r="W28" s="31" t="s">
        <v>337</v>
      </c>
    </row>
    <row r="29" spans="1:23" s="65" customFormat="1">
      <c r="A29" s="25" t="s">
        <v>59</v>
      </c>
      <c r="B29" s="46">
        <f>V29</f>
        <v>69.308743505872528</v>
      </c>
      <c r="C29" s="46"/>
      <c r="D29" s="31" t="s">
        <v>37</v>
      </c>
      <c r="E29" s="31" t="s">
        <v>2</v>
      </c>
      <c r="F29" s="31" t="s">
        <v>324</v>
      </c>
      <c r="G29" s="31" t="s">
        <v>60</v>
      </c>
      <c r="H29" s="31" t="s">
        <v>33</v>
      </c>
      <c r="I29" s="31">
        <v>2</v>
      </c>
      <c r="J29" s="31">
        <f t="shared" si="0"/>
        <v>4.2385710671531385</v>
      </c>
      <c r="K29" s="31">
        <v>0.28635642126552707</v>
      </c>
      <c r="L29" s="31" t="s">
        <v>31</v>
      </c>
      <c r="M29" s="31" t="s">
        <v>31</v>
      </c>
      <c r="N29" s="31" t="s">
        <v>31</v>
      </c>
      <c r="O29" s="64"/>
      <c r="P29" s="31"/>
      <c r="Q29" s="45"/>
      <c r="R29" s="46">
        <v>847.10754275726742</v>
      </c>
      <c r="S29" s="31" t="s">
        <v>332</v>
      </c>
      <c r="T29" s="31">
        <f>R29/0.277778</f>
        <v>3049.5847142583912</v>
      </c>
      <c r="U29" s="31" t="s">
        <v>331</v>
      </c>
      <c r="V29" s="31">
        <f>T29/44</f>
        <v>69.308743505872528</v>
      </c>
      <c r="W29" s="31" t="s">
        <v>337</v>
      </c>
    </row>
    <row r="30" spans="1:23">
      <c r="A30" s="31" t="s">
        <v>172</v>
      </c>
      <c r="B30" s="45">
        <f>651.974202514274*997.42788</f>
        <v>650297.24662850297</v>
      </c>
      <c r="C30" s="45"/>
      <c r="D30" s="31" t="s">
        <v>37</v>
      </c>
      <c r="E30" s="31" t="s">
        <v>38</v>
      </c>
      <c r="F30" s="31" t="s">
        <v>29</v>
      </c>
      <c r="G30" s="31" t="s">
        <v>60</v>
      </c>
      <c r="H30" s="31" t="s">
        <v>33</v>
      </c>
      <c r="I30" s="31">
        <v>2</v>
      </c>
      <c r="J30" s="31">
        <f t="shared" si="0"/>
        <v>13.385184839846286</v>
      </c>
      <c r="K30" s="31">
        <v>0.28635642126552707</v>
      </c>
      <c r="L30" s="31" t="s">
        <v>31</v>
      </c>
      <c r="M30" s="31" t="s">
        <v>31</v>
      </c>
      <c r="N30" s="31" t="s">
        <v>31</v>
      </c>
      <c r="O30" t="s">
        <v>579</v>
      </c>
      <c r="P30" s="31" t="s">
        <v>329</v>
      </c>
      <c r="Q30" s="31"/>
      <c r="R30" s="31">
        <v>723.52885582971726</v>
      </c>
      <c r="S30" s="31" t="s">
        <v>335</v>
      </c>
      <c r="T30" s="31">
        <f>R30*997.77</f>
        <v>721915.38648121699</v>
      </c>
      <c r="U30" s="31" t="s">
        <v>337</v>
      </c>
      <c r="V30" s="31"/>
    </row>
    <row r="31" spans="1:23">
      <c r="A31" s="51" t="s">
        <v>580</v>
      </c>
      <c r="B31" s="66">
        <v>607.95807103883499</v>
      </c>
      <c r="C31" s="66"/>
      <c r="D31" s="31" t="s">
        <v>50</v>
      </c>
      <c r="E31" s="31" t="s">
        <v>2</v>
      </c>
      <c r="F31" s="31" t="s">
        <v>29</v>
      </c>
      <c r="G31" s="51" t="s">
        <v>86</v>
      </c>
      <c r="H31" s="31" t="s">
        <v>33</v>
      </c>
      <c r="I31" s="31">
        <v>2</v>
      </c>
      <c r="J31" s="31">
        <f t="shared" si="0"/>
        <v>6.4101059174809922</v>
      </c>
      <c r="K31" s="31">
        <v>0.28635642126552707</v>
      </c>
      <c r="L31" s="31" t="s">
        <v>31</v>
      </c>
      <c r="M31" s="31" t="s">
        <v>31</v>
      </c>
      <c r="N31" s="31" t="s">
        <v>31</v>
      </c>
      <c r="O31" s="31"/>
      <c r="P31" s="31" t="s">
        <v>329</v>
      </c>
      <c r="Q31" s="31"/>
      <c r="R31" s="31">
        <v>674.68192120920594</v>
      </c>
      <c r="S31" s="31" t="s">
        <v>335</v>
      </c>
      <c r="V31" s="31"/>
    </row>
    <row r="32" spans="1:23">
      <c r="A32" s="31" t="s">
        <v>581</v>
      </c>
      <c r="B32" s="66">
        <v>14752.377857117812</v>
      </c>
      <c r="C32" s="66"/>
      <c r="D32" s="31" t="s">
        <v>37</v>
      </c>
      <c r="E32" s="31" t="s">
        <v>2</v>
      </c>
      <c r="F32" s="31" t="s">
        <v>29</v>
      </c>
      <c r="G32" s="31" t="s">
        <v>86</v>
      </c>
      <c r="H32" s="31" t="s">
        <v>33</v>
      </c>
      <c r="I32" s="31">
        <v>2</v>
      </c>
      <c r="J32" s="31">
        <f t="shared" si="0"/>
        <v>9.5991595594269796</v>
      </c>
      <c r="K32" s="31">
        <v>0.28635642126552707</v>
      </c>
      <c r="L32" s="31" t="s">
        <v>31</v>
      </c>
      <c r="M32" s="31" t="s">
        <v>31</v>
      </c>
      <c r="N32" s="31" t="s">
        <v>31</v>
      </c>
      <c r="O32" s="31"/>
      <c r="P32" s="31" t="s">
        <v>329</v>
      </c>
      <c r="Q32" s="31"/>
      <c r="R32" s="31">
        <v>16371.462291860271</v>
      </c>
      <c r="S32" s="31" t="s">
        <v>337</v>
      </c>
      <c r="V32" s="31"/>
    </row>
    <row r="33" spans="1:23" ht="13.9" customHeight="1">
      <c r="A33" s="31" t="s">
        <v>48</v>
      </c>
      <c r="B33" s="66">
        <v>277158.55183129397</v>
      </c>
      <c r="C33" s="66"/>
      <c r="D33" s="31" t="s">
        <v>37</v>
      </c>
      <c r="E33" s="31" t="s">
        <v>43</v>
      </c>
      <c r="F33" s="31" t="s">
        <v>44</v>
      </c>
      <c r="G33" s="31" t="s">
        <v>29</v>
      </c>
      <c r="H33" s="31" t="s">
        <v>45</v>
      </c>
      <c r="I33" s="31">
        <v>2</v>
      </c>
      <c r="J33" s="31">
        <f t="shared" si="0"/>
        <v>12.532345010699864</v>
      </c>
      <c r="K33" s="31">
        <v>0.28635642126552707</v>
      </c>
      <c r="L33" s="31" t="s">
        <v>31</v>
      </c>
      <c r="M33" s="31" t="s">
        <v>31</v>
      </c>
      <c r="N33" s="31" t="s">
        <v>31</v>
      </c>
      <c r="O33" s="31"/>
      <c r="P33" s="31" t="s">
        <v>329</v>
      </c>
      <c r="Q33" s="31"/>
      <c r="R33" s="31">
        <v>307576.90889698535</v>
      </c>
      <c r="S33" s="31" t="s">
        <v>337</v>
      </c>
      <c r="V33" s="31"/>
    </row>
    <row r="34" spans="1:23">
      <c r="A34" s="31" t="s">
        <v>51</v>
      </c>
      <c r="B34" s="66">
        <v>2.9648763996504357</v>
      </c>
      <c r="C34" s="66"/>
      <c r="D34" s="31" t="s">
        <v>37</v>
      </c>
      <c r="E34" s="31" t="s">
        <v>43</v>
      </c>
      <c r="F34" s="31" t="s">
        <v>44</v>
      </c>
      <c r="G34" s="31" t="s">
        <v>29</v>
      </c>
      <c r="H34" s="31" t="s">
        <v>45</v>
      </c>
      <c r="I34" s="31">
        <v>2</v>
      </c>
      <c r="J34" s="31">
        <f t="shared" si="0"/>
        <v>1.0868353451222466</v>
      </c>
      <c r="K34" s="31">
        <v>0.28635642126552707</v>
      </c>
      <c r="L34" s="31" t="s">
        <v>31</v>
      </c>
      <c r="M34" s="31" t="s">
        <v>31</v>
      </c>
      <c r="N34" s="31" t="s">
        <v>31</v>
      </c>
      <c r="O34" s="31"/>
      <c r="P34" s="31" t="s">
        <v>329</v>
      </c>
      <c r="Q34" s="31"/>
      <c r="R34" s="31">
        <v>3.290273788200456</v>
      </c>
      <c r="S34" s="31" t="s">
        <v>337</v>
      </c>
      <c r="V34" s="31"/>
    </row>
    <row r="35" spans="1:23">
      <c r="A35" s="31" t="s">
        <v>42</v>
      </c>
      <c r="B35" s="66">
        <v>47.014468623028336</v>
      </c>
      <c r="C35" s="66"/>
      <c r="D35" s="31" t="s">
        <v>37</v>
      </c>
      <c r="E35" s="31" t="s">
        <v>43</v>
      </c>
      <c r="F35" s="31" t="s">
        <v>44</v>
      </c>
      <c r="G35" s="31" t="s">
        <v>29</v>
      </c>
      <c r="H35" s="31" t="s">
        <v>45</v>
      </c>
      <c r="I35" s="31">
        <v>2</v>
      </c>
      <c r="J35" s="31">
        <f t="shared" si="0"/>
        <v>3.8504553973792675</v>
      </c>
      <c r="K35" s="31">
        <v>0.28635642126552707</v>
      </c>
      <c r="L35" s="31" t="s">
        <v>31</v>
      </c>
      <c r="M35" s="31" t="s">
        <v>31</v>
      </c>
      <c r="N35" s="31" t="s">
        <v>31</v>
      </c>
      <c r="O35" s="31"/>
      <c r="P35" s="31" t="s">
        <v>329</v>
      </c>
      <c r="Q35" s="31"/>
      <c r="R35" s="31">
        <v>52.174341498607234</v>
      </c>
      <c r="S35" s="31" t="s">
        <v>337</v>
      </c>
      <c r="V35" s="31"/>
    </row>
    <row r="36" spans="1:23">
      <c r="A36" s="31" t="s">
        <v>490</v>
      </c>
      <c r="B36" s="66">
        <v>222.57750685947198</v>
      </c>
      <c r="C36" s="66"/>
      <c r="D36" s="31" t="s">
        <v>37</v>
      </c>
      <c r="E36" s="31" t="s">
        <v>43</v>
      </c>
      <c r="F36" s="31" t="s">
        <v>44</v>
      </c>
      <c r="G36" s="31" t="s">
        <v>29</v>
      </c>
      <c r="H36" s="31" t="s">
        <v>45</v>
      </c>
      <c r="I36" s="31">
        <v>2</v>
      </c>
      <c r="J36" s="31">
        <f t="shared" si="0"/>
        <v>5.4052753863839387</v>
      </c>
      <c r="K36" s="31">
        <v>0.28635642126552707</v>
      </c>
      <c r="L36" s="31" t="s">
        <v>31</v>
      </c>
      <c r="M36" s="31" t="s">
        <v>31</v>
      </c>
      <c r="N36" s="31" t="s">
        <v>31</v>
      </c>
      <c r="O36" s="31"/>
      <c r="P36" s="31" t="s">
        <v>329</v>
      </c>
      <c r="Q36" s="31"/>
      <c r="R36" s="31">
        <v>247.00555367133427</v>
      </c>
      <c r="S36" s="31" t="s">
        <v>337</v>
      </c>
      <c r="V36" s="31"/>
    </row>
    <row r="37" spans="1:23" s="42" customFormat="1">
      <c r="A37" s="36" t="s">
        <v>5</v>
      </c>
      <c r="B37" s="36" t="s">
        <v>557</v>
      </c>
      <c r="C37" s="36"/>
      <c r="D37" s="37"/>
      <c r="E37" s="38"/>
      <c r="F37" s="38"/>
      <c r="G37" s="38"/>
      <c r="H37" s="38"/>
      <c r="I37" s="38"/>
      <c r="J37" s="38"/>
      <c r="K37" s="38"/>
      <c r="L37" s="38"/>
      <c r="M37" s="38"/>
      <c r="N37" s="38"/>
      <c r="O37" s="38"/>
      <c r="P37" s="38" t="s">
        <v>329</v>
      </c>
      <c r="Q37" s="38"/>
      <c r="R37" s="38"/>
      <c r="S37" s="38"/>
      <c r="T37" s="38"/>
      <c r="U37" s="38"/>
      <c r="V37" s="38"/>
      <c r="W37" s="38"/>
    </row>
    <row r="38" spans="1:23">
      <c r="A38" s="31" t="s">
        <v>7</v>
      </c>
      <c r="B38" s="31" t="s">
        <v>324</v>
      </c>
      <c r="C38" s="31"/>
      <c r="D38" s="31"/>
      <c r="E38" s="31"/>
      <c r="F38" s="31"/>
      <c r="G38" s="31"/>
      <c r="H38" s="31"/>
      <c r="I38" s="31"/>
      <c r="J38" s="31"/>
      <c r="K38" s="31"/>
      <c r="L38" s="31"/>
      <c r="M38" s="31"/>
      <c r="N38" s="31"/>
      <c r="O38" s="31"/>
      <c r="P38" s="31" t="s">
        <v>329</v>
      </c>
      <c r="Q38" s="31"/>
      <c r="V38" s="31"/>
    </row>
    <row r="39" spans="1:23">
      <c r="A39" s="31" t="s">
        <v>9</v>
      </c>
      <c r="B39" s="43" t="s">
        <v>582</v>
      </c>
      <c r="C39" s="31"/>
      <c r="D39" s="31"/>
      <c r="E39" s="31"/>
      <c r="F39" s="31"/>
      <c r="G39" s="31"/>
      <c r="H39" s="31"/>
      <c r="I39" s="31"/>
      <c r="J39" s="31"/>
      <c r="K39" s="31"/>
      <c r="L39" s="31"/>
      <c r="M39" s="31"/>
      <c r="N39" s="31"/>
      <c r="O39" s="31"/>
      <c r="P39" s="31" t="s">
        <v>329</v>
      </c>
      <c r="Q39" s="31"/>
      <c r="V39" s="31"/>
    </row>
    <row r="40" spans="1:23">
      <c r="A40" s="31" t="s">
        <v>11</v>
      </c>
      <c r="B40" s="31" t="s">
        <v>583</v>
      </c>
      <c r="C40" s="31"/>
      <c r="D40" s="31"/>
      <c r="E40" s="31"/>
      <c r="F40" s="31"/>
      <c r="G40" s="31"/>
      <c r="H40" s="31"/>
      <c r="I40" s="31"/>
      <c r="J40" s="31"/>
      <c r="K40" s="31"/>
      <c r="L40" s="31"/>
      <c r="M40" s="31"/>
      <c r="N40" s="31"/>
      <c r="O40" s="31"/>
      <c r="P40" s="31" t="s">
        <v>329</v>
      </c>
      <c r="Q40" s="31"/>
      <c r="V40" s="31"/>
    </row>
    <row r="41" spans="1:23">
      <c r="A41" s="31" t="s">
        <v>13</v>
      </c>
      <c r="B41" s="47" t="s">
        <v>60</v>
      </c>
      <c r="C41" s="31"/>
      <c r="D41" s="31"/>
      <c r="E41" s="31"/>
      <c r="F41" s="31"/>
      <c r="G41" s="31"/>
      <c r="H41" s="31"/>
      <c r="I41" s="31"/>
      <c r="J41" s="31"/>
      <c r="K41" s="31"/>
      <c r="L41" s="31"/>
      <c r="M41" s="31"/>
      <c r="N41" s="31"/>
      <c r="O41" s="31"/>
      <c r="P41" s="31" t="s">
        <v>329</v>
      </c>
      <c r="Q41" s="31"/>
      <c r="V41" s="31"/>
    </row>
    <row r="42" spans="1:23">
      <c r="A42" s="31" t="s">
        <v>15</v>
      </c>
      <c r="B42" s="31">
        <v>1</v>
      </c>
      <c r="C42" s="31"/>
      <c r="D42" s="31"/>
      <c r="E42" s="31"/>
      <c r="F42" s="31"/>
      <c r="G42" s="31"/>
      <c r="H42" s="31"/>
      <c r="I42" s="31"/>
      <c r="J42" s="31"/>
      <c r="K42" s="31"/>
      <c r="L42" s="31"/>
      <c r="M42" s="31"/>
      <c r="N42" s="31"/>
      <c r="O42" s="31"/>
      <c r="P42" s="31" t="s">
        <v>329</v>
      </c>
      <c r="Q42" s="31"/>
      <c r="V42" s="31"/>
    </row>
    <row r="43" spans="1:23">
      <c r="A43" s="31" t="s">
        <v>16</v>
      </c>
      <c r="B43" s="31" t="s">
        <v>17</v>
      </c>
      <c r="C43" s="31"/>
      <c r="D43" s="31"/>
      <c r="E43" s="31"/>
      <c r="F43" s="31"/>
      <c r="G43" s="31"/>
      <c r="H43" s="31"/>
      <c r="I43" s="31"/>
      <c r="J43" s="31"/>
      <c r="K43" s="31"/>
      <c r="L43" s="31"/>
      <c r="M43" s="31"/>
      <c r="N43" s="31"/>
      <c r="O43" s="31"/>
      <c r="P43" s="31" t="s">
        <v>329</v>
      </c>
      <c r="Q43" s="31"/>
      <c r="V43" s="31"/>
    </row>
    <row r="44" spans="1:23">
      <c r="A44" s="31" t="s">
        <v>18</v>
      </c>
      <c r="B44" s="31" t="s">
        <v>18</v>
      </c>
      <c r="C44" s="31"/>
      <c r="D44" s="31"/>
      <c r="E44" s="31" t="s">
        <v>77</v>
      </c>
      <c r="F44" s="31"/>
      <c r="G44" s="31"/>
      <c r="H44" s="31"/>
      <c r="I44" s="31"/>
      <c r="J44" s="31"/>
      <c r="K44" s="31"/>
      <c r="L44" s="31"/>
      <c r="M44" s="31"/>
      <c r="N44" s="31"/>
      <c r="O44" s="31"/>
      <c r="P44" s="31" t="s">
        <v>329</v>
      </c>
      <c r="Q44" s="31"/>
      <c r="V44" s="31"/>
    </row>
    <row r="45" spans="1:23">
      <c r="A45" s="32" t="s">
        <v>19</v>
      </c>
      <c r="B45" s="31"/>
      <c r="C45" s="31"/>
      <c r="D45" s="31"/>
      <c r="E45" s="31"/>
      <c r="F45" s="31"/>
      <c r="G45" s="31"/>
      <c r="H45" s="31"/>
      <c r="I45" s="31"/>
      <c r="J45" s="31"/>
      <c r="K45" s="31"/>
      <c r="L45" s="31"/>
      <c r="M45" s="31"/>
      <c r="N45" s="31"/>
      <c r="O45" s="31"/>
      <c r="P45" s="31" t="s">
        <v>329</v>
      </c>
      <c r="Q45" s="31"/>
      <c r="V45" s="31"/>
    </row>
    <row r="46" spans="1:23">
      <c r="A46" s="32" t="s">
        <v>20</v>
      </c>
      <c r="B46" s="32" t="s">
        <v>21</v>
      </c>
      <c r="C46" s="32" t="s">
        <v>78</v>
      </c>
      <c r="D46" s="32" t="s">
        <v>18</v>
      </c>
      <c r="E46" s="32" t="s">
        <v>22</v>
      </c>
      <c r="F46" s="32" t="s">
        <v>7</v>
      </c>
      <c r="G46" s="32" t="s">
        <v>13</v>
      </c>
      <c r="H46" s="32" t="s">
        <v>16</v>
      </c>
      <c r="I46" s="32" t="s">
        <v>23</v>
      </c>
      <c r="J46" s="32" t="s">
        <v>24</v>
      </c>
      <c r="K46" s="32" t="s">
        <v>25</v>
      </c>
      <c r="L46" s="32" t="s">
        <v>26</v>
      </c>
      <c r="M46" s="32" t="s">
        <v>27</v>
      </c>
      <c r="N46" s="32" t="s">
        <v>28</v>
      </c>
      <c r="O46" s="32" t="s">
        <v>11</v>
      </c>
      <c r="P46" s="32" t="s">
        <v>555</v>
      </c>
      <c r="Q46" s="31"/>
      <c r="V46" s="31"/>
    </row>
    <row r="47" spans="1:23">
      <c r="A47" s="31" t="s">
        <v>557</v>
      </c>
      <c r="B47" s="31">
        <v>1</v>
      </c>
      <c r="C47" s="31"/>
      <c r="D47" s="31" t="s">
        <v>18</v>
      </c>
      <c r="E47" s="31" t="s">
        <v>2</v>
      </c>
      <c r="F47" s="31" t="s">
        <v>29</v>
      </c>
      <c r="G47" s="47" t="s">
        <v>60</v>
      </c>
      <c r="H47" s="31" t="s">
        <v>30</v>
      </c>
      <c r="I47" s="31">
        <v>1</v>
      </c>
      <c r="J47" s="31">
        <f>B47</f>
        <v>1</v>
      </c>
      <c r="K47" s="31" t="s">
        <v>31</v>
      </c>
      <c r="L47" s="31" t="s">
        <v>31</v>
      </c>
      <c r="M47" s="31" t="s">
        <v>31</v>
      </c>
      <c r="N47" s="31" t="s">
        <v>31</v>
      </c>
      <c r="O47" s="31"/>
      <c r="P47" s="31" t="s">
        <v>329</v>
      </c>
      <c r="Q47" s="31"/>
      <c r="V47" s="31"/>
    </row>
    <row r="48" spans="1:23">
      <c r="A48" s="31" t="s">
        <v>584</v>
      </c>
      <c r="B48" s="31">
        <v>1</v>
      </c>
      <c r="C48" s="31"/>
      <c r="D48" s="31" t="s">
        <v>18</v>
      </c>
      <c r="E48" s="31" t="s">
        <v>2</v>
      </c>
      <c r="F48" s="31" t="s">
        <v>29</v>
      </c>
      <c r="G48" s="47" t="s">
        <v>60</v>
      </c>
      <c r="H48" s="31" t="s">
        <v>33</v>
      </c>
      <c r="I48" s="31">
        <v>2</v>
      </c>
      <c r="J48" s="31">
        <f t="shared" ref="J48:J62" si="2">LN(B48)</f>
        <v>0</v>
      </c>
      <c r="K48" s="31">
        <v>0.4147288270665544</v>
      </c>
      <c r="L48" s="31" t="s">
        <v>31</v>
      </c>
      <c r="M48" s="31" t="s">
        <v>31</v>
      </c>
      <c r="N48" s="31" t="s">
        <v>31</v>
      </c>
      <c r="O48" t="s">
        <v>585</v>
      </c>
      <c r="P48" s="31" t="s">
        <v>329</v>
      </c>
      <c r="Q48" s="31"/>
      <c r="R48" s="32" t="s">
        <v>578</v>
      </c>
      <c r="V48" s="31"/>
    </row>
    <row r="49" spans="1:23">
      <c r="A49" s="31" t="s">
        <v>586</v>
      </c>
      <c r="B49" s="31">
        <v>1</v>
      </c>
      <c r="C49" s="31"/>
      <c r="D49" s="31" t="s">
        <v>18</v>
      </c>
      <c r="E49" s="31" t="s">
        <v>2</v>
      </c>
      <c r="F49" s="31" t="s">
        <v>29</v>
      </c>
      <c r="G49" s="47" t="s">
        <v>60</v>
      </c>
      <c r="H49" s="31" t="s">
        <v>33</v>
      </c>
      <c r="I49" s="31">
        <v>2</v>
      </c>
      <c r="J49" s="31">
        <f t="shared" si="2"/>
        <v>0</v>
      </c>
      <c r="K49" s="31">
        <v>0.4147288270665544</v>
      </c>
      <c r="L49" s="31" t="s">
        <v>31</v>
      </c>
      <c r="M49" s="31" t="s">
        <v>31</v>
      </c>
      <c r="N49" s="31" t="s">
        <v>31</v>
      </c>
      <c r="O49" t="s">
        <v>585</v>
      </c>
      <c r="P49" s="31" t="s">
        <v>329</v>
      </c>
      <c r="Q49" s="31"/>
      <c r="V49" s="31"/>
    </row>
    <row r="50" spans="1:23">
      <c r="A50" s="31" t="s">
        <v>168</v>
      </c>
      <c r="B50" s="67">
        <v>11520.281753586078</v>
      </c>
      <c r="C50" s="67"/>
      <c r="D50" s="31" t="s">
        <v>41</v>
      </c>
      <c r="E50" s="31" t="s">
        <v>38</v>
      </c>
      <c r="F50" s="31" t="s">
        <v>29</v>
      </c>
      <c r="G50" s="31" t="s">
        <v>60</v>
      </c>
      <c r="H50" s="31" t="s">
        <v>33</v>
      </c>
      <c r="I50" s="31">
        <v>2</v>
      </c>
      <c r="J50" s="31">
        <f t="shared" si="2"/>
        <v>9.3518643917273643</v>
      </c>
      <c r="K50" s="31">
        <v>0.28635642126552707</v>
      </c>
      <c r="L50" s="31" t="s">
        <v>31</v>
      </c>
      <c r="M50" s="31" t="s">
        <v>31</v>
      </c>
      <c r="N50" s="31" t="s">
        <v>31</v>
      </c>
      <c r="O50" s="31"/>
      <c r="P50" s="31" t="s">
        <v>329</v>
      </c>
      <c r="Q50" s="31"/>
      <c r="R50" s="31">
        <v>16586.967541623701</v>
      </c>
      <c r="S50" s="31" t="s">
        <v>332</v>
      </c>
      <c r="V50" s="31"/>
    </row>
    <row r="51" spans="1:23">
      <c r="A51" s="31" t="s">
        <v>170</v>
      </c>
      <c r="B51" s="67">
        <f>V51</f>
        <v>1088.8660467881095</v>
      </c>
      <c r="C51" s="67"/>
      <c r="D51" s="31" t="s">
        <v>50</v>
      </c>
      <c r="E51" s="31" t="s">
        <v>38</v>
      </c>
      <c r="F51" s="31" t="s">
        <v>29</v>
      </c>
      <c r="G51" s="31" t="s">
        <v>333</v>
      </c>
      <c r="H51" s="31" t="s">
        <v>33</v>
      </c>
      <c r="I51" s="31">
        <v>2</v>
      </c>
      <c r="J51" s="31">
        <f t="shared" si="2"/>
        <v>6.9928921096629235</v>
      </c>
      <c r="K51" s="31">
        <v>0.28635642126552707</v>
      </c>
      <c r="L51" s="31" t="s">
        <v>31</v>
      </c>
      <c r="M51" s="31" t="s">
        <v>31</v>
      </c>
      <c r="N51" s="31" t="s">
        <v>31</v>
      </c>
      <c r="O51" s="31"/>
      <c r="P51" s="31" t="s">
        <v>329</v>
      </c>
      <c r="Q51" s="31"/>
      <c r="R51" s="46">
        <v>11584.334154122298</v>
      </c>
      <c r="S51" s="31" t="s">
        <v>332</v>
      </c>
      <c r="T51" s="31">
        <f>R51/0.277778</f>
        <v>41703.569591984597</v>
      </c>
      <c r="U51" s="31" t="s">
        <v>331</v>
      </c>
      <c r="V51" s="31">
        <f>T51/38.3</f>
        <v>1088.8660467881095</v>
      </c>
      <c r="W51" s="31" t="s">
        <v>335</v>
      </c>
    </row>
    <row r="52" spans="1:23">
      <c r="A52" s="31" t="s">
        <v>112</v>
      </c>
      <c r="B52" s="67">
        <f>T52</f>
        <v>5204.7108969459441</v>
      </c>
      <c r="C52" s="67"/>
      <c r="D52" s="31" t="s">
        <v>113</v>
      </c>
      <c r="E52" s="31" t="s">
        <v>38</v>
      </c>
      <c r="F52" s="31" t="s">
        <v>29</v>
      </c>
      <c r="G52" s="31" t="s">
        <v>60</v>
      </c>
      <c r="H52" s="31" t="s">
        <v>33</v>
      </c>
      <c r="I52" s="31">
        <v>2</v>
      </c>
      <c r="J52" s="31">
        <f t="shared" si="2"/>
        <v>8.557319436172369</v>
      </c>
      <c r="K52" s="31">
        <v>0.28635642126552707</v>
      </c>
      <c r="L52" s="31" t="s">
        <v>31</v>
      </c>
      <c r="M52" s="31" t="s">
        <v>31</v>
      </c>
      <c r="N52" s="31" t="s">
        <v>31</v>
      </c>
      <c r="O52" s="31"/>
      <c r="P52" s="31" t="s">
        <v>329</v>
      </c>
      <c r="Q52" s="31"/>
      <c r="R52" s="46">
        <v>1445.7541835318507</v>
      </c>
      <c r="S52" s="31" t="s">
        <v>332</v>
      </c>
      <c r="T52" s="31">
        <f>R52/0.277778</f>
        <v>5204.7108969459441</v>
      </c>
      <c r="U52" s="31" t="s">
        <v>331</v>
      </c>
      <c r="V52" s="31"/>
    </row>
    <row r="53" spans="1:23">
      <c r="A53" s="31" t="s">
        <v>164</v>
      </c>
      <c r="B53" s="67">
        <f>V53</f>
        <v>246.32376673780675</v>
      </c>
      <c r="C53" s="67"/>
      <c r="D53" s="31" t="s">
        <v>37</v>
      </c>
      <c r="E53" s="31" t="s">
        <v>38</v>
      </c>
      <c r="F53" s="31" t="s">
        <v>29</v>
      </c>
      <c r="G53" s="31" t="s">
        <v>60</v>
      </c>
      <c r="H53" s="31" t="s">
        <v>33</v>
      </c>
      <c r="I53" s="31">
        <v>2</v>
      </c>
      <c r="J53" s="31">
        <f t="shared" si="2"/>
        <v>5.5066467955495284</v>
      </c>
      <c r="K53" s="31">
        <v>0.28635642126552707</v>
      </c>
      <c r="L53" s="31" t="s">
        <v>31</v>
      </c>
      <c r="M53" s="31" t="s">
        <v>31</v>
      </c>
      <c r="N53" s="31" t="s">
        <v>31</v>
      </c>
      <c r="O53" s="31"/>
      <c r="P53" s="31" t="s">
        <v>329</v>
      </c>
      <c r="Q53" s="31"/>
      <c r="R53" s="46">
        <v>3065.3648828048731</v>
      </c>
      <c r="S53" s="31" t="s">
        <v>332</v>
      </c>
      <c r="T53" s="31">
        <f>R53/0.277778</f>
        <v>11035.304749853742</v>
      </c>
      <c r="U53" s="31" t="s">
        <v>331</v>
      </c>
      <c r="V53" s="31">
        <f>T53/44.8</f>
        <v>246.32376673780675</v>
      </c>
      <c r="W53" s="31" t="s">
        <v>337</v>
      </c>
    </row>
    <row r="54" spans="1:23">
      <c r="A54" s="31" t="s">
        <v>36</v>
      </c>
      <c r="B54" s="67">
        <f>V54</f>
        <v>486.27497831622742</v>
      </c>
      <c r="C54" s="67"/>
      <c r="D54" s="31" t="s">
        <v>37</v>
      </c>
      <c r="E54" s="31" t="s">
        <v>38</v>
      </c>
      <c r="F54" s="31" t="s">
        <v>29</v>
      </c>
      <c r="G54" s="31" t="s">
        <v>86</v>
      </c>
      <c r="H54" s="31" t="s">
        <v>33</v>
      </c>
      <c r="I54" s="31">
        <v>2</v>
      </c>
      <c r="J54" s="31">
        <f t="shared" si="2"/>
        <v>6.1867742629011708</v>
      </c>
      <c r="K54" s="31">
        <v>0.28635642126552707</v>
      </c>
      <c r="L54" s="31" t="s">
        <v>31</v>
      </c>
      <c r="M54" s="31" t="s">
        <v>31</v>
      </c>
      <c r="N54" s="31" t="s">
        <v>31</v>
      </c>
      <c r="O54" s="31"/>
      <c r="P54" s="31" t="s">
        <v>329</v>
      </c>
      <c r="Q54" s="31"/>
      <c r="R54" s="46">
        <v>6240.5338808146971</v>
      </c>
      <c r="S54" s="31" t="s">
        <v>332</v>
      </c>
      <c r="T54" s="31">
        <f>R54/0.277778</f>
        <v>22465.903998209709</v>
      </c>
      <c r="U54" s="31" t="s">
        <v>331</v>
      </c>
      <c r="V54" s="31">
        <f>T54/46.2</f>
        <v>486.27497831622742</v>
      </c>
      <c r="W54" s="31" t="s">
        <v>337</v>
      </c>
    </row>
    <row r="55" spans="1:23" s="65" customFormat="1">
      <c r="A55" s="31" t="s">
        <v>59</v>
      </c>
      <c r="B55" s="67">
        <f>V55</f>
        <v>2.9946552916835127</v>
      </c>
      <c r="C55" s="67"/>
      <c r="D55" s="31" t="s">
        <v>37</v>
      </c>
      <c r="E55" s="31" t="s">
        <v>2</v>
      </c>
      <c r="F55" s="31" t="s">
        <v>324</v>
      </c>
      <c r="G55" s="31" t="s">
        <v>60</v>
      </c>
      <c r="H55" s="31" t="s">
        <v>33</v>
      </c>
      <c r="I55" s="31">
        <v>2</v>
      </c>
      <c r="J55" s="31">
        <f t="shared" si="2"/>
        <v>1.0968291303470314</v>
      </c>
      <c r="K55" s="31">
        <v>0.28635642126552707</v>
      </c>
      <c r="L55" s="31" t="s">
        <v>31</v>
      </c>
      <c r="M55" s="31" t="s">
        <v>31</v>
      </c>
      <c r="N55" s="31" t="s">
        <v>31</v>
      </c>
      <c r="O55" s="64"/>
      <c r="P55" s="31" t="s">
        <v>329</v>
      </c>
      <c r="Q55" s="45"/>
      <c r="R55" s="46">
        <v>36.601371734983566</v>
      </c>
      <c r="S55" s="31" t="s">
        <v>332</v>
      </c>
      <c r="T55" s="31">
        <f>R55/0.277778</f>
        <v>131.76483283407455</v>
      </c>
      <c r="U55" s="31" t="s">
        <v>331</v>
      </c>
      <c r="V55" s="31">
        <f>T55/44</f>
        <v>2.9946552916835127</v>
      </c>
      <c r="W55" s="31" t="s">
        <v>337</v>
      </c>
    </row>
    <row r="56" spans="1:23">
      <c r="A56" s="31" t="s">
        <v>172</v>
      </c>
      <c r="B56" s="45">
        <f>T56</f>
        <v>28107.334808417905</v>
      </c>
      <c r="C56" s="45"/>
      <c r="D56" s="31" t="s">
        <v>37</v>
      </c>
      <c r="E56" s="31" t="s">
        <v>38</v>
      </c>
      <c r="F56" s="31" t="s">
        <v>29</v>
      </c>
      <c r="G56" s="31" t="s">
        <v>60</v>
      </c>
      <c r="H56" s="31" t="s">
        <v>33</v>
      </c>
      <c r="I56" s="31">
        <v>2</v>
      </c>
      <c r="J56" s="31">
        <f t="shared" si="2"/>
        <v>10.243785846471285</v>
      </c>
      <c r="K56" s="31">
        <v>0.28635642126552707</v>
      </c>
      <c r="L56" s="31" t="s">
        <v>31</v>
      </c>
      <c r="M56" s="31" t="s">
        <v>31</v>
      </c>
      <c r="N56" s="31" t="s">
        <v>31</v>
      </c>
      <c r="O56" t="s">
        <v>587</v>
      </c>
      <c r="P56" s="31" t="s">
        <v>329</v>
      </c>
      <c r="Q56" s="31"/>
      <c r="R56" s="31">
        <v>28.17015425240076</v>
      </c>
      <c r="S56" s="31" t="s">
        <v>335</v>
      </c>
      <c r="T56" s="31">
        <f>R56*997.77</f>
        <v>28107.334808417905</v>
      </c>
      <c r="U56" s="31" t="s">
        <v>337</v>
      </c>
      <c r="V56" s="31"/>
    </row>
    <row r="57" spans="1:23">
      <c r="A57" s="51" t="s">
        <v>580</v>
      </c>
      <c r="B57" s="66">
        <v>26.268328676365151</v>
      </c>
      <c r="C57" s="66"/>
      <c r="D57" s="31" t="s">
        <v>50</v>
      </c>
      <c r="E57" s="31" t="s">
        <v>2</v>
      </c>
      <c r="F57" s="31" t="s">
        <v>29</v>
      </c>
      <c r="G57" s="51" t="s">
        <v>86</v>
      </c>
      <c r="H57" s="31" t="s">
        <v>33</v>
      </c>
      <c r="I57" s="31">
        <v>2</v>
      </c>
      <c r="J57" s="31">
        <f t="shared" si="2"/>
        <v>3.2683639806748848</v>
      </c>
      <c r="K57" s="31">
        <v>0.28635642126552707</v>
      </c>
      <c r="L57" s="31" t="s">
        <v>31</v>
      </c>
      <c r="M57" s="31" t="s">
        <v>31</v>
      </c>
      <c r="N57" s="31" t="s">
        <v>31</v>
      </c>
      <c r="O57" s="31"/>
      <c r="P57" s="31" t="s">
        <v>329</v>
      </c>
      <c r="Q57" s="31"/>
      <c r="R57" s="31">
        <v>37.821289830167714</v>
      </c>
      <c r="S57" s="31" t="s">
        <v>335</v>
      </c>
      <c r="V57" s="31"/>
    </row>
    <row r="58" spans="1:23">
      <c r="A58" s="31" t="s">
        <v>581</v>
      </c>
      <c r="B58" s="66">
        <v>637.4128887647388</v>
      </c>
      <c r="C58" s="66"/>
      <c r="D58" s="31" t="s">
        <v>37</v>
      </c>
      <c r="E58" s="31" t="s">
        <v>2</v>
      </c>
      <c r="F58" s="31" t="s">
        <v>29</v>
      </c>
      <c r="G58" s="31" t="s">
        <v>86</v>
      </c>
      <c r="H58" s="31" t="s">
        <v>33</v>
      </c>
      <c r="I58" s="31">
        <v>2</v>
      </c>
      <c r="J58" s="31">
        <f t="shared" si="2"/>
        <v>6.4574176226208726</v>
      </c>
      <c r="K58" s="31">
        <v>0.28635642126552707</v>
      </c>
      <c r="L58" s="31" t="s">
        <v>31</v>
      </c>
      <c r="M58" s="31" t="s">
        <v>31</v>
      </c>
      <c r="N58" s="31" t="s">
        <v>31</v>
      </c>
      <c r="O58" s="31"/>
      <c r="P58" s="31" t="s">
        <v>329</v>
      </c>
      <c r="Q58" s="31"/>
      <c r="R58" s="31">
        <v>917.7507219614829</v>
      </c>
      <c r="S58" s="31" t="s">
        <v>337</v>
      </c>
      <c r="V58" s="31"/>
    </row>
    <row r="59" spans="1:23">
      <c r="A59" s="31" t="s">
        <v>48</v>
      </c>
      <c r="B59" s="66">
        <v>11975.319157338326</v>
      </c>
      <c r="C59" s="66"/>
      <c r="D59" s="31" t="s">
        <v>37</v>
      </c>
      <c r="E59" s="31" t="s">
        <v>43</v>
      </c>
      <c r="F59" s="31" t="s">
        <v>44</v>
      </c>
      <c r="G59" s="31" t="s">
        <v>29</v>
      </c>
      <c r="H59" s="31" t="s">
        <v>45</v>
      </c>
      <c r="I59" s="31">
        <v>2</v>
      </c>
      <c r="J59" s="31">
        <f t="shared" si="2"/>
        <v>9.3906030738937556</v>
      </c>
      <c r="K59" s="31">
        <v>0.28635642126552707</v>
      </c>
      <c r="L59" s="31" t="s">
        <v>31</v>
      </c>
      <c r="M59" s="31" t="s">
        <v>31</v>
      </c>
      <c r="N59" s="31" t="s">
        <v>31</v>
      </c>
      <c r="O59" s="31"/>
      <c r="P59" s="31" t="s">
        <v>329</v>
      </c>
      <c r="Q59" s="31"/>
      <c r="R59" s="31">
        <v>17242.132997443718</v>
      </c>
      <c r="S59" s="31" t="s">
        <v>337</v>
      </c>
      <c r="V59" s="31"/>
    </row>
    <row r="60" spans="1:23">
      <c r="A60" s="31" t="s">
        <v>51</v>
      </c>
      <c r="B60" s="66">
        <v>0.12810480107244249</v>
      </c>
      <c r="C60" s="66"/>
      <c r="D60" s="31" t="s">
        <v>37</v>
      </c>
      <c r="E60" s="31" t="s">
        <v>43</v>
      </c>
      <c r="F60" s="31" t="s">
        <v>44</v>
      </c>
      <c r="G60" s="31" t="s">
        <v>29</v>
      </c>
      <c r="H60" s="31" t="s">
        <v>45</v>
      </c>
      <c r="I60" s="31">
        <v>2</v>
      </c>
      <c r="J60" s="31">
        <f t="shared" si="2"/>
        <v>-2.0549065916838605</v>
      </c>
      <c r="K60" s="31">
        <v>0.28635642126552707</v>
      </c>
      <c r="L60" s="31" t="s">
        <v>31</v>
      </c>
      <c r="M60" s="31" t="s">
        <v>31</v>
      </c>
      <c r="N60" s="31" t="s">
        <v>31</v>
      </c>
      <c r="O60" s="31"/>
      <c r="P60" s="31" t="s">
        <v>329</v>
      </c>
      <c r="Q60" s="31"/>
      <c r="R60" s="31">
        <v>0.18444602508556934</v>
      </c>
      <c r="S60" s="31" t="s">
        <v>337</v>
      </c>
      <c r="V60" s="31"/>
    </row>
    <row r="61" spans="1:23">
      <c r="A61" s="31" t="s">
        <v>42</v>
      </c>
      <c r="B61" s="66">
        <v>2.0313761312915877</v>
      </c>
      <c r="C61" s="66"/>
      <c r="D61" s="31" t="s">
        <v>37</v>
      </c>
      <c r="E61" s="31" t="s">
        <v>43</v>
      </c>
      <c r="F61" s="31" t="s">
        <v>44</v>
      </c>
      <c r="G61" s="31" t="s">
        <v>29</v>
      </c>
      <c r="H61" s="31" t="s">
        <v>45</v>
      </c>
      <c r="I61" s="31">
        <v>2</v>
      </c>
      <c r="J61" s="31">
        <f t="shared" si="2"/>
        <v>0.70871346057315998</v>
      </c>
      <c r="K61" s="31">
        <v>0.28635642126552707</v>
      </c>
      <c r="L61" s="31" t="s">
        <v>31</v>
      </c>
      <c r="M61" s="31" t="s">
        <v>31</v>
      </c>
      <c r="N61" s="31" t="s">
        <v>31</v>
      </c>
      <c r="O61" s="31"/>
      <c r="P61" s="31" t="s">
        <v>329</v>
      </c>
      <c r="Q61" s="31"/>
      <c r="R61" s="31">
        <v>2.9247869692140278</v>
      </c>
      <c r="S61" s="31" t="s">
        <v>337</v>
      </c>
      <c r="V61" s="31"/>
    </row>
    <row r="62" spans="1:23">
      <c r="A62" s="31" t="s">
        <v>490</v>
      </c>
      <c r="B62" s="66">
        <v>9.6170104233669313</v>
      </c>
      <c r="C62" s="66"/>
      <c r="D62" s="31" t="s">
        <v>37</v>
      </c>
      <c r="E62" s="31" t="s">
        <v>43</v>
      </c>
      <c r="F62" s="31" t="s">
        <v>44</v>
      </c>
      <c r="G62" s="31" t="s">
        <v>29</v>
      </c>
      <c r="H62" s="31" t="s">
        <v>45</v>
      </c>
      <c r="I62" s="31">
        <v>2</v>
      </c>
      <c r="J62" s="31">
        <f t="shared" si="2"/>
        <v>2.2635334495778316</v>
      </c>
      <c r="K62" s="31">
        <v>0.28635642126552707</v>
      </c>
      <c r="L62" s="31" t="s">
        <v>31</v>
      </c>
      <c r="M62" s="31" t="s">
        <v>31</v>
      </c>
      <c r="N62" s="31" t="s">
        <v>31</v>
      </c>
      <c r="O62" s="31"/>
      <c r="P62" s="31" t="s">
        <v>329</v>
      </c>
      <c r="Q62" s="31"/>
      <c r="R62" s="31">
        <v>13.84662659749524</v>
      </c>
      <c r="S62" s="31" t="s">
        <v>337</v>
      </c>
      <c r="V62" s="31"/>
    </row>
    <row r="63" spans="1:23" s="42" customFormat="1">
      <c r="A63" s="36" t="s">
        <v>5</v>
      </c>
      <c r="B63" s="36" t="s">
        <v>584</v>
      </c>
      <c r="C63" s="36"/>
      <c r="D63" s="37"/>
      <c r="E63" s="38"/>
      <c r="F63" s="38"/>
      <c r="G63" s="38"/>
      <c r="H63" s="38"/>
      <c r="I63" s="38"/>
      <c r="J63" s="38"/>
      <c r="K63" s="38"/>
      <c r="L63" s="38"/>
      <c r="M63" s="38"/>
      <c r="N63" s="38"/>
      <c r="O63" s="38"/>
      <c r="P63" s="38" t="s">
        <v>329</v>
      </c>
      <c r="Q63" s="38"/>
      <c r="R63" s="38"/>
      <c r="S63" s="38"/>
      <c r="T63" s="38"/>
      <c r="U63" s="38"/>
      <c r="V63" s="38"/>
      <c r="W63" s="38"/>
    </row>
    <row r="64" spans="1:23">
      <c r="A64" s="31" t="s">
        <v>7</v>
      </c>
      <c r="B64" s="31" t="s">
        <v>324</v>
      </c>
      <c r="C64" s="31"/>
      <c r="D64" s="31"/>
      <c r="E64" s="31"/>
      <c r="F64" s="31"/>
      <c r="G64" s="31"/>
      <c r="H64" s="31"/>
      <c r="I64" s="31"/>
      <c r="J64" s="31"/>
      <c r="K64" s="31"/>
      <c r="L64" s="31"/>
      <c r="M64" s="31"/>
      <c r="N64" s="31"/>
      <c r="O64" s="31"/>
      <c r="P64" s="31" t="s">
        <v>329</v>
      </c>
      <c r="Q64" s="31"/>
      <c r="V64" s="31"/>
    </row>
    <row r="65" spans="1:23">
      <c r="A65" s="31" t="s">
        <v>9</v>
      </c>
      <c r="B65" s="43" t="s">
        <v>588</v>
      </c>
      <c r="C65" s="31"/>
      <c r="D65" s="31"/>
      <c r="E65" s="31"/>
      <c r="F65" s="31"/>
      <c r="G65" s="31"/>
      <c r="H65" s="31"/>
      <c r="I65" s="31"/>
      <c r="J65" s="31"/>
      <c r="K65" s="31"/>
      <c r="L65" s="31"/>
      <c r="M65" s="31"/>
      <c r="N65" s="31"/>
      <c r="O65" s="31"/>
      <c r="P65" s="31" t="s">
        <v>329</v>
      </c>
      <c r="Q65" s="31"/>
      <c r="V65" s="31"/>
    </row>
    <row r="66" spans="1:23">
      <c r="A66" s="31" t="s">
        <v>11</v>
      </c>
      <c r="B66" s="31" t="s">
        <v>589</v>
      </c>
      <c r="C66" s="31"/>
      <c r="D66" s="31"/>
      <c r="E66" s="31"/>
      <c r="F66" s="31"/>
      <c r="G66" s="31"/>
      <c r="H66" s="31"/>
      <c r="I66" s="31"/>
      <c r="J66" s="31"/>
      <c r="K66" s="31"/>
      <c r="L66" s="31"/>
      <c r="M66" s="31"/>
      <c r="N66" s="31"/>
      <c r="O66" s="31"/>
      <c r="P66" s="31" t="s">
        <v>329</v>
      </c>
      <c r="Q66" s="31"/>
      <c r="V66" s="31"/>
    </row>
    <row r="67" spans="1:23">
      <c r="A67" s="31" t="s">
        <v>13</v>
      </c>
      <c r="B67" s="47" t="s">
        <v>60</v>
      </c>
      <c r="C67" s="31"/>
      <c r="D67" s="31"/>
      <c r="E67" s="31"/>
      <c r="F67" s="31"/>
      <c r="G67" s="31"/>
      <c r="H67" s="31"/>
      <c r="I67" s="31"/>
      <c r="J67" s="31"/>
      <c r="K67" s="31"/>
      <c r="L67" s="31"/>
      <c r="M67" s="31"/>
      <c r="N67" s="31"/>
      <c r="O67" s="31"/>
      <c r="P67" s="31" t="s">
        <v>329</v>
      </c>
      <c r="Q67" s="31"/>
      <c r="V67" s="31"/>
    </row>
    <row r="68" spans="1:23">
      <c r="A68" s="31" t="s">
        <v>15</v>
      </c>
      <c r="B68" s="31">
        <v>1</v>
      </c>
      <c r="C68" s="31"/>
      <c r="D68" s="31"/>
      <c r="E68" s="31"/>
      <c r="F68" s="31"/>
      <c r="G68" s="31"/>
      <c r="H68" s="31"/>
      <c r="I68" s="31"/>
      <c r="J68" s="31"/>
      <c r="K68" s="31"/>
      <c r="L68" s="31"/>
      <c r="M68" s="31"/>
      <c r="N68" s="31"/>
      <c r="O68" s="31"/>
      <c r="P68" s="31" t="s">
        <v>329</v>
      </c>
      <c r="Q68" s="31"/>
      <c r="V68" s="31"/>
    </row>
    <row r="69" spans="1:23">
      <c r="A69" s="31" t="s">
        <v>16</v>
      </c>
      <c r="B69" s="31" t="s">
        <v>17</v>
      </c>
      <c r="C69" s="31"/>
      <c r="D69" s="31"/>
      <c r="E69" s="31"/>
      <c r="F69" s="31"/>
      <c r="G69" s="31"/>
      <c r="H69" s="31"/>
      <c r="I69" s="31"/>
      <c r="J69" s="31"/>
      <c r="K69" s="31"/>
      <c r="L69" s="31"/>
      <c r="M69" s="31"/>
      <c r="N69" s="31"/>
      <c r="O69" s="31"/>
      <c r="P69" s="31" t="s">
        <v>329</v>
      </c>
      <c r="Q69" s="31"/>
      <c r="V69" s="31"/>
    </row>
    <row r="70" spans="1:23">
      <c r="A70" s="31" t="s">
        <v>18</v>
      </c>
      <c r="B70" s="31" t="s">
        <v>18</v>
      </c>
      <c r="C70" s="31"/>
      <c r="D70" s="31"/>
      <c r="E70" s="31" t="s">
        <v>77</v>
      </c>
      <c r="F70" s="31"/>
      <c r="G70" s="31"/>
      <c r="H70" s="31"/>
      <c r="I70" s="31"/>
      <c r="J70" s="31"/>
      <c r="K70" s="31"/>
      <c r="L70" s="31"/>
      <c r="M70" s="31"/>
      <c r="N70" s="31"/>
      <c r="O70" s="31"/>
      <c r="P70" s="31" t="s">
        <v>329</v>
      </c>
      <c r="Q70" s="31"/>
      <c r="V70" s="31"/>
    </row>
    <row r="71" spans="1:23">
      <c r="A71" s="32" t="s">
        <v>19</v>
      </c>
      <c r="B71" s="31"/>
      <c r="C71" s="31"/>
      <c r="D71" s="31"/>
      <c r="E71" s="31"/>
      <c r="F71" s="31"/>
      <c r="G71" s="31"/>
      <c r="H71" s="31"/>
      <c r="I71" s="31"/>
      <c r="J71" s="31"/>
      <c r="K71" s="31"/>
      <c r="L71" s="31"/>
      <c r="M71" s="31"/>
      <c r="N71" s="31"/>
      <c r="O71" s="31"/>
      <c r="P71" s="31" t="s">
        <v>329</v>
      </c>
      <c r="Q71" s="31"/>
      <c r="V71" s="31"/>
    </row>
    <row r="72" spans="1:23">
      <c r="A72" s="32" t="s">
        <v>20</v>
      </c>
      <c r="B72" s="32" t="s">
        <v>21</v>
      </c>
      <c r="C72" s="32" t="s">
        <v>78</v>
      </c>
      <c r="D72" s="32" t="s">
        <v>18</v>
      </c>
      <c r="E72" s="32" t="s">
        <v>22</v>
      </c>
      <c r="F72" s="32" t="s">
        <v>7</v>
      </c>
      <c r="G72" s="32" t="s">
        <v>13</v>
      </c>
      <c r="H72" s="32" t="s">
        <v>16</v>
      </c>
      <c r="I72" s="32" t="s">
        <v>23</v>
      </c>
      <c r="J72" s="32" t="s">
        <v>24</v>
      </c>
      <c r="K72" s="32" t="s">
        <v>25</v>
      </c>
      <c r="L72" s="32" t="s">
        <v>26</v>
      </c>
      <c r="M72" s="32" t="s">
        <v>27</v>
      </c>
      <c r="N72" s="32" t="s">
        <v>28</v>
      </c>
      <c r="O72" s="32" t="s">
        <v>11</v>
      </c>
      <c r="P72" s="32" t="s">
        <v>555</v>
      </c>
      <c r="Q72" s="31"/>
      <c r="V72" s="31"/>
    </row>
    <row r="73" spans="1:23">
      <c r="A73" s="31" t="s">
        <v>584</v>
      </c>
      <c r="B73" s="31">
        <v>1</v>
      </c>
      <c r="C73" s="31"/>
      <c r="D73" s="31" t="s">
        <v>18</v>
      </c>
      <c r="E73" s="31" t="s">
        <v>2</v>
      </c>
      <c r="F73" s="31" t="s">
        <v>29</v>
      </c>
      <c r="G73" s="47" t="s">
        <v>60</v>
      </c>
      <c r="H73" s="31" t="s">
        <v>30</v>
      </c>
      <c r="I73" s="31">
        <v>1</v>
      </c>
      <c r="J73" s="31">
        <f>B73</f>
        <v>1</v>
      </c>
      <c r="K73" s="31" t="s">
        <v>31</v>
      </c>
      <c r="L73" s="31" t="s">
        <v>31</v>
      </c>
      <c r="M73" s="31" t="s">
        <v>31</v>
      </c>
      <c r="N73" s="31" t="s">
        <v>31</v>
      </c>
      <c r="O73" s="31"/>
      <c r="P73" s="31" t="s">
        <v>329</v>
      </c>
      <c r="Q73" s="31"/>
      <c r="V73" s="31"/>
    </row>
    <row r="74" spans="1:23">
      <c r="A74" s="68" t="s">
        <v>449</v>
      </c>
      <c r="B74" s="69">
        <f>10.9257592*10</f>
        <v>109.257592</v>
      </c>
      <c r="C74" s="69"/>
      <c r="D74" s="35" t="s">
        <v>37</v>
      </c>
      <c r="E74" s="35" t="s">
        <v>38</v>
      </c>
      <c r="F74" s="35" t="s">
        <v>29</v>
      </c>
      <c r="G74" s="35" t="s">
        <v>60</v>
      </c>
      <c r="H74" s="35" t="s">
        <v>33</v>
      </c>
      <c r="I74" s="35">
        <v>2</v>
      </c>
      <c r="J74" s="35">
        <f t="shared" ref="J74:J109" si="3">LN(B74)</f>
        <v>4.69370832355209</v>
      </c>
      <c r="K74" s="35">
        <v>0.30331501776206199</v>
      </c>
      <c r="L74" s="31" t="s">
        <v>31</v>
      </c>
      <c r="M74" s="31" t="s">
        <v>31</v>
      </c>
      <c r="N74" s="31" t="s">
        <v>31</v>
      </c>
      <c r="O74" s="35" t="s">
        <v>590</v>
      </c>
      <c r="P74" s="31" t="s">
        <v>591</v>
      </c>
      <c r="Q74" s="31"/>
      <c r="V74" s="31"/>
    </row>
    <row r="75" spans="1:23">
      <c r="A75" s="68" t="s">
        <v>336</v>
      </c>
      <c r="B75" s="69">
        <f>7.3555308*2.2</f>
        <v>16.182167760000002</v>
      </c>
      <c r="C75" s="69"/>
      <c r="D75" s="35" t="s">
        <v>37</v>
      </c>
      <c r="E75" s="35" t="s">
        <v>38</v>
      </c>
      <c r="F75" s="35" t="s">
        <v>29</v>
      </c>
      <c r="G75" s="35" t="s">
        <v>60</v>
      </c>
      <c r="H75" s="35" t="s">
        <v>33</v>
      </c>
      <c r="I75" s="35">
        <v>2</v>
      </c>
      <c r="J75" s="35">
        <f t="shared" si="3"/>
        <v>2.7839098804064375</v>
      </c>
      <c r="K75" s="35">
        <v>0.30331501776206199</v>
      </c>
      <c r="L75" s="31" t="s">
        <v>31</v>
      </c>
      <c r="M75" s="31" t="s">
        <v>31</v>
      </c>
      <c r="N75" s="31" t="s">
        <v>31</v>
      </c>
      <c r="O75" s="35" t="s">
        <v>590</v>
      </c>
      <c r="P75" s="31" t="s">
        <v>592</v>
      </c>
      <c r="Q75" s="31"/>
      <c r="V75" s="31"/>
    </row>
    <row r="76" spans="1:23">
      <c r="A76" s="68" t="s">
        <v>479</v>
      </c>
      <c r="B76" s="69">
        <f>3.47559584*1.2</f>
        <v>4.1707150080000002</v>
      </c>
      <c r="C76" s="69"/>
      <c r="D76" s="35" t="s">
        <v>37</v>
      </c>
      <c r="E76" s="35" t="s">
        <v>38</v>
      </c>
      <c r="F76" s="35" t="s">
        <v>29</v>
      </c>
      <c r="G76" s="35" t="s">
        <v>60</v>
      </c>
      <c r="H76" s="35" t="s">
        <v>33</v>
      </c>
      <c r="I76" s="35">
        <v>2</v>
      </c>
      <c r="J76" s="35">
        <f t="shared" si="3"/>
        <v>1.4280874858605117</v>
      </c>
      <c r="K76" s="35">
        <v>0.30331501776206199</v>
      </c>
      <c r="L76" s="31" t="s">
        <v>31</v>
      </c>
      <c r="M76" s="31" t="s">
        <v>31</v>
      </c>
      <c r="N76" s="31" t="s">
        <v>31</v>
      </c>
      <c r="O76" s="35" t="s">
        <v>590</v>
      </c>
      <c r="P76" s="31" t="s">
        <v>329</v>
      </c>
      <c r="Q76" s="31"/>
      <c r="V76" s="31"/>
    </row>
    <row r="77" spans="1:23">
      <c r="A77" s="68" t="s">
        <v>352</v>
      </c>
      <c r="B77" s="69">
        <f>22.653314272*2.2</f>
        <v>49.837291398400005</v>
      </c>
      <c r="C77" s="69"/>
      <c r="D77" s="35" t="s">
        <v>37</v>
      </c>
      <c r="E77" s="35" t="s">
        <v>38</v>
      </c>
      <c r="F77" s="35" t="s">
        <v>29</v>
      </c>
      <c r="G77" s="35" t="s">
        <v>60</v>
      </c>
      <c r="H77" s="35" t="s">
        <v>33</v>
      </c>
      <c r="I77" s="35">
        <v>2</v>
      </c>
      <c r="J77" s="35">
        <f t="shared" si="3"/>
        <v>3.9087635270633991</v>
      </c>
      <c r="K77" s="35">
        <v>0.30331501776206199</v>
      </c>
      <c r="L77" s="31" t="s">
        <v>31</v>
      </c>
      <c r="M77" s="31" t="s">
        <v>31</v>
      </c>
      <c r="N77" s="31" t="s">
        <v>31</v>
      </c>
      <c r="O77" s="35" t="s">
        <v>590</v>
      </c>
      <c r="P77" s="31" t="s">
        <v>593</v>
      </c>
      <c r="Q77" s="31"/>
      <c r="V77" s="31"/>
    </row>
    <row r="78" spans="1:23">
      <c r="A78" s="68" t="s">
        <v>594</v>
      </c>
      <c r="B78" s="69">
        <f>8.03516464*1.5</f>
        <v>12.05274696</v>
      </c>
      <c r="C78" s="69"/>
      <c r="D78" s="35" t="s">
        <v>37</v>
      </c>
      <c r="E78" s="35" t="s">
        <v>38</v>
      </c>
      <c r="F78" s="35" t="s">
        <v>29</v>
      </c>
      <c r="G78" s="35" t="s">
        <v>60</v>
      </c>
      <c r="H78" s="35" t="s">
        <v>33</v>
      </c>
      <c r="I78" s="35">
        <v>2</v>
      </c>
      <c r="J78" s="35">
        <f t="shared" si="3"/>
        <v>2.489292597442414</v>
      </c>
      <c r="K78" s="35">
        <v>0.30331501776206199</v>
      </c>
      <c r="L78" s="31" t="s">
        <v>31</v>
      </c>
      <c r="M78" s="31" t="s">
        <v>31</v>
      </c>
      <c r="N78" s="31" t="s">
        <v>31</v>
      </c>
      <c r="O78" s="35" t="s">
        <v>590</v>
      </c>
      <c r="P78" s="31" t="s">
        <v>595</v>
      </c>
      <c r="Q78" s="31"/>
      <c r="V78" s="31"/>
    </row>
    <row r="79" spans="1:23">
      <c r="A79" s="68" t="s">
        <v>594</v>
      </c>
      <c r="B79" s="69">
        <f>33.5830308336*1.5</f>
        <v>50.374546250400002</v>
      </c>
      <c r="C79" s="69"/>
      <c r="D79" s="35" t="s">
        <v>37</v>
      </c>
      <c r="E79" s="35" t="s">
        <v>38</v>
      </c>
      <c r="F79" s="35" t="s">
        <v>29</v>
      </c>
      <c r="G79" s="35" t="s">
        <v>60</v>
      </c>
      <c r="H79" s="35" t="s">
        <v>33</v>
      </c>
      <c r="I79" s="35">
        <v>2</v>
      </c>
      <c r="J79" s="35">
        <f t="shared" si="3"/>
        <v>3.9194860127900517</v>
      </c>
      <c r="K79" s="35">
        <v>0.30331501776206199</v>
      </c>
      <c r="L79" s="31" t="s">
        <v>31</v>
      </c>
      <c r="M79" s="31" t="s">
        <v>31</v>
      </c>
      <c r="N79" s="31" t="s">
        <v>31</v>
      </c>
      <c r="O79" s="35" t="s">
        <v>590</v>
      </c>
      <c r="P79" s="31" t="s">
        <v>596</v>
      </c>
      <c r="Q79" s="31"/>
      <c r="V79" s="31"/>
    </row>
    <row r="80" spans="1:23" s="42" customFormat="1">
      <c r="A80" s="70" t="s">
        <v>93</v>
      </c>
      <c r="B80" s="71">
        <f>B74*0.9</f>
        <v>98.331832800000001</v>
      </c>
      <c r="C80" s="71"/>
      <c r="D80" s="72" t="s">
        <v>37</v>
      </c>
      <c r="E80" s="72" t="s">
        <v>38</v>
      </c>
      <c r="F80" s="72" t="s">
        <v>29</v>
      </c>
      <c r="G80" s="72" t="s">
        <v>86</v>
      </c>
      <c r="H80" s="72" t="s">
        <v>33</v>
      </c>
      <c r="I80" s="72">
        <v>2</v>
      </c>
      <c r="J80" s="72">
        <f t="shared" si="3"/>
        <v>4.5883478078942632</v>
      </c>
      <c r="K80" s="72">
        <v>0.30331501776206199</v>
      </c>
      <c r="L80" s="38" t="s">
        <v>31</v>
      </c>
      <c r="M80" s="38" t="s">
        <v>31</v>
      </c>
      <c r="N80" s="38" t="s">
        <v>31</v>
      </c>
      <c r="O80" s="72" t="s">
        <v>327</v>
      </c>
      <c r="P80" s="38" t="s">
        <v>597</v>
      </c>
      <c r="Q80" s="38"/>
      <c r="R80" s="38"/>
      <c r="S80" s="38"/>
      <c r="T80" s="38"/>
      <c r="U80" s="38"/>
      <c r="V80" s="38"/>
      <c r="W80" s="38"/>
    </row>
    <row r="81" spans="1:23">
      <c r="A81" s="73" t="s">
        <v>94</v>
      </c>
      <c r="B81" s="74">
        <f>B74*0.9</f>
        <v>98.331832800000001</v>
      </c>
      <c r="C81" s="31" t="s">
        <v>95</v>
      </c>
      <c r="D81" s="34" t="s">
        <v>37</v>
      </c>
      <c r="E81" s="34" t="s">
        <v>38</v>
      </c>
      <c r="F81" s="34" t="s">
        <v>29</v>
      </c>
      <c r="G81" s="34" t="s">
        <v>86</v>
      </c>
      <c r="H81" s="34" t="s">
        <v>33</v>
      </c>
      <c r="I81" s="75">
        <v>2</v>
      </c>
      <c r="J81" s="34">
        <f t="shared" si="3"/>
        <v>4.5883478078942632</v>
      </c>
      <c r="K81" s="34">
        <v>0.30331501776206199</v>
      </c>
      <c r="L81" s="38" t="s">
        <v>31</v>
      </c>
      <c r="M81" s="38" t="s">
        <v>31</v>
      </c>
      <c r="N81" s="38" t="s">
        <v>31</v>
      </c>
      <c r="O81" s="72" t="s">
        <v>327</v>
      </c>
      <c r="P81" s="31"/>
      <c r="Q81" s="31"/>
      <c r="V81" s="31"/>
    </row>
    <row r="82" spans="1:23" s="79" customFormat="1">
      <c r="A82" s="76" t="s">
        <v>449</v>
      </c>
      <c r="B82" s="77">
        <f>B74*0.9</f>
        <v>98.331832800000001</v>
      </c>
      <c r="C82" s="77"/>
      <c r="D82" s="78" t="s">
        <v>37</v>
      </c>
      <c r="E82" s="78" t="s">
        <v>38</v>
      </c>
      <c r="F82" s="78" t="s">
        <v>29</v>
      </c>
      <c r="G82" s="78" t="s">
        <v>60</v>
      </c>
      <c r="H82" s="78" t="s">
        <v>98</v>
      </c>
      <c r="I82" s="78">
        <v>2</v>
      </c>
      <c r="J82" s="78">
        <f t="shared" si="3"/>
        <v>4.5883478078942632</v>
      </c>
      <c r="K82" s="78">
        <v>0.30331501776206199</v>
      </c>
      <c r="L82" s="57" t="s">
        <v>31</v>
      </c>
      <c r="M82" s="57" t="s">
        <v>31</v>
      </c>
      <c r="N82" s="57" t="s">
        <v>31</v>
      </c>
      <c r="O82" s="78" t="s">
        <v>327</v>
      </c>
      <c r="P82" s="57" t="s">
        <v>598</v>
      </c>
      <c r="Q82" s="57"/>
      <c r="R82" s="57"/>
      <c r="S82" s="57"/>
      <c r="T82" s="57"/>
      <c r="U82" s="57"/>
      <c r="V82" s="57"/>
      <c r="W82" s="57"/>
    </row>
    <row r="83" spans="1:23" s="42" customFormat="1" ht="15.75" customHeight="1">
      <c r="A83" s="70" t="s">
        <v>168</v>
      </c>
      <c r="B83" s="71">
        <f>B75*(1-1/2.2)</f>
        <v>8.8266369600000001</v>
      </c>
      <c r="C83" s="71"/>
      <c r="D83" s="72" t="s">
        <v>41</v>
      </c>
      <c r="E83" s="72" t="s">
        <v>38</v>
      </c>
      <c r="F83" s="72" t="s">
        <v>29</v>
      </c>
      <c r="G83" s="72" t="s">
        <v>60</v>
      </c>
      <c r="H83" s="72" t="s">
        <v>33</v>
      </c>
      <c r="I83" s="72">
        <v>2</v>
      </c>
      <c r="J83" s="72">
        <f t="shared" si="3"/>
        <v>2.1777740768361218</v>
      </c>
      <c r="K83" s="72">
        <v>0.30331501776206199</v>
      </c>
      <c r="L83" s="38" t="s">
        <v>31</v>
      </c>
      <c r="M83" s="38" t="s">
        <v>31</v>
      </c>
      <c r="N83" s="38" t="s">
        <v>31</v>
      </c>
      <c r="O83" s="72" t="s">
        <v>327</v>
      </c>
      <c r="P83" s="80" t="s">
        <v>599</v>
      </c>
      <c r="Q83" s="38"/>
      <c r="R83" s="31" t="s">
        <v>330</v>
      </c>
      <c r="S83" s="31">
        <f>114*0.6*B85</f>
        <v>603.74196806399993</v>
      </c>
      <c r="T83" s="31" t="s">
        <v>331</v>
      </c>
      <c r="U83" s="31">
        <f>S83*0.277778</f>
        <v>167.70623640488179</v>
      </c>
      <c r="V83" s="31" t="s">
        <v>332</v>
      </c>
      <c r="W83" s="38"/>
    </row>
    <row r="84" spans="1:23" ht="15.75" customHeight="1">
      <c r="A84" s="73" t="s">
        <v>170</v>
      </c>
      <c r="B84" s="74">
        <f>B75*(1-1/2.2)</f>
        <v>8.8266369600000001</v>
      </c>
      <c r="C84" s="74"/>
      <c r="D84" s="34" t="s">
        <v>50</v>
      </c>
      <c r="E84" s="34" t="s">
        <v>38</v>
      </c>
      <c r="F84" s="34" t="s">
        <v>29</v>
      </c>
      <c r="G84" s="34" t="s">
        <v>333</v>
      </c>
      <c r="H84" s="34" t="s">
        <v>33</v>
      </c>
      <c r="I84" s="34">
        <v>2</v>
      </c>
      <c r="J84" s="34">
        <f t="shared" si="3"/>
        <v>2.1777740768361218</v>
      </c>
      <c r="K84" s="34">
        <v>0.30331501776206199</v>
      </c>
      <c r="L84" s="31" t="s">
        <v>31</v>
      </c>
      <c r="M84" s="31" t="s">
        <v>31</v>
      </c>
      <c r="N84" s="31" t="s">
        <v>31</v>
      </c>
      <c r="O84" s="34" t="s">
        <v>327</v>
      </c>
      <c r="P84" s="81" t="s">
        <v>600</v>
      </c>
      <c r="Q84" s="31"/>
      <c r="R84" s="31" t="s">
        <v>334</v>
      </c>
      <c r="S84" s="31">
        <f>114*0.4*B85</f>
        <v>402.49464537599999</v>
      </c>
      <c r="T84" s="31" t="s">
        <v>331</v>
      </c>
      <c r="U84" s="31">
        <f>S84/38.3</f>
        <v>10.508998573785901</v>
      </c>
      <c r="V84" s="31" t="s">
        <v>335</v>
      </c>
    </row>
    <row r="85" spans="1:23" s="79" customFormat="1">
      <c r="A85" s="76" t="s">
        <v>336</v>
      </c>
      <c r="B85" s="77">
        <f>B75*(1-1/2.2)</f>
        <v>8.8266369600000001</v>
      </c>
      <c r="C85" s="77"/>
      <c r="D85" s="78" t="s">
        <v>37</v>
      </c>
      <c r="E85" s="78" t="s">
        <v>38</v>
      </c>
      <c r="F85" s="78" t="s">
        <v>29</v>
      </c>
      <c r="G85" s="78" t="s">
        <v>60</v>
      </c>
      <c r="H85" s="78" t="s">
        <v>98</v>
      </c>
      <c r="I85" s="78">
        <v>2</v>
      </c>
      <c r="J85" s="78">
        <f t="shared" si="3"/>
        <v>2.1777740768361218</v>
      </c>
      <c r="K85" s="78">
        <v>0.30331501776206199</v>
      </c>
      <c r="L85" s="57" t="s">
        <v>31</v>
      </c>
      <c r="M85" s="57" t="s">
        <v>31</v>
      </c>
      <c r="N85" s="57" t="s">
        <v>31</v>
      </c>
      <c r="O85" s="78" t="s">
        <v>327</v>
      </c>
      <c r="P85" s="82" t="s">
        <v>601</v>
      </c>
      <c r="Q85" s="57"/>
      <c r="R85" s="31"/>
      <c r="S85" s="31">
        <f>B85</f>
        <v>8.8266369600000001</v>
      </c>
      <c r="T85" s="31" t="s">
        <v>337</v>
      </c>
      <c r="U85" s="31"/>
      <c r="V85" s="31"/>
      <c r="W85" s="57"/>
    </row>
    <row r="86" spans="1:23" s="42" customFormat="1">
      <c r="A86" s="70" t="s">
        <v>93</v>
      </c>
      <c r="B86" s="71">
        <f>B76*(1-1/1.2)</f>
        <v>0.69511916799999984</v>
      </c>
      <c r="C86" s="71"/>
      <c r="D86" s="72" t="s">
        <v>37</v>
      </c>
      <c r="E86" s="72" t="s">
        <v>38</v>
      </c>
      <c r="F86" s="72" t="s">
        <v>29</v>
      </c>
      <c r="G86" s="72" t="s">
        <v>86</v>
      </c>
      <c r="H86" s="72" t="s">
        <v>33</v>
      </c>
      <c r="I86" s="72">
        <v>2</v>
      </c>
      <c r="J86" s="72">
        <f t="shared" si="3"/>
        <v>-0.36367198336754347</v>
      </c>
      <c r="K86" s="72">
        <v>0.30331501776206199</v>
      </c>
      <c r="L86" s="38" t="s">
        <v>31</v>
      </c>
      <c r="M86" s="38" t="s">
        <v>31</v>
      </c>
      <c r="N86" s="38" t="s">
        <v>31</v>
      </c>
      <c r="O86" s="72" t="s">
        <v>327</v>
      </c>
      <c r="P86" s="38" t="s">
        <v>602</v>
      </c>
      <c r="Q86" s="38"/>
      <c r="R86" s="38"/>
      <c r="S86" s="38"/>
      <c r="T86" s="38"/>
      <c r="U86" s="38"/>
      <c r="V86" s="38"/>
      <c r="W86" s="38"/>
    </row>
    <row r="87" spans="1:23">
      <c r="A87" s="73" t="s">
        <v>94</v>
      </c>
      <c r="B87" s="74">
        <f>B76*(1-1/1.2)</f>
        <v>0.69511916799999984</v>
      </c>
      <c r="C87" s="31" t="s">
        <v>95</v>
      </c>
      <c r="D87" s="34" t="s">
        <v>37</v>
      </c>
      <c r="E87" s="34" t="s">
        <v>603</v>
      </c>
      <c r="F87" s="34" t="s">
        <v>29</v>
      </c>
      <c r="G87" s="34" t="s">
        <v>86</v>
      </c>
      <c r="H87" s="34" t="s">
        <v>33</v>
      </c>
      <c r="I87" s="34">
        <v>2</v>
      </c>
      <c r="J87" s="34">
        <f t="shared" si="3"/>
        <v>-0.36367198336754347</v>
      </c>
      <c r="K87" s="34">
        <v>0.30331501776206199</v>
      </c>
      <c r="L87" s="31" t="s">
        <v>31</v>
      </c>
      <c r="M87" s="31" t="s">
        <v>31</v>
      </c>
      <c r="N87" s="31" t="s">
        <v>31</v>
      </c>
      <c r="O87" s="34" t="s">
        <v>327</v>
      </c>
      <c r="P87" s="31" t="s">
        <v>602</v>
      </c>
      <c r="Q87" s="31"/>
      <c r="V87" s="31"/>
    </row>
    <row r="88" spans="1:23" s="79" customFormat="1">
      <c r="A88" s="76" t="s">
        <v>479</v>
      </c>
      <c r="B88" s="77">
        <f>B76*(1-1/1.2)</f>
        <v>0.69511916799999984</v>
      </c>
      <c r="C88" s="77"/>
      <c r="D88" s="78" t="s">
        <v>37</v>
      </c>
      <c r="E88" s="78" t="s">
        <v>38</v>
      </c>
      <c r="F88" s="78" t="s">
        <v>29</v>
      </c>
      <c r="G88" s="78" t="s">
        <v>60</v>
      </c>
      <c r="H88" s="78" t="s">
        <v>98</v>
      </c>
      <c r="I88" s="78">
        <v>2</v>
      </c>
      <c r="J88" s="78">
        <f t="shared" si="3"/>
        <v>-0.36367198336754347</v>
      </c>
      <c r="K88" s="78">
        <v>0.30331501776206199</v>
      </c>
      <c r="L88" s="57" t="s">
        <v>31</v>
      </c>
      <c r="M88" s="57" t="s">
        <v>31</v>
      </c>
      <c r="N88" s="57" t="s">
        <v>31</v>
      </c>
      <c r="O88" s="78" t="s">
        <v>327</v>
      </c>
      <c r="P88" s="57" t="s">
        <v>604</v>
      </c>
      <c r="Q88" s="57"/>
      <c r="R88" s="57"/>
      <c r="S88" s="57"/>
      <c r="T88" s="57"/>
      <c r="U88" s="57"/>
      <c r="V88" s="57"/>
      <c r="W88" s="57"/>
    </row>
    <row r="89" spans="1:23" s="42" customFormat="1">
      <c r="A89" s="70" t="s">
        <v>100</v>
      </c>
      <c r="B89" s="71">
        <f>B77*(1-1/2.2)</f>
        <v>27.183977126400002</v>
      </c>
      <c r="C89" s="83" t="s">
        <v>101</v>
      </c>
      <c r="D89" s="72" t="s">
        <v>37</v>
      </c>
      <c r="E89" s="72" t="s">
        <v>38</v>
      </c>
      <c r="F89" s="72" t="s">
        <v>29</v>
      </c>
      <c r="G89" s="72" t="s">
        <v>86</v>
      </c>
      <c r="H89" s="72" t="s">
        <v>33</v>
      </c>
      <c r="I89" s="72">
        <v>2</v>
      </c>
      <c r="J89" s="72">
        <f t="shared" si="3"/>
        <v>3.3026277234930834</v>
      </c>
      <c r="K89" s="72">
        <v>0.30331501776206199</v>
      </c>
      <c r="L89" s="38" t="s">
        <v>31</v>
      </c>
      <c r="M89" s="38" t="s">
        <v>31</v>
      </c>
      <c r="N89" s="38" t="s">
        <v>31</v>
      </c>
      <c r="O89" s="72" t="s">
        <v>327</v>
      </c>
      <c r="P89" s="81" t="s">
        <v>605</v>
      </c>
      <c r="Q89" s="38"/>
      <c r="R89" s="38"/>
      <c r="S89" s="38"/>
      <c r="T89" s="38"/>
      <c r="U89" s="38"/>
      <c r="V89" s="38"/>
      <c r="W89" s="38"/>
    </row>
    <row r="90" spans="1:23" s="79" customFormat="1">
      <c r="A90" s="73" t="s">
        <v>352</v>
      </c>
      <c r="B90" s="77">
        <f>B77*(1-1/2.2)</f>
        <v>27.183977126400002</v>
      </c>
      <c r="C90" s="77"/>
      <c r="D90" s="78" t="s">
        <v>37</v>
      </c>
      <c r="E90" s="78" t="s">
        <v>38</v>
      </c>
      <c r="F90" s="78" t="s">
        <v>29</v>
      </c>
      <c r="G90" s="78" t="s">
        <v>60</v>
      </c>
      <c r="H90" s="78" t="s">
        <v>98</v>
      </c>
      <c r="I90" s="78">
        <v>2</v>
      </c>
      <c r="J90" s="78">
        <f t="shared" si="3"/>
        <v>3.3026277234930834</v>
      </c>
      <c r="K90" s="78">
        <v>0.30331501776206199</v>
      </c>
      <c r="L90" s="57" t="s">
        <v>31</v>
      </c>
      <c r="M90" s="57" t="s">
        <v>31</v>
      </c>
      <c r="N90" s="57" t="s">
        <v>31</v>
      </c>
      <c r="O90" s="78" t="s">
        <v>327</v>
      </c>
      <c r="P90" s="81" t="s">
        <v>606</v>
      </c>
      <c r="Q90" s="57"/>
      <c r="R90" s="57"/>
      <c r="S90" s="57"/>
      <c r="T90" s="57"/>
      <c r="U90" s="57"/>
      <c r="V90" s="57"/>
      <c r="W90" s="57"/>
    </row>
    <row r="91" spans="1:23" s="42" customFormat="1">
      <c r="A91" s="70" t="s">
        <v>93</v>
      </c>
      <c r="B91" s="71">
        <f>B78*(1-1/1.5)</f>
        <v>4.0175823200000007</v>
      </c>
      <c r="C91" s="71"/>
      <c r="D91" s="72" t="s">
        <v>37</v>
      </c>
      <c r="E91" s="72" t="s">
        <v>38</v>
      </c>
      <c r="F91" s="72" t="s">
        <v>29</v>
      </c>
      <c r="G91" s="72" t="s">
        <v>86</v>
      </c>
      <c r="H91" s="72" t="s">
        <v>33</v>
      </c>
      <c r="I91" s="72">
        <v>2</v>
      </c>
      <c r="J91" s="72">
        <f t="shared" si="3"/>
        <v>1.3906803087743045</v>
      </c>
      <c r="K91" s="72">
        <v>0.30331501776206199</v>
      </c>
      <c r="L91" s="38" t="s">
        <v>31</v>
      </c>
      <c r="M91" s="38" t="s">
        <v>31</v>
      </c>
      <c r="N91" s="38" t="s">
        <v>31</v>
      </c>
      <c r="O91" s="72" t="s">
        <v>327</v>
      </c>
      <c r="P91" s="81" t="s">
        <v>607</v>
      </c>
      <c r="Q91" s="38"/>
      <c r="R91" s="38"/>
      <c r="S91" s="38"/>
      <c r="T91" s="38"/>
      <c r="U91" s="38"/>
      <c r="V91" s="38"/>
      <c r="W91" s="38"/>
    </row>
    <row r="92" spans="1:23">
      <c r="A92" s="73" t="s">
        <v>94</v>
      </c>
      <c r="B92" s="74">
        <f>B78*(1-1/1.5)</f>
        <v>4.0175823200000007</v>
      </c>
      <c r="C92" s="31" t="s">
        <v>95</v>
      </c>
      <c r="D92" s="34" t="s">
        <v>37</v>
      </c>
      <c r="E92" s="34" t="s">
        <v>38</v>
      </c>
      <c r="F92" s="34" t="s">
        <v>29</v>
      </c>
      <c r="G92" s="34" t="s">
        <v>86</v>
      </c>
      <c r="H92" s="34" t="s">
        <v>33</v>
      </c>
      <c r="I92" s="34">
        <v>2</v>
      </c>
      <c r="J92" s="34">
        <f t="shared" si="3"/>
        <v>1.3906803087743045</v>
      </c>
      <c r="K92" s="34">
        <v>0.30331501776206199</v>
      </c>
      <c r="L92" s="31" t="s">
        <v>31</v>
      </c>
      <c r="M92" s="31" t="s">
        <v>31</v>
      </c>
      <c r="N92" s="31" t="s">
        <v>31</v>
      </c>
      <c r="O92" s="34"/>
      <c r="P92" s="81" t="s">
        <v>607</v>
      </c>
      <c r="Q92" s="31"/>
      <c r="V92" s="31"/>
    </row>
    <row r="93" spans="1:23" s="79" customFormat="1">
      <c r="A93" s="76" t="s">
        <v>594</v>
      </c>
      <c r="B93" s="77">
        <f>B78*(1-1/1.5)</f>
        <v>4.0175823200000007</v>
      </c>
      <c r="C93" s="77"/>
      <c r="D93" s="78" t="s">
        <v>37</v>
      </c>
      <c r="E93" s="78" t="s">
        <v>38</v>
      </c>
      <c r="F93" s="78" t="s">
        <v>29</v>
      </c>
      <c r="G93" s="78" t="s">
        <v>60</v>
      </c>
      <c r="H93" s="78" t="s">
        <v>98</v>
      </c>
      <c r="I93" s="78">
        <v>2</v>
      </c>
      <c r="J93" s="78">
        <f t="shared" si="3"/>
        <v>1.3906803087743045</v>
      </c>
      <c r="K93" s="78">
        <v>0.30331501776206199</v>
      </c>
      <c r="L93" s="57" t="s">
        <v>31</v>
      </c>
      <c r="M93" s="57" t="s">
        <v>31</v>
      </c>
      <c r="N93" s="57" t="s">
        <v>31</v>
      </c>
      <c r="O93" s="78" t="s">
        <v>327</v>
      </c>
      <c r="P93" s="82" t="s">
        <v>608</v>
      </c>
      <c r="Q93" s="57"/>
      <c r="R93" s="57"/>
      <c r="S93" s="57"/>
      <c r="T93" s="57"/>
      <c r="U93" s="57"/>
      <c r="V93" s="57"/>
      <c r="W93" s="57"/>
    </row>
    <row r="94" spans="1:23" s="42" customFormat="1">
      <c r="A94" s="70" t="s">
        <v>93</v>
      </c>
      <c r="B94" s="71">
        <f>B79*(1-1/1.5)</f>
        <v>16.791515416800003</v>
      </c>
      <c r="C94" s="71"/>
      <c r="D94" s="72" t="s">
        <v>37</v>
      </c>
      <c r="E94" s="72" t="s">
        <v>38</v>
      </c>
      <c r="F94" s="72" t="s">
        <v>29</v>
      </c>
      <c r="G94" s="72" t="s">
        <v>86</v>
      </c>
      <c r="H94" s="72" t="s">
        <v>33</v>
      </c>
      <c r="I94" s="72">
        <v>2</v>
      </c>
      <c r="J94" s="72">
        <f t="shared" si="3"/>
        <v>2.8208737241219421</v>
      </c>
      <c r="K94" s="72">
        <v>0.30331501776206199</v>
      </c>
      <c r="L94" s="38" t="s">
        <v>31</v>
      </c>
      <c r="M94" s="38" t="s">
        <v>31</v>
      </c>
      <c r="N94" s="38" t="s">
        <v>31</v>
      </c>
      <c r="O94" s="72" t="s">
        <v>327</v>
      </c>
      <c r="P94" s="31" t="s">
        <v>609</v>
      </c>
      <c r="Q94" s="38"/>
      <c r="R94" s="84" t="s">
        <v>578</v>
      </c>
      <c r="S94" s="38"/>
      <c r="T94" s="38"/>
      <c r="U94" s="38"/>
      <c r="V94" s="38"/>
      <c r="W94" s="38"/>
    </row>
    <row r="95" spans="1:23">
      <c r="A95" s="73" t="s">
        <v>94</v>
      </c>
      <c r="B95" s="74">
        <f>B79*(1-1/1.5)</f>
        <v>16.791515416800003</v>
      </c>
      <c r="C95" s="31" t="s">
        <v>95</v>
      </c>
      <c r="D95" s="34" t="s">
        <v>37</v>
      </c>
      <c r="E95" s="34" t="s">
        <v>38</v>
      </c>
      <c r="F95" s="34" t="s">
        <v>29</v>
      </c>
      <c r="G95" s="34" t="s">
        <v>86</v>
      </c>
      <c r="H95" s="34" t="s">
        <v>33</v>
      </c>
      <c r="I95" s="34">
        <v>2</v>
      </c>
      <c r="J95" s="34">
        <f t="shared" si="3"/>
        <v>2.8208737241219421</v>
      </c>
      <c r="K95" s="34">
        <v>0.30331501776206199</v>
      </c>
      <c r="L95" s="31" t="s">
        <v>31</v>
      </c>
      <c r="M95" s="31" t="s">
        <v>31</v>
      </c>
      <c r="N95" s="31" t="s">
        <v>31</v>
      </c>
      <c r="O95" s="34"/>
      <c r="P95" s="31" t="s">
        <v>609</v>
      </c>
      <c r="Q95" s="31"/>
      <c r="R95" s="32"/>
      <c r="V95" s="31"/>
    </row>
    <row r="96" spans="1:23" s="79" customFormat="1">
      <c r="A96" s="76" t="s">
        <v>594</v>
      </c>
      <c r="B96" s="77">
        <f>B79*(1-1/1.5)</f>
        <v>16.791515416800003</v>
      </c>
      <c r="C96" s="77"/>
      <c r="D96" s="78" t="s">
        <v>37</v>
      </c>
      <c r="E96" s="78" t="s">
        <v>38</v>
      </c>
      <c r="F96" s="78" t="s">
        <v>29</v>
      </c>
      <c r="G96" s="78" t="s">
        <v>60</v>
      </c>
      <c r="H96" s="78" t="s">
        <v>98</v>
      </c>
      <c r="I96" s="78">
        <v>2</v>
      </c>
      <c r="J96" s="78">
        <f t="shared" si="3"/>
        <v>2.8208737241219421</v>
      </c>
      <c r="K96" s="78">
        <v>0.30331501776206199</v>
      </c>
      <c r="L96" s="57" t="s">
        <v>31</v>
      </c>
      <c r="M96" s="57" t="s">
        <v>31</v>
      </c>
      <c r="N96" s="57" t="s">
        <v>31</v>
      </c>
      <c r="O96" s="78" t="s">
        <v>327</v>
      </c>
      <c r="P96" s="31" t="s">
        <v>610</v>
      </c>
      <c r="Q96" s="57"/>
      <c r="R96" s="57"/>
      <c r="S96" s="57"/>
      <c r="T96" s="57"/>
      <c r="U96" s="57"/>
      <c r="V96" s="57"/>
      <c r="W96" s="57"/>
    </row>
    <row r="97" spans="1:23">
      <c r="A97" s="31" t="s">
        <v>168</v>
      </c>
      <c r="B97" s="67">
        <v>3443.0662093965348</v>
      </c>
      <c r="C97" s="67"/>
      <c r="D97" s="31" t="s">
        <v>41</v>
      </c>
      <c r="E97" s="31" t="s">
        <v>38</v>
      </c>
      <c r="F97" s="31" t="s">
        <v>29</v>
      </c>
      <c r="G97" s="31" t="s">
        <v>60</v>
      </c>
      <c r="H97" s="31" t="s">
        <v>33</v>
      </c>
      <c r="I97" s="31">
        <v>2</v>
      </c>
      <c r="J97" s="31">
        <f t="shared" si="3"/>
        <v>8.1441176933007462</v>
      </c>
      <c r="K97" s="31">
        <v>0.28635642126552707</v>
      </c>
      <c r="L97" s="31" t="s">
        <v>31</v>
      </c>
      <c r="M97" s="31" t="s">
        <v>31</v>
      </c>
      <c r="N97" s="31" t="s">
        <v>31</v>
      </c>
      <c r="O97" s="31"/>
      <c r="P97" s="31" t="s">
        <v>329</v>
      </c>
      <c r="Q97" s="31"/>
      <c r="R97" s="31">
        <v>8612.0659290462063</v>
      </c>
      <c r="S97" s="31" t="s">
        <v>332</v>
      </c>
      <c r="V97" s="31"/>
    </row>
    <row r="98" spans="1:23">
      <c r="A98" s="31" t="s">
        <v>170</v>
      </c>
      <c r="B98" s="67">
        <f>V98</f>
        <v>325.42935775753153</v>
      </c>
      <c r="C98" s="67"/>
      <c r="D98" s="31" t="s">
        <v>50</v>
      </c>
      <c r="E98" s="31" t="s">
        <v>38</v>
      </c>
      <c r="F98" s="31" t="s">
        <v>29</v>
      </c>
      <c r="G98" s="31" t="s">
        <v>333</v>
      </c>
      <c r="H98" s="31" t="s">
        <v>33</v>
      </c>
      <c r="I98" s="31">
        <v>2</v>
      </c>
      <c r="J98" s="31">
        <f t="shared" si="3"/>
        <v>5.7851454112363054</v>
      </c>
      <c r="K98" s="31">
        <v>0.28635642126552707</v>
      </c>
      <c r="L98" s="31" t="s">
        <v>31</v>
      </c>
      <c r="M98" s="31" t="s">
        <v>31</v>
      </c>
      <c r="N98" s="31" t="s">
        <v>31</v>
      </c>
      <c r="O98" s="31"/>
      <c r="P98" s="31" t="s">
        <v>329</v>
      </c>
      <c r="Q98" s="31"/>
      <c r="R98" s="46">
        <v>3462.2095481302722</v>
      </c>
      <c r="S98" s="31" t="s">
        <v>332</v>
      </c>
      <c r="T98" s="31">
        <f>R98/0.277778</f>
        <v>12463.944402113457</v>
      </c>
      <c r="U98" s="31" t="s">
        <v>331</v>
      </c>
      <c r="V98" s="31">
        <f>T98/38.3</f>
        <v>325.42935775753153</v>
      </c>
      <c r="W98" s="31" t="s">
        <v>335</v>
      </c>
    </row>
    <row r="99" spans="1:23">
      <c r="A99" s="31" t="s">
        <v>112</v>
      </c>
      <c r="B99" s="67">
        <f>T99</f>
        <v>1555.5317658245863</v>
      </c>
      <c r="C99" s="67"/>
      <c r="D99" s="31" t="s">
        <v>113</v>
      </c>
      <c r="E99" s="31" t="s">
        <v>38</v>
      </c>
      <c r="F99" s="31" t="s">
        <v>29</v>
      </c>
      <c r="G99" s="31" t="s">
        <v>60</v>
      </c>
      <c r="H99" s="31" t="s">
        <v>33</v>
      </c>
      <c r="I99" s="31">
        <v>2</v>
      </c>
      <c r="J99" s="31">
        <f t="shared" si="3"/>
        <v>7.3495727377457509</v>
      </c>
      <c r="K99" s="31">
        <v>0.28635642126552707</v>
      </c>
      <c r="L99" s="31" t="s">
        <v>31</v>
      </c>
      <c r="M99" s="31" t="s">
        <v>31</v>
      </c>
      <c r="N99" s="31" t="s">
        <v>31</v>
      </c>
      <c r="O99" s="31"/>
      <c r="P99" s="31" t="s">
        <v>329</v>
      </c>
      <c r="Q99" s="31"/>
      <c r="R99" s="46">
        <v>432.09250284722197</v>
      </c>
      <c r="S99" s="31" t="s">
        <v>332</v>
      </c>
      <c r="T99" s="31">
        <f>R99/0.277778</f>
        <v>1555.5317658245863</v>
      </c>
      <c r="U99" s="31" t="s">
        <v>331</v>
      </c>
      <c r="V99" s="31"/>
    </row>
    <row r="100" spans="1:23">
      <c r="A100" s="31" t="s">
        <v>164</v>
      </c>
      <c r="B100" s="67">
        <f>V100</f>
        <v>73.618775648626311</v>
      </c>
      <c r="C100" s="67"/>
      <c r="D100" s="31" t="s">
        <v>37</v>
      </c>
      <c r="E100" s="31" t="s">
        <v>38</v>
      </c>
      <c r="F100" s="31" t="s">
        <v>29</v>
      </c>
      <c r="G100" s="31" t="s">
        <v>60</v>
      </c>
      <c r="H100" s="31" t="s">
        <v>33</v>
      </c>
      <c r="I100" s="31">
        <v>2</v>
      </c>
      <c r="J100" s="31">
        <f t="shared" si="3"/>
        <v>4.2989000971229112</v>
      </c>
      <c r="K100" s="31">
        <v>0.28635642126552707</v>
      </c>
      <c r="L100" s="31" t="s">
        <v>31</v>
      </c>
      <c r="M100" s="31" t="s">
        <v>31</v>
      </c>
      <c r="N100" s="31" t="s">
        <v>31</v>
      </c>
      <c r="O100" s="31"/>
      <c r="P100" s="31" t="s">
        <v>329</v>
      </c>
      <c r="Q100" s="31"/>
      <c r="R100" s="46">
        <v>916.14549654316045</v>
      </c>
      <c r="S100" s="31" t="s">
        <v>332</v>
      </c>
      <c r="T100" s="31">
        <f>R100/0.277778</f>
        <v>3298.1211490584583</v>
      </c>
      <c r="U100" s="31" t="s">
        <v>331</v>
      </c>
      <c r="V100" s="31">
        <f>T100/44.8</f>
        <v>73.618775648626311</v>
      </c>
      <c r="W100" s="31" t="s">
        <v>337</v>
      </c>
    </row>
    <row r="101" spans="1:23">
      <c r="A101" s="31" t="s">
        <v>36</v>
      </c>
      <c r="B101" s="67">
        <f>V101</f>
        <v>145.33298595708911</v>
      </c>
      <c r="C101" s="67"/>
      <c r="D101" s="31" t="s">
        <v>37</v>
      </c>
      <c r="E101" s="31" t="s">
        <v>38</v>
      </c>
      <c r="F101" s="31" t="s">
        <v>29</v>
      </c>
      <c r="G101" s="31" t="s">
        <v>86</v>
      </c>
      <c r="H101" s="31" t="s">
        <v>33</v>
      </c>
      <c r="I101" s="31">
        <v>2</v>
      </c>
      <c r="J101" s="31">
        <f t="shared" si="3"/>
        <v>4.9790275644745527</v>
      </c>
      <c r="K101" s="31">
        <v>0.28635642126552707</v>
      </c>
      <c r="L101" s="31" t="s">
        <v>31</v>
      </c>
      <c r="M101" s="31" t="s">
        <v>31</v>
      </c>
      <c r="N101" s="31" t="s">
        <v>31</v>
      </c>
      <c r="O101" s="31"/>
      <c r="P101" s="31" t="s">
        <v>329</v>
      </c>
      <c r="Q101" s="31"/>
      <c r="R101" s="46">
        <v>1865.1081452012997</v>
      </c>
      <c r="S101" s="31" t="s">
        <v>332</v>
      </c>
      <c r="T101" s="31">
        <f>R101/0.277778</f>
        <v>6714.3839512175173</v>
      </c>
      <c r="U101" s="31" t="s">
        <v>331</v>
      </c>
      <c r="V101" s="31">
        <f>T101/46.2</f>
        <v>145.33298595708911</v>
      </c>
      <c r="W101" s="31" t="s">
        <v>337</v>
      </c>
    </row>
    <row r="102" spans="1:23" s="65" customFormat="1">
      <c r="A102" s="31" t="s">
        <v>59</v>
      </c>
      <c r="B102" s="67">
        <f>V102</f>
        <v>0.8950125234894053</v>
      </c>
      <c r="C102" s="67"/>
      <c r="D102" s="31" t="s">
        <v>37</v>
      </c>
      <c r="E102" s="31" t="s">
        <v>2</v>
      </c>
      <c r="F102" s="31" t="s">
        <v>324</v>
      </c>
      <c r="G102" s="31" t="s">
        <v>60</v>
      </c>
      <c r="H102" s="31" t="s">
        <v>33</v>
      </c>
      <c r="I102" s="31">
        <v>2</v>
      </c>
      <c r="J102" s="31">
        <f t="shared" si="3"/>
        <v>-0.11091756807958644</v>
      </c>
      <c r="K102" s="31">
        <v>0.28635642126552707</v>
      </c>
      <c r="L102" s="31" t="s">
        <v>31</v>
      </c>
      <c r="M102" s="31" t="s">
        <v>31</v>
      </c>
      <c r="N102" s="31" t="s">
        <v>31</v>
      </c>
      <c r="O102" s="45"/>
      <c r="P102" s="31" t="s">
        <v>329</v>
      </c>
      <c r="Q102" s="45"/>
      <c r="R102" s="46">
        <v>10.939050704992962</v>
      </c>
      <c r="S102" s="31" t="s">
        <v>332</v>
      </c>
      <c r="T102" s="31">
        <f>R102/0.277778</f>
        <v>39.380551033533834</v>
      </c>
      <c r="U102" s="31" t="s">
        <v>331</v>
      </c>
      <c r="V102" s="31">
        <f>T102/44</f>
        <v>0.8950125234894053</v>
      </c>
      <c r="W102" s="31" t="s">
        <v>337</v>
      </c>
    </row>
    <row r="103" spans="1:23">
      <c r="A103" s="31" t="s">
        <v>172</v>
      </c>
      <c r="B103" s="45">
        <f>T103</f>
        <v>8400.4381824198099</v>
      </c>
      <c r="C103" s="45"/>
      <c r="D103" s="31" t="s">
        <v>37</v>
      </c>
      <c r="E103" s="31" t="s">
        <v>38</v>
      </c>
      <c r="F103" s="31" t="s">
        <v>29</v>
      </c>
      <c r="G103" s="31" t="s">
        <v>60</v>
      </c>
      <c r="H103" s="31" t="s">
        <v>33</v>
      </c>
      <c r="I103" s="31">
        <v>2</v>
      </c>
      <c r="J103" s="31">
        <f t="shared" si="3"/>
        <v>9.0360391480446687</v>
      </c>
      <c r="K103" s="31">
        <v>0.28635642126552707</v>
      </c>
      <c r="L103" s="31" t="s">
        <v>31</v>
      </c>
      <c r="M103" s="31" t="s">
        <v>31</v>
      </c>
      <c r="N103" s="31" t="s">
        <v>31</v>
      </c>
      <c r="O103" s="31"/>
      <c r="P103" s="31" t="s">
        <v>329</v>
      </c>
      <c r="Q103" s="31"/>
      <c r="R103" s="31">
        <v>8.4192130274710699</v>
      </c>
      <c r="S103" s="31" t="s">
        <v>335</v>
      </c>
      <c r="T103" s="31">
        <f>R103*997.77</f>
        <v>8400.4381824198099</v>
      </c>
      <c r="U103" s="31" t="s">
        <v>337</v>
      </c>
      <c r="V103" s="31"/>
    </row>
    <row r="104" spans="1:23">
      <c r="A104" s="51" t="s">
        <v>580</v>
      </c>
      <c r="B104" s="66">
        <f>R104</f>
        <v>7.8508144833142843</v>
      </c>
      <c r="C104" s="66"/>
      <c r="D104" s="31" t="s">
        <v>50</v>
      </c>
      <c r="E104" s="31" t="s">
        <v>2</v>
      </c>
      <c r="F104" s="31" t="s">
        <v>29</v>
      </c>
      <c r="G104" s="51" t="s">
        <v>86</v>
      </c>
      <c r="H104" s="31" t="s">
        <v>33</v>
      </c>
      <c r="I104" s="31">
        <v>2</v>
      </c>
      <c r="J104" s="31">
        <f t="shared" si="3"/>
        <v>2.0606172822482671</v>
      </c>
      <c r="K104" s="31">
        <v>0.28635642126552707</v>
      </c>
      <c r="L104" s="31" t="s">
        <v>31</v>
      </c>
      <c r="M104" s="31" t="s">
        <v>31</v>
      </c>
      <c r="N104" s="31" t="s">
        <v>31</v>
      </c>
      <c r="O104" s="31"/>
      <c r="P104" s="31" t="s">
        <v>329</v>
      </c>
      <c r="Q104" s="31"/>
      <c r="R104" s="31">
        <v>7.8508144833142843</v>
      </c>
      <c r="S104" s="31" t="s">
        <v>335</v>
      </c>
      <c r="V104" s="31"/>
    </row>
    <row r="105" spans="1:23">
      <c r="A105" s="31" t="s">
        <v>581</v>
      </c>
      <c r="B105" s="66">
        <f>R105</f>
        <v>190.50356802745242</v>
      </c>
      <c r="C105" s="66"/>
      <c r="D105" s="31" t="s">
        <v>37</v>
      </c>
      <c r="E105" s="31" t="s">
        <v>2</v>
      </c>
      <c r="F105" s="31" t="s">
        <v>29</v>
      </c>
      <c r="G105" s="31" t="s">
        <v>86</v>
      </c>
      <c r="H105" s="31" t="s">
        <v>33</v>
      </c>
      <c r="I105" s="31">
        <v>2</v>
      </c>
      <c r="J105" s="31">
        <f t="shared" si="3"/>
        <v>5.2496709241942545</v>
      </c>
      <c r="K105" s="31">
        <v>0.28635642126552707</v>
      </c>
      <c r="L105" s="31" t="s">
        <v>31</v>
      </c>
      <c r="M105" s="31" t="s">
        <v>31</v>
      </c>
      <c r="N105" s="31" t="s">
        <v>31</v>
      </c>
      <c r="O105" s="31"/>
      <c r="P105" s="31" t="s">
        <v>329</v>
      </c>
      <c r="Q105" s="31"/>
      <c r="R105" s="31">
        <v>190.50356802745242</v>
      </c>
      <c r="S105" s="31" t="s">
        <v>337</v>
      </c>
      <c r="V105" s="31"/>
    </row>
    <row r="106" spans="1:23">
      <c r="A106" s="31" t="s">
        <v>48</v>
      </c>
      <c r="B106" s="66">
        <f t="shared" ref="B106:B109" si="4">R106</f>
        <v>3579.0632225236832</v>
      </c>
      <c r="C106" s="66"/>
      <c r="D106" s="31" t="s">
        <v>37</v>
      </c>
      <c r="E106" s="31" t="s">
        <v>43</v>
      </c>
      <c r="F106" s="31" t="s">
        <v>44</v>
      </c>
      <c r="G106" s="31" t="s">
        <v>29</v>
      </c>
      <c r="H106" s="31" t="s">
        <v>45</v>
      </c>
      <c r="I106" s="31">
        <v>2</v>
      </c>
      <c r="J106" s="31">
        <f t="shared" si="3"/>
        <v>8.1828563754671375</v>
      </c>
      <c r="K106" s="31">
        <v>0.28635642126552707</v>
      </c>
      <c r="L106" s="31" t="s">
        <v>31</v>
      </c>
      <c r="M106" s="31" t="s">
        <v>31</v>
      </c>
      <c r="N106" s="31" t="s">
        <v>31</v>
      </c>
      <c r="O106" s="31"/>
      <c r="P106" s="31" t="s">
        <v>329</v>
      </c>
      <c r="Q106" s="31"/>
      <c r="R106" s="31">
        <v>3579.0632225236832</v>
      </c>
      <c r="S106" s="31" t="s">
        <v>337</v>
      </c>
      <c r="V106" s="31"/>
    </row>
    <row r="107" spans="1:23">
      <c r="A107" s="31" t="s">
        <v>51</v>
      </c>
      <c r="B107" s="66">
        <f t="shared" si="4"/>
        <v>3.8286677467475362E-2</v>
      </c>
      <c r="C107" s="66"/>
      <c r="D107" s="31" t="s">
        <v>37</v>
      </c>
      <c r="E107" s="31" t="s">
        <v>43</v>
      </c>
      <c r="F107" s="31" t="s">
        <v>44</v>
      </c>
      <c r="G107" s="31" t="s">
        <v>29</v>
      </c>
      <c r="H107" s="31" t="s">
        <v>45</v>
      </c>
      <c r="I107" s="31">
        <v>2</v>
      </c>
      <c r="J107" s="31">
        <f t="shared" si="3"/>
        <v>-3.2626532901104786</v>
      </c>
      <c r="K107" s="31">
        <v>0.28635642126552707</v>
      </c>
      <c r="L107" s="31" t="s">
        <v>31</v>
      </c>
      <c r="M107" s="31" t="s">
        <v>31</v>
      </c>
      <c r="N107" s="31" t="s">
        <v>31</v>
      </c>
      <c r="O107" s="31"/>
      <c r="P107" s="31" t="s">
        <v>329</v>
      </c>
      <c r="Q107" s="31"/>
      <c r="R107" s="31">
        <v>3.8286677467475362E-2</v>
      </c>
      <c r="S107" s="31" t="s">
        <v>337</v>
      </c>
      <c r="V107" s="31"/>
    </row>
    <row r="108" spans="1:23">
      <c r="A108" s="31" t="s">
        <v>42</v>
      </c>
      <c r="B108" s="66">
        <f t="shared" si="4"/>
        <v>0.60711731412710934</v>
      </c>
      <c r="C108" s="66"/>
      <c r="D108" s="31" t="s">
        <v>37</v>
      </c>
      <c r="E108" s="31" t="s">
        <v>43</v>
      </c>
      <c r="F108" s="31" t="s">
        <v>44</v>
      </c>
      <c r="G108" s="31" t="s">
        <v>29</v>
      </c>
      <c r="H108" s="31" t="s">
        <v>45</v>
      </c>
      <c r="I108" s="31">
        <v>2</v>
      </c>
      <c r="J108" s="31">
        <f t="shared" si="3"/>
        <v>-0.49903323785345782</v>
      </c>
      <c r="K108" s="31">
        <v>0.28635642126552707</v>
      </c>
      <c r="L108" s="31" t="s">
        <v>31</v>
      </c>
      <c r="M108" s="31" t="s">
        <v>31</v>
      </c>
      <c r="N108" s="31" t="s">
        <v>31</v>
      </c>
      <c r="O108" s="31"/>
      <c r="P108" s="31" t="s">
        <v>329</v>
      </c>
      <c r="Q108" s="31"/>
      <c r="R108" s="31">
        <v>0.60711731412710934</v>
      </c>
      <c r="S108" s="31" t="s">
        <v>337</v>
      </c>
      <c r="V108" s="31"/>
    </row>
    <row r="109" spans="1:23">
      <c r="A109" s="31" t="s">
        <v>490</v>
      </c>
      <c r="B109" s="66">
        <f t="shared" si="4"/>
        <v>2.8742355727369002</v>
      </c>
      <c r="C109" s="66"/>
      <c r="D109" s="31" t="s">
        <v>37</v>
      </c>
      <c r="E109" s="31" t="s">
        <v>43</v>
      </c>
      <c r="F109" s="31" t="s">
        <v>44</v>
      </c>
      <c r="G109" s="31" t="s">
        <v>29</v>
      </c>
      <c r="H109" s="31" t="s">
        <v>45</v>
      </c>
      <c r="I109" s="31">
        <v>2</v>
      </c>
      <c r="J109" s="31">
        <f t="shared" si="3"/>
        <v>1.0557867511512138</v>
      </c>
      <c r="K109" s="31">
        <v>0.28635642126552707</v>
      </c>
      <c r="L109" s="31" t="s">
        <v>31</v>
      </c>
      <c r="M109" s="31" t="s">
        <v>31</v>
      </c>
      <c r="N109" s="31" t="s">
        <v>31</v>
      </c>
      <c r="O109" s="31"/>
      <c r="P109" s="31" t="s">
        <v>329</v>
      </c>
      <c r="Q109" s="31"/>
      <c r="R109" s="31">
        <v>2.8742355727369002</v>
      </c>
      <c r="S109" s="31" t="s">
        <v>337</v>
      </c>
      <c r="V109" s="31"/>
    </row>
    <row r="110" spans="1:23" s="42" customFormat="1">
      <c r="A110" s="36" t="s">
        <v>5</v>
      </c>
      <c r="B110" s="36" t="s">
        <v>586</v>
      </c>
      <c r="C110" s="36"/>
      <c r="D110" s="37"/>
      <c r="E110" s="38"/>
      <c r="F110" s="38"/>
      <c r="G110" s="38"/>
      <c r="H110" s="38"/>
      <c r="I110" s="38"/>
      <c r="J110" s="38"/>
      <c r="K110" s="38"/>
      <c r="L110" s="38"/>
      <c r="M110" s="38"/>
      <c r="N110" s="38"/>
      <c r="O110" s="38"/>
      <c r="P110" s="38" t="s">
        <v>329</v>
      </c>
      <c r="Q110" s="38"/>
      <c r="R110" s="38"/>
      <c r="S110" s="38"/>
      <c r="T110" s="38"/>
      <c r="U110" s="38"/>
      <c r="V110" s="38"/>
      <c r="W110" s="38"/>
    </row>
    <row r="111" spans="1:23">
      <c r="A111" s="31" t="s">
        <v>7</v>
      </c>
      <c r="B111" s="31" t="s">
        <v>324</v>
      </c>
      <c r="C111" s="31"/>
      <c r="D111" s="31"/>
      <c r="E111" s="31"/>
      <c r="F111" s="31"/>
      <c r="G111" s="31"/>
      <c r="H111" s="31"/>
      <c r="I111" s="31"/>
      <c r="J111" s="31"/>
      <c r="K111" s="31"/>
      <c r="L111" s="31"/>
      <c r="M111" s="31"/>
      <c r="N111" s="31"/>
      <c r="O111" s="31"/>
      <c r="P111" s="31" t="s">
        <v>329</v>
      </c>
      <c r="Q111" s="31"/>
      <c r="V111" s="31"/>
    </row>
    <row r="112" spans="1:23">
      <c r="A112" s="31" t="s">
        <v>9</v>
      </c>
      <c r="B112" s="43" t="s">
        <v>611</v>
      </c>
      <c r="C112" s="31"/>
      <c r="D112" s="31"/>
      <c r="E112" s="31"/>
      <c r="F112" s="31"/>
      <c r="G112" s="31"/>
      <c r="H112" s="31"/>
      <c r="I112" s="31"/>
      <c r="J112" s="31"/>
      <c r="K112" s="31"/>
      <c r="L112" s="31"/>
      <c r="M112" s="31"/>
      <c r="N112" s="31"/>
      <c r="O112" s="31"/>
      <c r="P112" s="31" t="s">
        <v>329</v>
      </c>
      <c r="Q112" s="31"/>
      <c r="V112" s="31"/>
    </row>
    <row r="113" spans="1:23">
      <c r="A113" s="31" t="s">
        <v>11</v>
      </c>
      <c r="B113" s="31" t="s">
        <v>612</v>
      </c>
      <c r="C113" s="31"/>
      <c r="D113" s="31"/>
      <c r="E113" s="31"/>
      <c r="F113" s="31"/>
      <c r="G113" s="31"/>
      <c r="H113" s="31"/>
      <c r="I113" s="31"/>
      <c r="J113" s="31"/>
      <c r="K113" s="31"/>
      <c r="L113" s="31"/>
      <c r="M113" s="31"/>
      <c r="N113" s="31"/>
      <c r="O113" s="31"/>
      <c r="P113" s="31" t="s">
        <v>329</v>
      </c>
      <c r="Q113" s="31"/>
      <c r="V113" s="31"/>
    </row>
    <row r="114" spans="1:23">
      <c r="A114" s="31" t="s">
        <v>13</v>
      </c>
      <c r="B114" s="47" t="s">
        <v>60</v>
      </c>
      <c r="C114" s="31"/>
      <c r="D114" s="31"/>
      <c r="E114" s="31"/>
      <c r="F114" s="31"/>
      <c r="G114" s="31"/>
      <c r="H114" s="31"/>
      <c r="I114" s="31"/>
      <c r="J114" s="31"/>
      <c r="K114" s="31"/>
      <c r="L114" s="31"/>
      <c r="M114" s="31"/>
      <c r="N114" s="31"/>
      <c r="O114" s="31"/>
      <c r="P114" s="31" t="s">
        <v>329</v>
      </c>
      <c r="Q114" s="31"/>
      <c r="V114" s="31"/>
    </row>
    <row r="115" spans="1:23">
      <c r="A115" s="31" t="s">
        <v>15</v>
      </c>
      <c r="B115" s="31">
        <v>1</v>
      </c>
      <c r="C115" s="31"/>
      <c r="D115" s="31"/>
      <c r="E115" s="31"/>
      <c r="F115" s="31"/>
      <c r="G115" s="31"/>
      <c r="H115" s="31"/>
      <c r="I115" s="31"/>
      <c r="J115" s="31"/>
      <c r="K115" s="31"/>
      <c r="L115" s="31"/>
      <c r="M115" s="31"/>
      <c r="N115" s="31"/>
      <c r="O115" s="31"/>
      <c r="P115" s="31" t="s">
        <v>329</v>
      </c>
      <c r="Q115" s="31"/>
      <c r="V115" s="31"/>
    </row>
    <row r="116" spans="1:23">
      <c r="A116" s="31" t="s">
        <v>16</v>
      </c>
      <c r="B116" s="31" t="s">
        <v>17</v>
      </c>
      <c r="C116" s="31"/>
      <c r="D116" s="31"/>
      <c r="E116" s="31"/>
      <c r="F116" s="31"/>
      <c r="G116" s="31"/>
      <c r="H116" s="31"/>
      <c r="I116" s="31"/>
      <c r="J116" s="31"/>
      <c r="K116" s="31"/>
      <c r="L116" s="31"/>
      <c r="M116" s="31"/>
      <c r="N116" s="31"/>
      <c r="O116" s="31"/>
      <c r="P116" s="31" t="s">
        <v>329</v>
      </c>
      <c r="Q116" s="31"/>
      <c r="V116" s="31"/>
    </row>
    <row r="117" spans="1:23">
      <c r="A117" s="31" t="s">
        <v>18</v>
      </c>
      <c r="B117" s="31" t="s">
        <v>18</v>
      </c>
      <c r="C117" s="31"/>
      <c r="D117" s="31"/>
      <c r="E117" s="31" t="s">
        <v>77</v>
      </c>
      <c r="F117" s="31"/>
      <c r="G117" s="31"/>
      <c r="H117" s="31"/>
      <c r="I117" s="31"/>
      <c r="J117" s="31"/>
      <c r="K117" s="31"/>
      <c r="L117" s="31"/>
      <c r="M117" s="31"/>
      <c r="N117" s="31"/>
      <c r="O117" s="31"/>
      <c r="P117" s="31" t="s">
        <v>329</v>
      </c>
      <c r="Q117" s="31"/>
      <c r="V117" s="31"/>
    </row>
    <row r="118" spans="1:23">
      <c r="A118" s="32" t="s">
        <v>19</v>
      </c>
      <c r="B118" s="31"/>
      <c r="C118" s="31"/>
      <c r="D118" s="31"/>
      <c r="E118" s="31"/>
      <c r="F118" s="31"/>
      <c r="G118" s="31"/>
      <c r="H118" s="31"/>
      <c r="I118" s="31"/>
      <c r="J118" s="31"/>
      <c r="K118" s="31"/>
      <c r="L118" s="31"/>
      <c r="M118" s="31"/>
      <c r="N118" s="31"/>
      <c r="O118" s="31"/>
      <c r="P118" s="31" t="s">
        <v>329</v>
      </c>
      <c r="Q118" s="31"/>
      <c r="V118" s="31"/>
    </row>
    <row r="119" spans="1:23">
      <c r="A119" s="32" t="s">
        <v>20</v>
      </c>
      <c r="B119" s="32" t="s">
        <v>21</v>
      </c>
      <c r="C119" s="32" t="s">
        <v>78</v>
      </c>
      <c r="D119" s="32" t="s">
        <v>18</v>
      </c>
      <c r="E119" s="32" t="s">
        <v>22</v>
      </c>
      <c r="F119" s="32" t="s">
        <v>7</v>
      </c>
      <c r="G119" s="32" t="s">
        <v>13</v>
      </c>
      <c r="H119" s="32" t="s">
        <v>16</v>
      </c>
      <c r="I119" s="32" t="s">
        <v>23</v>
      </c>
      <c r="J119" s="32" t="s">
        <v>24</v>
      </c>
      <c r="K119" s="32" t="s">
        <v>25</v>
      </c>
      <c r="L119" s="32" t="s">
        <v>26</v>
      </c>
      <c r="M119" s="32" t="s">
        <v>27</v>
      </c>
      <c r="N119" s="32" t="s">
        <v>28</v>
      </c>
      <c r="O119" s="32" t="s">
        <v>11</v>
      </c>
      <c r="P119" s="32" t="s">
        <v>555</v>
      </c>
      <c r="Q119" s="31"/>
      <c r="V119" s="31"/>
    </row>
    <row r="120" spans="1:23">
      <c r="A120" s="31" t="s">
        <v>586</v>
      </c>
      <c r="B120" s="31">
        <v>1</v>
      </c>
      <c r="C120" s="31"/>
      <c r="D120" s="31" t="s">
        <v>18</v>
      </c>
      <c r="E120" s="31" t="s">
        <v>2</v>
      </c>
      <c r="F120" s="31" t="s">
        <v>29</v>
      </c>
      <c r="G120" s="47" t="s">
        <v>60</v>
      </c>
      <c r="H120" s="31" t="s">
        <v>30</v>
      </c>
      <c r="I120" s="31">
        <v>1</v>
      </c>
      <c r="J120" s="31">
        <f>B120</f>
        <v>1</v>
      </c>
      <c r="K120" s="31" t="s">
        <v>31</v>
      </c>
      <c r="L120" s="31" t="s">
        <v>31</v>
      </c>
      <c r="M120" s="31" t="s">
        <v>31</v>
      </c>
      <c r="N120" s="31" t="s">
        <v>31</v>
      </c>
      <c r="O120" s="31"/>
      <c r="P120" s="31"/>
      <c r="Q120" s="31"/>
      <c r="V120" s="31"/>
    </row>
    <row r="121" spans="1:23">
      <c r="A121" s="68" t="s">
        <v>494</v>
      </c>
      <c r="B121" s="35">
        <f>80.6884*1.5</f>
        <v>121.0326</v>
      </c>
      <c r="C121" s="35"/>
      <c r="D121" s="35" t="s">
        <v>37</v>
      </c>
      <c r="E121" s="35" t="s">
        <v>38</v>
      </c>
      <c r="F121" s="35" t="s">
        <v>29</v>
      </c>
      <c r="G121" s="35" t="s">
        <v>60</v>
      </c>
      <c r="H121" s="35" t="s">
        <v>33</v>
      </c>
      <c r="I121" s="35">
        <v>2</v>
      </c>
      <c r="J121" s="35">
        <f t="shared" ref="J121:J143" si="5">LN(B121)</f>
        <v>4.7960599307968934</v>
      </c>
      <c r="K121" s="35">
        <v>0.30331501776206199</v>
      </c>
      <c r="L121" s="31" t="s">
        <v>31</v>
      </c>
      <c r="M121" s="31" t="s">
        <v>31</v>
      </c>
      <c r="N121" s="31" t="s">
        <v>31</v>
      </c>
      <c r="O121" s="35" t="s">
        <v>590</v>
      </c>
      <c r="P121" s="31" t="s">
        <v>329</v>
      </c>
      <c r="Q121" s="31"/>
      <c r="V121" s="31"/>
    </row>
    <row r="122" spans="1:23">
      <c r="A122" s="68" t="s">
        <v>613</v>
      </c>
      <c r="B122" s="35">
        <f>90.77445*8.333</f>
        <v>756.42349185</v>
      </c>
      <c r="C122" s="35"/>
      <c r="D122" s="35" t="s">
        <v>37</v>
      </c>
      <c r="E122" s="35" t="s">
        <v>38</v>
      </c>
      <c r="F122" s="35" t="s">
        <v>29</v>
      </c>
      <c r="G122" s="35" t="s">
        <v>60</v>
      </c>
      <c r="H122" s="35" t="s">
        <v>33</v>
      </c>
      <c r="I122" s="35">
        <v>2</v>
      </c>
      <c r="J122" s="35">
        <f t="shared" si="5"/>
        <v>6.628601393745182</v>
      </c>
      <c r="K122" s="35">
        <v>0.30331501776206199</v>
      </c>
      <c r="L122" s="31" t="s">
        <v>31</v>
      </c>
      <c r="M122" s="31" t="s">
        <v>31</v>
      </c>
      <c r="N122" s="31" t="s">
        <v>31</v>
      </c>
      <c r="O122" s="35" t="s">
        <v>590</v>
      </c>
      <c r="P122" s="31" t="s">
        <v>614</v>
      </c>
      <c r="Q122" s="31"/>
      <c r="V122" s="31"/>
    </row>
    <row r="123" spans="1:23">
      <c r="A123" s="68" t="s">
        <v>449</v>
      </c>
      <c r="B123" s="35">
        <f>30.25815*7</f>
        <v>211.80705</v>
      </c>
      <c r="C123" s="35"/>
      <c r="D123" s="35" t="s">
        <v>37</v>
      </c>
      <c r="E123" s="35" t="s">
        <v>38</v>
      </c>
      <c r="F123" s="35" t="s">
        <v>29</v>
      </c>
      <c r="G123" s="35" t="s">
        <v>60</v>
      </c>
      <c r="H123" s="35" t="s">
        <v>33</v>
      </c>
      <c r="I123" s="35">
        <v>2</v>
      </c>
      <c r="J123" s="35">
        <f t="shared" si="5"/>
        <v>5.3556757187323161</v>
      </c>
      <c r="K123" s="35">
        <v>0.30331501776206199</v>
      </c>
      <c r="L123" s="31" t="s">
        <v>31</v>
      </c>
      <c r="M123" s="31" t="s">
        <v>31</v>
      </c>
      <c r="N123" s="31" t="s">
        <v>31</v>
      </c>
      <c r="O123" s="35" t="s">
        <v>590</v>
      </c>
      <c r="P123" s="31" t="s">
        <v>615</v>
      </c>
      <c r="Q123" s="31"/>
      <c r="V123" s="31"/>
    </row>
    <row r="124" spans="1:23" s="90" customFormat="1">
      <c r="A124" s="85" t="s">
        <v>581</v>
      </c>
      <c r="B124" s="86">
        <f>B121*(1-1/1.5)</f>
        <v>40.344200000000008</v>
      </c>
      <c r="C124" s="86"/>
      <c r="D124" s="87" t="s">
        <v>37</v>
      </c>
      <c r="E124" s="87" t="s">
        <v>38</v>
      </c>
      <c r="F124" s="87" t="s">
        <v>29</v>
      </c>
      <c r="G124" s="87" t="s">
        <v>86</v>
      </c>
      <c r="H124" s="87" t="s">
        <v>33</v>
      </c>
      <c r="I124" s="87">
        <v>2</v>
      </c>
      <c r="J124" s="87">
        <f t="shared" si="5"/>
        <v>3.6974476421287834</v>
      </c>
      <c r="K124" s="87">
        <v>0.30331501776206199</v>
      </c>
      <c r="L124" s="87" t="s">
        <v>31</v>
      </c>
      <c r="M124" s="87" t="s">
        <v>31</v>
      </c>
      <c r="N124" s="87" t="s">
        <v>31</v>
      </c>
      <c r="O124" s="87" t="s">
        <v>327</v>
      </c>
      <c r="P124" s="88" t="s">
        <v>616</v>
      </c>
      <c r="Q124" s="89"/>
      <c r="R124" s="89"/>
      <c r="S124" s="89"/>
      <c r="T124" s="89"/>
      <c r="U124" s="89"/>
      <c r="V124" s="89"/>
      <c r="W124" s="89"/>
    </row>
    <row r="125" spans="1:23" s="42" customFormat="1">
      <c r="A125" s="70" t="s">
        <v>168</v>
      </c>
      <c r="B125" s="71">
        <f>B122*(1-1/8.333)</f>
        <v>665.64904185</v>
      </c>
      <c r="C125" s="71"/>
      <c r="D125" s="72" t="s">
        <v>41</v>
      </c>
      <c r="E125" s="72" t="s">
        <v>38</v>
      </c>
      <c r="F125" s="72" t="s">
        <v>29</v>
      </c>
      <c r="G125" s="72" t="s">
        <v>60</v>
      </c>
      <c r="H125" s="72" t="s">
        <v>33</v>
      </c>
      <c r="I125" s="72">
        <v>2</v>
      </c>
      <c r="J125" s="72">
        <f>LN(B125)</f>
        <v>6.5007625674567748</v>
      </c>
      <c r="K125" s="72">
        <v>0.30331501776206199</v>
      </c>
      <c r="L125" s="72" t="s">
        <v>31</v>
      </c>
      <c r="M125" s="72" t="s">
        <v>31</v>
      </c>
      <c r="N125" s="72" t="s">
        <v>31</v>
      </c>
      <c r="O125" s="72" t="s">
        <v>327</v>
      </c>
      <c r="P125" s="80" t="s">
        <v>599</v>
      </c>
      <c r="Q125" s="31" t="s">
        <v>329</v>
      </c>
      <c r="R125" s="31" t="s">
        <v>330</v>
      </c>
      <c r="S125" s="31">
        <f>114*0.6*B127</f>
        <v>45530.394462539996</v>
      </c>
      <c r="T125" s="31" t="s">
        <v>331</v>
      </c>
      <c r="U125" s="31">
        <f>S125*0.277778</f>
        <v>12647.341913015436</v>
      </c>
      <c r="V125" s="31" t="s">
        <v>332</v>
      </c>
      <c r="W125" s="38"/>
    </row>
    <row r="126" spans="1:23">
      <c r="A126" s="73" t="s">
        <v>170</v>
      </c>
      <c r="B126" s="74">
        <f>B122*(1-1/8.333)</f>
        <v>665.64904185</v>
      </c>
      <c r="C126" s="74"/>
      <c r="D126" s="34" t="s">
        <v>50</v>
      </c>
      <c r="E126" s="34" t="s">
        <v>38</v>
      </c>
      <c r="F126" s="34" t="s">
        <v>29</v>
      </c>
      <c r="G126" s="34" t="s">
        <v>333</v>
      </c>
      <c r="H126" s="34" t="s">
        <v>33</v>
      </c>
      <c r="I126" s="34">
        <v>2</v>
      </c>
      <c r="J126" s="34">
        <f t="shared" ref="J126" si="6">LN(B126)</f>
        <v>6.5007625674567748</v>
      </c>
      <c r="K126" s="34">
        <v>0.30331501776206199</v>
      </c>
      <c r="L126" s="34" t="s">
        <v>31</v>
      </c>
      <c r="M126" s="34" t="s">
        <v>31</v>
      </c>
      <c r="N126" s="34" t="s">
        <v>31</v>
      </c>
      <c r="O126" s="34" t="s">
        <v>327</v>
      </c>
      <c r="P126" s="81" t="s">
        <v>600</v>
      </c>
      <c r="Q126" s="31" t="s">
        <v>329</v>
      </c>
      <c r="R126" s="31" t="s">
        <v>334</v>
      </c>
      <c r="S126" s="31">
        <f>114*0.4*B127</f>
        <v>30353.59630836</v>
      </c>
      <c r="T126" s="31" t="s">
        <v>331</v>
      </c>
      <c r="U126" s="31">
        <f>S126/38.3</f>
        <v>792.52209682402099</v>
      </c>
      <c r="V126" s="31" t="s">
        <v>335</v>
      </c>
    </row>
    <row r="127" spans="1:23" s="79" customFormat="1">
      <c r="A127" s="76" t="s">
        <v>613</v>
      </c>
      <c r="B127" s="91">
        <f>B122*(1-1/8.333)</f>
        <v>665.64904185</v>
      </c>
      <c r="C127" s="91"/>
      <c r="D127" s="78" t="s">
        <v>37</v>
      </c>
      <c r="E127" s="78" t="s">
        <v>38</v>
      </c>
      <c r="F127" s="78" t="s">
        <v>29</v>
      </c>
      <c r="G127" s="78" t="s">
        <v>60</v>
      </c>
      <c r="H127" s="78" t="s">
        <v>98</v>
      </c>
      <c r="I127" s="78">
        <v>2</v>
      </c>
      <c r="J127" s="78">
        <f t="shared" si="5"/>
        <v>6.5007625674567748</v>
      </c>
      <c r="K127" s="78">
        <v>0.30331501776206199</v>
      </c>
      <c r="L127" s="57" t="s">
        <v>31</v>
      </c>
      <c r="M127" s="57" t="s">
        <v>31</v>
      </c>
      <c r="N127" s="57" t="s">
        <v>31</v>
      </c>
      <c r="O127" s="78" t="s">
        <v>327</v>
      </c>
      <c r="P127" s="57" t="s">
        <v>617</v>
      </c>
      <c r="Q127" s="57"/>
      <c r="R127" s="57"/>
      <c r="S127" s="57"/>
      <c r="T127" s="57"/>
      <c r="U127" s="57"/>
      <c r="V127" s="57"/>
      <c r="W127" s="57"/>
    </row>
    <row r="128" spans="1:23">
      <c r="A128" s="70" t="s">
        <v>93</v>
      </c>
      <c r="B128" s="92">
        <f>B123*(1-1/7)</f>
        <v>181.5489</v>
      </c>
      <c r="C128" s="92"/>
      <c r="D128" s="34" t="s">
        <v>37</v>
      </c>
      <c r="E128" s="34" t="s">
        <v>618</v>
      </c>
      <c r="F128" s="34" t="s">
        <v>29</v>
      </c>
      <c r="G128" s="34" t="s">
        <v>86</v>
      </c>
      <c r="H128" s="34" t="s">
        <v>33</v>
      </c>
      <c r="I128" s="34">
        <v>2</v>
      </c>
      <c r="J128" s="34">
        <f t="shared" si="5"/>
        <v>5.2015250389050571</v>
      </c>
      <c r="K128" s="34">
        <f>K129</f>
        <v>0.30331501776206199</v>
      </c>
      <c r="L128" s="31" t="s">
        <v>31</v>
      </c>
      <c r="M128" s="31" t="s">
        <v>31</v>
      </c>
      <c r="N128" s="31" t="s">
        <v>31</v>
      </c>
      <c r="O128" s="34"/>
      <c r="P128" s="80" t="s">
        <v>619</v>
      </c>
      <c r="Q128" s="31"/>
      <c r="V128" s="31"/>
    </row>
    <row r="129" spans="1:23">
      <c r="A129" s="73" t="s">
        <v>94</v>
      </c>
      <c r="B129" s="92">
        <f>B123*(1-1/7)</f>
        <v>181.5489</v>
      </c>
      <c r="C129" s="31" t="s">
        <v>95</v>
      </c>
      <c r="D129" s="34" t="s">
        <v>37</v>
      </c>
      <c r="E129" s="34" t="s">
        <v>38</v>
      </c>
      <c r="F129" s="34" t="s">
        <v>29</v>
      </c>
      <c r="G129" s="34" t="s">
        <v>86</v>
      </c>
      <c r="H129" s="34" t="s">
        <v>33</v>
      </c>
      <c r="I129" s="34">
        <v>2</v>
      </c>
      <c r="J129" s="34">
        <f t="shared" si="5"/>
        <v>5.2015250389050571</v>
      </c>
      <c r="K129" s="34">
        <v>0.30331501776206199</v>
      </c>
      <c r="L129" s="31" t="s">
        <v>31</v>
      </c>
      <c r="M129" s="31" t="s">
        <v>31</v>
      </c>
      <c r="N129" s="31" t="s">
        <v>31</v>
      </c>
      <c r="O129" s="34" t="s">
        <v>327</v>
      </c>
      <c r="P129" s="81" t="s">
        <v>619</v>
      </c>
      <c r="Q129" s="31"/>
      <c r="R129" s="32" t="s">
        <v>578</v>
      </c>
      <c r="V129" s="31"/>
    </row>
    <row r="130" spans="1:23">
      <c r="A130" s="93" t="s">
        <v>449</v>
      </c>
      <c r="B130" s="92">
        <f>B123*(1-1/7)</f>
        <v>181.5489</v>
      </c>
      <c r="C130" s="92"/>
      <c r="D130" s="34" t="s">
        <v>37</v>
      </c>
      <c r="E130" s="34" t="s">
        <v>38</v>
      </c>
      <c r="F130" s="34" t="s">
        <v>29</v>
      </c>
      <c r="G130" s="34" t="s">
        <v>60</v>
      </c>
      <c r="H130" s="34" t="s">
        <v>98</v>
      </c>
      <c r="I130" s="34">
        <v>2</v>
      </c>
      <c r="J130" s="34">
        <f t="shared" si="5"/>
        <v>5.2015250389050571</v>
      </c>
      <c r="K130" s="34">
        <v>0.30331501776206199</v>
      </c>
      <c r="L130" s="31" t="s">
        <v>31</v>
      </c>
      <c r="M130" s="31" t="s">
        <v>31</v>
      </c>
      <c r="N130" s="31" t="s">
        <v>31</v>
      </c>
      <c r="O130" s="34" t="s">
        <v>327</v>
      </c>
      <c r="P130" s="82" t="s">
        <v>620</v>
      </c>
      <c r="Q130" s="31"/>
      <c r="V130" s="31"/>
    </row>
    <row r="131" spans="1:23">
      <c r="A131" s="31" t="s">
        <v>168</v>
      </c>
      <c r="B131" s="67">
        <v>8073.2533782056225</v>
      </c>
      <c r="C131" s="67"/>
      <c r="D131" s="31" t="s">
        <v>41</v>
      </c>
      <c r="E131" s="31" t="s">
        <v>38</v>
      </c>
      <c r="F131" s="31" t="s">
        <v>29</v>
      </c>
      <c r="G131" s="31" t="s">
        <v>60</v>
      </c>
      <c r="H131" s="31" t="s">
        <v>33</v>
      </c>
      <c r="I131" s="31">
        <v>2</v>
      </c>
      <c r="J131" s="31">
        <f t="shared" si="5"/>
        <v>8.9963118247820404</v>
      </c>
      <c r="K131" s="31">
        <v>0.28635642126552707</v>
      </c>
      <c r="L131" s="31" t="s">
        <v>31</v>
      </c>
      <c r="M131" s="31" t="s">
        <v>31</v>
      </c>
      <c r="N131" s="31" t="s">
        <v>31</v>
      </c>
      <c r="O131" s="31"/>
      <c r="P131" s="31" t="s">
        <v>329</v>
      </c>
      <c r="Q131" s="31"/>
      <c r="R131" s="31">
        <v>7974.9016125774951</v>
      </c>
      <c r="S131" s="31" t="s">
        <v>332</v>
      </c>
      <c r="V131" s="31"/>
    </row>
    <row r="132" spans="1:23">
      <c r="A132" s="31" t="s">
        <v>170</v>
      </c>
      <c r="B132" s="67">
        <f>V132</f>
        <v>763.06219575828572</v>
      </c>
      <c r="C132" s="67"/>
      <c r="D132" s="31" t="s">
        <v>50</v>
      </c>
      <c r="E132" s="31" t="s">
        <v>38</v>
      </c>
      <c r="F132" s="31" t="s">
        <v>29</v>
      </c>
      <c r="G132" s="31" t="s">
        <v>333</v>
      </c>
      <c r="H132" s="31" t="s">
        <v>33</v>
      </c>
      <c r="I132" s="31">
        <v>2</v>
      </c>
      <c r="J132" s="31">
        <f t="shared" si="5"/>
        <v>6.6373395427175987</v>
      </c>
      <c r="K132" s="31">
        <v>0.28635642126552707</v>
      </c>
      <c r="L132" s="31" t="s">
        <v>31</v>
      </c>
      <c r="M132" s="31" t="s">
        <v>31</v>
      </c>
      <c r="N132" s="31" t="s">
        <v>31</v>
      </c>
      <c r="O132" s="31"/>
      <c r="P132" s="31" t="s">
        <v>329</v>
      </c>
      <c r="Q132" s="31"/>
      <c r="R132" s="46">
        <v>8118.1404104911171</v>
      </c>
      <c r="S132" s="31" t="s">
        <v>332</v>
      </c>
      <c r="T132" s="31">
        <f>R132/0.277778</f>
        <v>29225.282097542342</v>
      </c>
      <c r="U132" s="31" t="s">
        <v>331</v>
      </c>
      <c r="V132" s="31">
        <f>T132/38.3</f>
        <v>763.06219575828572</v>
      </c>
      <c r="W132" s="31" t="s">
        <v>335</v>
      </c>
    </row>
    <row r="133" spans="1:23">
      <c r="A133" s="31" t="s">
        <v>112</v>
      </c>
      <c r="B133" s="67">
        <f>T133</f>
        <v>3647.3890769444629</v>
      </c>
      <c r="C133" s="67"/>
      <c r="D133" s="31" t="s">
        <v>113</v>
      </c>
      <c r="E133" s="31" t="s">
        <v>38</v>
      </c>
      <c r="F133" s="31" t="s">
        <v>29</v>
      </c>
      <c r="G133" s="31" t="s">
        <v>60</v>
      </c>
      <c r="H133" s="31" t="s">
        <v>33</v>
      </c>
      <c r="I133" s="31">
        <v>2</v>
      </c>
      <c r="J133" s="31">
        <f t="shared" si="5"/>
        <v>8.2017668692270451</v>
      </c>
      <c r="K133" s="31">
        <v>0.28635642126552707</v>
      </c>
      <c r="L133" s="31" t="s">
        <v>31</v>
      </c>
      <c r="M133" s="31" t="s">
        <v>31</v>
      </c>
      <c r="N133" s="31" t="s">
        <v>31</v>
      </c>
      <c r="O133" s="31"/>
      <c r="P133" s="31" t="s">
        <v>329</v>
      </c>
      <c r="Q133" s="31"/>
      <c r="R133" s="46">
        <v>1013.1644430154792</v>
      </c>
      <c r="S133" s="31" t="s">
        <v>332</v>
      </c>
      <c r="T133" s="31">
        <f>R133/0.277778</f>
        <v>3647.3890769444629</v>
      </c>
      <c r="U133" s="31" t="s">
        <v>331</v>
      </c>
      <c r="V133" s="31"/>
    </row>
    <row r="134" spans="1:23">
      <c r="A134" s="31" t="s">
        <v>164</v>
      </c>
      <c r="B134" s="67">
        <f>V134</f>
        <v>172.62027305272306</v>
      </c>
      <c r="C134" s="67"/>
      <c r="D134" s="31" t="s">
        <v>37</v>
      </c>
      <c r="E134" s="31" t="s">
        <v>38</v>
      </c>
      <c r="F134" s="31" t="s">
        <v>29</v>
      </c>
      <c r="G134" s="31" t="s">
        <v>60</v>
      </c>
      <c r="H134" s="31" t="s">
        <v>33</v>
      </c>
      <c r="I134" s="31">
        <v>2</v>
      </c>
      <c r="J134" s="31">
        <f t="shared" si="5"/>
        <v>5.1510942286042045</v>
      </c>
      <c r="K134" s="31">
        <v>0.28635642126552702</v>
      </c>
      <c r="L134" s="31" t="s">
        <v>31</v>
      </c>
      <c r="M134" s="31" t="s">
        <v>31</v>
      </c>
      <c r="N134" s="31" t="s">
        <v>31</v>
      </c>
      <c r="O134" s="31"/>
      <c r="P134" s="31" t="s">
        <v>329</v>
      </c>
      <c r="Q134" s="31"/>
      <c r="R134" s="46">
        <v>2148.1651165201611</v>
      </c>
      <c r="S134" s="31" t="s">
        <v>332</v>
      </c>
      <c r="T134" s="31">
        <f>R134/0.277778</f>
        <v>7733.3882327619931</v>
      </c>
      <c r="U134" s="31" t="s">
        <v>331</v>
      </c>
      <c r="V134" s="31">
        <f>T134/44.8</f>
        <v>172.62027305272306</v>
      </c>
      <c r="W134" s="31" t="s">
        <v>337</v>
      </c>
    </row>
    <row r="135" spans="1:23">
      <c r="A135" s="31" t="s">
        <v>36</v>
      </c>
      <c r="B135" s="67">
        <f>V135</f>
        <v>340.77474799661951</v>
      </c>
      <c r="C135" s="67"/>
      <c r="D135" s="31" t="s">
        <v>37</v>
      </c>
      <c r="E135" s="31" t="s">
        <v>38</v>
      </c>
      <c r="F135" s="31" t="s">
        <v>29</v>
      </c>
      <c r="G135" s="31" t="s">
        <v>86</v>
      </c>
      <c r="H135" s="31" t="s">
        <v>33</v>
      </c>
      <c r="I135" s="31">
        <v>2</v>
      </c>
      <c r="J135" s="31">
        <f t="shared" si="5"/>
        <v>5.8312216959558469</v>
      </c>
      <c r="K135" s="31">
        <v>0.28635642126552707</v>
      </c>
      <c r="L135" s="31" t="s">
        <v>31</v>
      </c>
      <c r="M135" s="31" t="s">
        <v>31</v>
      </c>
      <c r="N135" s="31" t="s">
        <v>31</v>
      </c>
      <c r="O135" s="31"/>
      <c r="P135" s="31" t="s">
        <v>329</v>
      </c>
      <c r="Q135" s="31"/>
      <c r="R135" s="46">
        <v>4373.2794312440301</v>
      </c>
      <c r="S135" s="31" t="s">
        <v>332</v>
      </c>
      <c r="T135" s="31">
        <f>R135/0.277778</f>
        <v>15743.793357443821</v>
      </c>
      <c r="U135" s="31" t="s">
        <v>331</v>
      </c>
      <c r="V135" s="31">
        <f>T135/46.2</f>
        <v>340.77474799661951</v>
      </c>
      <c r="W135" s="31" t="s">
        <v>337</v>
      </c>
    </row>
    <row r="136" spans="1:23" s="65" customFormat="1">
      <c r="A136" s="31" t="s">
        <v>59</v>
      </c>
      <c r="B136" s="67">
        <f>V136</f>
        <v>2.0986128175744896</v>
      </c>
      <c r="C136" s="67"/>
      <c r="D136" s="31" t="s">
        <v>37</v>
      </c>
      <c r="E136" s="31" t="s">
        <v>2</v>
      </c>
      <c r="F136" s="31" t="s">
        <v>324</v>
      </c>
      <c r="G136" s="31" t="s">
        <v>60</v>
      </c>
      <c r="H136" s="31" t="s">
        <v>33</v>
      </c>
      <c r="I136" s="31">
        <v>2</v>
      </c>
      <c r="J136" s="31">
        <f t="shared" si="5"/>
        <v>0.74127656340170733</v>
      </c>
      <c r="K136" s="31">
        <v>0.28635642126552707</v>
      </c>
      <c r="L136" s="31" t="s">
        <v>31</v>
      </c>
      <c r="M136" s="31" t="s">
        <v>31</v>
      </c>
      <c r="N136" s="31" t="s">
        <v>31</v>
      </c>
      <c r="O136" s="45"/>
      <c r="P136" s="31" t="s">
        <v>329</v>
      </c>
      <c r="Q136" s="45"/>
      <c r="R136" s="46">
        <v>25.649732734569092</v>
      </c>
      <c r="S136" s="31" t="s">
        <v>332</v>
      </c>
      <c r="T136" s="31">
        <f>R136/0.277778</f>
        <v>92.338963973277544</v>
      </c>
      <c r="U136" s="31" t="s">
        <v>331</v>
      </c>
      <c r="V136" s="31">
        <f>T136/44</f>
        <v>2.0986128175744896</v>
      </c>
      <c r="W136" s="31" t="s">
        <v>337</v>
      </c>
    </row>
    <row r="137" spans="1:23">
      <c r="A137" s="31" t="s">
        <v>172</v>
      </c>
      <c r="B137" s="45">
        <f>T137</f>
        <v>19697.229681364392</v>
      </c>
      <c r="C137" s="45"/>
      <c r="D137" s="31" t="s">
        <v>37</v>
      </c>
      <c r="E137" s="31" t="s">
        <v>38</v>
      </c>
      <c r="F137" s="31" t="s">
        <v>29</v>
      </c>
      <c r="G137" s="31" t="s">
        <v>60</v>
      </c>
      <c r="H137" s="31" t="s">
        <v>33</v>
      </c>
      <c r="I137" s="31">
        <v>2</v>
      </c>
      <c r="J137" s="31">
        <f t="shared" si="5"/>
        <v>9.8882332795259611</v>
      </c>
      <c r="K137" s="31">
        <v>0.28635642126552707</v>
      </c>
      <c r="L137" s="31" t="s">
        <v>31</v>
      </c>
      <c r="M137" s="31" t="s">
        <v>31</v>
      </c>
      <c r="N137" s="31" t="s">
        <v>31</v>
      </c>
      <c r="O137" s="31"/>
      <c r="P137" s="31" t="s">
        <v>329</v>
      </c>
      <c r="Q137" s="31"/>
      <c r="R137" s="31">
        <v>19.741252674829262</v>
      </c>
      <c r="S137" s="31" t="s">
        <v>335</v>
      </c>
      <c r="T137" s="31">
        <f>R137*997.77</f>
        <v>19697.229681364392</v>
      </c>
      <c r="U137" s="31" t="s">
        <v>337</v>
      </c>
      <c r="V137" s="31"/>
    </row>
    <row r="138" spans="1:23">
      <c r="A138" s="51" t="s">
        <v>580</v>
      </c>
      <c r="B138" s="66">
        <f>R138</f>
        <v>18.408479737074689</v>
      </c>
      <c r="C138" s="66"/>
      <c r="D138" s="31" t="s">
        <v>50</v>
      </c>
      <c r="E138" s="31" t="s">
        <v>2</v>
      </c>
      <c r="F138" s="31" t="s">
        <v>29</v>
      </c>
      <c r="G138" s="51" t="s">
        <v>86</v>
      </c>
      <c r="H138" s="31" t="s">
        <v>33</v>
      </c>
      <c r="I138" s="31">
        <v>2</v>
      </c>
      <c r="J138" s="31">
        <f t="shared" si="5"/>
        <v>2.9128114137295609</v>
      </c>
      <c r="K138" s="31">
        <v>0.28635642126552707</v>
      </c>
      <c r="L138" s="31" t="s">
        <v>31</v>
      </c>
      <c r="M138" s="31" t="s">
        <v>31</v>
      </c>
      <c r="N138" s="31" t="s">
        <v>31</v>
      </c>
      <c r="O138" s="31"/>
      <c r="P138" s="31" t="s">
        <v>329</v>
      </c>
      <c r="Q138" s="31"/>
      <c r="R138" s="31">
        <v>18.408479737074689</v>
      </c>
      <c r="S138" s="31" t="s">
        <v>335</v>
      </c>
      <c r="V138" s="31"/>
    </row>
    <row r="139" spans="1:23">
      <c r="A139" s="31" t="s">
        <v>581</v>
      </c>
      <c r="B139" s="66">
        <f>R139</f>
        <v>446.69009557252076</v>
      </c>
      <c r="C139" s="66"/>
      <c r="D139" s="31" t="s">
        <v>37</v>
      </c>
      <c r="E139" s="31" t="s">
        <v>2</v>
      </c>
      <c r="F139" s="31" t="s">
        <v>29</v>
      </c>
      <c r="G139" s="31" t="s">
        <v>86</v>
      </c>
      <c r="H139" s="31" t="s">
        <v>33</v>
      </c>
      <c r="I139" s="31">
        <v>2</v>
      </c>
      <c r="J139" s="31">
        <f t="shared" si="5"/>
        <v>6.1018650556755487</v>
      </c>
      <c r="K139" s="31">
        <v>0.28635642126552707</v>
      </c>
      <c r="L139" s="31" t="s">
        <v>31</v>
      </c>
      <c r="M139" s="31" t="s">
        <v>31</v>
      </c>
      <c r="N139" s="31" t="s">
        <v>31</v>
      </c>
      <c r="O139" s="31"/>
      <c r="P139" s="31" t="s">
        <v>329</v>
      </c>
      <c r="Q139" s="31"/>
      <c r="R139" s="31">
        <v>446.69009557252076</v>
      </c>
      <c r="S139" s="31" t="s">
        <v>337</v>
      </c>
      <c r="V139" s="31"/>
    </row>
    <row r="140" spans="1:23">
      <c r="A140" s="31" t="s">
        <v>48</v>
      </c>
      <c r="B140" s="66">
        <f t="shared" ref="B140:B143" si="7">R140</f>
        <v>8392.1372679949673</v>
      </c>
      <c r="C140" s="66"/>
      <c r="D140" s="31" t="s">
        <v>37</v>
      </c>
      <c r="E140" s="31" t="s">
        <v>43</v>
      </c>
      <c r="F140" s="31" t="s">
        <v>44</v>
      </c>
      <c r="G140" s="31" t="s">
        <v>29</v>
      </c>
      <c r="H140" s="31" t="s">
        <v>45</v>
      </c>
      <c r="I140" s="31">
        <v>2</v>
      </c>
      <c r="J140" s="31">
        <f t="shared" si="5"/>
        <v>9.0350505069484317</v>
      </c>
      <c r="K140" s="31">
        <v>0.28635642126552707</v>
      </c>
      <c r="L140" s="31" t="s">
        <v>31</v>
      </c>
      <c r="M140" s="31" t="s">
        <v>31</v>
      </c>
      <c r="N140" s="31" t="s">
        <v>31</v>
      </c>
      <c r="O140" s="31"/>
      <c r="P140" s="31" t="s">
        <v>329</v>
      </c>
      <c r="Q140" s="31"/>
      <c r="R140" s="31">
        <v>8392.1372679949673</v>
      </c>
      <c r="S140" s="31" t="s">
        <v>337</v>
      </c>
      <c r="V140" s="31"/>
    </row>
    <row r="141" spans="1:23">
      <c r="A141" s="31" t="s">
        <v>51</v>
      </c>
      <c r="B141" s="66">
        <f t="shared" si="7"/>
        <v>8.9774064570991824E-2</v>
      </c>
      <c r="C141" s="66"/>
      <c r="D141" s="31" t="s">
        <v>37</v>
      </c>
      <c r="E141" s="31" t="s">
        <v>43</v>
      </c>
      <c r="F141" s="31" t="s">
        <v>44</v>
      </c>
      <c r="G141" s="31" t="s">
        <v>29</v>
      </c>
      <c r="H141" s="31" t="s">
        <v>45</v>
      </c>
      <c r="I141" s="31">
        <v>2</v>
      </c>
      <c r="J141" s="31">
        <f t="shared" si="5"/>
        <v>-2.4104591586291848</v>
      </c>
      <c r="K141" s="31">
        <v>0.28635642126552707</v>
      </c>
      <c r="L141" s="31" t="s">
        <v>31</v>
      </c>
      <c r="M141" s="31" t="s">
        <v>31</v>
      </c>
      <c r="N141" s="31" t="s">
        <v>31</v>
      </c>
      <c r="O141" s="31"/>
      <c r="P141" s="31" t="s">
        <v>329</v>
      </c>
      <c r="Q141" s="31"/>
      <c r="R141" s="31">
        <v>8.9774064570991824E-2</v>
      </c>
      <c r="S141" s="31" t="s">
        <v>337</v>
      </c>
      <c r="V141" s="31"/>
    </row>
    <row r="142" spans="1:23">
      <c r="A142" s="31" t="s">
        <v>42</v>
      </c>
      <c r="B142" s="66">
        <f t="shared" si="7"/>
        <v>1.4235601667685847</v>
      </c>
      <c r="C142" s="66"/>
      <c r="D142" s="31" t="s">
        <v>37</v>
      </c>
      <c r="E142" s="31" t="s">
        <v>43</v>
      </c>
      <c r="F142" s="31" t="s">
        <v>44</v>
      </c>
      <c r="G142" s="31" t="s">
        <v>29</v>
      </c>
      <c r="H142" s="31" t="s">
        <v>45</v>
      </c>
      <c r="I142" s="31">
        <v>2</v>
      </c>
      <c r="J142" s="31">
        <f t="shared" si="5"/>
        <v>0.35316089362783615</v>
      </c>
      <c r="K142" s="31">
        <v>0.28635642126552707</v>
      </c>
      <c r="L142" s="31" t="s">
        <v>31</v>
      </c>
      <c r="M142" s="31" t="s">
        <v>31</v>
      </c>
      <c r="N142" s="31" t="s">
        <v>31</v>
      </c>
      <c r="O142" s="31"/>
      <c r="P142" s="31" t="s">
        <v>329</v>
      </c>
      <c r="Q142" s="31"/>
      <c r="R142" s="31">
        <v>1.4235601667685847</v>
      </c>
      <c r="S142" s="31" t="s">
        <v>337</v>
      </c>
      <c r="V142" s="31"/>
    </row>
    <row r="143" spans="1:23">
      <c r="A143" s="31" t="s">
        <v>490</v>
      </c>
      <c r="B143" s="66">
        <f t="shared" si="7"/>
        <v>6.7394672760080292</v>
      </c>
      <c r="C143" s="66"/>
      <c r="D143" s="31" t="s">
        <v>37</v>
      </c>
      <c r="E143" s="31" t="s">
        <v>43</v>
      </c>
      <c r="F143" s="31" t="s">
        <v>44</v>
      </c>
      <c r="G143" s="31" t="s">
        <v>29</v>
      </c>
      <c r="H143" s="31" t="s">
        <v>45</v>
      </c>
      <c r="I143" s="31">
        <v>2</v>
      </c>
      <c r="J143" s="31">
        <f t="shared" si="5"/>
        <v>1.9079808826325078</v>
      </c>
      <c r="K143" s="31">
        <v>0.28635642126552707</v>
      </c>
      <c r="L143" s="31" t="s">
        <v>31</v>
      </c>
      <c r="M143" s="31" t="s">
        <v>31</v>
      </c>
      <c r="N143" s="31" t="s">
        <v>31</v>
      </c>
      <c r="O143" s="31"/>
      <c r="P143" s="31" t="s">
        <v>329</v>
      </c>
      <c r="Q143" s="31"/>
      <c r="R143" s="31">
        <v>6.7394672760080292</v>
      </c>
      <c r="S143" s="31" t="s">
        <v>337</v>
      </c>
      <c r="V143" s="31"/>
    </row>
    <row r="144" spans="1:23" s="42" customFormat="1">
      <c r="A144" s="36" t="s">
        <v>5</v>
      </c>
      <c r="B144" s="36" t="s">
        <v>559</v>
      </c>
      <c r="C144" s="36"/>
      <c r="D144" s="37"/>
      <c r="E144" s="38"/>
      <c r="F144" s="38"/>
      <c r="G144" s="38"/>
      <c r="H144" s="38"/>
      <c r="I144" s="38"/>
      <c r="J144" s="38"/>
      <c r="K144" s="38"/>
      <c r="L144" s="38"/>
      <c r="M144" s="38"/>
      <c r="N144" s="38"/>
      <c r="O144" s="38"/>
      <c r="P144" s="38" t="s">
        <v>329</v>
      </c>
      <c r="Q144" s="38"/>
      <c r="R144" s="38"/>
      <c r="S144" s="38"/>
      <c r="T144" s="38"/>
      <c r="U144" s="38"/>
      <c r="V144" s="38"/>
      <c r="W144" s="38"/>
    </row>
    <row r="145" spans="1:23">
      <c r="A145" s="31" t="s">
        <v>7</v>
      </c>
      <c r="B145" s="31" t="s">
        <v>324</v>
      </c>
      <c r="C145" s="31"/>
      <c r="D145" s="31"/>
      <c r="E145" s="31"/>
      <c r="F145" s="31"/>
      <c r="G145" s="31"/>
      <c r="H145" s="31"/>
      <c r="I145" s="31"/>
      <c r="J145" s="31"/>
      <c r="K145" s="31"/>
      <c r="L145" s="31"/>
      <c r="M145" s="31"/>
      <c r="N145" s="31"/>
      <c r="O145" s="31"/>
      <c r="P145" s="31" t="s">
        <v>329</v>
      </c>
      <c r="Q145" s="31"/>
      <c r="V145" s="31"/>
    </row>
    <row r="146" spans="1:23">
      <c r="A146" s="31" t="s">
        <v>9</v>
      </c>
      <c r="B146" s="43" t="s">
        <v>621</v>
      </c>
      <c r="C146" s="31"/>
      <c r="D146" s="31"/>
      <c r="E146" s="31"/>
      <c r="F146" s="31"/>
      <c r="G146" s="31"/>
      <c r="H146" s="31"/>
      <c r="I146" s="31"/>
      <c r="J146" s="31"/>
      <c r="K146" s="31"/>
      <c r="L146" s="31"/>
      <c r="M146" s="31"/>
      <c r="N146" s="31"/>
      <c r="O146" s="31"/>
      <c r="P146" s="31" t="s">
        <v>329</v>
      </c>
      <c r="Q146" s="31"/>
      <c r="V146" s="31"/>
    </row>
    <row r="147" spans="1:23">
      <c r="A147" s="31" t="s">
        <v>11</v>
      </c>
      <c r="B147" s="31" t="s">
        <v>622</v>
      </c>
      <c r="C147" s="31"/>
      <c r="D147" s="31"/>
      <c r="E147" s="31"/>
      <c r="F147" s="31"/>
      <c r="G147" s="31"/>
      <c r="H147" s="31"/>
      <c r="I147" s="31"/>
      <c r="J147" s="31"/>
      <c r="K147" s="31"/>
      <c r="L147" s="31"/>
      <c r="M147" s="31"/>
      <c r="N147" s="31"/>
      <c r="O147" s="31"/>
      <c r="P147" s="31" t="s">
        <v>329</v>
      </c>
      <c r="Q147" s="31"/>
      <c r="V147" s="31"/>
    </row>
    <row r="148" spans="1:23">
      <c r="A148" s="31" t="s">
        <v>13</v>
      </c>
      <c r="B148" s="47" t="s">
        <v>60</v>
      </c>
      <c r="C148" s="31"/>
      <c r="D148" s="31"/>
      <c r="E148" s="31"/>
      <c r="F148" s="31"/>
      <c r="G148" s="31"/>
      <c r="H148" s="31"/>
      <c r="I148" s="31"/>
      <c r="J148" s="31"/>
      <c r="K148" s="31"/>
      <c r="L148" s="31"/>
      <c r="M148" s="31"/>
      <c r="N148" s="31"/>
      <c r="O148" s="31"/>
      <c r="P148" s="31" t="s">
        <v>329</v>
      </c>
      <c r="Q148" s="31"/>
      <c r="V148" s="31"/>
    </row>
    <row r="149" spans="1:23">
      <c r="A149" s="31" t="s">
        <v>15</v>
      </c>
      <c r="B149" s="31">
        <v>1</v>
      </c>
      <c r="C149" s="31"/>
      <c r="D149" s="31"/>
      <c r="E149" s="31"/>
      <c r="F149" s="31"/>
      <c r="G149" s="31"/>
      <c r="H149" s="31"/>
      <c r="I149" s="31"/>
      <c r="J149" s="31"/>
      <c r="K149" s="31"/>
      <c r="L149" s="31"/>
      <c r="M149" s="31"/>
      <c r="N149" s="31"/>
      <c r="O149" s="31"/>
      <c r="P149" s="31" t="s">
        <v>329</v>
      </c>
      <c r="Q149" s="31"/>
      <c r="V149" s="31"/>
    </row>
    <row r="150" spans="1:23">
      <c r="A150" s="31" t="s">
        <v>16</v>
      </c>
      <c r="B150" s="31" t="s">
        <v>17</v>
      </c>
      <c r="C150" s="31"/>
      <c r="D150" s="31"/>
      <c r="E150" s="31"/>
      <c r="F150" s="31"/>
      <c r="G150" s="31"/>
      <c r="H150" s="31"/>
      <c r="I150" s="31"/>
      <c r="J150" s="31"/>
      <c r="K150" s="31"/>
      <c r="L150" s="31"/>
      <c r="M150" s="31"/>
      <c r="N150" s="31"/>
      <c r="O150" s="31"/>
      <c r="P150" s="31" t="s">
        <v>329</v>
      </c>
      <c r="Q150" s="31"/>
      <c r="V150" s="31"/>
    </row>
    <row r="151" spans="1:23">
      <c r="A151" s="31" t="s">
        <v>18</v>
      </c>
      <c r="B151" s="31" t="s">
        <v>18</v>
      </c>
      <c r="C151" s="31"/>
      <c r="D151" s="31"/>
      <c r="E151" s="31" t="s">
        <v>77</v>
      </c>
      <c r="F151" s="31"/>
      <c r="G151" s="31"/>
      <c r="H151" s="31"/>
      <c r="I151" s="31"/>
      <c r="J151" s="31"/>
      <c r="K151" s="31"/>
      <c r="L151" s="31"/>
      <c r="M151" s="31"/>
      <c r="N151" s="31"/>
      <c r="O151" s="31"/>
      <c r="P151" s="31" t="s">
        <v>329</v>
      </c>
      <c r="Q151" s="31"/>
      <c r="V151" s="31"/>
    </row>
    <row r="152" spans="1:23">
      <c r="A152" s="32" t="s">
        <v>19</v>
      </c>
      <c r="B152" s="31"/>
      <c r="C152" s="31"/>
      <c r="D152" s="31"/>
      <c r="E152" s="31"/>
      <c r="F152" s="31"/>
      <c r="G152" s="31"/>
      <c r="H152" s="31"/>
      <c r="I152" s="31"/>
      <c r="J152" s="31"/>
      <c r="K152" s="31"/>
      <c r="L152" s="31"/>
      <c r="M152" s="31"/>
      <c r="N152" s="31"/>
      <c r="O152" s="31"/>
      <c r="P152" s="31" t="s">
        <v>329</v>
      </c>
      <c r="Q152" s="31"/>
      <c r="V152" s="31"/>
    </row>
    <row r="153" spans="1:23">
      <c r="A153" s="32" t="s">
        <v>20</v>
      </c>
      <c r="B153" s="32" t="s">
        <v>21</v>
      </c>
      <c r="C153" s="32" t="s">
        <v>78</v>
      </c>
      <c r="D153" s="32" t="s">
        <v>18</v>
      </c>
      <c r="E153" s="32" t="s">
        <v>22</v>
      </c>
      <c r="F153" s="32" t="s">
        <v>7</v>
      </c>
      <c r="G153" s="32" t="s">
        <v>13</v>
      </c>
      <c r="H153" s="32" t="s">
        <v>16</v>
      </c>
      <c r="I153" s="32" t="s">
        <v>23</v>
      </c>
      <c r="J153" s="32" t="s">
        <v>24</v>
      </c>
      <c r="K153" s="32" t="s">
        <v>25</v>
      </c>
      <c r="L153" s="32" t="s">
        <v>26</v>
      </c>
      <c r="M153" s="32" t="s">
        <v>27</v>
      </c>
      <c r="N153" s="32" t="s">
        <v>28</v>
      </c>
      <c r="O153" s="32" t="s">
        <v>11</v>
      </c>
      <c r="P153" s="32" t="s">
        <v>555</v>
      </c>
      <c r="Q153" s="31"/>
      <c r="V153" s="31"/>
    </row>
    <row r="154" spans="1:23">
      <c r="A154" s="31" t="s">
        <v>559</v>
      </c>
      <c r="B154" s="31">
        <v>1</v>
      </c>
      <c r="C154" s="31"/>
      <c r="D154" s="31" t="s">
        <v>18</v>
      </c>
      <c r="E154" s="31" t="s">
        <v>2</v>
      </c>
      <c r="F154" s="31" t="s">
        <v>29</v>
      </c>
      <c r="G154" s="47" t="s">
        <v>60</v>
      </c>
      <c r="H154" s="31" t="s">
        <v>30</v>
      </c>
      <c r="I154" s="31">
        <v>0</v>
      </c>
      <c r="J154" s="31">
        <f>B154</f>
        <v>1</v>
      </c>
      <c r="K154" s="31" t="s">
        <v>31</v>
      </c>
      <c r="L154" s="31" t="s">
        <v>31</v>
      </c>
      <c r="M154" s="31" t="s">
        <v>31</v>
      </c>
      <c r="N154" s="31" t="s">
        <v>31</v>
      </c>
      <c r="O154" s="31"/>
      <c r="P154" s="31" t="s">
        <v>329</v>
      </c>
      <c r="Q154" s="31"/>
      <c r="V154" s="31"/>
    </row>
    <row r="155" spans="1:23">
      <c r="A155" s="68" t="s">
        <v>464</v>
      </c>
      <c r="B155" s="35">
        <f>59.2308*8</f>
        <v>473.84640000000002</v>
      </c>
      <c r="C155" s="35"/>
      <c r="D155" s="35" t="s">
        <v>37</v>
      </c>
      <c r="E155" s="35" t="s">
        <v>38</v>
      </c>
      <c r="F155" s="35" t="s">
        <v>29</v>
      </c>
      <c r="G155" s="35" t="s">
        <v>60</v>
      </c>
      <c r="H155" s="35" t="s">
        <v>33</v>
      </c>
      <c r="I155" s="35">
        <v>2</v>
      </c>
      <c r="J155" s="35">
        <f t="shared" ref="J155:J174" si="8">LN(B155)</f>
        <v>6.1608832185464131</v>
      </c>
      <c r="K155" s="35">
        <v>0.30331501776206199</v>
      </c>
      <c r="L155" s="31" t="s">
        <v>31</v>
      </c>
      <c r="M155" s="31" t="s">
        <v>31</v>
      </c>
      <c r="N155" s="31" t="s">
        <v>31</v>
      </c>
      <c r="O155" s="35" t="s">
        <v>590</v>
      </c>
      <c r="P155" s="31" t="s">
        <v>623</v>
      </c>
      <c r="Q155" s="31"/>
      <c r="V155" s="31"/>
    </row>
    <row r="156" spans="1:23">
      <c r="A156" s="68" t="s">
        <v>449</v>
      </c>
      <c r="B156" s="35">
        <f>19.7436*1.2</f>
        <v>23.692319999999999</v>
      </c>
      <c r="C156" s="35"/>
      <c r="D156" s="35" t="s">
        <v>37</v>
      </c>
      <c r="E156" s="35" t="s">
        <v>38</v>
      </c>
      <c r="F156" s="35" t="s">
        <v>29</v>
      </c>
      <c r="G156" s="35" t="s">
        <v>60</v>
      </c>
      <c r="H156" s="35" t="s">
        <v>33</v>
      </c>
      <c r="I156" s="35">
        <v>2</v>
      </c>
      <c r="J156" s="35">
        <f t="shared" si="8"/>
        <v>3.1651509449924222</v>
      </c>
      <c r="K156" s="35">
        <v>0.30331501776206199</v>
      </c>
      <c r="L156" s="31" t="s">
        <v>31</v>
      </c>
      <c r="M156" s="31" t="s">
        <v>31</v>
      </c>
      <c r="N156" s="31" t="s">
        <v>31</v>
      </c>
      <c r="O156" s="35" t="s">
        <v>590</v>
      </c>
      <c r="P156" s="31" t="s">
        <v>624</v>
      </c>
      <c r="Q156" s="31"/>
      <c r="V156" s="31"/>
    </row>
    <row r="157" spans="1:23" s="42" customFormat="1">
      <c r="A157" s="70" t="s">
        <v>134</v>
      </c>
      <c r="B157" s="72">
        <f>B155*(1-1/8)</f>
        <v>414.61560000000003</v>
      </c>
      <c r="C157" s="72"/>
      <c r="D157" s="72" t="s">
        <v>37</v>
      </c>
      <c r="E157" s="72" t="s">
        <v>38</v>
      </c>
      <c r="F157" s="72" t="s">
        <v>29</v>
      </c>
      <c r="G157" s="72" t="s">
        <v>86</v>
      </c>
      <c r="H157" s="72" t="s">
        <v>33</v>
      </c>
      <c r="I157" s="72">
        <v>2</v>
      </c>
      <c r="J157" s="72">
        <f t="shared" si="8"/>
        <v>6.0273518259218903</v>
      </c>
      <c r="K157" s="72">
        <v>0.30331501776206199</v>
      </c>
      <c r="L157" s="38" t="s">
        <v>31</v>
      </c>
      <c r="M157" s="38" t="s">
        <v>31</v>
      </c>
      <c r="N157" s="38" t="s">
        <v>31</v>
      </c>
      <c r="O157" s="72" t="s">
        <v>327</v>
      </c>
      <c r="P157" s="38" t="s">
        <v>625</v>
      </c>
      <c r="Q157" s="38"/>
      <c r="R157" s="38"/>
      <c r="S157" s="38"/>
      <c r="T157" s="38"/>
      <c r="U157" s="38"/>
      <c r="V157" s="38"/>
      <c r="W157" s="38"/>
    </row>
    <row r="158" spans="1:23" s="79" customFormat="1">
      <c r="A158" s="94" t="s">
        <v>464</v>
      </c>
      <c r="B158" s="78">
        <f>B155*(1-1/8)</f>
        <v>414.61560000000003</v>
      </c>
      <c r="C158" s="78"/>
      <c r="D158" s="78" t="s">
        <v>37</v>
      </c>
      <c r="E158" s="78" t="s">
        <v>38</v>
      </c>
      <c r="F158" s="78" t="s">
        <v>29</v>
      </c>
      <c r="G158" s="78" t="s">
        <v>60</v>
      </c>
      <c r="H158" s="78" t="s">
        <v>98</v>
      </c>
      <c r="I158" s="78">
        <v>2</v>
      </c>
      <c r="J158" s="78">
        <f t="shared" si="8"/>
        <v>6.0273518259218903</v>
      </c>
      <c r="K158" s="78">
        <v>0.30331501776206199</v>
      </c>
      <c r="L158" s="57" t="s">
        <v>31</v>
      </c>
      <c r="M158" s="57" t="s">
        <v>31</v>
      </c>
      <c r="N158" s="57" t="s">
        <v>31</v>
      </c>
      <c r="O158" s="78" t="s">
        <v>327</v>
      </c>
      <c r="P158" s="57" t="s">
        <v>626</v>
      </c>
      <c r="Q158" s="57"/>
      <c r="R158" s="57"/>
      <c r="S158" s="57"/>
      <c r="T158" s="57"/>
      <c r="U158" s="57"/>
      <c r="V158" s="57"/>
      <c r="W158" s="57"/>
    </row>
    <row r="159" spans="1:23">
      <c r="A159" s="70" t="s">
        <v>93</v>
      </c>
      <c r="B159" s="34">
        <f>B156*(1-1/1.2)</f>
        <v>3.9487199999999989</v>
      </c>
      <c r="C159" s="34"/>
      <c r="D159" s="34" t="s">
        <v>37</v>
      </c>
      <c r="E159" s="34" t="s">
        <v>38</v>
      </c>
      <c r="F159" s="34" t="s">
        <v>29</v>
      </c>
      <c r="G159" s="34" t="s">
        <v>86</v>
      </c>
      <c r="H159" s="34" t="s">
        <v>33</v>
      </c>
      <c r="I159" s="34">
        <v>2</v>
      </c>
      <c r="J159" s="34">
        <f t="shared" si="8"/>
        <v>1.373391475764367</v>
      </c>
      <c r="K159" s="34">
        <v>0.30331501776206199</v>
      </c>
      <c r="L159" s="31" t="s">
        <v>31</v>
      </c>
      <c r="M159" s="31" t="s">
        <v>31</v>
      </c>
      <c r="N159" s="31" t="s">
        <v>31</v>
      </c>
      <c r="O159" s="34" t="s">
        <v>327</v>
      </c>
      <c r="P159" s="80" t="s">
        <v>627</v>
      </c>
      <c r="Q159" s="31"/>
      <c r="R159" s="32" t="s">
        <v>578</v>
      </c>
      <c r="V159" s="31"/>
    </row>
    <row r="160" spans="1:23">
      <c r="A160" s="73" t="s">
        <v>94</v>
      </c>
      <c r="B160" s="34">
        <f>B156*(1-1/1.2)</f>
        <v>3.9487199999999989</v>
      </c>
      <c r="C160" s="31" t="s">
        <v>95</v>
      </c>
      <c r="D160" s="34" t="s">
        <v>37</v>
      </c>
      <c r="E160" s="34" t="s">
        <v>603</v>
      </c>
      <c r="F160" s="34" t="s">
        <v>29</v>
      </c>
      <c r="G160" s="34" t="s">
        <v>86</v>
      </c>
      <c r="H160" s="34" t="s">
        <v>33</v>
      </c>
      <c r="I160" s="34">
        <v>2</v>
      </c>
      <c r="J160" s="34">
        <f t="shared" si="8"/>
        <v>1.373391475764367</v>
      </c>
      <c r="K160" s="34">
        <v>0.30331501776206199</v>
      </c>
      <c r="L160" s="31" t="s">
        <v>31</v>
      </c>
      <c r="M160" s="31" t="s">
        <v>31</v>
      </c>
      <c r="N160" s="31" t="s">
        <v>31</v>
      </c>
      <c r="O160" s="34"/>
      <c r="P160" s="81" t="s">
        <v>627</v>
      </c>
      <c r="Q160" s="31"/>
      <c r="R160" s="32"/>
      <c r="V160" s="31"/>
    </row>
    <row r="161" spans="1:23">
      <c r="A161" s="34" t="s">
        <v>449</v>
      </c>
      <c r="B161" s="34">
        <f>B156*(1-1/1.2)</f>
        <v>3.9487199999999989</v>
      </c>
      <c r="C161" s="34"/>
      <c r="D161" s="34" t="s">
        <v>37</v>
      </c>
      <c r="E161" s="34" t="s">
        <v>38</v>
      </c>
      <c r="F161" s="34" t="s">
        <v>29</v>
      </c>
      <c r="G161" s="34" t="s">
        <v>60</v>
      </c>
      <c r="H161" s="34" t="s">
        <v>98</v>
      </c>
      <c r="I161" s="34">
        <v>2</v>
      </c>
      <c r="J161" s="34">
        <f t="shared" si="8"/>
        <v>1.373391475764367</v>
      </c>
      <c r="K161" s="34">
        <v>0.30331501776206199</v>
      </c>
      <c r="L161" s="31" t="s">
        <v>31</v>
      </c>
      <c r="M161" s="31" t="s">
        <v>31</v>
      </c>
      <c r="N161" s="31" t="s">
        <v>31</v>
      </c>
      <c r="O161" s="34" t="s">
        <v>327</v>
      </c>
      <c r="P161" s="82" t="s">
        <v>628</v>
      </c>
      <c r="Q161" s="31"/>
      <c r="V161" s="31"/>
    </row>
    <row r="162" spans="1:23">
      <c r="A162" s="31" t="s">
        <v>168</v>
      </c>
      <c r="B162" s="67">
        <f>R162</f>
        <v>3160.7038513182174</v>
      </c>
      <c r="C162" s="67"/>
      <c r="D162" s="31" t="s">
        <v>41</v>
      </c>
      <c r="E162" s="31" t="s">
        <v>38</v>
      </c>
      <c r="F162" s="31" t="s">
        <v>29</v>
      </c>
      <c r="G162" s="31" t="s">
        <v>60</v>
      </c>
      <c r="H162" s="31" t="s">
        <v>33</v>
      </c>
      <c r="I162" s="31">
        <v>2</v>
      </c>
      <c r="J162" s="31">
        <f t="shared" si="8"/>
        <v>8.058550019537515</v>
      </c>
      <c r="K162" s="31">
        <v>0.28635642126552707</v>
      </c>
      <c r="L162" s="31" t="s">
        <v>31</v>
      </c>
      <c r="M162" s="31" t="s">
        <v>31</v>
      </c>
      <c r="N162" s="31" t="s">
        <v>31</v>
      </c>
      <c r="O162" s="31"/>
      <c r="P162" s="31" t="s">
        <v>329</v>
      </c>
      <c r="Q162" s="31"/>
      <c r="R162" s="31">
        <v>3160.7038513182174</v>
      </c>
      <c r="S162" s="31" t="s">
        <v>332</v>
      </c>
      <c r="V162" s="31"/>
    </row>
    <row r="163" spans="1:23">
      <c r="A163" s="31" t="s">
        <v>170</v>
      </c>
      <c r="B163" s="67">
        <f>V163</f>
        <v>298.74122710423387</v>
      </c>
      <c r="C163" s="67"/>
      <c r="D163" s="31" t="s">
        <v>50</v>
      </c>
      <c r="E163" s="31" t="s">
        <v>38</v>
      </c>
      <c r="F163" s="31" t="s">
        <v>29</v>
      </c>
      <c r="G163" s="31" t="s">
        <v>333</v>
      </c>
      <c r="H163" s="31" t="s">
        <v>33</v>
      </c>
      <c r="I163" s="31">
        <v>2</v>
      </c>
      <c r="J163" s="31">
        <f t="shared" si="8"/>
        <v>5.6995777374730734</v>
      </c>
      <c r="K163" s="31">
        <v>0.28635642126552707</v>
      </c>
      <c r="L163" s="31" t="s">
        <v>31</v>
      </c>
      <c r="M163" s="31" t="s">
        <v>31</v>
      </c>
      <c r="N163" s="31" t="s">
        <v>31</v>
      </c>
      <c r="O163" s="31"/>
      <c r="P163" s="31" t="s">
        <v>329</v>
      </c>
      <c r="Q163" s="31"/>
      <c r="R163" s="46">
        <v>3178.2772643120434</v>
      </c>
      <c r="S163" s="31" t="s">
        <v>332</v>
      </c>
      <c r="T163" s="31">
        <f>R163/0.277778</f>
        <v>11441.788998092157</v>
      </c>
      <c r="U163" s="31" t="s">
        <v>331</v>
      </c>
      <c r="V163" s="31">
        <f>T163/38.3</f>
        <v>298.74122710423387</v>
      </c>
      <c r="W163" s="31" t="s">
        <v>335</v>
      </c>
    </row>
    <row r="164" spans="1:23">
      <c r="A164" s="31" t="s">
        <v>112</v>
      </c>
      <c r="B164" s="67">
        <f>T164</f>
        <v>1427.9641877555773</v>
      </c>
      <c r="C164" s="67"/>
      <c r="D164" s="31" t="s">
        <v>113</v>
      </c>
      <c r="E164" s="31" t="s">
        <v>38</v>
      </c>
      <c r="F164" s="31" t="s">
        <v>29</v>
      </c>
      <c r="G164" s="31" t="s">
        <v>60</v>
      </c>
      <c r="H164" s="31" t="s">
        <v>33</v>
      </c>
      <c r="I164" s="31">
        <v>2</v>
      </c>
      <c r="J164" s="31">
        <f t="shared" si="8"/>
        <v>7.2640050639825198</v>
      </c>
      <c r="K164" s="31">
        <v>0.28635642126552707</v>
      </c>
      <c r="L164" s="31" t="s">
        <v>31</v>
      </c>
      <c r="M164" s="31" t="s">
        <v>31</v>
      </c>
      <c r="N164" s="31" t="s">
        <v>31</v>
      </c>
      <c r="O164" s="31"/>
      <c r="P164" s="31" t="s">
        <v>329</v>
      </c>
      <c r="Q164" s="31"/>
      <c r="R164" s="46">
        <v>396.6570361463688</v>
      </c>
      <c r="S164" s="31" t="s">
        <v>332</v>
      </c>
      <c r="T164" s="31">
        <f>R164/0.277778</f>
        <v>1427.9641877555773</v>
      </c>
      <c r="U164" s="31" t="s">
        <v>331</v>
      </c>
      <c r="V164" s="31"/>
    </row>
    <row r="165" spans="1:23">
      <c r="A165" s="31" t="s">
        <v>164</v>
      </c>
      <c r="B165" s="67">
        <f>V165</f>
        <v>67.581374731311925</v>
      </c>
      <c r="C165" s="67"/>
      <c r="D165" s="31" t="s">
        <v>37</v>
      </c>
      <c r="E165" s="31" t="s">
        <v>38</v>
      </c>
      <c r="F165" s="31" t="s">
        <v>29</v>
      </c>
      <c r="G165" s="31" t="s">
        <v>60</v>
      </c>
      <c r="H165" s="31" t="s">
        <v>33</v>
      </c>
      <c r="I165" s="31">
        <v>2</v>
      </c>
      <c r="J165" s="31">
        <f t="shared" si="8"/>
        <v>4.2133324233596792</v>
      </c>
      <c r="K165" s="31">
        <v>0.28635642126552707</v>
      </c>
      <c r="L165" s="31" t="s">
        <v>31</v>
      </c>
      <c r="M165" s="31" t="s">
        <v>31</v>
      </c>
      <c r="N165" s="31" t="s">
        <v>31</v>
      </c>
      <c r="O165" s="31"/>
      <c r="P165" s="31" t="s">
        <v>329</v>
      </c>
      <c r="Q165" s="31"/>
      <c r="R165" s="46">
        <v>841.01333613312363</v>
      </c>
      <c r="S165" s="31" t="s">
        <v>332</v>
      </c>
      <c r="T165" s="31">
        <f>R165/0.277778</f>
        <v>3027.6455879627742</v>
      </c>
      <c r="U165" s="31" t="s">
        <v>331</v>
      </c>
      <c r="V165" s="31">
        <f>T165/44.8</f>
        <v>67.581374731311925</v>
      </c>
      <c r="W165" s="31" t="s">
        <v>337</v>
      </c>
    </row>
    <row r="166" spans="1:23">
      <c r="A166" s="31" t="s">
        <v>36</v>
      </c>
      <c r="B166" s="67">
        <f>V166</f>
        <v>133.41437558897795</v>
      </c>
      <c r="C166" s="67"/>
      <c r="D166" s="31" t="s">
        <v>37</v>
      </c>
      <c r="E166" s="31" t="s">
        <v>38</v>
      </c>
      <c r="F166" s="31" t="s">
        <v>29</v>
      </c>
      <c r="G166" s="31" t="s">
        <v>86</v>
      </c>
      <c r="H166" s="31" t="s">
        <v>33</v>
      </c>
      <c r="I166" s="31">
        <v>2</v>
      </c>
      <c r="J166" s="31">
        <f t="shared" si="8"/>
        <v>4.8934598907113216</v>
      </c>
      <c r="K166" s="31">
        <v>0.28635642126552707</v>
      </c>
      <c r="L166" s="31" t="s">
        <v>31</v>
      </c>
      <c r="M166" s="31" t="s">
        <v>31</v>
      </c>
      <c r="N166" s="31" t="s">
        <v>31</v>
      </c>
      <c r="O166" s="31"/>
      <c r="P166" s="31" t="s">
        <v>329</v>
      </c>
      <c r="Q166" s="31"/>
      <c r="R166" s="46">
        <v>1712.1525231128069</v>
      </c>
      <c r="S166" s="31" t="s">
        <v>332</v>
      </c>
      <c r="T166" s="31">
        <f>R166/0.277778</f>
        <v>6163.744152210782</v>
      </c>
      <c r="U166" s="31" t="s">
        <v>331</v>
      </c>
      <c r="V166" s="31">
        <f>T166/46.2</f>
        <v>133.41437558897795</v>
      </c>
      <c r="W166" s="31" t="s">
        <v>337</v>
      </c>
    </row>
    <row r="167" spans="1:23" s="65" customFormat="1">
      <c r="A167" s="31" t="s">
        <v>59</v>
      </c>
      <c r="B167" s="67">
        <f>V167</f>
        <v>0.82161345670631603</v>
      </c>
      <c r="C167" s="67"/>
      <c r="D167" s="31" t="s">
        <v>37</v>
      </c>
      <c r="E167" s="31" t="s">
        <v>2</v>
      </c>
      <c r="F167" s="31" t="s">
        <v>324</v>
      </c>
      <c r="G167" s="31" t="s">
        <v>60</v>
      </c>
      <c r="H167" s="31" t="s">
        <v>33</v>
      </c>
      <c r="I167" s="31">
        <v>2</v>
      </c>
      <c r="J167" s="31">
        <f t="shared" si="8"/>
        <v>-0.19648524184281799</v>
      </c>
      <c r="K167" s="31">
        <v>0.28635642126552707</v>
      </c>
      <c r="L167" s="31" t="s">
        <v>31</v>
      </c>
      <c r="M167" s="31" t="s">
        <v>31</v>
      </c>
      <c r="N167" s="31" t="s">
        <v>31</v>
      </c>
      <c r="O167" s="45"/>
      <c r="P167" s="31" t="s">
        <v>329</v>
      </c>
      <c r="Q167" s="45"/>
      <c r="R167" s="46">
        <v>10.041950282186551</v>
      </c>
      <c r="S167" s="31" t="s">
        <v>332</v>
      </c>
      <c r="T167" s="31">
        <f>R167/0.277778</f>
        <v>36.150992095077903</v>
      </c>
      <c r="U167" s="31" t="s">
        <v>331</v>
      </c>
      <c r="V167" s="31">
        <f>T167/44</f>
        <v>0.82161345670631603</v>
      </c>
      <c r="W167" s="31" t="s">
        <v>337</v>
      </c>
    </row>
    <row r="168" spans="1:23">
      <c r="A168" s="31" t="s">
        <v>172</v>
      </c>
      <c r="B168" s="45">
        <f>T168</f>
        <v>7711.5267907056987</v>
      </c>
      <c r="C168" s="45"/>
      <c r="D168" s="31" t="s">
        <v>37</v>
      </c>
      <c r="E168" s="31" t="s">
        <v>38</v>
      </c>
      <c r="F168" s="31" t="s">
        <v>29</v>
      </c>
      <c r="G168" s="31" t="s">
        <v>60</v>
      </c>
      <c r="H168" s="31" t="s">
        <v>33</v>
      </c>
      <c r="I168" s="31">
        <v>2</v>
      </c>
      <c r="J168" s="31">
        <f t="shared" si="8"/>
        <v>8.9504714742814357</v>
      </c>
      <c r="K168" s="31">
        <v>0.28635642126552707</v>
      </c>
      <c r="L168" s="31" t="s">
        <v>31</v>
      </c>
      <c r="M168" s="31" t="s">
        <v>31</v>
      </c>
      <c r="N168" s="31" t="s">
        <v>31</v>
      </c>
      <c r="O168" s="31"/>
      <c r="P168" s="31" t="s">
        <v>329</v>
      </c>
      <c r="Q168" s="31"/>
      <c r="R168" s="31">
        <v>7.7287619298091732</v>
      </c>
      <c r="S168" s="31" t="s">
        <v>335</v>
      </c>
      <c r="T168" s="31">
        <f>R168*997.77</f>
        <v>7711.5267907056987</v>
      </c>
      <c r="U168" s="31" t="s">
        <v>337</v>
      </c>
      <c r="V168" s="31"/>
    </row>
    <row r="169" spans="1:23">
      <c r="A169" s="51" t="s">
        <v>580</v>
      </c>
      <c r="B169" s="66">
        <f>R169</f>
        <v>7.2069771721716203</v>
      </c>
      <c r="C169" s="66"/>
      <c r="D169" s="31" t="s">
        <v>50</v>
      </c>
      <c r="E169" s="31" t="s">
        <v>2</v>
      </c>
      <c r="F169" s="31" t="s">
        <v>29</v>
      </c>
      <c r="G169" s="51" t="s">
        <v>86</v>
      </c>
      <c r="H169" s="31" t="s">
        <v>33</v>
      </c>
      <c r="I169" s="31">
        <v>2</v>
      </c>
      <c r="J169" s="31">
        <f t="shared" si="8"/>
        <v>1.9750496084850357</v>
      </c>
      <c r="K169" s="31">
        <v>0.28635642126552707</v>
      </c>
      <c r="L169" s="31" t="s">
        <v>31</v>
      </c>
      <c r="M169" s="31" t="s">
        <v>31</v>
      </c>
      <c r="N169" s="31" t="s">
        <v>31</v>
      </c>
      <c r="O169" s="31"/>
      <c r="P169" s="31" t="s">
        <v>329</v>
      </c>
      <c r="Q169" s="31"/>
      <c r="R169" s="31">
        <v>7.2069771721716203</v>
      </c>
      <c r="S169" s="31" t="s">
        <v>335</v>
      </c>
      <c r="V169" s="31"/>
    </row>
    <row r="170" spans="1:23">
      <c r="A170" s="31" t="s">
        <v>581</v>
      </c>
      <c r="B170" s="66">
        <f>R170</f>
        <v>174.88056416427881</v>
      </c>
      <c r="C170" s="66"/>
      <c r="D170" s="31" t="s">
        <v>37</v>
      </c>
      <c r="E170" s="31" t="s">
        <v>2</v>
      </c>
      <c r="F170" s="31" t="s">
        <v>29</v>
      </c>
      <c r="G170" s="31" t="s">
        <v>86</v>
      </c>
      <c r="H170" s="31" t="s">
        <v>33</v>
      </c>
      <c r="I170" s="31">
        <v>2</v>
      </c>
      <c r="J170" s="31">
        <f t="shared" si="8"/>
        <v>5.1641032504310234</v>
      </c>
      <c r="K170" s="31">
        <v>0.28635642126552707</v>
      </c>
      <c r="L170" s="31" t="s">
        <v>31</v>
      </c>
      <c r="M170" s="31" t="s">
        <v>31</v>
      </c>
      <c r="N170" s="31" t="s">
        <v>31</v>
      </c>
      <c r="O170" s="31"/>
      <c r="P170" s="31" t="s">
        <v>329</v>
      </c>
      <c r="Q170" s="31"/>
      <c r="R170" s="31">
        <v>174.88056416427881</v>
      </c>
      <c r="S170" s="31" t="s">
        <v>337</v>
      </c>
      <c r="V170" s="31"/>
    </row>
    <row r="171" spans="1:23">
      <c r="A171" s="31" t="s">
        <v>48</v>
      </c>
      <c r="B171" s="66">
        <f t="shared" ref="B171:B174" si="9">R171</f>
        <v>3285.5478877139308</v>
      </c>
      <c r="C171" s="66"/>
      <c r="D171" s="31" t="s">
        <v>37</v>
      </c>
      <c r="E171" s="31" t="s">
        <v>43</v>
      </c>
      <c r="F171" s="31" t="s">
        <v>44</v>
      </c>
      <c r="G171" s="31" t="s">
        <v>29</v>
      </c>
      <c r="H171" s="31" t="s">
        <v>45</v>
      </c>
      <c r="I171" s="31">
        <v>2</v>
      </c>
      <c r="J171" s="31">
        <f t="shared" si="8"/>
        <v>8.0972887017039064</v>
      </c>
      <c r="K171" s="31">
        <v>0.28635642126552707</v>
      </c>
      <c r="L171" s="31" t="s">
        <v>31</v>
      </c>
      <c r="M171" s="31" t="s">
        <v>31</v>
      </c>
      <c r="N171" s="31" t="s">
        <v>31</v>
      </c>
      <c r="O171" s="31"/>
      <c r="P171" s="31" t="s">
        <v>329</v>
      </c>
      <c r="Q171" s="31"/>
      <c r="R171" s="31">
        <v>3285.5478877139308</v>
      </c>
      <c r="S171" s="31" t="s">
        <v>337</v>
      </c>
      <c r="V171" s="31"/>
    </row>
    <row r="172" spans="1:23">
      <c r="A172" s="31" t="s">
        <v>51</v>
      </c>
      <c r="B172" s="66">
        <f t="shared" si="9"/>
        <v>3.5146825987652931E-2</v>
      </c>
      <c r="C172" s="66"/>
      <c r="D172" s="31" t="s">
        <v>37</v>
      </c>
      <c r="E172" s="31" t="s">
        <v>43</v>
      </c>
      <c r="F172" s="31" t="s">
        <v>44</v>
      </c>
      <c r="G172" s="31" t="s">
        <v>29</v>
      </c>
      <c r="H172" s="31" t="s">
        <v>45</v>
      </c>
      <c r="I172" s="31">
        <v>2</v>
      </c>
      <c r="J172" s="31">
        <f t="shared" si="8"/>
        <v>-3.3482209638737102</v>
      </c>
      <c r="K172" s="31">
        <v>0.28635642126552707</v>
      </c>
      <c r="L172" s="31" t="s">
        <v>31</v>
      </c>
      <c r="M172" s="31" t="s">
        <v>31</v>
      </c>
      <c r="N172" s="31" t="s">
        <v>31</v>
      </c>
      <c r="O172" s="31"/>
      <c r="P172" s="31" t="s">
        <v>329</v>
      </c>
      <c r="Q172" s="31"/>
      <c r="R172" s="31">
        <v>3.5146825987652931E-2</v>
      </c>
      <c r="S172" s="31" t="s">
        <v>337</v>
      </c>
      <c r="V172" s="31"/>
    </row>
    <row r="173" spans="1:23">
      <c r="A173" s="31" t="s">
        <v>42</v>
      </c>
      <c r="B173" s="66">
        <f t="shared" si="9"/>
        <v>0.55732824066135356</v>
      </c>
      <c r="C173" s="66"/>
      <c r="D173" s="31" t="s">
        <v>37</v>
      </c>
      <c r="E173" s="31" t="s">
        <v>43</v>
      </c>
      <c r="F173" s="31" t="s">
        <v>44</v>
      </c>
      <c r="G173" s="31" t="s">
        <v>29</v>
      </c>
      <c r="H173" s="31" t="s">
        <v>45</v>
      </c>
      <c r="I173" s="31">
        <v>2</v>
      </c>
      <c r="J173" s="31">
        <f t="shared" si="8"/>
        <v>-0.58460091161668937</v>
      </c>
      <c r="K173" s="31">
        <v>0.28635642126552707</v>
      </c>
      <c r="L173" s="31" t="s">
        <v>31</v>
      </c>
      <c r="M173" s="31" t="s">
        <v>31</v>
      </c>
      <c r="N173" s="31" t="s">
        <v>31</v>
      </c>
      <c r="O173" s="31"/>
      <c r="P173" s="31" t="s">
        <v>329</v>
      </c>
      <c r="Q173" s="31"/>
      <c r="R173" s="31">
        <v>0.55732824066135356</v>
      </c>
      <c r="S173" s="31" t="s">
        <v>337</v>
      </c>
      <c r="V173" s="31"/>
    </row>
    <row r="174" spans="1:23">
      <c r="A174" s="31" t="s">
        <v>490</v>
      </c>
      <c r="B174" s="66">
        <f t="shared" si="9"/>
        <v>2.6385224366445161</v>
      </c>
      <c r="C174" s="66"/>
      <c r="D174" s="31" t="s">
        <v>37</v>
      </c>
      <c r="E174" s="31" t="s">
        <v>43</v>
      </c>
      <c r="F174" s="31" t="s">
        <v>44</v>
      </c>
      <c r="G174" s="31" t="s">
        <v>29</v>
      </c>
      <c r="H174" s="31" t="s">
        <v>45</v>
      </c>
      <c r="I174" s="31">
        <v>2</v>
      </c>
      <c r="J174" s="31">
        <f t="shared" si="8"/>
        <v>0.9702190773879823</v>
      </c>
      <c r="K174" s="31">
        <v>0.28635642126552702</v>
      </c>
      <c r="L174" s="31" t="s">
        <v>31</v>
      </c>
      <c r="M174" s="31" t="s">
        <v>31</v>
      </c>
      <c r="N174" s="31" t="s">
        <v>31</v>
      </c>
      <c r="O174" s="31"/>
      <c r="P174" s="31" t="s">
        <v>329</v>
      </c>
      <c r="Q174" s="31"/>
      <c r="R174" s="31">
        <v>2.6385224366445161</v>
      </c>
      <c r="S174" s="31" t="s">
        <v>337</v>
      </c>
      <c r="V174" s="31"/>
    </row>
    <row r="175" spans="1:23" s="42" customFormat="1">
      <c r="A175" s="36" t="s">
        <v>5</v>
      </c>
      <c r="B175" s="36" t="s">
        <v>562</v>
      </c>
      <c r="C175" s="36"/>
      <c r="D175" s="37"/>
      <c r="E175" s="38"/>
      <c r="F175" s="38"/>
      <c r="G175" s="38"/>
      <c r="H175" s="38"/>
      <c r="I175" s="38"/>
      <c r="J175" s="38"/>
      <c r="K175" s="38"/>
      <c r="L175" s="38"/>
      <c r="M175" s="38"/>
      <c r="N175" s="38"/>
      <c r="O175" s="38"/>
      <c r="P175" s="38" t="s">
        <v>329</v>
      </c>
      <c r="Q175" s="38"/>
      <c r="R175" s="38"/>
      <c r="S175" s="38"/>
      <c r="T175" s="38"/>
      <c r="U175" s="38"/>
      <c r="V175" s="38"/>
      <c r="W175" s="38"/>
    </row>
    <row r="176" spans="1:23">
      <c r="A176" s="31" t="s">
        <v>7</v>
      </c>
      <c r="B176" s="31" t="s">
        <v>324</v>
      </c>
      <c r="C176" s="31"/>
      <c r="D176" s="31"/>
      <c r="E176" s="31"/>
      <c r="F176" s="31"/>
      <c r="G176" s="31"/>
      <c r="H176" s="31"/>
      <c r="I176" s="31"/>
      <c r="J176" s="31"/>
      <c r="K176" s="31"/>
      <c r="L176" s="31"/>
      <c r="M176" s="31"/>
      <c r="N176" s="31"/>
      <c r="O176" s="31"/>
      <c r="P176" s="31" t="s">
        <v>329</v>
      </c>
      <c r="Q176" s="31"/>
      <c r="V176" s="31"/>
    </row>
    <row r="177" spans="1:23">
      <c r="A177" s="31" t="s">
        <v>9</v>
      </c>
      <c r="B177" s="43" t="s">
        <v>629</v>
      </c>
      <c r="C177" s="31"/>
      <c r="D177" s="31"/>
      <c r="E177" s="31"/>
      <c r="F177" s="31"/>
      <c r="G177" s="31"/>
      <c r="H177" s="31"/>
      <c r="I177" s="31"/>
      <c r="J177" s="31"/>
      <c r="K177" s="31"/>
      <c r="L177" s="31"/>
      <c r="M177" s="31"/>
      <c r="N177" s="31"/>
      <c r="O177" s="31"/>
      <c r="P177" s="31" t="s">
        <v>329</v>
      </c>
      <c r="Q177" s="31"/>
      <c r="V177" s="31"/>
    </row>
    <row r="178" spans="1:23">
      <c r="A178" s="31" t="s">
        <v>11</v>
      </c>
      <c r="B178" s="31" t="s">
        <v>630</v>
      </c>
      <c r="C178" s="31"/>
      <c r="D178" s="31"/>
      <c r="E178" s="31"/>
      <c r="F178" s="31"/>
      <c r="G178" s="31"/>
      <c r="H178" s="31"/>
      <c r="I178" s="31"/>
      <c r="J178" s="31"/>
      <c r="K178" s="31"/>
      <c r="L178" s="31"/>
      <c r="M178" s="31"/>
      <c r="N178" s="31"/>
      <c r="O178" s="31"/>
      <c r="P178" s="31" t="s">
        <v>329</v>
      </c>
      <c r="Q178" s="31"/>
      <c r="V178" s="31"/>
    </row>
    <row r="179" spans="1:23">
      <c r="A179" s="31" t="s">
        <v>13</v>
      </c>
      <c r="B179" s="47" t="s">
        <v>60</v>
      </c>
      <c r="C179" s="31"/>
      <c r="D179" s="31"/>
      <c r="E179" s="31"/>
      <c r="F179" s="31"/>
      <c r="G179" s="31"/>
      <c r="H179" s="31"/>
      <c r="I179" s="31"/>
      <c r="J179" s="31"/>
      <c r="K179" s="31"/>
      <c r="L179" s="31"/>
      <c r="M179" s="31"/>
      <c r="N179" s="31"/>
      <c r="O179" s="31"/>
      <c r="P179" s="31" t="s">
        <v>329</v>
      </c>
      <c r="Q179" s="31"/>
      <c r="V179" s="31"/>
    </row>
    <row r="180" spans="1:23">
      <c r="A180" s="31" t="s">
        <v>15</v>
      </c>
      <c r="B180" s="31">
        <v>1</v>
      </c>
      <c r="C180" s="31"/>
      <c r="D180" s="31"/>
      <c r="E180" s="31"/>
      <c r="F180" s="31"/>
      <c r="G180" s="31"/>
      <c r="H180" s="31"/>
      <c r="I180" s="31"/>
      <c r="J180" s="31"/>
      <c r="K180" s="31"/>
      <c r="L180" s="31"/>
      <c r="M180" s="31"/>
      <c r="N180" s="31"/>
      <c r="O180" s="31"/>
      <c r="P180" s="31" t="s">
        <v>329</v>
      </c>
      <c r="Q180" s="31"/>
      <c r="V180" s="31"/>
    </row>
    <row r="181" spans="1:23">
      <c r="A181" s="31" t="s">
        <v>16</v>
      </c>
      <c r="B181" s="31" t="s">
        <v>17</v>
      </c>
      <c r="C181" s="31"/>
      <c r="D181" s="31"/>
      <c r="E181" s="31"/>
      <c r="F181" s="31"/>
      <c r="G181" s="31"/>
      <c r="H181" s="31"/>
      <c r="I181" s="31"/>
      <c r="J181" s="31"/>
      <c r="K181" s="31"/>
      <c r="L181" s="31"/>
      <c r="M181" s="31"/>
      <c r="N181" s="31"/>
      <c r="O181" s="31"/>
      <c r="P181" s="31" t="s">
        <v>329</v>
      </c>
      <c r="Q181" s="31"/>
      <c r="V181" s="31"/>
    </row>
    <row r="182" spans="1:23">
      <c r="A182" s="31" t="s">
        <v>18</v>
      </c>
      <c r="B182" s="31" t="s">
        <v>18</v>
      </c>
      <c r="C182" s="31"/>
      <c r="D182" s="31"/>
      <c r="E182" s="31" t="s">
        <v>77</v>
      </c>
      <c r="F182" s="31"/>
      <c r="G182" s="31"/>
      <c r="H182" s="31"/>
      <c r="I182" s="31"/>
      <c r="J182" s="31"/>
      <c r="K182" s="31"/>
      <c r="L182" s="31"/>
      <c r="M182" s="31"/>
      <c r="N182" s="31"/>
      <c r="O182" s="31"/>
      <c r="P182" s="31" t="s">
        <v>329</v>
      </c>
      <c r="Q182" s="31"/>
      <c r="V182" s="31"/>
    </row>
    <row r="183" spans="1:23">
      <c r="A183" s="32" t="s">
        <v>19</v>
      </c>
      <c r="B183" s="31"/>
      <c r="C183" s="31"/>
      <c r="D183" s="31"/>
      <c r="E183" s="31"/>
      <c r="F183" s="31"/>
      <c r="G183" s="31"/>
      <c r="H183" s="31"/>
      <c r="I183" s="31"/>
      <c r="J183" s="31"/>
      <c r="K183" s="31"/>
      <c r="L183" s="31"/>
      <c r="M183" s="31"/>
      <c r="N183" s="31"/>
      <c r="O183" s="31"/>
      <c r="P183" s="31" t="s">
        <v>329</v>
      </c>
      <c r="Q183" s="31"/>
      <c r="V183" s="31"/>
    </row>
    <row r="184" spans="1:23">
      <c r="A184" s="32" t="s">
        <v>20</v>
      </c>
      <c r="B184" s="32" t="s">
        <v>21</v>
      </c>
      <c r="C184" s="32" t="s">
        <v>78</v>
      </c>
      <c r="D184" s="32" t="s">
        <v>18</v>
      </c>
      <c r="E184" s="32" t="s">
        <v>22</v>
      </c>
      <c r="F184" s="32" t="s">
        <v>7</v>
      </c>
      <c r="G184" s="32" t="s">
        <v>13</v>
      </c>
      <c r="H184" s="32" t="s">
        <v>16</v>
      </c>
      <c r="I184" s="32" t="s">
        <v>23</v>
      </c>
      <c r="J184" s="32" t="s">
        <v>24</v>
      </c>
      <c r="K184" s="32" t="s">
        <v>25</v>
      </c>
      <c r="L184" s="32" t="s">
        <v>26</v>
      </c>
      <c r="M184" s="32" t="s">
        <v>27</v>
      </c>
      <c r="N184" s="32" t="s">
        <v>28</v>
      </c>
      <c r="O184" s="32" t="s">
        <v>11</v>
      </c>
      <c r="P184" s="32" t="s">
        <v>555</v>
      </c>
      <c r="Q184" s="31"/>
      <c r="V184" s="31"/>
    </row>
    <row r="185" spans="1:23">
      <c r="A185" s="31" t="s">
        <v>562</v>
      </c>
      <c r="B185" s="31">
        <v>1</v>
      </c>
      <c r="C185" s="31"/>
      <c r="D185" s="31" t="s">
        <v>18</v>
      </c>
      <c r="E185" s="31" t="s">
        <v>2</v>
      </c>
      <c r="F185" s="31" t="s">
        <v>29</v>
      </c>
      <c r="G185" s="47" t="s">
        <v>60</v>
      </c>
      <c r="H185" s="31" t="s">
        <v>30</v>
      </c>
      <c r="I185" s="31">
        <v>1</v>
      </c>
      <c r="J185" s="31">
        <f>B185</f>
        <v>1</v>
      </c>
      <c r="K185" s="31" t="s">
        <v>31</v>
      </c>
      <c r="L185" s="31" t="s">
        <v>31</v>
      </c>
      <c r="M185" s="31" t="s">
        <v>31</v>
      </c>
      <c r="N185" s="31" t="s">
        <v>31</v>
      </c>
      <c r="O185" s="31"/>
      <c r="P185" s="31" t="s">
        <v>329</v>
      </c>
      <c r="Q185" s="31"/>
      <c r="V185" s="31"/>
    </row>
    <row r="186" spans="1:23">
      <c r="A186" s="68" t="s">
        <v>464</v>
      </c>
      <c r="B186" s="35">
        <f>17.2875971451784*8</f>
        <v>138.30077716142719</v>
      </c>
      <c r="C186" s="35"/>
      <c r="D186" s="35" t="s">
        <v>37</v>
      </c>
      <c r="E186" s="35" t="s">
        <v>38</v>
      </c>
      <c r="F186" s="35" t="s">
        <v>29</v>
      </c>
      <c r="G186" s="35" t="s">
        <v>60</v>
      </c>
      <c r="H186" s="35" t="s">
        <v>33</v>
      </c>
      <c r="I186" s="35">
        <v>2</v>
      </c>
      <c r="J186" s="35">
        <f t="shared" ref="J186:J205" si="10">LN(B186)</f>
        <v>4.929430858043407</v>
      </c>
      <c r="K186" s="35">
        <v>0.30331501776206199</v>
      </c>
      <c r="L186" s="31" t="s">
        <v>31</v>
      </c>
      <c r="M186" s="31" t="s">
        <v>31</v>
      </c>
      <c r="N186" s="31" t="s">
        <v>31</v>
      </c>
      <c r="O186" s="35" t="s">
        <v>590</v>
      </c>
      <c r="P186" s="31" t="s">
        <v>623</v>
      </c>
      <c r="Q186" s="31"/>
      <c r="V186" s="31"/>
    </row>
    <row r="187" spans="1:23">
      <c r="A187" s="68" t="s">
        <v>449</v>
      </c>
      <c r="B187" s="35">
        <f>5.76253238172614*1.2</f>
        <v>6.9150388580713678</v>
      </c>
      <c r="C187" s="35"/>
      <c r="D187" s="35" t="s">
        <v>37</v>
      </c>
      <c r="E187" s="35" t="s">
        <v>38</v>
      </c>
      <c r="F187" s="35" t="s">
        <v>29</v>
      </c>
      <c r="G187" s="35" t="s">
        <v>60</v>
      </c>
      <c r="H187" s="35" t="s">
        <v>33</v>
      </c>
      <c r="I187" s="35">
        <v>2</v>
      </c>
      <c r="J187" s="35">
        <f t="shared" si="10"/>
        <v>1.933698584489417</v>
      </c>
      <c r="K187" s="35">
        <v>0.30331501776206199</v>
      </c>
      <c r="L187" s="31" t="s">
        <v>31</v>
      </c>
      <c r="M187" s="31" t="s">
        <v>31</v>
      </c>
      <c r="N187" s="31" t="s">
        <v>31</v>
      </c>
      <c r="O187" s="35" t="s">
        <v>590</v>
      </c>
      <c r="P187" s="31" t="s">
        <v>624</v>
      </c>
      <c r="Q187" s="31"/>
      <c r="V187" s="31"/>
    </row>
    <row r="188" spans="1:23" s="42" customFormat="1">
      <c r="A188" s="70" t="s">
        <v>134</v>
      </c>
      <c r="B188" s="72">
        <f>B186*(1-1/8)</f>
        <v>121.0131800162488</v>
      </c>
      <c r="C188" s="72"/>
      <c r="D188" s="72" t="s">
        <v>37</v>
      </c>
      <c r="E188" s="72" t="s">
        <v>38</v>
      </c>
      <c r="F188" s="72" t="s">
        <v>29</v>
      </c>
      <c r="G188" s="72" t="s">
        <v>86</v>
      </c>
      <c r="H188" s="72" t="s">
        <v>33</v>
      </c>
      <c r="I188" s="72">
        <v>2</v>
      </c>
      <c r="J188" s="72">
        <f t="shared" si="10"/>
        <v>4.7958994654188842</v>
      </c>
      <c r="K188" s="72">
        <v>0.30331501776206199</v>
      </c>
      <c r="L188" s="38" t="s">
        <v>31</v>
      </c>
      <c r="M188" s="38" t="s">
        <v>31</v>
      </c>
      <c r="N188" s="38" t="s">
        <v>31</v>
      </c>
      <c r="O188" s="72" t="s">
        <v>327</v>
      </c>
      <c r="P188" s="38" t="s">
        <v>625</v>
      </c>
      <c r="Q188" s="38"/>
      <c r="R188" s="38"/>
      <c r="S188" s="38"/>
      <c r="T188" s="38"/>
      <c r="U188" s="38"/>
      <c r="V188" s="38"/>
      <c r="W188" s="38"/>
    </row>
    <row r="189" spans="1:23" s="79" customFormat="1">
      <c r="A189" s="94" t="s">
        <v>464</v>
      </c>
      <c r="B189" s="78">
        <f>B186*(1-1/8)</f>
        <v>121.0131800162488</v>
      </c>
      <c r="C189" s="78"/>
      <c r="D189" s="78" t="s">
        <v>37</v>
      </c>
      <c r="E189" s="78" t="s">
        <v>38</v>
      </c>
      <c r="F189" s="78" t="s">
        <v>29</v>
      </c>
      <c r="G189" s="78" t="s">
        <v>60</v>
      </c>
      <c r="H189" s="78" t="s">
        <v>98</v>
      </c>
      <c r="I189" s="78">
        <v>2</v>
      </c>
      <c r="J189" s="78">
        <f t="shared" si="10"/>
        <v>4.7958994654188842</v>
      </c>
      <c r="K189" s="78">
        <v>0.30331501776206199</v>
      </c>
      <c r="L189" s="57" t="s">
        <v>31</v>
      </c>
      <c r="M189" s="57" t="s">
        <v>31</v>
      </c>
      <c r="N189" s="57" t="s">
        <v>31</v>
      </c>
      <c r="O189" s="78" t="s">
        <v>327</v>
      </c>
      <c r="P189" s="57" t="s">
        <v>626</v>
      </c>
      <c r="Q189" s="57"/>
      <c r="R189" s="57"/>
      <c r="S189" s="57"/>
      <c r="T189" s="57"/>
      <c r="U189" s="57"/>
      <c r="V189" s="57"/>
      <c r="W189" s="57"/>
    </row>
    <row r="190" spans="1:23">
      <c r="A190" s="70" t="s">
        <v>93</v>
      </c>
      <c r="B190" s="34">
        <f>B187*(1-1/1.2)</f>
        <v>1.1525064763452277</v>
      </c>
      <c r="C190" s="34"/>
      <c r="D190" s="34" t="s">
        <v>37</v>
      </c>
      <c r="E190" s="34" t="s">
        <v>38</v>
      </c>
      <c r="F190" s="34" t="s">
        <v>29</v>
      </c>
      <c r="G190" s="34" t="s">
        <v>86</v>
      </c>
      <c r="H190" s="34" t="s">
        <v>33</v>
      </c>
      <c r="I190" s="34">
        <v>2</v>
      </c>
      <c r="J190" s="34">
        <f t="shared" si="10"/>
        <v>0.14193911526136177</v>
      </c>
      <c r="K190" s="34">
        <v>0.30331501776206199</v>
      </c>
      <c r="L190" s="31" t="s">
        <v>31</v>
      </c>
      <c r="M190" s="31" t="s">
        <v>31</v>
      </c>
      <c r="N190" s="31" t="s">
        <v>31</v>
      </c>
      <c r="O190" s="34" t="s">
        <v>327</v>
      </c>
      <c r="P190" s="31" t="s">
        <v>627</v>
      </c>
      <c r="Q190" s="31"/>
      <c r="R190" s="32" t="s">
        <v>578</v>
      </c>
      <c r="V190" s="31"/>
    </row>
    <row r="191" spans="1:23">
      <c r="A191" s="73" t="s">
        <v>94</v>
      </c>
      <c r="B191" s="34">
        <f>B187*(1-1/1.2)</f>
        <v>1.1525064763452277</v>
      </c>
      <c r="C191" s="31" t="s">
        <v>95</v>
      </c>
      <c r="D191" s="34" t="s">
        <v>37</v>
      </c>
      <c r="E191" s="34" t="s">
        <v>38</v>
      </c>
      <c r="F191" s="34" t="s">
        <v>29</v>
      </c>
      <c r="G191" s="34" t="s">
        <v>86</v>
      </c>
      <c r="H191" s="34" t="s">
        <v>33</v>
      </c>
      <c r="I191" s="34">
        <v>2</v>
      </c>
      <c r="J191" s="34">
        <f t="shared" si="10"/>
        <v>0.14193911526136177</v>
      </c>
      <c r="K191" s="34">
        <v>0.30331501776206199</v>
      </c>
      <c r="L191" s="31" t="s">
        <v>31</v>
      </c>
      <c r="M191" s="31" t="s">
        <v>31</v>
      </c>
      <c r="N191" s="31" t="s">
        <v>31</v>
      </c>
      <c r="O191" s="34" t="s">
        <v>327</v>
      </c>
      <c r="P191" s="31" t="s">
        <v>627</v>
      </c>
      <c r="Q191" s="31"/>
      <c r="R191" s="32"/>
      <c r="V191" s="31"/>
    </row>
    <row r="192" spans="1:23">
      <c r="A192" s="34" t="s">
        <v>449</v>
      </c>
      <c r="B192" s="34">
        <f>B187*(1-1/1.2)</f>
        <v>1.1525064763452277</v>
      </c>
      <c r="C192" s="34"/>
      <c r="D192" s="34" t="s">
        <v>37</v>
      </c>
      <c r="E192" s="34" t="s">
        <v>38</v>
      </c>
      <c r="F192" s="34" t="s">
        <v>29</v>
      </c>
      <c r="G192" s="34" t="s">
        <v>60</v>
      </c>
      <c r="H192" s="34" t="s">
        <v>98</v>
      </c>
      <c r="I192" s="34">
        <v>2</v>
      </c>
      <c r="J192" s="34">
        <f t="shared" si="10"/>
        <v>0.14193911526136177</v>
      </c>
      <c r="K192" s="34">
        <v>0.30331501776206199</v>
      </c>
      <c r="L192" s="31" t="s">
        <v>31</v>
      </c>
      <c r="M192" s="31" t="s">
        <v>31</v>
      </c>
      <c r="N192" s="31" t="s">
        <v>31</v>
      </c>
      <c r="O192" s="34" t="s">
        <v>327</v>
      </c>
      <c r="P192" s="31" t="s">
        <v>628</v>
      </c>
      <c r="Q192" s="31"/>
      <c r="V192" s="31"/>
    </row>
    <row r="193" spans="1:23">
      <c r="A193" s="31" t="s">
        <v>168</v>
      </c>
      <c r="B193" s="67">
        <f>R193</f>
        <v>922.5094862268154</v>
      </c>
      <c r="C193" s="67"/>
      <c r="D193" s="31" t="s">
        <v>41</v>
      </c>
      <c r="E193" s="31" t="s">
        <v>38</v>
      </c>
      <c r="F193" s="31" t="s">
        <v>29</v>
      </c>
      <c r="G193" s="31" t="s">
        <v>60</v>
      </c>
      <c r="H193" s="31" t="s">
        <v>33</v>
      </c>
      <c r="I193" s="31">
        <v>2</v>
      </c>
      <c r="J193" s="31">
        <f t="shared" si="10"/>
        <v>6.8270976590345107</v>
      </c>
      <c r="K193" s="31">
        <v>0.28635642126552707</v>
      </c>
      <c r="L193" s="31" t="s">
        <v>31</v>
      </c>
      <c r="M193" s="31" t="s">
        <v>31</v>
      </c>
      <c r="N193" s="31" t="s">
        <v>31</v>
      </c>
      <c r="O193" s="31"/>
      <c r="P193" s="31" t="s">
        <v>329</v>
      </c>
      <c r="Q193" s="31"/>
      <c r="R193" s="31">
        <v>922.5094862268154</v>
      </c>
      <c r="S193" s="31" t="s">
        <v>332</v>
      </c>
      <c r="V193" s="31"/>
    </row>
    <row r="194" spans="1:23">
      <c r="A194" s="31" t="s">
        <v>170</v>
      </c>
      <c r="B194" s="67">
        <f>V194</f>
        <v>87.193115487791005</v>
      </c>
      <c r="C194" s="67"/>
      <c r="D194" s="31" t="s">
        <v>50</v>
      </c>
      <c r="E194" s="31" t="s">
        <v>38</v>
      </c>
      <c r="F194" s="31" t="s">
        <v>29</v>
      </c>
      <c r="G194" s="31" t="s">
        <v>333</v>
      </c>
      <c r="H194" s="31" t="s">
        <v>33</v>
      </c>
      <c r="I194" s="31">
        <v>2</v>
      </c>
      <c r="J194" s="31">
        <f t="shared" si="10"/>
        <v>4.4681253769700682</v>
      </c>
      <c r="K194" s="31">
        <v>0.28635642126552707</v>
      </c>
      <c r="L194" s="31" t="s">
        <v>31</v>
      </c>
      <c r="M194" s="31" t="s">
        <v>31</v>
      </c>
      <c r="N194" s="31" t="s">
        <v>31</v>
      </c>
      <c r="O194" s="31"/>
      <c r="P194" s="31" t="s">
        <v>329</v>
      </c>
      <c r="Q194" s="31"/>
      <c r="R194" s="46">
        <v>927.63860966095956</v>
      </c>
      <c r="S194" s="31" t="s">
        <v>332</v>
      </c>
      <c r="T194" s="31">
        <f>R194/0.277778</f>
        <v>3339.4963231823954</v>
      </c>
      <c r="U194" s="31" t="s">
        <v>331</v>
      </c>
      <c r="V194" s="31">
        <f>T194/38.3</f>
        <v>87.193115487791005</v>
      </c>
      <c r="W194" s="31" t="s">
        <v>335</v>
      </c>
    </row>
    <row r="195" spans="1:23">
      <c r="A195" s="31" t="s">
        <v>112</v>
      </c>
      <c r="B195" s="67">
        <f>T195</f>
        <v>416.77758219811892</v>
      </c>
      <c r="C195" s="67"/>
      <c r="D195" s="31" t="s">
        <v>113</v>
      </c>
      <c r="E195" s="31" t="s">
        <v>38</v>
      </c>
      <c r="F195" s="31" t="s">
        <v>29</v>
      </c>
      <c r="G195" s="31" t="s">
        <v>60</v>
      </c>
      <c r="H195" s="31" t="s">
        <v>33</v>
      </c>
      <c r="I195" s="31">
        <v>2</v>
      </c>
      <c r="J195" s="31">
        <f t="shared" si="10"/>
        <v>6.0325527034795146</v>
      </c>
      <c r="K195" s="31">
        <v>0.28635642126552707</v>
      </c>
      <c r="L195" s="31" t="s">
        <v>31</v>
      </c>
      <c r="M195" s="31" t="s">
        <v>31</v>
      </c>
      <c r="N195" s="31" t="s">
        <v>31</v>
      </c>
      <c r="O195" s="31"/>
      <c r="P195" s="31" t="s">
        <v>329</v>
      </c>
      <c r="Q195" s="31"/>
      <c r="R195" s="46">
        <v>115.77164322782909</v>
      </c>
      <c r="S195" s="31" t="s">
        <v>332</v>
      </c>
      <c r="T195" s="31">
        <f>R195/0.277778</f>
        <v>416.77758219811892</v>
      </c>
      <c r="U195" s="31" t="s">
        <v>331</v>
      </c>
      <c r="V195" s="31"/>
    </row>
    <row r="196" spans="1:23">
      <c r="A196" s="31" t="s">
        <v>164</v>
      </c>
      <c r="B196" s="67">
        <f>V196</f>
        <v>19.724865794016985</v>
      </c>
      <c r="C196" s="67"/>
      <c r="D196" s="31" t="s">
        <v>37</v>
      </c>
      <c r="E196" s="31" t="s">
        <v>38</v>
      </c>
      <c r="F196" s="31" t="s">
        <v>29</v>
      </c>
      <c r="G196" s="31" t="s">
        <v>60</v>
      </c>
      <c r="H196" s="31" t="s">
        <v>33</v>
      </c>
      <c r="I196" s="31">
        <v>2</v>
      </c>
      <c r="J196" s="31">
        <f t="shared" si="10"/>
        <v>2.9818800628566744</v>
      </c>
      <c r="K196" s="31">
        <v>0.28635642126552707</v>
      </c>
      <c r="L196" s="31" t="s">
        <v>31</v>
      </c>
      <c r="M196" s="31" t="s">
        <v>31</v>
      </c>
      <c r="N196" s="31" t="s">
        <v>31</v>
      </c>
      <c r="O196" s="31"/>
      <c r="P196" s="31" t="s">
        <v>329</v>
      </c>
      <c r="Q196" s="31"/>
      <c r="R196" s="46">
        <v>245.46519291976418</v>
      </c>
      <c r="S196" s="31" t="s">
        <v>332</v>
      </c>
      <c r="T196" s="31">
        <f>R196/0.277778</f>
        <v>883.67398757196088</v>
      </c>
      <c r="U196" s="31" t="s">
        <v>331</v>
      </c>
      <c r="V196" s="31">
        <f>T196/44.8</f>
        <v>19.724865794016985</v>
      </c>
      <c r="W196" s="31" t="s">
        <v>337</v>
      </c>
    </row>
    <row r="197" spans="1:23">
      <c r="A197" s="31" t="s">
        <v>36</v>
      </c>
      <c r="B197" s="67">
        <f>V197</f>
        <v>38.93943655256686</v>
      </c>
      <c r="C197" s="67"/>
      <c r="D197" s="31" t="s">
        <v>37</v>
      </c>
      <c r="E197" s="31" t="s">
        <v>38</v>
      </c>
      <c r="F197" s="31" t="s">
        <v>29</v>
      </c>
      <c r="G197" s="31" t="s">
        <v>86</v>
      </c>
      <c r="H197" s="31" t="s">
        <v>33</v>
      </c>
      <c r="I197" s="31">
        <v>2</v>
      </c>
      <c r="J197" s="31">
        <f t="shared" si="10"/>
        <v>3.6620075302083164</v>
      </c>
      <c r="K197" s="31">
        <v>0.28635642126552707</v>
      </c>
      <c r="L197" s="31" t="s">
        <v>31</v>
      </c>
      <c r="M197" s="31" t="s">
        <v>31</v>
      </c>
      <c r="N197" s="31" t="s">
        <v>31</v>
      </c>
      <c r="O197" s="31"/>
      <c r="P197" s="31"/>
      <c r="Q197" s="31"/>
      <c r="R197" s="46">
        <v>499.72316886949005</v>
      </c>
      <c r="S197" s="31" t="s">
        <v>332</v>
      </c>
      <c r="T197" s="31">
        <f>R197/0.277778</f>
        <v>1799.001968728589</v>
      </c>
      <c r="U197" s="31" t="s">
        <v>331</v>
      </c>
      <c r="V197" s="31">
        <f>T197/46.2</f>
        <v>38.93943655256686</v>
      </c>
      <c r="W197" s="31" t="s">
        <v>337</v>
      </c>
    </row>
    <row r="198" spans="1:23" s="65" customFormat="1">
      <c r="A198" s="31" t="s">
        <v>59</v>
      </c>
      <c r="B198" s="67">
        <f>V198</f>
        <v>0.23980298170202471</v>
      </c>
      <c r="C198" s="67"/>
      <c r="D198" s="31" t="s">
        <v>37</v>
      </c>
      <c r="E198" s="31" t="s">
        <v>2</v>
      </c>
      <c r="F198" s="31" t="s">
        <v>324</v>
      </c>
      <c r="G198" s="31" t="s">
        <v>60</v>
      </c>
      <c r="H198" s="31" t="s">
        <v>33</v>
      </c>
      <c r="I198" s="31">
        <v>2</v>
      </c>
      <c r="J198" s="31">
        <f t="shared" si="10"/>
        <v>-1.427937602345823</v>
      </c>
      <c r="K198" s="31">
        <v>0.28635642126552707</v>
      </c>
      <c r="L198" s="31" t="s">
        <v>31</v>
      </c>
      <c r="M198" s="31" t="s">
        <v>31</v>
      </c>
      <c r="N198" s="31" t="s">
        <v>31</v>
      </c>
      <c r="O198" s="45"/>
      <c r="P198" s="31"/>
      <c r="Q198" s="45"/>
      <c r="R198" s="46">
        <v>2.930927676653901</v>
      </c>
      <c r="S198" s="31" t="s">
        <v>332</v>
      </c>
      <c r="T198" s="31">
        <f>R198/0.277778</f>
        <v>10.551331194889087</v>
      </c>
      <c r="U198" s="31" t="s">
        <v>331</v>
      </c>
      <c r="V198" s="31">
        <f>T198/44</f>
        <v>0.23980298170202471</v>
      </c>
      <c r="W198" s="31" t="s">
        <v>337</v>
      </c>
    </row>
    <row r="199" spans="1:23">
      <c r="A199" s="31" t="s">
        <v>172</v>
      </c>
      <c r="B199" s="45">
        <f>T199</f>
        <v>2250.7507670328741</v>
      </c>
      <c r="C199" s="45"/>
      <c r="D199" s="31" t="s">
        <v>37</v>
      </c>
      <c r="E199" s="31" t="s">
        <v>38</v>
      </c>
      <c r="F199" s="31" t="s">
        <v>29</v>
      </c>
      <c r="G199" s="31" t="s">
        <v>60</v>
      </c>
      <c r="H199" s="31" t="s">
        <v>33</v>
      </c>
      <c r="I199" s="31">
        <v>2</v>
      </c>
      <c r="J199" s="31">
        <f t="shared" si="10"/>
        <v>7.7190191137784314</v>
      </c>
      <c r="K199" s="31">
        <v>0.28635642126552707</v>
      </c>
      <c r="L199" s="31" t="s">
        <v>31</v>
      </c>
      <c r="M199" s="31" t="s">
        <v>31</v>
      </c>
      <c r="N199" s="31" t="s">
        <v>31</v>
      </c>
      <c r="O199" s="31"/>
      <c r="P199" s="31" t="s">
        <v>329</v>
      </c>
      <c r="Q199" s="31"/>
      <c r="R199" s="31">
        <v>2.255781159017483</v>
      </c>
      <c r="S199" s="31" t="s">
        <v>335</v>
      </c>
      <c r="T199" s="31">
        <f>R199*997.77</f>
        <v>2250.7507670328741</v>
      </c>
      <c r="U199" s="31" t="s">
        <v>337</v>
      </c>
      <c r="V199" s="31"/>
    </row>
    <row r="200" spans="1:23">
      <c r="A200" s="51" t="s">
        <v>580</v>
      </c>
      <c r="B200" s="66">
        <f>R200</f>
        <v>2.1034886914747082</v>
      </c>
      <c r="C200" s="66"/>
      <c r="D200" s="31" t="s">
        <v>50</v>
      </c>
      <c r="E200" s="31" t="s">
        <v>2</v>
      </c>
      <c r="F200" s="31" t="s">
        <v>29</v>
      </c>
      <c r="G200" s="51" t="s">
        <v>86</v>
      </c>
      <c r="H200" s="31" t="s">
        <v>33</v>
      </c>
      <c r="I200" s="31">
        <v>2</v>
      </c>
      <c r="J200" s="31">
        <f t="shared" si="10"/>
        <v>0.74359724798203042</v>
      </c>
      <c r="K200" s="31">
        <v>0.28635642126552707</v>
      </c>
      <c r="L200" s="31" t="s">
        <v>31</v>
      </c>
      <c r="M200" s="31" t="s">
        <v>31</v>
      </c>
      <c r="N200" s="31" t="s">
        <v>31</v>
      </c>
      <c r="O200" s="31"/>
      <c r="P200" s="31" t="s">
        <v>329</v>
      </c>
      <c r="Q200" s="31"/>
      <c r="R200" s="31">
        <v>2.1034886914747082</v>
      </c>
      <c r="S200" s="31" t="s">
        <v>335</v>
      </c>
      <c r="V200" s="31"/>
    </row>
    <row r="201" spans="1:23">
      <c r="A201" s="31" t="s">
        <v>581</v>
      </c>
      <c r="B201" s="66">
        <f>R201</f>
        <v>51.042105488927682</v>
      </c>
      <c r="C201" s="66"/>
      <c r="D201" s="31" t="s">
        <v>37</v>
      </c>
      <c r="E201" s="31" t="s">
        <v>2</v>
      </c>
      <c r="F201" s="31" t="s">
        <v>29</v>
      </c>
      <c r="G201" s="31" t="s">
        <v>86</v>
      </c>
      <c r="H201" s="31" t="s">
        <v>33</v>
      </c>
      <c r="I201" s="31">
        <v>2</v>
      </c>
      <c r="J201" s="31">
        <f t="shared" si="10"/>
        <v>3.9326508899280181</v>
      </c>
      <c r="K201" s="31">
        <v>0.28635642126552707</v>
      </c>
      <c r="L201" s="31" t="s">
        <v>31</v>
      </c>
      <c r="M201" s="31" t="s">
        <v>31</v>
      </c>
      <c r="N201" s="31" t="s">
        <v>31</v>
      </c>
      <c r="O201" s="31"/>
      <c r="P201" s="31" t="s">
        <v>329</v>
      </c>
      <c r="Q201" s="31"/>
      <c r="R201" s="31">
        <v>51.042105488927682</v>
      </c>
      <c r="S201" s="31" t="s">
        <v>337</v>
      </c>
      <c r="V201" s="31"/>
    </row>
    <row r="202" spans="1:23">
      <c r="A202" s="31" t="s">
        <v>48</v>
      </c>
      <c r="B202" s="66">
        <f t="shared" ref="B202:B205" si="11">R202</f>
        <v>958.94751183489575</v>
      </c>
      <c r="C202" s="66"/>
      <c r="D202" s="31" t="s">
        <v>37</v>
      </c>
      <c r="E202" s="31" t="s">
        <v>43</v>
      </c>
      <c r="F202" s="31" t="s">
        <v>44</v>
      </c>
      <c r="G202" s="31" t="s">
        <v>29</v>
      </c>
      <c r="H202" s="31" t="s">
        <v>45</v>
      </c>
      <c r="I202" s="31">
        <v>2</v>
      </c>
      <c r="J202" s="31">
        <f t="shared" si="10"/>
        <v>6.8658363412009011</v>
      </c>
      <c r="K202" s="31">
        <v>0.28635642126552707</v>
      </c>
      <c r="L202" s="31" t="s">
        <v>31</v>
      </c>
      <c r="M202" s="31" t="s">
        <v>31</v>
      </c>
      <c r="N202" s="31" t="s">
        <v>31</v>
      </c>
      <c r="O202" s="31"/>
      <c r="P202" s="31" t="s">
        <v>329</v>
      </c>
      <c r="Q202" s="31"/>
      <c r="R202" s="31">
        <v>958.94751183489575</v>
      </c>
      <c r="S202" s="31" t="s">
        <v>337</v>
      </c>
      <c r="V202" s="31"/>
    </row>
    <row r="203" spans="1:23">
      <c r="A203" s="31" t="s">
        <v>51</v>
      </c>
      <c r="B203" s="66">
        <f t="shared" si="11"/>
        <v>1.0258246868288653E-2</v>
      </c>
      <c r="C203" s="66"/>
      <c r="D203" s="31" t="s">
        <v>37</v>
      </c>
      <c r="E203" s="31" t="s">
        <v>43</v>
      </c>
      <c r="F203" s="31" t="s">
        <v>44</v>
      </c>
      <c r="G203" s="31" t="s">
        <v>29</v>
      </c>
      <c r="H203" s="31" t="s">
        <v>45</v>
      </c>
      <c r="I203" s="31">
        <v>2</v>
      </c>
      <c r="J203" s="31">
        <f t="shared" si="10"/>
        <v>-4.5796733243767154</v>
      </c>
      <c r="K203" s="31">
        <v>0.28635642126552707</v>
      </c>
      <c r="L203" s="31" t="s">
        <v>31</v>
      </c>
      <c r="M203" s="31" t="s">
        <v>31</v>
      </c>
      <c r="N203" s="31" t="s">
        <v>31</v>
      </c>
      <c r="O203" s="31"/>
      <c r="P203" s="31" t="s">
        <v>329</v>
      </c>
      <c r="Q203" s="31"/>
      <c r="R203" s="31">
        <v>1.0258246868288653E-2</v>
      </c>
      <c r="S203" s="31" t="s">
        <v>337</v>
      </c>
      <c r="V203" s="31"/>
    </row>
    <row r="204" spans="1:23">
      <c r="A204" s="31" t="s">
        <v>42</v>
      </c>
      <c r="B204" s="66">
        <f t="shared" si="11"/>
        <v>0.16266648605429149</v>
      </c>
      <c r="C204" s="66"/>
      <c r="D204" s="31" t="s">
        <v>37</v>
      </c>
      <c r="E204" s="31" t="s">
        <v>43</v>
      </c>
      <c r="F204" s="31" t="s">
        <v>44</v>
      </c>
      <c r="G204" s="31" t="s">
        <v>29</v>
      </c>
      <c r="H204" s="31" t="s">
        <v>45</v>
      </c>
      <c r="I204" s="31">
        <v>2</v>
      </c>
      <c r="J204" s="31">
        <f t="shared" si="10"/>
        <v>-1.8160532721196945</v>
      </c>
      <c r="K204" s="31">
        <v>0.28635642126552707</v>
      </c>
      <c r="L204" s="31" t="s">
        <v>31</v>
      </c>
      <c r="M204" s="31" t="s">
        <v>31</v>
      </c>
      <c r="N204" s="31" t="s">
        <v>31</v>
      </c>
      <c r="O204" s="31"/>
      <c r="P204" s="31" t="s">
        <v>329</v>
      </c>
      <c r="Q204" s="31"/>
      <c r="R204" s="31">
        <v>0.16266648605429149</v>
      </c>
      <c r="S204" s="31" t="s">
        <v>337</v>
      </c>
      <c r="V204" s="31"/>
    </row>
    <row r="205" spans="1:23">
      <c r="A205" s="31" t="s">
        <v>490</v>
      </c>
      <c r="B205" s="66">
        <f t="shared" si="11"/>
        <v>0.77010124704081251</v>
      </c>
      <c r="C205" s="66"/>
      <c r="D205" s="31" t="s">
        <v>37</v>
      </c>
      <c r="E205" s="31" t="s">
        <v>43</v>
      </c>
      <c r="F205" s="31" t="s">
        <v>44</v>
      </c>
      <c r="G205" s="31" t="s">
        <v>29</v>
      </c>
      <c r="H205" s="31" t="s">
        <v>45</v>
      </c>
      <c r="I205" s="31">
        <v>2</v>
      </c>
      <c r="J205" s="31">
        <f t="shared" si="10"/>
        <v>-0.2612332831150227</v>
      </c>
      <c r="K205" s="31">
        <v>0.28635642126552702</v>
      </c>
      <c r="L205" s="31" t="s">
        <v>31</v>
      </c>
      <c r="M205" s="31" t="s">
        <v>31</v>
      </c>
      <c r="N205" s="31" t="s">
        <v>31</v>
      </c>
      <c r="O205" s="31"/>
      <c r="P205" s="31" t="s">
        <v>329</v>
      </c>
      <c r="Q205" s="31"/>
      <c r="R205" s="31">
        <v>0.77010124704081251</v>
      </c>
      <c r="S205" s="31" t="s">
        <v>337</v>
      </c>
      <c r="V205" s="31"/>
    </row>
    <row r="206" spans="1:23" s="42" customFormat="1">
      <c r="A206" s="36" t="s">
        <v>5</v>
      </c>
      <c r="B206" s="36" t="s">
        <v>565</v>
      </c>
      <c r="C206" s="36"/>
      <c r="D206" s="37"/>
      <c r="E206" s="38"/>
      <c r="F206" s="38"/>
      <c r="G206" s="38"/>
      <c r="H206" s="38"/>
      <c r="I206" s="38"/>
      <c r="J206" s="38"/>
      <c r="K206" s="38"/>
      <c r="L206" s="38"/>
      <c r="M206" s="38"/>
      <c r="N206" s="38"/>
      <c r="O206" s="38"/>
      <c r="P206" s="38" t="s">
        <v>329</v>
      </c>
      <c r="Q206" s="38"/>
      <c r="R206" s="38"/>
      <c r="S206" s="38"/>
      <c r="T206" s="38"/>
      <c r="U206" s="38"/>
      <c r="V206" s="38"/>
      <c r="W206" s="38"/>
    </row>
    <row r="207" spans="1:23">
      <c r="A207" s="31" t="s">
        <v>7</v>
      </c>
      <c r="B207" s="31" t="s">
        <v>324</v>
      </c>
      <c r="C207" s="31"/>
      <c r="D207" s="31"/>
      <c r="E207" s="31"/>
      <c r="F207" s="31"/>
      <c r="G207" s="31"/>
      <c r="H207" s="31"/>
      <c r="I207" s="31"/>
      <c r="J207" s="31"/>
      <c r="K207" s="31"/>
      <c r="L207" s="31"/>
      <c r="M207" s="31"/>
      <c r="N207" s="31"/>
      <c r="O207" s="31"/>
      <c r="P207" s="31" t="s">
        <v>329</v>
      </c>
      <c r="Q207" s="31"/>
      <c r="V207" s="31"/>
    </row>
    <row r="208" spans="1:23">
      <c r="A208" s="31" t="s">
        <v>9</v>
      </c>
      <c r="B208" s="43" t="s">
        <v>631</v>
      </c>
      <c r="C208" s="31"/>
      <c r="D208" s="31"/>
      <c r="E208" s="31"/>
      <c r="F208" s="31"/>
      <c r="G208" s="31"/>
      <c r="H208" s="31"/>
      <c r="I208" s="31"/>
      <c r="J208" s="31"/>
      <c r="K208" s="31"/>
      <c r="L208" s="31"/>
      <c r="M208" s="31"/>
      <c r="N208" s="31"/>
      <c r="O208" s="31"/>
      <c r="P208" s="31" t="s">
        <v>329</v>
      </c>
      <c r="Q208" s="31"/>
      <c r="V208" s="31"/>
    </row>
    <row r="209" spans="1:23">
      <c r="A209" s="31" t="s">
        <v>11</v>
      </c>
      <c r="B209" s="31" t="s">
        <v>632</v>
      </c>
      <c r="C209" s="31"/>
      <c r="D209" s="31"/>
      <c r="E209" s="31"/>
      <c r="F209" s="31"/>
      <c r="G209" s="31"/>
      <c r="H209" s="31"/>
      <c r="I209" s="31"/>
      <c r="J209" s="31"/>
      <c r="K209" s="31"/>
      <c r="L209" s="31"/>
      <c r="M209" s="31"/>
      <c r="N209" s="31"/>
      <c r="O209" s="31"/>
      <c r="P209" s="31" t="s">
        <v>329</v>
      </c>
      <c r="Q209" s="31"/>
      <c r="V209" s="31"/>
    </row>
    <row r="210" spans="1:23">
      <c r="A210" s="31" t="s">
        <v>13</v>
      </c>
      <c r="B210" s="47" t="s">
        <v>60</v>
      </c>
      <c r="C210" s="31"/>
      <c r="D210" s="31"/>
      <c r="E210" s="31"/>
      <c r="F210" s="31"/>
      <c r="G210" s="31"/>
      <c r="H210" s="31"/>
      <c r="I210" s="31"/>
      <c r="J210" s="31"/>
      <c r="K210" s="31"/>
      <c r="L210" s="31"/>
      <c r="M210" s="31"/>
      <c r="N210" s="31"/>
      <c r="O210" s="31"/>
      <c r="P210" s="31" t="s">
        <v>329</v>
      </c>
      <c r="Q210" s="31"/>
      <c r="V210" s="31"/>
    </row>
    <row r="211" spans="1:23">
      <c r="A211" s="31" t="s">
        <v>15</v>
      </c>
      <c r="B211" s="31">
        <v>1</v>
      </c>
      <c r="C211" s="31"/>
      <c r="D211" s="31"/>
      <c r="E211" s="31"/>
      <c r="F211" s="31"/>
      <c r="G211" s="31"/>
      <c r="H211" s="31"/>
      <c r="I211" s="31"/>
      <c r="J211" s="31"/>
      <c r="K211" s="31"/>
      <c r="L211" s="31"/>
      <c r="M211" s="31"/>
      <c r="N211" s="31"/>
      <c r="O211" s="31"/>
      <c r="P211" s="31" t="s">
        <v>329</v>
      </c>
      <c r="Q211" s="31"/>
      <c r="V211" s="31"/>
    </row>
    <row r="212" spans="1:23">
      <c r="A212" s="31" t="s">
        <v>16</v>
      </c>
      <c r="B212" s="31" t="s">
        <v>17</v>
      </c>
      <c r="C212" s="31"/>
      <c r="D212" s="31"/>
      <c r="E212" s="31"/>
      <c r="F212" s="31"/>
      <c r="G212" s="31"/>
      <c r="H212" s="31"/>
      <c r="I212" s="31"/>
      <c r="J212" s="31"/>
      <c r="K212" s="31"/>
      <c r="L212" s="31"/>
      <c r="M212" s="31"/>
      <c r="N212" s="31"/>
      <c r="O212" s="31"/>
      <c r="P212" s="31" t="s">
        <v>329</v>
      </c>
      <c r="Q212" s="31"/>
      <c r="V212" s="31"/>
    </row>
    <row r="213" spans="1:23">
      <c r="A213" s="31" t="s">
        <v>18</v>
      </c>
      <c r="B213" s="31" t="s">
        <v>18</v>
      </c>
      <c r="C213" s="31"/>
      <c r="D213" s="31"/>
      <c r="E213" s="31" t="s">
        <v>77</v>
      </c>
      <c r="F213" s="31"/>
      <c r="G213" s="31"/>
      <c r="H213" s="31"/>
      <c r="I213" s="31"/>
      <c r="J213" s="31"/>
      <c r="K213" s="31"/>
      <c r="L213" s="31"/>
      <c r="M213" s="31"/>
      <c r="N213" s="31"/>
      <c r="O213" s="31"/>
      <c r="P213" s="31" t="s">
        <v>329</v>
      </c>
      <c r="Q213" s="31"/>
      <c r="V213" s="31"/>
    </row>
    <row r="214" spans="1:23">
      <c r="A214" s="32" t="s">
        <v>19</v>
      </c>
      <c r="B214" s="31"/>
      <c r="C214" s="31"/>
      <c r="D214" s="31"/>
      <c r="E214" s="31"/>
      <c r="F214" s="31"/>
      <c r="G214" s="31"/>
      <c r="H214" s="31"/>
      <c r="I214" s="31"/>
      <c r="J214" s="31"/>
      <c r="K214" s="31"/>
      <c r="L214" s="31"/>
      <c r="M214" s="31"/>
      <c r="N214" s="31"/>
      <c r="O214" s="31"/>
      <c r="P214" s="31" t="s">
        <v>329</v>
      </c>
      <c r="Q214" s="31"/>
      <c r="V214" s="31"/>
    </row>
    <row r="215" spans="1:23">
      <c r="A215" s="32" t="s">
        <v>20</v>
      </c>
      <c r="B215" s="32" t="s">
        <v>21</v>
      </c>
      <c r="C215" s="32" t="s">
        <v>78</v>
      </c>
      <c r="D215" s="32" t="s">
        <v>18</v>
      </c>
      <c r="E215" s="32" t="s">
        <v>22</v>
      </c>
      <c r="F215" s="32" t="s">
        <v>7</v>
      </c>
      <c r="G215" s="32" t="s">
        <v>13</v>
      </c>
      <c r="H215" s="32" t="s">
        <v>16</v>
      </c>
      <c r="I215" s="32" t="s">
        <v>23</v>
      </c>
      <c r="J215" s="32" t="s">
        <v>24</v>
      </c>
      <c r="K215" s="32" t="s">
        <v>25</v>
      </c>
      <c r="L215" s="32" t="s">
        <v>26</v>
      </c>
      <c r="M215" s="32" t="s">
        <v>27</v>
      </c>
      <c r="N215" s="32" t="s">
        <v>28</v>
      </c>
      <c r="O215" s="32" t="s">
        <v>11</v>
      </c>
      <c r="P215" s="32" t="s">
        <v>555</v>
      </c>
      <c r="Q215" s="31"/>
      <c r="V215" s="31"/>
    </row>
    <row r="216" spans="1:23">
      <c r="A216" s="45" t="s">
        <v>565</v>
      </c>
      <c r="B216" s="31">
        <v>1</v>
      </c>
      <c r="C216" s="31"/>
      <c r="D216" s="31" t="s">
        <v>18</v>
      </c>
      <c r="E216" s="31" t="s">
        <v>2</v>
      </c>
      <c r="F216" s="31" t="s">
        <v>29</v>
      </c>
      <c r="G216" s="47" t="s">
        <v>60</v>
      </c>
      <c r="H216" s="31" t="s">
        <v>30</v>
      </c>
      <c r="I216" s="31">
        <v>0</v>
      </c>
      <c r="J216" s="31">
        <f>B216</f>
        <v>1</v>
      </c>
      <c r="K216" s="31" t="s">
        <v>31</v>
      </c>
      <c r="L216" s="31" t="s">
        <v>31</v>
      </c>
      <c r="M216" s="31" t="s">
        <v>31</v>
      </c>
      <c r="N216" s="31" t="s">
        <v>31</v>
      </c>
      <c r="O216" s="31"/>
      <c r="P216" s="31" t="s">
        <v>329</v>
      </c>
      <c r="Q216" s="31"/>
      <c r="R216" s="32" t="s">
        <v>633</v>
      </c>
      <c r="V216" s="31"/>
    </row>
    <row r="217" spans="1:23">
      <c r="A217" s="68" t="s">
        <v>494</v>
      </c>
      <c r="B217" s="35">
        <f>29.7392260843753*1.5*0.2</f>
        <v>8.9217678253125907</v>
      </c>
      <c r="C217" s="35"/>
      <c r="D217" s="35" t="s">
        <v>37</v>
      </c>
      <c r="E217" s="35" t="s">
        <v>38</v>
      </c>
      <c r="F217" s="35" t="s">
        <v>29</v>
      </c>
      <c r="G217" s="35" t="s">
        <v>60</v>
      </c>
      <c r="H217" s="35" t="s">
        <v>33</v>
      </c>
      <c r="I217" s="35">
        <v>2</v>
      </c>
      <c r="J217" s="35">
        <f t="shared" ref="J217:J238" si="12">LN(B217)</f>
        <v>2.188494113649766</v>
      </c>
      <c r="K217" s="35">
        <v>0.30331501776206199</v>
      </c>
      <c r="L217" s="31" t="s">
        <v>31</v>
      </c>
      <c r="M217" s="31" t="s">
        <v>31</v>
      </c>
      <c r="N217" s="31" t="s">
        <v>31</v>
      </c>
      <c r="O217" s="35" t="s">
        <v>590</v>
      </c>
      <c r="P217" s="31" t="s">
        <v>634</v>
      </c>
      <c r="Q217" s="31"/>
      <c r="R217" s="31">
        <f>0.2*216.2305125</f>
        <v>43.246102500000006</v>
      </c>
      <c r="V217" s="31"/>
    </row>
    <row r="218" spans="1:23">
      <c r="A218" s="68" t="s">
        <v>464</v>
      </c>
      <c r="B218" s="35">
        <f>29.7392260843753*1.5*0.8</f>
        <v>35.687071301250363</v>
      </c>
      <c r="C218" s="35"/>
      <c r="D218" s="35" t="s">
        <v>37</v>
      </c>
      <c r="E218" s="35" t="s">
        <v>38</v>
      </c>
      <c r="F218" s="35" t="s">
        <v>29</v>
      </c>
      <c r="G218" s="35" t="s">
        <v>60</v>
      </c>
      <c r="H218" s="35" t="s">
        <v>33</v>
      </c>
      <c r="I218" s="35">
        <v>2</v>
      </c>
      <c r="J218" s="35">
        <f t="shared" si="12"/>
        <v>3.5747884747696568</v>
      </c>
      <c r="K218" s="35">
        <v>0.30331501776206199</v>
      </c>
      <c r="L218" s="31" t="s">
        <v>31</v>
      </c>
      <c r="M218" s="31" t="s">
        <v>31</v>
      </c>
      <c r="N218" s="31" t="s">
        <v>31</v>
      </c>
      <c r="O218" s="35" t="s">
        <v>590</v>
      </c>
      <c r="P218" s="31" t="s">
        <v>635</v>
      </c>
      <c r="Q218" s="31"/>
      <c r="R218" s="31">
        <f>0.8*216.2305125</f>
        <v>172.98441000000003</v>
      </c>
      <c r="V218" s="31"/>
    </row>
    <row r="219" spans="1:23">
      <c r="A219" s="68" t="s">
        <v>449</v>
      </c>
      <c r="B219" s="35">
        <f>29.7392260843753*30</f>
        <v>892.17678253125905</v>
      </c>
      <c r="C219" s="35"/>
      <c r="D219" s="35" t="s">
        <v>37</v>
      </c>
      <c r="E219" s="35" t="s">
        <v>38</v>
      </c>
      <c r="F219" s="35" t="s">
        <v>29</v>
      </c>
      <c r="G219" s="35" t="s">
        <v>60</v>
      </c>
      <c r="H219" s="35" t="s">
        <v>33</v>
      </c>
      <c r="I219" s="35">
        <v>2</v>
      </c>
      <c r="J219" s="35">
        <f t="shared" si="12"/>
        <v>6.7936642996378573</v>
      </c>
      <c r="K219" s="35">
        <v>0.30331501776206199</v>
      </c>
      <c r="L219" s="31" t="s">
        <v>31</v>
      </c>
      <c r="M219" s="31" t="s">
        <v>31</v>
      </c>
      <c r="N219" s="31" t="s">
        <v>31</v>
      </c>
      <c r="O219" s="35" t="s">
        <v>590</v>
      </c>
      <c r="P219" s="31" t="s">
        <v>636</v>
      </c>
      <c r="Q219" s="31"/>
      <c r="V219" s="31"/>
    </row>
    <row r="220" spans="1:23" s="90" customFormat="1">
      <c r="A220" s="85" t="s">
        <v>581</v>
      </c>
      <c r="B220" s="86">
        <f>B217*(1-1/1.5)</f>
        <v>2.9739226084375305</v>
      </c>
      <c r="C220" s="87"/>
      <c r="D220" s="87" t="s">
        <v>37</v>
      </c>
      <c r="E220" s="95" t="s">
        <v>38</v>
      </c>
      <c r="F220" s="95" t="s">
        <v>29</v>
      </c>
      <c r="G220" s="95" t="s">
        <v>86</v>
      </c>
      <c r="H220" s="95" t="s">
        <v>33</v>
      </c>
      <c r="I220" s="87">
        <v>2</v>
      </c>
      <c r="J220" s="96">
        <f t="shared" si="12"/>
        <v>1.0898818249816566</v>
      </c>
      <c r="K220" s="96">
        <v>0.30331501776206199</v>
      </c>
      <c r="L220" s="89" t="s">
        <v>31</v>
      </c>
      <c r="M220" s="89" t="s">
        <v>31</v>
      </c>
      <c r="N220" s="89" t="s">
        <v>31</v>
      </c>
      <c r="O220" s="87" t="s">
        <v>327</v>
      </c>
      <c r="P220" s="89" t="s">
        <v>616</v>
      </c>
      <c r="Q220" s="89"/>
      <c r="R220" s="89">
        <f>0.2*72.0768375</f>
        <v>14.4153675</v>
      </c>
      <c r="S220" s="89"/>
      <c r="T220" s="89"/>
      <c r="U220" s="89"/>
      <c r="V220" s="89"/>
      <c r="W220" s="89"/>
    </row>
    <row r="221" spans="1:23" s="42" customFormat="1">
      <c r="A221" s="70" t="s">
        <v>134</v>
      </c>
      <c r="B221" s="72">
        <f>B218*(1-1/1.5)</f>
        <v>11.895690433750122</v>
      </c>
      <c r="C221" s="72"/>
      <c r="D221" s="72" t="s">
        <v>37</v>
      </c>
      <c r="E221" s="72" t="s">
        <v>38</v>
      </c>
      <c r="F221" s="72" t="s">
        <v>29</v>
      </c>
      <c r="G221" s="72" t="s">
        <v>86</v>
      </c>
      <c r="H221" s="72" t="s">
        <v>33</v>
      </c>
      <c r="I221" s="72">
        <v>2</v>
      </c>
      <c r="J221" s="72">
        <f t="shared" si="12"/>
        <v>2.4761761861015472</v>
      </c>
      <c r="K221" s="72">
        <v>0.30331501776206199</v>
      </c>
      <c r="L221" s="38" t="s">
        <v>31</v>
      </c>
      <c r="M221" s="38" t="s">
        <v>31</v>
      </c>
      <c r="N221" s="38" t="s">
        <v>31</v>
      </c>
      <c r="O221" s="72" t="s">
        <v>327</v>
      </c>
      <c r="P221" s="38" t="s">
        <v>637</v>
      </c>
      <c r="Q221" s="38"/>
      <c r="R221" s="38">
        <f>0.8*72.0768375</f>
        <v>57.661470000000001</v>
      </c>
      <c r="S221" s="38"/>
      <c r="T221" s="38"/>
      <c r="U221" s="38"/>
      <c r="V221" s="38"/>
      <c r="W221" s="38"/>
    </row>
    <row r="222" spans="1:23" s="79" customFormat="1">
      <c r="A222" s="94" t="s">
        <v>464</v>
      </c>
      <c r="B222" s="78">
        <f>B218*(1-1/1.5)</f>
        <v>11.895690433750122</v>
      </c>
      <c r="C222" s="78"/>
      <c r="D222" s="78" t="s">
        <v>37</v>
      </c>
      <c r="E222" s="78" t="s">
        <v>38</v>
      </c>
      <c r="F222" s="78" t="s">
        <v>29</v>
      </c>
      <c r="G222" s="78" t="s">
        <v>60</v>
      </c>
      <c r="H222" s="78" t="s">
        <v>98</v>
      </c>
      <c r="I222" s="78">
        <v>2</v>
      </c>
      <c r="J222" s="78">
        <f t="shared" si="12"/>
        <v>2.4761761861015472</v>
      </c>
      <c r="K222" s="78">
        <v>0.30331501776206199</v>
      </c>
      <c r="L222" s="57" t="s">
        <v>31</v>
      </c>
      <c r="M222" s="57" t="s">
        <v>31</v>
      </c>
      <c r="N222" s="57" t="s">
        <v>31</v>
      </c>
      <c r="O222" s="78" t="s">
        <v>327</v>
      </c>
      <c r="P222" s="57" t="s">
        <v>638</v>
      </c>
      <c r="Q222" s="57"/>
      <c r="R222" s="57"/>
      <c r="S222" s="57"/>
      <c r="T222" s="57"/>
      <c r="U222" s="57"/>
      <c r="V222" s="57"/>
      <c r="W222" s="57"/>
    </row>
    <row r="223" spans="1:23">
      <c r="A223" s="70" t="s">
        <v>93</v>
      </c>
      <c r="B223" s="34">
        <f>B219*(1-1/30)</f>
        <v>862.43755644688372</v>
      </c>
      <c r="C223" s="34"/>
      <c r="D223" s="34" t="s">
        <v>37</v>
      </c>
      <c r="E223" s="34" t="s">
        <v>38</v>
      </c>
      <c r="F223" s="34" t="s">
        <v>29</v>
      </c>
      <c r="G223" s="34" t="s">
        <v>86</v>
      </c>
      <c r="H223" s="34" t="s">
        <v>33</v>
      </c>
      <c r="I223" s="34">
        <v>2</v>
      </c>
      <c r="J223" s="34">
        <f t="shared" si="12"/>
        <v>6.759762747962176</v>
      </c>
      <c r="K223" s="34">
        <v>0.30331501776206199</v>
      </c>
      <c r="L223" s="31" t="s">
        <v>31</v>
      </c>
      <c r="M223" s="31" t="s">
        <v>31</v>
      </c>
      <c r="N223" s="31" t="s">
        <v>31</v>
      </c>
      <c r="O223" s="34" t="s">
        <v>327</v>
      </c>
      <c r="P223" s="31" t="s">
        <v>639</v>
      </c>
      <c r="Q223" s="31"/>
      <c r="R223" s="32" t="s">
        <v>578</v>
      </c>
      <c r="V223" s="31"/>
    </row>
    <row r="224" spans="1:23">
      <c r="A224" s="73" t="s">
        <v>94</v>
      </c>
      <c r="B224" s="34">
        <f>B219*(1-1/30)</f>
        <v>862.43755644688372</v>
      </c>
      <c r="C224" s="31" t="s">
        <v>95</v>
      </c>
      <c r="D224" s="34" t="s">
        <v>37</v>
      </c>
      <c r="E224" s="34" t="s">
        <v>38</v>
      </c>
      <c r="F224" s="34" t="s">
        <v>29</v>
      </c>
      <c r="G224" s="34" t="s">
        <v>86</v>
      </c>
      <c r="H224" s="34" t="s">
        <v>33</v>
      </c>
      <c r="I224" s="34">
        <v>2</v>
      </c>
      <c r="J224" s="34">
        <f t="shared" si="12"/>
        <v>6.759762747962176</v>
      </c>
      <c r="K224" s="34">
        <v>0.30331501776206199</v>
      </c>
      <c r="L224" s="31" t="s">
        <v>31</v>
      </c>
      <c r="M224" s="31" t="s">
        <v>31</v>
      </c>
      <c r="N224" s="31" t="s">
        <v>31</v>
      </c>
      <c r="O224" s="34" t="s">
        <v>327</v>
      </c>
      <c r="P224" s="31" t="s">
        <v>639</v>
      </c>
      <c r="Q224" s="31"/>
      <c r="R224" s="32"/>
      <c r="V224" s="31"/>
    </row>
    <row r="225" spans="1:23">
      <c r="A225" s="34" t="s">
        <v>449</v>
      </c>
      <c r="B225" s="34">
        <f>B219*(1-1/30)</f>
        <v>862.43755644688372</v>
      </c>
      <c r="C225" s="34"/>
      <c r="D225" s="34" t="s">
        <v>37</v>
      </c>
      <c r="E225" s="34" t="s">
        <v>38</v>
      </c>
      <c r="F225" s="34" t="s">
        <v>29</v>
      </c>
      <c r="G225" s="34" t="s">
        <v>60</v>
      </c>
      <c r="H225" s="34" t="s">
        <v>98</v>
      </c>
      <c r="I225" s="34">
        <v>2</v>
      </c>
      <c r="J225" s="34">
        <f t="shared" si="12"/>
        <v>6.759762747962176</v>
      </c>
      <c r="K225" s="34">
        <v>0.30331501776206199</v>
      </c>
      <c r="L225" s="31" t="s">
        <v>31</v>
      </c>
      <c r="M225" s="31" t="s">
        <v>31</v>
      </c>
      <c r="N225" s="31" t="s">
        <v>31</v>
      </c>
      <c r="O225" s="34" t="s">
        <v>327</v>
      </c>
      <c r="P225" s="31" t="s">
        <v>640</v>
      </c>
      <c r="Q225" s="31"/>
      <c r="V225" s="31"/>
    </row>
    <row r="226" spans="1:23">
      <c r="A226" s="31" t="s">
        <v>168</v>
      </c>
      <c r="B226" s="67">
        <f>R226</f>
        <v>11653.813371456885</v>
      </c>
      <c r="C226" s="67"/>
      <c r="D226" s="31" t="s">
        <v>41</v>
      </c>
      <c r="E226" s="31" t="s">
        <v>38</v>
      </c>
      <c r="F226" s="31" t="s">
        <v>29</v>
      </c>
      <c r="G226" s="31" t="s">
        <v>60</v>
      </c>
      <c r="H226" s="31" t="s">
        <v>33</v>
      </c>
      <c r="I226" s="31">
        <v>2</v>
      </c>
      <c r="J226" s="31">
        <f t="shared" si="12"/>
        <v>9.3633887334557677</v>
      </c>
      <c r="K226" s="31">
        <v>0.28635642126552707</v>
      </c>
      <c r="L226" s="31" t="s">
        <v>31</v>
      </c>
      <c r="M226" s="31" t="s">
        <v>31</v>
      </c>
      <c r="N226" s="31" t="s">
        <v>31</v>
      </c>
      <c r="O226" s="31"/>
      <c r="P226" s="31" t="s">
        <v>329</v>
      </c>
      <c r="Q226" s="31"/>
      <c r="R226" s="31">
        <v>11653.813371456885</v>
      </c>
      <c r="S226" s="31" t="s">
        <v>332</v>
      </c>
      <c r="V226" s="31"/>
    </row>
    <row r="227" spans="1:23">
      <c r="A227" s="31" t="s">
        <v>170</v>
      </c>
      <c r="B227" s="67">
        <f>V227</f>
        <v>1101.4870961671274</v>
      </c>
      <c r="C227" s="67"/>
      <c r="D227" s="31" t="s">
        <v>50</v>
      </c>
      <c r="E227" s="31" t="s">
        <v>38</v>
      </c>
      <c r="F227" s="31" t="s">
        <v>29</v>
      </c>
      <c r="G227" s="31" t="s">
        <v>333</v>
      </c>
      <c r="H227" s="31" t="s">
        <v>33</v>
      </c>
      <c r="I227" s="31">
        <v>2</v>
      </c>
      <c r="J227" s="31">
        <f t="shared" si="12"/>
        <v>7.0044164513913261</v>
      </c>
      <c r="K227" s="31">
        <v>0.28635642126552707</v>
      </c>
      <c r="L227" s="31" t="s">
        <v>31</v>
      </c>
      <c r="M227" s="31" t="s">
        <v>31</v>
      </c>
      <c r="N227" s="31" t="s">
        <v>31</v>
      </c>
      <c r="O227" s="31"/>
      <c r="P227" s="31" t="s">
        <v>329</v>
      </c>
      <c r="Q227" s="31"/>
      <c r="R227" s="46">
        <v>11718.608203546</v>
      </c>
      <c r="S227" s="31" t="s">
        <v>332</v>
      </c>
      <c r="T227" s="31">
        <f>R227/0.277778</f>
        <v>42186.955783200974</v>
      </c>
      <c r="U227" s="31" t="s">
        <v>331</v>
      </c>
      <c r="V227" s="31">
        <f>T227/38.3</f>
        <v>1101.4870961671274</v>
      </c>
      <c r="W227" s="31" t="s">
        <v>335</v>
      </c>
    </row>
    <row r="228" spans="1:23">
      <c r="A228" s="31" t="s">
        <v>112</v>
      </c>
      <c r="B228" s="67">
        <f>T228</f>
        <v>5265.0387154389837</v>
      </c>
      <c r="C228" s="67"/>
      <c r="D228" s="31" t="s">
        <v>113</v>
      </c>
      <c r="E228" s="31" t="s">
        <v>38</v>
      </c>
      <c r="F228" s="31" t="s">
        <v>29</v>
      </c>
      <c r="G228" s="31" t="s">
        <v>60</v>
      </c>
      <c r="H228" s="31" t="s">
        <v>33</v>
      </c>
      <c r="I228" s="31">
        <v>2</v>
      </c>
      <c r="J228" s="31">
        <f t="shared" si="12"/>
        <v>8.5688437779007707</v>
      </c>
      <c r="K228" s="31">
        <v>0.28635642126552707</v>
      </c>
      <c r="L228" s="31" t="s">
        <v>31</v>
      </c>
      <c r="M228" s="31" t="s">
        <v>31</v>
      </c>
      <c r="N228" s="31" t="s">
        <v>31</v>
      </c>
      <c r="O228" s="31"/>
      <c r="P228" s="31" t="s">
        <v>329</v>
      </c>
      <c r="Q228" s="31"/>
      <c r="R228" s="46">
        <v>1462.51192429721</v>
      </c>
      <c r="S228" s="31" t="s">
        <v>332</v>
      </c>
      <c r="T228" s="31">
        <f>R228/0.277778</f>
        <v>5265.0387154389837</v>
      </c>
      <c r="U228" s="31" t="s">
        <v>331</v>
      </c>
      <c r="V228" s="31"/>
    </row>
    <row r="229" spans="1:23">
      <c r="A229" s="31" t="s">
        <v>164</v>
      </c>
      <c r="B229" s="67">
        <f>V229</f>
        <v>249.17890620367024</v>
      </c>
      <c r="C229" s="67"/>
      <c r="D229" s="31" t="s">
        <v>37</v>
      </c>
      <c r="E229" s="31" t="s">
        <v>38</v>
      </c>
      <c r="F229" s="31" t="s">
        <v>29</v>
      </c>
      <c r="G229" s="31" t="s">
        <v>60</v>
      </c>
      <c r="H229" s="31" t="s">
        <v>33</v>
      </c>
      <c r="I229" s="31">
        <v>2</v>
      </c>
      <c r="J229" s="31">
        <f t="shared" si="12"/>
        <v>5.518171137277931</v>
      </c>
      <c r="K229" s="31">
        <v>0.28635642126552707</v>
      </c>
      <c r="L229" s="31" t="s">
        <v>31</v>
      </c>
      <c r="M229" s="31" t="s">
        <v>31</v>
      </c>
      <c r="N229" s="31" t="s">
        <v>31</v>
      </c>
      <c r="O229" s="31"/>
      <c r="P229" s="31" t="s">
        <v>329</v>
      </c>
      <c r="Q229" s="31"/>
      <c r="R229" s="46">
        <v>3100.8955356934516</v>
      </c>
      <c r="S229" s="31" t="s">
        <v>332</v>
      </c>
      <c r="T229" s="31">
        <f>R229/0.277778</f>
        <v>11163.214997924426</v>
      </c>
      <c r="U229" s="31" t="s">
        <v>331</v>
      </c>
      <c r="V229" s="31">
        <f>T229/44.8</f>
        <v>249.17890620367024</v>
      </c>
      <c r="W229" s="31" t="s">
        <v>337</v>
      </c>
    </row>
    <row r="230" spans="1:23">
      <c r="A230" s="31" t="s">
        <v>36</v>
      </c>
      <c r="B230" s="67">
        <f>V230</f>
        <v>491.91139294336489</v>
      </c>
      <c r="C230" s="67"/>
      <c r="D230" s="31" t="s">
        <v>37</v>
      </c>
      <c r="E230" s="31" t="s">
        <v>38</v>
      </c>
      <c r="F230" s="31" t="s">
        <v>29</v>
      </c>
      <c r="G230" s="31" t="s">
        <v>86</v>
      </c>
      <c r="H230" s="31" t="s">
        <v>33</v>
      </c>
      <c r="I230" s="31">
        <v>2</v>
      </c>
      <c r="J230" s="31">
        <f t="shared" si="12"/>
        <v>6.1982986046295734</v>
      </c>
      <c r="K230" s="31">
        <v>0.28635642126552707</v>
      </c>
      <c r="L230" s="31" t="s">
        <v>31</v>
      </c>
      <c r="M230" s="31" t="s">
        <v>31</v>
      </c>
      <c r="N230" s="31" t="s">
        <v>31</v>
      </c>
      <c r="O230" s="31"/>
      <c r="P230" s="31" t="s">
        <v>329</v>
      </c>
      <c r="Q230" s="31"/>
      <c r="R230" s="46">
        <v>6312.8679263968179</v>
      </c>
      <c r="S230" s="31" t="s">
        <v>332</v>
      </c>
      <c r="T230" s="31">
        <f>R230/0.277778</f>
        <v>22726.306353983458</v>
      </c>
      <c r="U230" s="31" t="s">
        <v>331</v>
      </c>
      <c r="V230" s="31">
        <f>T230/46.2</f>
        <v>491.91139294336489</v>
      </c>
      <c r="W230" s="31" t="s">
        <v>337</v>
      </c>
    </row>
    <row r="231" spans="1:23" s="65" customFormat="1">
      <c r="A231" s="31" t="s">
        <v>59</v>
      </c>
      <c r="B231" s="67">
        <f>V231</f>
        <v>3.0293663495045937</v>
      </c>
      <c r="C231" s="67"/>
      <c r="D231" s="31" t="s">
        <v>37</v>
      </c>
      <c r="E231" s="31" t="s">
        <v>2</v>
      </c>
      <c r="F231" s="31" t="s">
        <v>324</v>
      </c>
      <c r="G231" s="31" t="s">
        <v>60</v>
      </c>
      <c r="H231" s="31" t="s">
        <v>33</v>
      </c>
      <c r="I231" s="31">
        <v>2</v>
      </c>
      <c r="J231" s="31">
        <f t="shared" si="12"/>
        <v>1.1083534720754338</v>
      </c>
      <c r="K231" s="31">
        <v>0.28635642126552707</v>
      </c>
      <c r="L231" s="31" t="s">
        <v>31</v>
      </c>
      <c r="M231" s="31" t="s">
        <v>31</v>
      </c>
      <c r="N231" s="31" t="s">
        <v>31</v>
      </c>
      <c r="O231" s="64"/>
      <c r="P231" s="31"/>
      <c r="Q231" s="45"/>
      <c r="R231" s="46">
        <v>37.025618336638232</v>
      </c>
      <c r="S231" s="31" t="s">
        <v>332</v>
      </c>
      <c r="T231" s="31">
        <f>R231/0.277778</f>
        <v>133.29211937820213</v>
      </c>
      <c r="U231" s="31" t="s">
        <v>331</v>
      </c>
      <c r="V231" s="31">
        <f>T231/44</f>
        <v>3.0293663495045937</v>
      </c>
      <c r="W231" s="31" t="s">
        <v>337</v>
      </c>
    </row>
    <row r="232" spans="1:23">
      <c r="A232" s="31" t="s">
        <v>172</v>
      </c>
      <c r="B232" s="45">
        <f>T232</f>
        <v>28433.127004414862</v>
      </c>
      <c r="C232" s="45"/>
      <c r="D232" s="31" t="s">
        <v>37</v>
      </c>
      <c r="E232" s="31" t="s">
        <v>38</v>
      </c>
      <c r="F232" s="31" t="s">
        <v>29</v>
      </c>
      <c r="G232" s="31" t="s">
        <v>60</v>
      </c>
      <c r="H232" s="31" t="s">
        <v>33</v>
      </c>
      <c r="I232" s="31">
        <v>2</v>
      </c>
      <c r="J232" s="31">
        <f t="shared" si="12"/>
        <v>10.255310188199688</v>
      </c>
      <c r="K232" s="31">
        <v>0.28635642126552707</v>
      </c>
      <c r="L232" s="31" t="s">
        <v>31</v>
      </c>
      <c r="M232" s="31" t="s">
        <v>31</v>
      </c>
      <c r="N232" s="31" t="s">
        <v>31</v>
      </c>
      <c r="O232" s="31"/>
      <c r="P232" s="31" t="s">
        <v>329</v>
      </c>
      <c r="Q232" s="31"/>
      <c r="R232" s="31">
        <v>28.496674588747769</v>
      </c>
      <c r="S232" s="31" t="s">
        <v>335</v>
      </c>
      <c r="T232" s="31">
        <f>R232*997.77</f>
        <v>28433.127004414862</v>
      </c>
      <c r="U232" s="31" t="s">
        <v>337</v>
      </c>
      <c r="V232" s="31"/>
    </row>
    <row r="233" spans="1:23">
      <c r="A233" s="51" t="s">
        <v>580</v>
      </c>
      <c r="B233" s="66">
        <f>R233</f>
        <v>26.572804947166883</v>
      </c>
      <c r="C233" s="66"/>
      <c r="D233" s="31" t="s">
        <v>50</v>
      </c>
      <c r="E233" s="31" t="s">
        <v>2</v>
      </c>
      <c r="F233" s="31" t="s">
        <v>29</v>
      </c>
      <c r="G233" s="51" t="s">
        <v>86</v>
      </c>
      <c r="H233" s="31" t="s">
        <v>33</v>
      </c>
      <c r="I233" s="31">
        <v>2</v>
      </c>
      <c r="J233" s="31">
        <f t="shared" si="12"/>
        <v>3.2798883224032873</v>
      </c>
      <c r="K233" s="31">
        <v>0.28635642126552707</v>
      </c>
      <c r="L233" s="31" t="s">
        <v>31</v>
      </c>
      <c r="M233" s="31" t="s">
        <v>31</v>
      </c>
      <c r="N233" s="31" t="s">
        <v>31</v>
      </c>
      <c r="O233" s="31"/>
      <c r="P233" s="31" t="s">
        <v>329</v>
      </c>
      <c r="Q233" s="31"/>
      <c r="R233" s="31">
        <v>26.572804947166883</v>
      </c>
      <c r="S233" s="31" t="s">
        <v>335</v>
      </c>
      <c r="V233" s="31"/>
    </row>
    <row r="234" spans="1:23">
      <c r="A234" s="31" t="s">
        <v>581</v>
      </c>
      <c r="B234" s="66">
        <f>R234</f>
        <v>644.80114333255483</v>
      </c>
      <c r="C234" s="66"/>
      <c r="D234" s="31" t="s">
        <v>37</v>
      </c>
      <c r="E234" s="31" t="s">
        <v>2</v>
      </c>
      <c r="F234" s="31" t="s">
        <v>29</v>
      </c>
      <c r="G234" s="31" t="s">
        <v>86</v>
      </c>
      <c r="H234" s="31" t="s">
        <v>33</v>
      </c>
      <c r="I234" s="31">
        <v>2</v>
      </c>
      <c r="J234" s="31">
        <f t="shared" si="12"/>
        <v>6.4689419643492752</v>
      </c>
      <c r="K234" s="31">
        <v>0.28635642126552702</v>
      </c>
      <c r="L234" s="31" t="s">
        <v>31</v>
      </c>
      <c r="M234" s="31" t="s">
        <v>31</v>
      </c>
      <c r="N234" s="31" t="s">
        <v>31</v>
      </c>
      <c r="O234" s="31"/>
      <c r="P234" s="31" t="s">
        <v>329</v>
      </c>
      <c r="Q234" s="31"/>
      <c r="R234" s="31">
        <v>644.80114333255483</v>
      </c>
      <c r="S234" s="31" t="s">
        <v>337</v>
      </c>
      <c r="V234" s="31"/>
    </row>
    <row r="235" spans="1:23">
      <c r="A235" s="31" t="s">
        <v>48</v>
      </c>
      <c r="B235" s="66">
        <f t="shared" ref="B235:B238" si="13">R235</f>
        <v>12114.125115022554</v>
      </c>
      <c r="C235" s="66"/>
      <c r="D235" s="31" t="s">
        <v>37</v>
      </c>
      <c r="E235" s="31" t="s">
        <v>43</v>
      </c>
      <c r="F235" s="31" t="s">
        <v>44</v>
      </c>
      <c r="G235" s="31" t="s">
        <v>29</v>
      </c>
      <c r="H235" s="31" t="s">
        <v>45</v>
      </c>
      <c r="I235" s="31">
        <v>2</v>
      </c>
      <c r="J235" s="31">
        <f t="shared" si="12"/>
        <v>9.402127415622159</v>
      </c>
      <c r="K235" s="31">
        <v>0.28635642126552702</v>
      </c>
      <c r="L235" s="31" t="s">
        <v>31</v>
      </c>
      <c r="M235" s="31" t="s">
        <v>31</v>
      </c>
      <c r="N235" s="31" t="s">
        <v>31</v>
      </c>
      <c r="O235" s="31"/>
      <c r="P235" s="31" t="s">
        <v>329</v>
      </c>
      <c r="Q235" s="31"/>
      <c r="R235" s="31">
        <v>12114.125115022554</v>
      </c>
      <c r="S235" s="31" t="s">
        <v>337</v>
      </c>
      <c r="V235" s="31"/>
    </row>
    <row r="236" spans="1:23">
      <c r="A236" s="31" t="s">
        <v>51</v>
      </c>
      <c r="B236" s="66">
        <f t="shared" si="13"/>
        <v>0.12958966417823381</v>
      </c>
      <c r="C236" s="66"/>
      <c r="D236" s="31" t="s">
        <v>37</v>
      </c>
      <c r="E236" s="31" t="s">
        <v>43</v>
      </c>
      <c r="F236" s="31" t="s">
        <v>44</v>
      </c>
      <c r="G236" s="31" t="s">
        <v>29</v>
      </c>
      <c r="H236" s="31" t="s">
        <v>45</v>
      </c>
      <c r="I236" s="31">
        <v>2</v>
      </c>
      <c r="J236" s="31">
        <f t="shared" si="12"/>
        <v>-2.0433822499554584</v>
      </c>
      <c r="K236" s="31">
        <v>0.28635642126552702</v>
      </c>
      <c r="L236" s="31" t="s">
        <v>31</v>
      </c>
      <c r="M236" s="31" t="s">
        <v>31</v>
      </c>
      <c r="N236" s="31" t="s">
        <v>31</v>
      </c>
      <c r="O236" s="31"/>
      <c r="P236" s="31" t="s">
        <v>329</v>
      </c>
      <c r="Q236" s="31"/>
      <c r="R236" s="31">
        <v>0.12958966417823381</v>
      </c>
      <c r="S236" s="31" t="s">
        <v>337</v>
      </c>
      <c r="V236" s="31"/>
    </row>
    <row r="237" spans="1:23">
      <c r="A237" s="31" t="s">
        <v>42</v>
      </c>
      <c r="B237" s="66">
        <f t="shared" si="13"/>
        <v>2.0549218176834216</v>
      </c>
      <c r="C237" s="66"/>
      <c r="D237" s="31" t="s">
        <v>37</v>
      </c>
      <c r="E237" s="31" t="s">
        <v>43</v>
      </c>
      <c r="F237" s="31" t="s">
        <v>44</v>
      </c>
      <c r="G237" s="31" t="s">
        <v>29</v>
      </c>
      <c r="H237" s="31" t="s">
        <v>45</v>
      </c>
      <c r="I237" s="31">
        <v>2</v>
      </c>
      <c r="J237" s="31">
        <f t="shared" si="12"/>
        <v>0.72023780230156231</v>
      </c>
      <c r="K237" s="31">
        <v>0.28635642126552702</v>
      </c>
      <c r="L237" s="31" t="s">
        <v>31</v>
      </c>
      <c r="M237" s="31" t="s">
        <v>31</v>
      </c>
      <c r="N237" s="31" t="s">
        <v>31</v>
      </c>
      <c r="O237" s="31"/>
      <c r="P237" s="31" t="s">
        <v>329</v>
      </c>
      <c r="Q237" s="31"/>
      <c r="R237" s="31">
        <v>2.0549218176834216</v>
      </c>
      <c r="S237" s="31" t="s">
        <v>337</v>
      </c>
      <c r="V237" s="31"/>
    </row>
    <row r="238" spans="1:23">
      <c r="A238" s="31" t="s">
        <v>490</v>
      </c>
      <c r="B238" s="66">
        <f t="shared" si="13"/>
        <v>9.7284812179516962</v>
      </c>
      <c r="C238" s="66"/>
      <c r="D238" s="31" t="s">
        <v>37</v>
      </c>
      <c r="E238" s="31" t="s">
        <v>43</v>
      </c>
      <c r="F238" s="31" t="s">
        <v>44</v>
      </c>
      <c r="G238" s="31" t="s">
        <v>29</v>
      </c>
      <c r="H238" s="31" t="s">
        <v>45</v>
      </c>
      <c r="I238" s="31">
        <v>2</v>
      </c>
      <c r="J238" s="31">
        <f t="shared" si="12"/>
        <v>2.2750577913062342</v>
      </c>
      <c r="K238" s="31">
        <v>0.28635642126552702</v>
      </c>
      <c r="L238" s="31" t="s">
        <v>31</v>
      </c>
      <c r="M238" s="31" t="s">
        <v>31</v>
      </c>
      <c r="N238" s="31" t="s">
        <v>31</v>
      </c>
      <c r="O238" s="31"/>
      <c r="P238" s="31" t="s">
        <v>329</v>
      </c>
      <c r="Q238" s="31"/>
      <c r="R238" s="31">
        <v>9.7284812179516962</v>
      </c>
      <c r="S238" s="31" t="s">
        <v>337</v>
      </c>
      <c r="V238" s="31"/>
    </row>
    <row r="239" spans="1:23" s="42" customFormat="1">
      <c r="A239" s="36" t="s">
        <v>5</v>
      </c>
      <c r="B239" s="36" t="s">
        <v>568</v>
      </c>
      <c r="C239" s="36"/>
      <c r="D239" s="37"/>
      <c r="E239" s="38"/>
      <c r="F239" s="38"/>
      <c r="G239" s="38"/>
      <c r="H239" s="38"/>
      <c r="I239" s="38"/>
      <c r="J239" s="38"/>
      <c r="K239" s="38"/>
      <c r="L239" s="38"/>
      <c r="M239" s="38"/>
      <c r="N239" s="38"/>
      <c r="O239" s="38"/>
      <c r="P239" s="38" t="s">
        <v>329</v>
      </c>
      <c r="Q239" s="38"/>
      <c r="R239" s="38"/>
      <c r="S239" s="38"/>
      <c r="T239" s="38"/>
      <c r="U239" s="38"/>
      <c r="V239" s="38"/>
      <c r="W239" s="38"/>
    </row>
    <row r="240" spans="1:23">
      <c r="A240" s="31" t="s">
        <v>7</v>
      </c>
      <c r="B240" s="31" t="s">
        <v>324</v>
      </c>
      <c r="C240" s="31"/>
      <c r="D240" s="31"/>
      <c r="E240" s="31"/>
      <c r="F240" s="31"/>
      <c r="G240" s="31"/>
      <c r="H240" s="31"/>
      <c r="I240" s="31"/>
      <c r="J240" s="31"/>
      <c r="K240" s="31"/>
      <c r="L240" s="31"/>
      <c r="M240" s="31"/>
      <c r="N240" s="31"/>
      <c r="O240" s="31"/>
      <c r="P240" s="31" t="s">
        <v>329</v>
      </c>
      <c r="Q240" s="31"/>
      <c r="V240" s="31"/>
    </row>
    <row r="241" spans="1:23">
      <c r="A241" s="31" t="s">
        <v>9</v>
      </c>
      <c r="B241" s="43" t="s">
        <v>641</v>
      </c>
      <c r="C241" s="31"/>
      <c r="D241" s="31"/>
      <c r="E241" s="31"/>
      <c r="F241" s="31"/>
      <c r="G241" s="31"/>
      <c r="H241" s="31"/>
      <c r="I241" s="31"/>
      <c r="J241" s="31"/>
      <c r="K241" s="31"/>
      <c r="L241" s="31"/>
      <c r="M241" s="31"/>
      <c r="N241" s="31"/>
      <c r="O241" s="31"/>
      <c r="P241" s="31" t="s">
        <v>329</v>
      </c>
      <c r="Q241" s="31"/>
      <c r="V241" s="31"/>
    </row>
    <row r="242" spans="1:23">
      <c r="A242" s="31" t="s">
        <v>11</v>
      </c>
      <c r="B242" s="31" t="s">
        <v>642</v>
      </c>
      <c r="C242" s="31"/>
      <c r="D242" s="31"/>
      <c r="E242" s="31"/>
      <c r="F242" s="31"/>
      <c r="G242" s="31"/>
      <c r="H242" s="31"/>
      <c r="I242" s="31"/>
      <c r="J242" s="31"/>
      <c r="K242" s="31"/>
      <c r="L242" s="31"/>
      <c r="M242" s="31"/>
      <c r="N242" s="31"/>
      <c r="O242" s="31"/>
      <c r="P242" s="31" t="s">
        <v>329</v>
      </c>
      <c r="Q242" s="31"/>
      <c r="V242" s="31"/>
    </row>
    <row r="243" spans="1:23">
      <c r="A243" s="31" t="s">
        <v>13</v>
      </c>
      <c r="B243" s="47" t="s">
        <v>60</v>
      </c>
      <c r="C243" s="31"/>
      <c r="D243" s="31"/>
      <c r="E243" s="31"/>
      <c r="F243" s="31"/>
      <c r="G243" s="31"/>
      <c r="H243" s="31"/>
      <c r="I243" s="31"/>
      <c r="J243" s="31"/>
      <c r="K243" s="31"/>
      <c r="L243" s="31"/>
      <c r="M243" s="31"/>
      <c r="N243" s="31"/>
      <c r="O243" s="31"/>
      <c r="P243" s="31" t="s">
        <v>329</v>
      </c>
      <c r="Q243" s="31"/>
      <c r="V243" s="31"/>
    </row>
    <row r="244" spans="1:23">
      <c r="A244" s="31" t="s">
        <v>15</v>
      </c>
      <c r="B244" s="31">
        <v>1</v>
      </c>
      <c r="C244" s="31"/>
      <c r="D244" s="31"/>
      <c r="E244" s="31"/>
      <c r="F244" s="31"/>
      <c r="G244" s="31"/>
      <c r="H244" s="31"/>
      <c r="I244" s="31"/>
      <c r="J244" s="31"/>
      <c r="K244" s="31"/>
      <c r="L244" s="31"/>
      <c r="M244" s="31"/>
      <c r="N244" s="31"/>
      <c r="O244" s="31"/>
      <c r="P244" s="31" t="s">
        <v>329</v>
      </c>
      <c r="Q244" s="31"/>
      <c r="V244" s="31"/>
    </row>
    <row r="245" spans="1:23">
      <c r="A245" s="31" t="s">
        <v>16</v>
      </c>
      <c r="B245" s="31" t="s">
        <v>17</v>
      </c>
      <c r="C245" s="31"/>
      <c r="D245" s="31"/>
      <c r="E245" s="31"/>
      <c r="F245" s="31"/>
      <c r="G245" s="31"/>
      <c r="H245" s="31"/>
      <c r="I245" s="31"/>
      <c r="J245" s="31"/>
      <c r="K245" s="31"/>
      <c r="L245" s="31"/>
      <c r="M245" s="31"/>
      <c r="N245" s="31"/>
      <c r="O245" s="31"/>
      <c r="P245" s="31" t="s">
        <v>329</v>
      </c>
      <c r="Q245" s="31"/>
      <c r="V245" s="31"/>
    </row>
    <row r="246" spans="1:23">
      <c r="A246" s="31" t="s">
        <v>18</v>
      </c>
      <c r="B246" s="31" t="s">
        <v>18</v>
      </c>
      <c r="C246" s="31"/>
      <c r="D246" s="31"/>
      <c r="E246" s="31" t="s">
        <v>77</v>
      </c>
      <c r="F246" s="31"/>
      <c r="G246" s="31"/>
      <c r="H246" s="31"/>
      <c r="I246" s="31"/>
      <c r="J246" s="31"/>
      <c r="K246" s="31"/>
      <c r="L246" s="31"/>
      <c r="M246" s="31"/>
      <c r="N246" s="31"/>
      <c r="O246" s="31"/>
      <c r="P246" s="31" t="s">
        <v>329</v>
      </c>
      <c r="Q246" s="31"/>
      <c r="V246" s="31"/>
    </row>
    <row r="247" spans="1:23">
      <c r="A247" s="32" t="s">
        <v>19</v>
      </c>
      <c r="B247" s="31"/>
      <c r="C247" s="31"/>
      <c r="D247" s="31"/>
      <c r="E247" s="31"/>
      <c r="F247" s="31"/>
      <c r="G247" s="31"/>
      <c r="H247" s="31"/>
      <c r="I247" s="31"/>
      <c r="J247" s="31"/>
      <c r="K247" s="31"/>
      <c r="L247" s="31"/>
      <c r="M247" s="31"/>
      <c r="N247" s="31"/>
      <c r="O247" s="31"/>
      <c r="P247" s="31" t="s">
        <v>329</v>
      </c>
      <c r="Q247" s="31"/>
      <c r="V247" s="31"/>
    </row>
    <row r="248" spans="1:23">
      <c r="A248" s="32" t="s">
        <v>20</v>
      </c>
      <c r="B248" s="32" t="s">
        <v>21</v>
      </c>
      <c r="C248" s="32" t="s">
        <v>78</v>
      </c>
      <c r="D248" s="32" t="s">
        <v>18</v>
      </c>
      <c r="E248" s="32" t="s">
        <v>22</v>
      </c>
      <c r="F248" s="32" t="s">
        <v>7</v>
      </c>
      <c r="G248" s="32" t="s">
        <v>13</v>
      </c>
      <c r="H248" s="32" t="s">
        <v>16</v>
      </c>
      <c r="I248" s="32" t="s">
        <v>23</v>
      </c>
      <c r="J248" s="32" t="s">
        <v>24</v>
      </c>
      <c r="K248" s="32" t="s">
        <v>25</v>
      </c>
      <c r="L248" s="32" t="s">
        <v>26</v>
      </c>
      <c r="M248" s="32" t="s">
        <v>27</v>
      </c>
      <c r="N248" s="32" t="s">
        <v>28</v>
      </c>
      <c r="O248" s="32" t="s">
        <v>11</v>
      </c>
      <c r="P248" s="32" t="s">
        <v>555</v>
      </c>
      <c r="Q248" s="31"/>
      <c r="V248" s="31"/>
    </row>
    <row r="249" spans="1:23">
      <c r="A249" s="45" t="s">
        <v>568</v>
      </c>
      <c r="B249" s="31">
        <v>1</v>
      </c>
      <c r="C249" s="31"/>
      <c r="D249" s="31" t="s">
        <v>18</v>
      </c>
      <c r="E249" s="31" t="s">
        <v>2</v>
      </c>
      <c r="F249" s="31" t="s">
        <v>29</v>
      </c>
      <c r="G249" s="47" t="s">
        <v>60</v>
      </c>
      <c r="H249" s="31" t="s">
        <v>30</v>
      </c>
      <c r="I249" s="31">
        <v>1</v>
      </c>
      <c r="J249" s="31">
        <f>B249</f>
        <v>1</v>
      </c>
      <c r="K249" s="31" t="s">
        <v>31</v>
      </c>
      <c r="L249" s="31" t="s">
        <v>31</v>
      </c>
      <c r="M249" s="31" t="s">
        <v>31</v>
      </c>
      <c r="N249" s="31" t="s">
        <v>31</v>
      </c>
      <c r="O249" s="31"/>
      <c r="P249" s="31" t="s">
        <v>329</v>
      </c>
      <c r="Q249" s="31"/>
      <c r="R249" s="32" t="s">
        <v>643</v>
      </c>
      <c r="V249" s="31"/>
    </row>
    <row r="250" spans="1:23">
      <c r="A250" s="68" t="s">
        <v>494</v>
      </c>
      <c r="B250" s="35">
        <f>R250</f>
        <v>8.1986531249999999</v>
      </c>
      <c r="C250" s="35"/>
      <c r="D250" s="35" t="s">
        <v>37</v>
      </c>
      <c r="E250" s="35" t="s">
        <v>38</v>
      </c>
      <c r="F250" s="35" t="s">
        <v>29</v>
      </c>
      <c r="G250" s="35" t="s">
        <v>60</v>
      </c>
      <c r="H250" s="35" t="s">
        <v>33</v>
      </c>
      <c r="I250" s="35">
        <v>2</v>
      </c>
      <c r="J250" s="35">
        <f t="shared" ref="J250:J271" si="14">LN(B250)</f>
        <v>2.1039698877304174</v>
      </c>
      <c r="K250" s="35">
        <v>0.30331501776206199</v>
      </c>
      <c r="L250" s="31" t="s">
        <v>31</v>
      </c>
      <c r="M250" s="31" t="s">
        <v>31</v>
      </c>
      <c r="N250" s="31" t="s">
        <v>31</v>
      </c>
      <c r="O250" s="35" t="s">
        <v>590</v>
      </c>
      <c r="P250" s="31" t="s">
        <v>634</v>
      </c>
      <c r="Q250" s="31"/>
      <c r="R250" s="31">
        <f>0.2*40.993265625</f>
        <v>8.1986531249999999</v>
      </c>
      <c r="V250" s="31"/>
    </row>
    <row r="251" spans="1:23">
      <c r="A251" s="68" t="s">
        <v>464</v>
      </c>
      <c r="B251" s="35">
        <f>R251</f>
        <v>32.794612499999999</v>
      </c>
      <c r="C251" s="35"/>
      <c r="D251" s="35" t="s">
        <v>37</v>
      </c>
      <c r="E251" s="35" t="s">
        <v>38</v>
      </c>
      <c r="F251" s="35" t="s">
        <v>29</v>
      </c>
      <c r="G251" s="35" t="s">
        <v>60</v>
      </c>
      <c r="H251" s="35" t="s">
        <v>33</v>
      </c>
      <c r="I251" s="35">
        <v>2</v>
      </c>
      <c r="J251" s="35">
        <f t="shared" si="14"/>
        <v>3.4902642488503082</v>
      </c>
      <c r="K251" s="35">
        <v>0.30331501776206199</v>
      </c>
      <c r="L251" s="31" t="s">
        <v>31</v>
      </c>
      <c r="M251" s="31" t="s">
        <v>31</v>
      </c>
      <c r="N251" s="31" t="s">
        <v>31</v>
      </c>
      <c r="O251" s="35" t="s">
        <v>590</v>
      </c>
      <c r="P251" s="31" t="s">
        <v>635</v>
      </c>
      <c r="Q251" s="31"/>
      <c r="R251" s="31">
        <f>0.8*40.993265625</f>
        <v>32.794612499999999</v>
      </c>
      <c r="V251" s="31"/>
    </row>
    <row r="252" spans="1:23">
      <c r="A252" s="68" t="s">
        <v>449</v>
      </c>
      <c r="B252" s="35">
        <v>4324.6102499999997</v>
      </c>
      <c r="C252" s="35"/>
      <c r="D252" s="35" t="s">
        <v>37</v>
      </c>
      <c r="E252" s="35" t="s">
        <v>38</v>
      </c>
      <c r="F252" s="35" t="s">
        <v>29</v>
      </c>
      <c r="G252" s="35" t="s">
        <v>60</v>
      </c>
      <c r="H252" s="35" t="s">
        <v>33</v>
      </c>
      <c r="I252" s="35">
        <v>2</v>
      </c>
      <c r="J252" s="35">
        <f t="shared" si="14"/>
        <v>8.3720772996983879</v>
      </c>
      <c r="K252" s="35">
        <v>0.30331501776206199</v>
      </c>
      <c r="L252" s="31" t="s">
        <v>31</v>
      </c>
      <c r="M252" s="31" t="s">
        <v>31</v>
      </c>
      <c r="N252" s="31" t="s">
        <v>31</v>
      </c>
      <c r="O252" s="35" t="s">
        <v>590</v>
      </c>
      <c r="P252" s="31" t="s">
        <v>636</v>
      </c>
      <c r="Q252" s="31"/>
      <c r="V252" s="31"/>
    </row>
    <row r="253" spans="1:23" s="90" customFormat="1">
      <c r="A253" s="85" t="s">
        <v>581</v>
      </c>
      <c r="B253" s="86">
        <f>B250*(1-1/1.5)</f>
        <v>2.7328843750000003</v>
      </c>
      <c r="C253" s="87"/>
      <c r="D253" s="87" t="s">
        <v>37</v>
      </c>
      <c r="E253" s="95" t="s">
        <v>38</v>
      </c>
      <c r="F253" s="95" t="s">
        <v>29</v>
      </c>
      <c r="G253" s="95" t="s">
        <v>86</v>
      </c>
      <c r="H253" s="95" t="s">
        <v>33</v>
      </c>
      <c r="I253" s="96">
        <v>2</v>
      </c>
      <c r="J253" s="96">
        <f t="shared" si="14"/>
        <v>1.005357599062308</v>
      </c>
      <c r="K253" s="96">
        <v>0.30331501776206199</v>
      </c>
      <c r="L253" s="89" t="s">
        <v>31</v>
      </c>
      <c r="M253" s="89" t="s">
        <v>31</v>
      </c>
      <c r="N253" s="89" t="s">
        <v>31</v>
      </c>
      <c r="O253" s="87" t="s">
        <v>327</v>
      </c>
      <c r="P253" s="89" t="s">
        <v>616</v>
      </c>
      <c r="Q253" s="89"/>
      <c r="R253" s="89">
        <f>0.2*13.664421875</f>
        <v>2.7328843750000003</v>
      </c>
      <c r="S253" s="89"/>
      <c r="T253" s="89"/>
      <c r="U253" s="89"/>
      <c r="V253" s="89"/>
      <c r="W253" s="89"/>
    </row>
    <row r="254" spans="1:23" s="42" customFormat="1">
      <c r="A254" s="97" t="s">
        <v>134</v>
      </c>
      <c r="B254" s="71">
        <f>B251*(1-1/1.5)</f>
        <v>10.931537500000001</v>
      </c>
      <c r="C254" s="72"/>
      <c r="D254" s="72" t="s">
        <v>37</v>
      </c>
      <c r="E254" s="72" t="s">
        <v>38</v>
      </c>
      <c r="F254" s="72" t="s">
        <v>29</v>
      </c>
      <c r="G254" s="72" t="s">
        <v>86</v>
      </c>
      <c r="H254" s="72" t="s">
        <v>33</v>
      </c>
      <c r="I254" s="72">
        <v>2</v>
      </c>
      <c r="J254" s="72">
        <f t="shared" si="14"/>
        <v>2.3916519601821986</v>
      </c>
      <c r="K254" s="72">
        <v>0.30331501776206199</v>
      </c>
      <c r="L254" s="38" t="s">
        <v>31</v>
      </c>
      <c r="M254" s="38" t="s">
        <v>31</v>
      </c>
      <c r="N254" s="38" t="s">
        <v>31</v>
      </c>
      <c r="O254" s="72" t="s">
        <v>327</v>
      </c>
      <c r="P254" s="38" t="s">
        <v>637</v>
      </c>
      <c r="Q254" s="38"/>
      <c r="R254" s="38">
        <f>0.8*13.664421875</f>
        <v>10.931537500000001</v>
      </c>
      <c r="S254" s="38"/>
      <c r="T254" s="38"/>
      <c r="U254" s="38"/>
      <c r="V254" s="38"/>
      <c r="W254" s="38"/>
    </row>
    <row r="255" spans="1:23" s="79" customFormat="1">
      <c r="A255" s="94" t="s">
        <v>464</v>
      </c>
      <c r="B255" s="78">
        <f>B251*(1-1/1.5)</f>
        <v>10.931537500000001</v>
      </c>
      <c r="C255" s="78"/>
      <c r="D255" s="78" t="s">
        <v>37</v>
      </c>
      <c r="E255" s="78" t="s">
        <v>38</v>
      </c>
      <c r="F255" s="78" t="s">
        <v>29</v>
      </c>
      <c r="G255" s="78" t="s">
        <v>60</v>
      </c>
      <c r="H255" s="78" t="s">
        <v>98</v>
      </c>
      <c r="I255" s="78">
        <v>2</v>
      </c>
      <c r="J255" s="78">
        <f t="shared" si="14"/>
        <v>2.3916519601821986</v>
      </c>
      <c r="K255" s="78">
        <v>0.30331501776206199</v>
      </c>
      <c r="L255" s="57" t="s">
        <v>31</v>
      </c>
      <c r="M255" s="57" t="s">
        <v>31</v>
      </c>
      <c r="N255" s="57" t="s">
        <v>31</v>
      </c>
      <c r="O255" s="78" t="s">
        <v>327</v>
      </c>
      <c r="P255" s="57" t="s">
        <v>638</v>
      </c>
      <c r="Q255" s="57"/>
      <c r="R255" s="57"/>
      <c r="S255" s="57"/>
      <c r="T255" s="57"/>
      <c r="U255" s="57"/>
      <c r="V255" s="57"/>
      <c r="W255" s="57"/>
    </row>
    <row r="256" spans="1:23">
      <c r="A256" s="70" t="s">
        <v>93</v>
      </c>
      <c r="B256" s="34">
        <f>B252*(1-1/30)</f>
        <v>4180.4565750000002</v>
      </c>
      <c r="C256" s="34"/>
      <c r="D256" s="34" t="s">
        <v>37</v>
      </c>
      <c r="E256" s="34" t="s">
        <v>38</v>
      </c>
      <c r="F256" s="34" t="s">
        <v>29</v>
      </c>
      <c r="G256" s="34" t="s">
        <v>86</v>
      </c>
      <c r="H256" s="34" t="s">
        <v>33</v>
      </c>
      <c r="I256" s="34">
        <v>2</v>
      </c>
      <c r="J256" s="34">
        <f t="shared" si="14"/>
        <v>8.3381757480227066</v>
      </c>
      <c r="K256" s="34">
        <v>0.30331501776206199</v>
      </c>
      <c r="L256" s="31" t="s">
        <v>31</v>
      </c>
      <c r="M256" s="31" t="s">
        <v>31</v>
      </c>
      <c r="N256" s="31" t="s">
        <v>31</v>
      </c>
      <c r="O256" s="34" t="s">
        <v>327</v>
      </c>
      <c r="P256" s="31" t="s">
        <v>639</v>
      </c>
      <c r="Q256" s="31"/>
      <c r="R256" s="32" t="s">
        <v>578</v>
      </c>
      <c r="V256" s="31"/>
    </row>
    <row r="257" spans="1:23">
      <c r="A257" s="73" t="s">
        <v>94</v>
      </c>
      <c r="B257" s="34">
        <f>B252*(1-1/30)</f>
        <v>4180.4565750000002</v>
      </c>
      <c r="C257" s="31" t="s">
        <v>95</v>
      </c>
      <c r="D257" s="34" t="s">
        <v>37</v>
      </c>
      <c r="E257" s="34" t="s">
        <v>38</v>
      </c>
      <c r="F257" s="34" t="s">
        <v>29</v>
      </c>
      <c r="G257" s="34" t="s">
        <v>86</v>
      </c>
      <c r="H257" s="34" t="s">
        <v>33</v>
      </c>
      <c r="I257" s="34">
        <v>2</v>
      </c>
      <c r="J257" s="34">
        <f t="shared" si="14"/>
        <v>8.3381757480227066</v>
      </c>
      <c r="K257" s="34">
        <v>0.30331501776206199</v>
      </c>
      <c r="L257" s="31" t="s">
        <v>31</v>
      </c>
      <c r="M257" s="31" t="s">
        <v>31</v>
      </c>
      <c r="N257" s="31" t="s">
        <v>31</v>
      </c>
      <c r="O257" s="34" t="s">
        <v>327</v>
      </c>
      <c r="P257" s="31" t="s">
        <v>639</v>
      </c>
      <c r="Q257" s="31"/>
      <c r="R257" s="32"/>
      <c r="V257" s="31"/>
    </row>
    <row r="258" spans="1:23">
      <c r="A258" s="34" t="s">
        <v>449</v>
      </c>
      <c r="B258" s="34">
        <f>B252*(1-1/30)</f>
        <v>4180.4565750000002</v>
      </c>
      <c r="C258" s="34"/>
      <c r="D258" s="34" t="s">
        <v>37</v>
      </c>
      <c r="E258" s="34" t="s">
        <v>38</v>
      </c>
      <c r="F258" s="34" t="s">
        <v>29</v>
      </c>
      <c r="G258" s="34" t="s">
        <v>60</v>
      </c>
      <c r="H258" s="34" t="s">
        <v>98</v>
      </c>
      <c r="I258" s="34">
        <v>2</v>
      </c>
      <c r="J258" s="34">
        <f t="shared" si="14"/>
        <v>8.3381757480227066</v>
      </c>
      <c r="K258" s="34">
        <v>0.30331501776206199</v>
      </c>
      <c r="L258" s="31" t="s">
        <v>31</v>
      </c>
      <c r="M258" s="31" t="s">
        <v>31</v>
      </c>
      <c r="N258" s="31" t="s">
        <v>31</v>
      </c>
      <c r="O258" s="34" t="s">
        <v>327</v>
      </c>
      <c r="P258" s="31" t="s">
        <v>640</v>
      </c>
      <c r="Q258" s="31"/>
      <c r="V258" s="31"/>
    </row>
    <row r="259" spans="1:23">
      <c r="A259" s="31" t="s">
        <v>168</v>
      </c>
      <c r="B259" s="67">
        <f>R259</f>
        <v>2380.439393527729</v>
      </c>
      <c r="C259" s="67"/>
      <c r="D259" s="31" t="s">
        <v>41</v>
      </c>
      <c r="E259" s="31" t="s">
        <v>38</v>
      </c>
      <c r="F259" s="31" t="s">
        <v>29</v>
      </c>
      <c r="G259" s="31" t="s">
        <v>60</v>
      </c>
      <c r="H259" s="31" t="s">
        <v>33</v>
      </c>
      <c r="I259" s="31">
        <v>2</v>
      </c>
      <c r="J259" s="31">
        <f t="shared" si="14"/>
        <v>7.7750403687548042</v>
      </c>
      <c r="K259" s="31">
        <v>0.28635642126552707</v>
      </c>
      <c r="L259" s="31" t="s">
        <v>31</v>
      </c>
      <c r="M259" s="31" t="s">
        <v>31</v>
      </c>
      <c r="N259" s="31" t="s">
        <v>31</v>
      </c>
      <c r="O259" s="31"/>
      <c r="P259" s="31" t="s">
        <v>329</v>
      </c>
      <c r="Q259" s="31"/>
      <c r="R259" s="31">
        <v>2380.439393527729</v>
      </c>
      <c r="S259" s="31" t="s">
        <v>332</v>
      </c>
      <c r="V259" s="31"/>
    </row>
    <row r="260" spans="1:23">
      <c r="A260" s="31" t="s">
        <v>170</v>
      </c>
      <c r="B260" s="67">
        <f>V260</f>
        <v>224.9927291268186</v>
      </c>
      <c r="C260" s="67"/>
      <c r="D260" s="31" t="s">
        <v>50</v>
      </c>
      <c r="E260" s="31" t="s">
        <v>38</v>
      </c>
      <c r="F260" s="31" t="s">
        <v>29</v>
      </c>
      <c r="G260" s="31" t="s">
        <v>333</v>
      </c>
      <c r="H260" s="31" t="s">
        <v>33</v>
      </c>
      <c r="I260" s="31">
        <v>2</v>
      </c>
      <c r="J260" s="31">
        <f t="shared" si="14"/>
        <v>5.4160680866903625</v>
      </c>
      <c r="K260" s="31">
        <v>0.28635642126552707</v>
      </c>
      <c r="L260" s="31" t="s">
        <v>31</v>
      </c>
      <c r="M260" s="31" t="s">
        <v>31</v>
      </c>
      <c r="N260" s="31" t="s">
        <v>31</v>
      </c>
      <c r="O260" s="31"/>
      <c r="P260" s="31" t="s">
        <v>329</v>
      </c>
      <c r="Q260" s="31"/>
      <c r="R260" s="46">
        <v>2393.6745609262148</v>
      </c>
      <c r="S260" s="31" t="s">
        <v>332</v>
      </c>
      <c r="T260" s="31">
        <f>R260/0.277778</f>
        <v>8617.2215255571518</v>
      </c>
      <c r="U260" s="31" t="s">
        <v>331</v>
      </c>
      <c r="V260" s="31">
        <f>T260/38.3</f>
        <v>224.9927291268186</v>
      </c>
      <c r="W260" s="31" t="s">
        <v>335</v>
      </c>
    </row>
    <row r="261" spans="1:23">
      <c r="A261" s="31" t="s">
        <v>112</v>
      </c>
      <c r="B261" s="67">
        <f>T261</f>
        <v>1075.4510276761691</v>
      </c>
      <c r="C261" s="67"/>
      <c r="D261" s="31" t="s">
        <v>113</v>
      </c>
      <c r="E261" s="31" t="s">
        <v>38</v>
      </c>
      <c r="F261" s="31" t="s">
        <v>29</v>
      </c>
      <c r="G261" s="31" t="s">
        <v>60</v>
      </c>
      <c r="H261" s="31" t="s">
        <v>33</v>
      </c>
      <c r="I261" s="31">
        <v>2</v>
      </c>
      <c r="J261" s="31">
        <f t="shared" si="14"/>
        <v>6.980495413199808</v>
      </c>
      <c r="K261" s="31">
        <v>0.28635642126552707</v>
      </c>
      <c r="L261" s="31" t="s">
        <v>31</v>
      </c>
      <c r="M261" s="31" t="s">
        <v>31</v>
      </c>
      <c r="N261" s="31" t="s">
        <v>31</v>
      </c>
      <c r="O261" s="31"/>
      <c r="P261" s="31" t="s">
        <v>329</v>
      </c>
      <c r="Q261" s="31"/>
      <c r="R261" s="46">
        <v>298.73663556583091</v>
      </c>
      <c r="S261" s="31" t="s">
        <v>332</v>
      </c>
      <c r="T261" s="31">
        <f>R261/0.277778</f>
        <v>1075.4510276761691</v>
      </c>
      <c r="U261" s="31" t="s">
        <v>331</v>
      </c>
      <c r="V261" s="31"/>
    </row>
    <row r="262" spans="1:23">
      <c r="A262" s="31" t="s">
        <v>164</v>
      </c>
      <c r="B262" s="67">
        <f>V262</f>
        <v>50.897956356170411</v>
      </c>
      <c r="C262" s="67"/>
      <c r="D262" s="31" t="s">
        <v>37</v>
      </c>
      <c r="E262" s="31" t="s">
        <v>38</v>
      </c>
      <c r="F262" s="31" t="s">
        <v>29</v>
      </c>
      <c r="G262" s="31" t="s">
        <v>60</v>
      </c>
      <c r="H262" s="31" t="s">
        <v>33</v>
      </c>
      <c r="I262" s="31">
        <v>2</v>
      </c>
      <c r="J262" s="31">
        <f t="shared" si="14"/>
        <v>3.9298227725769679</v>
      </c>
      <c r="K262" s="31">
        <v>0.28635642126552707</v>
      </c>
      <c r="L262" s="31" t="s">
        <v>31</v>
      </c>
      <c r="M262" s="31" t="s">
        <v>31</v>
      </c>
      <c r="N262" s="31" t="s">
        <v>31</v>
      </c>
      <c r="O262" s="31"/>
      <c r="P262" s="31" t="s">
        <v>329</v>
      </c>
      <c r="Q262" s="31"/>
      <c r="R262" s="46">
        <v>633.39729692755293</v>
      </c>
      <c r="S262" s="31" t="s">
        <v>332</v>
      </c>
      <c r="T262" s="31">
        <f>R262/0.277778</f>
        <v>2280.2284447564343</v>
      </c>
      <c r="U262" s="31" t="s">
        <v>331</v>
      </c>
      <c r="V262" s="31">
        <f>T262/44.8</f>
        <v>50.897956356170411</v>
      </c>
      <c r="W262" s="31" t="s">
        <v>337</v>
      </c>
    </row>
    <row r="263" spans="1:23">
      <c r="A263" s="31" t="s">
        <v>36</v>
      </c>
      <c r="B263" s="67">
        <f>V263</f>
        <v>100.47914966233044</v>
      </c>
      <c r="C263" s="67"/>
      <c r="D263" s="31" t="s">
        <v>37</v>
      </c>
      <c r="E263" s="31" t="s">
        <v>38</v>
      </c>
      <c r="F263" s="31" t="s">
        <v>29</v>
      </c>
      <c r="G263" s="31" t="s">
        <v>86</v>
      </c>
      <c r="H263" s="31" t="s">
        <v>33</v>
      </c>
      <c r="I263" s="31">
        <v>2</v>
      </c>
      <c r="J263" s="31">
        <f t="shared" si="14"/>
        <v>4.6099502399286099</v>
      </c>
      <c r="K263" s="31">
        <v>0.28635642126552707</v>
      </c>
      <c r="L263" s="31" t="s">
        <v>31</v>
      </c>
      <c r="M263" s="31" t="s">
        <v>31</v>
      </c>
      <c r="N263" s="31" t="s">
        <v>31</v>
      </c>
      <c r="O263" s="31"/>
      <c r="P263" s="31" t="s">
        <v>329</v>
      </c>
      <c r="Q263" s="31"/>
      <c r="R263" s="46">
        <v>1289.4834522525107</v>
      </c>
      <c r="S263" s="31" t="s">
        <v>332</v>
      </c>
      <c r="T263" s="31">
        <f>R263/0.277778</f>
        <v>4642.1367143996667</v>
      </c>
      <c r="U263" s="31" t="s">
        <v>331</v>
      </c>
      <c r="V263" s="31">
        <f>T263/46.2</f>
        <v>100.47914966233044</v>
      </c>
      <c r="W263" s="31" t="s">
        <v>337</v>
      </c>
    </row>
    <row r="264" spans="1:23" s="65" customFormat="1">
      <c r="A264" s="31" t="s">
        <v>59</v>
      </c>
      <c r="B264" s="67">
        <f>V264</f>
        <v>0.6187865521727095</v>
      </c>
      <c r="C264" s="67"/>
      <c r="D264" s="31" t="s">
        <v>37</v>
      </c>
      <c r="E264" s="31" t="s">
        <v>2</v>
      </c>
      <c r="F264" s="31" t="s">
        <v>324</v>
      </c>
      <c r="G264" s="31" t="s">
        <v>60</v>
      </c>
      <c r="H264" s="31" t="s">
        <v>33</v>
      </c>
      <c r="I264" s="31">
        <v>2</v>
      </c>
      <c r="J264" s="31">
        <f t="shared" si="14"/>
        <v>-0.47999489262552952</v>
      </c>
      <c r="K264" s="31">
        <v>0.28635642126552707</v>
      </c>
      <c r="L264" s="31" t="s">
        <v>31</v>
      </c>
      <c r="M264" s="31" t="s">
        <v>31</v>
      </c>
      <c r="N264" s="31" t="s">
        <v>31</v>
      </c>
      <c r="O264" s="64"/>
      <c r="P264" s="31"/>
      <c r="Q264" s="45"/>
      <c r="R264" s="46">
        <v>7.562952799134961</v>
      </c>
      <c r="S264" s="31" t="s">
        <v>332</v>
      </c>
      <c r="T264" s="31">
        <f>R264/0.277778</f>
        <v>27.22660829559922</v>
      </c>
      <c r="U264" s="31" t="s">
        <v>331</v>
      </c>
      <c r="V264" s="31">
        <f>T264/44</f>
        <v>0.6187865521727095</v>
      </c>
      <c r="W264" s="31" t="s">
        <v>337</v>
      </c>
    </row>
    <row r="265" spans="1:23">
      <c r="A265" s="31" t="s">
        <v>172</v>
      </c>
      <c r="B265" s="45">
        <f>T265</f>
        <v>5807.827313268951</v>
      </c>
      <c r="C265" s="45"/>
      <c r="D265" s="31" t="s">
        <v>37</v>
      </c>
      <c r="E265" s="31" t="s">
        <v>38</v>
      </c>
      <c r="F265" s="31" t="s">
        <v>29</v>
      </c>
      <c r="G265" s="31" t="s">
        <v>60</v>
      </c>
      <c r="H265" s="31" t="s">
        <v>33</v>
      </c>
      <c r="I265" s="31">
        <v>2</v>
      </c>
      <c r="J265" s="31">
        <f t="shared" si="14"/>
        <v>8.666961823498724</v>
      </c>
      <c r="K265" s="31">
        <v>0.28635642126552707</v>
      </c>
      <c r="L265" s="31" t="s">
        <v>31</v>
      </c>
      <c r="M265" s="31" t="s">
        <v>31</v>
      </c>
      <c r="N265" s="31" t="s">
        <v>31</v>
      </c>
      <c r="O265" s="31"/>
      <c r="P265" s="31" t="s">
        <v>329</v>
      </c>
      <c r="Q265" s="31"/>
      <c r="R265" s="31">
        <v>5.8208077144722239</v>
      </c>
      <c r="S265" s="31" t="s">
        <v>335</v>
      </c>
      <c r="T265" s="31">
        <f>R265*997.77</f>
        <v>5807.827313268951</v>
      </c>
      <c r="U265" s="31" t="s">
        <v>337</v>
      </c>
      <c r="V265" s="31"/>
    </row>
    <row r="266" spans="1:23">
      <c r="A266" s="51" t="s">
        <v>580</v>
      </c>
      <c r="B266" s="66">
        <f>R266</f>
        <v>5.4278329055527728</v>
      </c>
      <c r="C266" s="66"/>
      <c r="D266" s="31" t="s">
        <v>50</v>
      </c>
      <c r="E266" s="31" t="s">
        <v>2</v>
      </c>
      <c r="F266" s="31" t="s">
        <v>29</v>
      </c>
      <c r="G266" s="51" t="s">
        <v>86</v>
      </c>
      <c r="H266" s="31" t="s">
        <v>33</v>
      </c>
      <c r="I266" s="31">
        <v>2</v>
      </c>
      <c r="J266" s="31">
        <f t="shared" si="14"/>
        <v>1.691539957702324</v>
      </c>
      <c r="K266" s="31">
        <v>0.28635642126552707</v>
      </c>
      <c r="L266" s="31" t="s">
        <v>31</v>
      </c>
      <c r="M266" s="31" t="s">
        <v>31</v>
      </c>
      <c r="N266" s="31" t="s">
        <v>31</v>
      </c>
      <c r="O266" s="31"/>
      <c r="P266" s="31" t="s">
        <v>329</v>
      </c>
      <c r="Q266" s="31"/>
      <c r="R266" s="31">
        <v>5.4278329055527728</v>
      </c>
      <c r="S266" s="31" t="s">
        <v>335</v>
      </c>
      <c r="V266" s="31"/>
    </row>
    <row r="267" spans="1:23">
      <c r="A267" s="31" t="s">
        <v>581</v>
      </c>
      <c r="B267" s="66">
        <f>R267</f>
        <v>131.70882299693534</v>
      </c>
      <c r="C267" s="66"/>
      <c r="D267" s="31" t="s">
        <v>37</v>
      </c>
      <c r="E267" s="31" t="s">
        <v>2</v>
      </c>
      <c r="F267" s="31" t="s">
        <v>29</v>
      </c>
      <c r="G267" s="31" t="s">
        <v>86</v>
      </c>
      <c r="H267" s="31" t="s">
        <v>33</v>
      </c>
      <c r="I267" s="31">
        <v>2</v>
      </c>
      <c r="J267" s="31">
        <f t="shared" si="14"/>
        <v>4.8805935996483116</v>
      </c>
      <c r="K267" s="31">
        <v>0.28635642126552702</v>
      </c>
      <c r="L267" s="31" t="s">
        <v>31</v>
      </c>
      <c r="M267" s="31" t="s">
        <v>31</v>
      </c>
      <c r="N267" s="31" t="s">
        <v>31</v>
      </c>
      <c r="O267" s="31"/>
      <c r="P267" s="31" t="s">
        <v>329</v>
      </c>
      <c r="Q267" s="31"/>
      <c r="R267" s="31">
        <v>131.70882299693534</v>
      </c>
      <c r="S267" s="31" t="s">
        <v>337</v>
      </c>
      <c r="V267" s="31"/>
    </row>
    <row r="268" spans="1:23">
      <c r="A268" s="31" t="s">
        <v>48</v>
      </c>
      <c r="B268" s="66">
        <f t="shared" ref="B268:B271" si="15">R268</f>
        <v>2474.4639134647746</v>
      </c>
      <c r="C268" s="66"/>
      <c r="D268" s="31" t="s">
        <v>37</v>
      </c>
      <c r="E268" s="31" t="s">
        <v>43</v>
      </c>
      <c r="F268" s="31" t="s">
        <v>44</v>
      </c>
      <c r="G268" s="31" t="s">
        <v>29</v>
      </c>
      <c r="H268" s="31" t="s">
        <v>45</v>
      </c>
      <c r="I268" s="31">
        <v>2</v>
      </c>
      <c r="J268" s="31">
        <f t="shared" si="14"/>
        <v>7.8137790509211955</v>
      </c>
      <c r="K268" s="31">
        <v>0.28635642126552702</v>
      </c>
      <c r="L268" s="31" t="s">
        <v>31</v>
      </c>
      <c r="M268" s="31" t="s">
        <v>31</v>
      </c>
      <c r="N268" s="31" t="s">
        <v>31</v>
      </c>
      <c r="O268" s="31"/>
      <c r="P268" s="31" t="s">
        <v>329</v>
      </c>
      <c r="Q268" s="31"/>
      <c r="R268" s="31">
        <v>2474.4639134647746</v>
      </c>
      <c r="S268" s="31" t="s">
        <v>337</v>
      </c>
      <c r="V268" s="31"/>
    </row>
    <row r="269" spans="1:23">
      <c r="A269" s="31" t="s">
        <v>51</v>
      </c>
      <c r="B269" s="66">
        <f t="shared" si="15"/>
        <v>2.6470334796972365E-2</v>
      </c>
      <c r="C269" s="66"/>
      <c r="D269" s="31" t="s">
        <v>37</v>
      </c>
      <c r="E269" s="31" t="s">
        <v>43</v>
      </c>
      <c r="F269" s="31" t="s">
        <v>44</v>
      </c>
      <c r="G269" s="31" t="s">
        <v>29</v>
      </c>
      <c r="H269" s="31" t="s">
        <v>45</v>
      </c>
      <c r="I269" s="31">
        <v>2</v>
      </c>
      <c r="J269" s="31">
        <f t="shared" si="14"/>
        <v>-3.6317306146564214</v>
      </c>
      <c r="K269" s="31">
        <v>0.28635642126552702</v>
      </c>
      <c r="L269" s="31" t="s">
        <v>31</v>
      </c>
      <c r="M269" s="31" t="s">
        <v>31</v>
      </c>
      <c r="N269" s="31" t="s">
        <v>31</v>
      </c>
      <c r="O269" s="31"/>
      <c r="P269" s="31" t="s">
        <v>329</v>
      </c>
      <c r="Q269" s="31"/>
      <c r="R269" s="31">
        <v>2.6470334796972365E-2</v>
      </c>
      <c r="S269" s="31" t="s">
        <v>337</v>
      </c>
      <c r="V269" s="31"/>
    </row>
    <row r="270" spans="1:23">
      <c r="A270" s="31" t="s">
        <v>42</v>
      </c>
      <c r="B270" s="66">
        <f t="shared" si="15"/>
        <v>0.41974388035199028</v>
      </c>
      <c r="C270" s="66"/>
      <c r="D270" s="31" t="s">
        <v>37</v>
      </c>
      <c r="E270" s="31" t="s">
        <v>43</v>
      </c>
      <c r="F270" s="31" t="s">
        <v>44</v>
      </c>
      <c r="G270" s="31" t="s">
        <v>29</v>
      </c>
      <c r="H270" s="31" t="s">
        <v>45</v>
      </c>
      <c r="I270" s="31">
        <v>2</v>
      </c>
      <c r="J270" s="31">
        <f t="shared" si="14"/>
        <v>-0.86811056239940088</v>
      </c>
      <c r="K270" s="31">
        <v>0.28635642126552702</v>
      </c>
      <c r="L270" s="31" t="s">
        <v>31</v>
      </c>
      <c r="M270" s="31" t="s">
        <v>31</v>
      </c>
      <c r="N270" s="31" t="s">
        <v>31</v>
      </c>
      <c r="O270" s="31"/>
      <c r="P270" s="31" t="s">
        <v>329</v>
      </c>
      <c r="Q270" s="31"/>
      <c r="R270" s="31">
        <v>0.41974388035199028</v>
      </c>
      <c r="S270" s="31" t="s">
        <v>337</v>
      </c>
      <c r="V270" s="31"/>
    </row>
    <row r="271" spans="1:23">
      <c r="A271" s="31" t="s">
        <v>490</v>
      </c>
      <c r="B271" s="66">
        <f t="shared" si="15"/>
        <v>1.987165847972711</v>
      </c>
      <c r="C271" s="66"/>
      <c r="D271" s="31" t="s">
        <v>37</v>
      </c>
      <c r="E271" s="31" t="s">
        <v>43</v>
      </c>
      <c r="F271" s="31" t="s">
        <v>44</v>
      </c>
      <c r="G271" s="31" t="s">
        <v>29</v>
      </c>
      <c r="H271" s="31" t="s">
        <v>45</v>
      </c>
      <c r="I271" s="31">
        <v>2</v>
      </c>
      <c r="J271" s="31">
        <f t="shared" si="14"/>
        <v>0.68670942660527101</v>
      </c>
      <c r="K271" s="31">
        <v>0.28635642126552702</v>
      </c>
      <c r="L271" s="31" t="s">
        <v>31</v>
      </c>
      <c r="M271" s="31" t="s">
        <v>31</v>
      </c>
      <c r="N271" s="31" t="s">
        <v>31</v>
      </c>
      <c r="O271" s="31"/>
      <c r="P271" s="31" t="s">
        <v>329</v>
      </c>
      <c r="Q271" s="31"/>
      <c r="R271" s="31">
        <v>1.987165847972711</v>
      </c>
      <c r="S271" s="31" t="s">
        <v>337</v>
      </c>
      <c r="V271" s="31"/>
    </row>
    <row r="272" spans="1:23" s="42" customFormat="1">
      <c r="A272" s="36" t="s">
        <v>5</v>
      </c>
      <c r="B272" s="36" t="s">
        <v>570</v>
      </c>
      <c r="C272" s="36"/>
      <c r="D272" s="37"/>
      <c r="E272" s="38"/>
      <c r="F272" s="38"/>
      <c r="G272" s="38"/>
      <c r="H272" s="38"/>
      <c r="I272" s="38"/>
      <c r="J272" s="38"/>
      <c r="K272" s="38"/>
      <c r="L272" s="38"/>
      <c r="M272" s="38"/>
      <c r="N272" s="38"/>
      <c r="O272" s="38"/>
      <c r="P272" s="38" t="s">
        <v>329</v>
      </c>
      <c r="Q272" s="38"/>
      <c r="R272" s="38"/>
      <c r="S272" s="38"/>
      <c r="T272" s="38"/>
      <c r="U272" s="38"/>
      <c r="V272" s="38"/>
      <c r="W272" s="38"/>
    </row>
    <row r="273" spans="1:22">
      <c r="A273" s="31" t="s">
        <v>7</v>
      </c>
      <c r="B273" s="31" t="s">
        <v>324</v>
      </c>
      <c r="C273" s="31"/>
      <c r="D273" s="31"/>
      <c r="E273" s="31"/>
      <c r="F273" s="31"/>
      <c r="G273" s="31"/>
      <c r="H273" s="31"/>
      <c r="I273" s="31"/>
      <c r="J273" s="31"/>
      <c r="K273" s="31"/>
      <c r="L273" s="31"/>
      <c r="M273" s="31"/>
      <c r="N273" s="31"/>
      <c r="O273" s="31"/>
      <c r="P273" s="31" t="s">
        <v>329</v>
      </c>
      <c r="Q273" s="31"/>
      <c r="V273" s="31"/>
    </row>
    <row r="274" spans="1:22">
      <c r="A274" s="31" t="s">
        <v>9</v>
      </c>
      <c r="B274" s="43" t="s">
        <v>644</v>
      </c>
      <c r="C274" s="31"/>
      <c r="D274" s="31"/>
      <c r="E274" s="31"/>
      <c r="F274" s="31"/>
      <c r="G274" s="31"/>
      <c r="H274" s="31"/>
      <c r="I274" s="31"/>
      <c r="J274" s="31"/>
      <c r="K274" s="31"/>
      <c r="L274" s="31"/>
      <c r="M274" s="31"/>
      <c r="N274" s="31"/>
      <c r="O274" s="31"/>
      <c r="P274" s="31" t="s">
        <v>329</v>
      </c>
      <c r="Q274" s="31"/>
      <c r="V274" s="31"/>
    </row>
    <row r="275" spans="1:22">
      <c r="A275" s="31" t="s">
        <v>11</v>
      </c>
      <c r="B275" s="31" t="s">
        <v>645</v>
      </c>
      <c r="C275" s="31"/>
      <c r="D275" s="31"/>
      <c r="E275" s="31"/>
      <c r="F275" s="31"/>
      <c r="G275" s="31"/>
      <c r="H275" s="31"/>
      <c r="I275" s="31"/>
      <c r="J275" s="31"/>
      <c r="K275" s="31"/>
      <c r="L275" s="31"/>
      <c r="M275" s="31"/>
      <c r="N275" s="31"/>
      <c r="O275" s="31"/>
      <c r="P275" s="31" t="s">
        <v>329</v>
      </c>
      <c r="Q275" s="31"/>
      <c r="V275" s="31"/>
    </row>
    <row r="276" spans="1:22">
      <c r="A276" s="31" t="s">
        <v>13</v>
      </c>
      <c r="B276" s="47" t="s">
        <v>60</v>
      </c>
      <c r="C276" s="31"/>
      <c r="D276" s="31"/>
      <c r="E276" s="31"/>
      <c r="F276" s="31"/>
      <c r="G276" s="31"/>
      <c r="H276" s="31"/>
      <c r="I276" s="31"/>
      <c r="J276" s="31"/>
      <c r="K276" s="31"/>
      <c r="L276" s="31"/>
      <c r="M276" s="31"/>
      <c r="N276" s="31"/>
      <c r="O276" s="31"/>
      <c r="P276" s="31" t="s">
        <v>329</v>
      </c>
      <c r="Q276" s="31"/>
      <c r="V276" s="31"/>
    </row>
    <row r="277" spans="1:22">
      <c r="A277" s="31" t="s">
        <v>15</v>
      </c>
      <c r="B277" s="31">
        <v>1</v>
      </c>
      <c r="C277" s="31"/>
      <c r="D277" s="31"/>
      <c r="E277" s="31"/>
      <c r="F277" s="31"/>
      <c r="G277" s="31"/>
      <c r="H277" s="31"/>
      <c r="I277" s="31"/>
      <c r="J277" s="31"/>
      <c r="K277" s="31"/>
      <c r="L277" s="31"/>
      <c r="M277" s="31"/>
      <c r="N277" s="31"/>
      <c r="O277" s="31"/>
      <c r="P277" s="31" t="s">
        <v>329</v>
      </c>
      <c r="Q277" s="31"/>
      <c r="V277" s="31"/>
    </row>
    <row r="278" spans="1:22">
      <c r="A278" s="31" t="s">
        <v>16</v>
      </c>
      <c r="B278" s="31" t="s">
        <v>17</v>
      </c>
      <c r="C278" s="31"/>
      <c r="D278" s="31"/>
      <c r="E278" s="31"/>
      <c r="F278" s="31"/>
      <c r="G278" s="31"/>
      <c r="H278" s="31"/>
      <c r="I278" s="31"/>
      <c r="J278" s="31"/>
      <c r="K278" s="31"/>
      <c r="L278" s="31"/>
      <c r="M278" s="31"/>
      <c r="N278" s="31"/>
      <c r="O278" s="31"/>
      <c r="P278" s="31" t="s">
        <v>329</v>
      </c>
      <c r="Q278" s="31"/>
      <c r="V278" s="31"/>
    </row>
    <row r="279" spans="1:22">
      <c r="A279" s="31" t="s">
        <v>18</v>
      </c>
      <c r="B279" s="31" t="s">
        <v>18</v>
      </c>
      <c r="C279" s="31"/>
      <c r="D279" s="31"/>
      <c r="E279" s="31" t="s">
        <v>77</v>
      </c>
      <c r="F279" s="31"/>
      <c r="G279" s="31"/>
      <c r="H279" s="31"/>
      <c r="I279" s="31"/>
      <c r="J279" s="31"/>
      <c r="K279" s="31"/>
      <c r="L279" s="31"/>
      <c r="M279" s="31"/>
      <c r="N279" s="31"/>
      <c r="O279" s="31"/>
      <c r="P279" s="31" t="s">
        <v>329</v>
      </c>
      <c r="Q279" s="31"/>
      <c r="V279" s="31"/>
    </row>
    <row r="280" spans="1:22">
      <c r="A280" s="32" t="s">
        <v>19</v>
      </c>
      <c r="B280" s="31"/>
      <c r="C280" s="31"/>
      <c r="D280" s="31"/>
      <c r="E280" s="31"/>
      <c r="F280" s="31"/>
      <c r="G280" s="31"/>
      <c r="H280" s="31"/>
      <c r="I280" s="31"/>
      <c r="J280" s="31"/>
      <c r="K280" s="31"/>
      <c r="L280" s="31"/>
      <c r="M280" s="31"/>
      <c r="N280" s="31"/>
      <c r="O280" s="31"/>
      <c r="P280" s="31" t="s">
        <v>329</v>
      </c>
      <c r="Q280" s="31"/>
      <c r="V280" s="31"/>
    </row>
    <row r="281" spans="1:22">
      <c r="A281" s="32" t="s">
        <v>20</v>
      </c>
      <c r="B281" s="32" t="s">
        <v>21</v>
      </c>
      <c r="C281" s="32" t="s">
        <v>78</v>
      </c>
      <c r="D281" s="32" t="s">
        <v>18</v>
      </c>
      <c r="E281" s="32" t="s">
        <v>22</v>
      </c>
      <c r="F281" s="32" t="s">
        <v>7</v>
      </c>
      <c r="G281" s="32" t="s">
        <v>13</v>
      </c>
      <c r="H281" s="32" t="s">
        <v>16</v>
      </c>
      <c r="I281" s="32" t="s">
        <v>23</v>
      </c>
      <c r="J281" s="32" t="s">
        <v>24</v>
      </c>
      <c r="K281" s="32" t="s">
        <v>25</v>
      </c>
      <c r="L281" s="32" t="s">
        <v>26</v>
      </c>
      <c r="M281" s="32" t="s">
        <v>27</v>
      </c>
      <c r="N281" s="32" t="s">
        <v>28</v>
      </c>
      <c r="O281" s="32" t="s">
        <v>11</v>
      </c>
      <c r="P281" s="32" t="s">
        <v>555</v>
      </c>
      <c r="Q281" s="31"/>
      <c r="V281" s="31"/>
    </row>
    <row r="282" spans="1:22" s="65" customFormat="1">
      <c r="A282" s="98" t="s">
        <v>570</v>
      </c>
      <c r="B282" s="65">
        <v>1</v>
      </c>
      <c r="D282" s="65" t="s">
        <v>18</v>
      </c>
      <c r="E282" s="65" t="s">
        <v>2</v>
      </c>
      <c r="F282" s="65" t="s">
        <v>29</v>
      </c>
      <c r="G282" s="99" t="s">
        <v>60</v>
      </c>
      <c r="H282" s="65" t="s">
        <v>30</v>
      </c>
      <c r="I282" s="65">
        <v>1</v>
      </c>
      <c r="J282" s="65">
        <f>B282</f>
        <v>1</v>
      </c>
      <c r="K282" s="65" t="s">
        <v>31</v>
      </c>
      <c r="L282" s="65" t="s">
        <v>31</v>
      </c>
      <c r="M282" s="65" t="s">
        <v>31</v>
      </c>
      <c r="N282" s="65" t="s">
        <v>31</v>
      </c>
      <c r="P282" s="65" t="s">
        <v>329</v>
      </c>
    </row>
    <row r="283" spans="1:22" s="65" customFormat="1">
      <c r="A283" s="98" t="s">
        <v>646</v>
      </c>
      <c r="B283" s="65">
        <v>1</v>
      </c>
      <c r="D283" s="65" t="s">
        <v>18</v>
      </c>
      <c r="E283" s="65" t="s">
        <v>2</v>
      </c>
      <c r="F283" s="65" t="s">
        <v>29</v>
      </c>
      <c r="G283" s="99" t="s">
        <v>60</v>
      </c>
      <c r="H283" s="65" t="s">
        <v>33</v>
      </c>
      <c r="I283" s="65">
        <v>2</v>
      </c>
      <c r="J283" s="65">
        <f t="shared" ref="J283:J300" si="16">LN(B283)</f>
        <v>0</v>
      </c>
      <c r="K283" s="65">
        <v>0.30331501776206199</v>
      </c>
      <c r="L283" s="65" t="s">
        <v>31</v>
      </c>
      <c r="M283" s="65" t="s">
        <v>31</v>
      </c>
      <c r="N283" s="65" t="s">
        <v>31</v>
      </c>
      <c r="P283" s="65" t="s">
        <v>329</v>
      </c>
    </row>
    <row r="284" spans="1:22" s="65" customFormat="1">
      <c r="A284" s="98" t="s">
        <v>647</v>
      </c>
      <c r="B284" s="65">
        <v>1</v>
      </c>
      <c r="D284" s="65" t="s">
        <v>18</v>
      </c>
      <c r="E284" s="65" t="s">
        <v>2</v>
      </c>
      <c r="F284" s="65" t="s">
        <v>29</v>
      </c>
      <c r="G284" s="99" t="s">
        <v>60</v>
      </c>
      <c r="H284" s="65" t="s">
        <v>33</v>
      </c>
      <c r="I284" s="65">
        <v>2</v>
      </c>
      <c r="J284" s="65">
        <f t="shared" si="16"/>
        <v>0</v>
      </c>
      <c r="K284" s="65">
        <v>0.30331501776206199</v>
      </c>
      <c r="L284" s="65" t="s">
        <v>31</v>
      </c>
      <c r="M284" s="65" t="s">
        <v>31</v>
      </c>
      <c r="N284" s="65" t="s">
        <v>31</v>
      </c>
      <c r="P284" s="65" t="s">
        <v>329</v>
      </c>
    </row>
    <row r="285" spans="1:22" s="65" customFormat="1">
      <c r="A285" s="98" t="s">
        <v>648</v>
      </c>
      <c r="B285" s="65">
        <v>1</v>
      </c>
      <c r="D285" s="65" t="s">
        <v>18</v>
      </c>
      <c r="E285" s="65" t="s">
        <v>2</v>
      </c>
      <c r="F285" s="65" t="s">
        <v>29</v>
      </c>
      <c r="G285" s="99" t="s">
        <v>60</v>
      </c>
      <c r="H285" s="65" t="s">
        <v>33</v>
      </c>
      <c r="I285" s="65">
        <v>2</v>
      </c>
      <c r="J285" s="65">
        <f t="shared" si="16"/>
        <v>0</v>
      </c>
      <c r="K285" s="65">
        <v>0.30331501776206199</v>
      </c>
      <c r="L285" s="65" t="s">
        <v>31</v>
      </c>
      <c r="M285" s="65" t="s">
        <v>31</v>
      </c>
      <c r="N285" s="65" t="s">
        <v>31</v>
      </c>
      <c r="P285" s="65" t="s">
        <v>329</v>
      </c>
    </row>
    <row r="286" spans="1:22" s="65" customFormat="1">
      <c r="A286" s="98" t="s">
        <v>649</v>
      </c>
      <c r="B286" s="65">
        <v>1</v>
      </c>
      <c r="D286" s="65" t="s">
        <v>18</v>
      </c>
      <c r="E286" s="65" t="s">
        <v>2</v>
      </c>
      <c r="F286" s="65" t="s">
        <v>29</v>
      </c>
      <c r="G286" s="99" t="s">
        <v>60</v>
      </c>
      <c r="H286" s="65" t="s">
        <v>33</v>
      </c>
      <c r="I286" s="65">
        <v>2</v>
      </c>
      <c r="J286" s="65">
        <f t="shared" si="16"/>
        <v>0</v>
      </c>
      <c r="K286" s="65">
        <v>0.30331501776206199</v>
      </c>
      <c r="L286" s="65" t="s">
        <v>31</v>
      </c>
      <c r="M286" s="65" t="s">
        <v>31</v>
      </c>
      <c r="N286" s="65" t="s">
        <v>31</v>
      </c>
      <c r="P286" s="65" t="s">
        <v>329</v>
      </c>
      <c r="R286" s="100" t="s">
        <v>578</v>
      </c>
    </row>
    <row r="287" spans="1:22" s="65" customFormat="1">
      <c r="A287" s="98" t="s">
        <v>650</v>
      </c>
      <c r="B287" s="65">
        <v>1</v>
      </c>
      <c r="D287" s="65" t="s">
        <v>18</v>
      </c>
      <c r="E287" s="65" t="s">
        <v>2</v>
      </c>
      <c r="F287" s="65" t="s">
        <v>29</v>
      </c>
      <c r="G287" s="99" t="s">
        <v>60</v>
      </c>
      <c r="H287" s="65" t="s">
        <v>33</v>
      </c>
      <c r="I287" s="65">
        <v>2</v>
      </c>
      <c r="J287" s="65">
        <f t="shared" si="16"/>
        <v>0</v>
      </c>
      <c r="K287" s="65">
        <v>0.30331501776206199</v>
      </c>
      <c r="L287" s="65" t="s">
        <v>31</v>
      </c>
      <c r="M287" s="65" t="s">
        <v>31</v>
      </c>
      <c r="N287" s="65" t="s">
        <v>31</v>
      </c>
      <c r="P287" s="65" t="s">
        <v>329</v>
      </c>
    </row>
    <row r="288" spans="1:22">
      <c r="A288" s="31" t="s">
        <v>168</v>
      </c>
      <c r="B288" s="67">
        <f>R288</f>
        <v>4827.4050813613549</v>
      </c>
      <c r="C288" s="67"/>
      <c r="D288" s="31" t="s">
        <v>41</v>
      </c>
      <c r="E288" s="31" t="s">
        <v>38</v>
      </c>
      <c r="F288" s="31" t="s">
        <v>29</v>
      </c>
      <c r="G288" s="31" t="s">
        <v>60</v>
      </c>
      <c r="H288" s="31" t="s">
        <v>33</v>
      </c>
      <c r="I288" s="31">
        <v>2</v>
      </c>
      <c r="J288" s="31">
        <f t="shared" si="16"/>
        <v>8.4820643520402559</v>
      </c>
      <c r="K288" s="31">
        <v>0.28635642126552707</v>
      </c>
      <c r="L288" s="31" t="s">
        <v>31</v>
      </c>
      <c r="M288" s="31" t="s">
        <v>31</v>
      </c>
      <c r="N288" s="31" t="s">
        <v>31</v>
      </c>
      <c r="O288" s="31"/>
      <c r="P288" s="31" t="s">
        <v>329</v>
      </c>
      <c r="Q288" s="31"/>
      <c r="R288" s="31">
        <v>4827.4050813613549</v>
      </c>
      <c r="S288" s="31" t="s">
        <v>332</v>
      </c>
      <c r="V288" s="31"/>
    </row>
    <row r="289" spans="1:23">
      <c r="A289" s="31" t="s">
        <v>170</v>
      </c>
      <c r="B289" s="67">
        <f>V289</f>
        <v>456.27334466455557</v>
      </c>
      <c r="C289" s="67"/>
      <c r="D289" s="31" t="s">
        <v>50</v>
      </c>
      <c r="E289" s="31" t="s">
        <v>38</v>
      </c>
      <c r="F289" s="31" t="s">
        <v>29</v>
      </c>
      <c r="G289" s="31" t="s">
        <v>333</v>
      </c>
      <c r="H289" s="31" t="s">
        <v>33</v>
      </c>
      <c r="I289" s="31">
        <v>2</v>
      </c>
      <c r="J289" s="31">
        <f t="shared" si="16"/>
        <v>6.1230920699758133</v>
      </c>
      <c r="K289" s="31">
        <v>0.28635642126552707</v>
      </c>
      <c r="L289" s="31" t="s">
        <v>31</v>
      </c>
      <c r="M289" s="31" t="s">
        <v>31</v>
      </c>
      <c r="N289" s="31" t="s">
        <v>31</v>
      </c>
      <c r="O289" s="31"/>
      <c r="P289" s="31" t="s">
        <v>329</v>
      </c>
      <c r="Q289" s="31"/>
      <c r="R289" s="46">
        <v>4854.2453002410439</v>
      </c>
      <c r="S289" s="31" t="s">
        <v>332</v>
      </c>
      <c r="T289" s="31">
        <f>R289/0.277778</f>
        <v>17475.269100652476</v>
      </c>
      <c r="U289" s="31" t="s">
        <v>331</v>
      </c>
      <c r="V289" s="31">
        <f>T289/38.3</f>
        <v>456.27334466455557</v>
      </c>
      <c r="W289" s="31" t="s">
        <v>335</v>
      </c>
    </row>
    <row r="290" spans="1:23">
      <c r="A290" s="31" t="s">
        <v>112</v>
      </c>
      <c r="B290" s="67">
        <f>T290</f>
        <v>2180.9577550577342</v>
      </c>
      <c r="C290" s="67"/>
      <c r="D290" s="31" t="s">
        <v>113</v>
      </c>
      <c r="E290" s="31" t="s">
        <v>38</v>
      </c>
      <c r="F290" s="31" t="s">
        <v>29</v>
      </c>
      <c r="G290" s="31" t="s">
        <v>60</v>
      </c>
      <c r="H290" s="31" t="s">
        <v>33</v>
      </c>
      <c r="I290" s="31">
        <v>2</v>
      </c>
      <c r="J290" s="31">
        <f t="shared" si="16"/>
        <v>7.6875193964852588</v>
      </c>
      <c r="K290" s="31">
        <v>0.28635642126552707</v>
      </c>
      <c r="L290" s="31" t="s">
        <v>31</v>
      </c>
      <c r="M290" s="31" t="s">
        <v>31</v>
      </c>
      <c r="N290" s="31" t="s">
        <v>31</v>
      </c>
      <c r="O290" s="31"/>
      <c r="P290" s="31" t="s">
        <v>329</v>
      </c>
      <c r="Q290" s="31"/>
      <c r="R290" s="46">
        <v>605.82208328442732</v>
      </c>
      <c r="S290" s="31" t="s">
        <v>332</v>
      </c>
      <c r="T290" s="31">
        <f>R290/0.277778</f>
        <v>2180.9577550577342</v>
      </c>
      <c r="U290" s="31" t="s">
        <v>331</v>
      </c>
      <c r="V290" s="31"/>
    </row>
    <row r="291" spans="1:23">
      <c r="A291" s="31" t="s">
        <v>164</v>
      </c>
      <c r="B291" s="67">
        <f>V291</f>
        <v>103.21836120371</v>
      </c>
      <c r="C291" s="67"/>
      <c r="D291" s="31" t="s">
        <v>37</v>
      </c>
      <c r="E291" s="31" t="s">
        <v>38</v>
      </c>
      <c r="F291" s="31" t="s">
        <v>29</v>
      </c>
      <c r="G291" s="31" t="s">
        <v>60</v>
      </c>
      <c r="H291" s="31" t="s">
        <v>33</v>
      </c>
      <c r="I291" s="31">
        <v>2</v>
      </c>
      <c r="J291" s="31">
        <f t="shared" si="16"/>
        <v>4.6368467558624191</v>
      </c>
      <c r="K291" s="31">
        <v>0.28635642126552702</v>
      </c>
      <c r="L291" s="31" t="s">
        <v>31</v>
      </c>
      <c r="M291" s="31" t="s">
        <v>31</v>
      </c>
      <c r="N291" s="31" t="s">
        <v>31</v>
      </c>
      <c r="O291" s="31"/>
      <c r="P291" s="31" t="s">
        <v>329</v>
      </c>
      <c r="Q291" s="31"/>
      <c r="R291" s="46">
        <v>1284.4961892422982</v>
      </c>
      <c r="S291" s="31" t="s">
        <v>332</v>
      </c>
      <c r="T291" s="31">
        <f>R291/0.277778</f>
        <v>4624.1825819262076</v>
      </c>
      <c r="U291" s="31" t="s">
        <v>331</v>
      </c>
      <c r="V291" s="31">
        <f>T291/44.8</f>
        <v>103.21836120371</v>
      </c>
      <c r="W291" s="31" t="s">
        <v>337</v>
      </c>
    </row>
    <row r="292" spans="1:23">
      <c r="A292" s="31" t="s">
        <v>36</v>
      </c>
      <c r="B292" s="67">
        <f>V292</f>
        <v>203.76639664493595</v>
      </c>
      <c r="C292" s="67"/>
      <c r="D292" s="31" t="s">
        <v>37</v>
      </c>
      <c r="E292" s="31" t="s">
        <v>38</v>
      </c>
      <c r="F292" s="31" t="s">
        <v>29</v>
      </c>
      <c r="G292" s="31" t="s">
        <v>86</v>
      </c>
      <c r="H292" s="31" t="s">
        <v>33</v>
      </c>
      <c r="I292" s="31">
        <v>2</v>
      </c>
      <c r="J292" s="31">
        <f t="shared" si="16"/>
        <v>5.3169742232140607</v>
      </c>
      <c r="K292" s="31">
        <v>0.28635642126552702</v>
      </c>
      <c r="L292" s="31" t="s">
        <v>31</v>
      </c>
      <c r="M292" s="31" t="s">
        <v>31</v>
      </c>
      <c r="N292" s="31" t="s">
        <v>31</v>
      </c>
      <c r="O292" s="31"/>
      <c r="P292" s="31"/>
      <c r="Q292" s="31"/>
      <c r="R292" s="46">
        <v>2615.0041822783505</v>
      </c>
      <c r="S292" s="31" t="s">
        <v>332</v>
      </c>
      <c r="T292" s="31">
        <f>R292/0.277778</f>
        <v>9414.007524996041</v>
      </c>
      <c r="U292" s="31" t="s">
        <v>331</v>
      </c>
      <c r="V292" s="31">
        <f>T292/46.2</f>
        <v>203.76639664493595</v>
      </c>
      <c r="W292" s="31" t="s">
        <v>337</v>
      </c>
    </row>
    <row r="293" spans="1:23" s="65" customFormat="1">
      <c r="A293" s="31" t="s">
        <v>59</v>
      </c>
      <c r="B293" s="67">
        <f>V293</f>
        <v>1.2548663723001923</v>
      </c>
      <c r="C293" s="67"/>
      <c r="D293" s="31" t="s">
        <v>37</v>
      </c>
      <c r="E293" s="31" t="s">
        <v>2</v>
      </c>
      <c r="F293" s="31" t="s">
        <v>324</v>
      </c>
      <c r="G293" s="31" t="s">
        <v>60</v>
      </c>
      <c r="H293" s="31" t="s">
        <v>33</v>
      </c>
      <c r="I293" s="31">
        <v>2</v>
      </c>
      <c r="J293" s="31">
        <f t="shared" si="16"/>
        <v>0.2270290906599215</v>
      </c>
      <c r="K293" s="31">
        <v>0.28635642126552702</v>
      </c>
      <c r="L293" s="31" t="s">
        <v>31</v>
      </c>
      <c r="M293" s="31" t="s">
        <v>31</v>
      </c>
      <c r="N293" s="31" t="s">
        <v>31</v>
      </c>
      <c r="O293" s="45"/>
      <c r="P293" s="31"/>
      <c r="Q293" s="45"/>
      <c r="R293" s="46">
        <v>15.337267931251326</v>
      </c>
      <c r="S293" s="31" t="s">
        <v>332</v>
      </c>
      <c r="T293" s="31">
        <f>R293/0.277778</f>
        <v>55.21412038120846</v>
      </c>
      <c r="U293" s="31" t="s">
        <v>331</v>
      </c>
      <c r="V293" s="31">
        <f>T293/44</f>
        <v>1.2548663723001923</v>
      </c>
      <c r="W293" s="31" t="s">
        <v>337</v>
      </c>
    </row>
    <row r="294" spans="1:23">
      <c r="A294" s="31" t="s">
        <v>172</v>
      </c>
      <c r="B294" s="45">
        <f>T294</f>
        <v>11777.966353595888</v>
      </c>
      <c r="C294" s="45"/>
      <c r="D294" s="31" t="s">
        <v>37</v>
      </c>
      <c r="E294" s="31" t="s">
        <v>38</v>
      </c>
      <c r="F294" s="31" t="s">
        <v>29</v>
      </c>
      <c r="G294" s="31" t="s">
        <v>60</v>
      </c>
      <c r="H294" s="31" t="s">
        <v>33</v>
      </c>
      <c r="I294" s="31">
        <v>2</v>
      </c>
      <c r="J294" s="31">
        <f t="shared" si="16"/>
        <v>9.3739858067841748</v>
      </c>
      <c r="K294" s="31">
        <v>0.28635642126552702</v>
      </c>
      <c r="L294" s="31" t="s">
        <v>31</v>
      </c>
      <c r="M294" s="31" t="s">
        <v>31</v>
      </c>
      <c r="N294" s="31" t="s">
        <v>31</v>
      </c>
      <c r="O294" s="31"/>
      <c r="P294" s="31" t="s">
        <v>329</v>
      </c>
      <c r="Q294" s="31"/>
      <c r="R294" s="31">
        <v>11.804289920117752</v>
      </c>
      <c r="S294" s="31" t="s">
        <v>335</v>
      </c>
      <c r="T294" s="31">
        <f>R294*997.77</f>
        <v>11777.966353595888</v>
      </c>
      <c r="U294" s="31" t="s">
        <v>337</v>
      </c>
      <c r="V294" s="31"/>
    </row>
    <row r="295" spans="1:23">
      <c r="A295" s="51" t="s">
        <v>580</v>
      </c>
      <c r="B295" s="66">
        <f>R295</f>
        <v>11.00735780977597</v>
      </c>
      <c r="C295" s="66"/>
      <c r="D295" s="31" t="s">
        <v>50</v>
      </c>
      <c r="E295" s="31" t="s">
        <v>2</v>
      </c>
      <c r="F295" s="31" t="s">
        <v>29</v>
      </c>
      <c r="G295" s="51" t="s">
        <v>86</v>
      </c>
      <c r="H295" s="31" t="s">
        <v>33</v>
      </c>
      <c r="I295" s="31">
        <v>2</v>
      </c>
      <c r="J295" s="31">
        <f t="shared" si="16"/>
        <v>2.398563940987775</v>
      </c>
      <c r="K295" s="31">
        <v>0.28635642126552702</v>
      </c>
      <c r="L295" s="31" t="s">
        <v>31</v>
      </c>
      <c r="M295" s="31" t="s">
        <v>31</v>
      </c>
      <c r="N295" s="31" t="s">
        <v>31</v>
      </c>
      <c r="O295" s="31"/>
      <c r="P295" s="31" t="s">
        <v>329</v>
      </c>
      <c r="Q295" s="31"/>
      <c r="R295" s="31">
        <v>11.00735780977597</v>
      </c>
      <c r="S295" s="31" t="s">
        <v>335</v>
      </c>
      <c r="V295" s="31"/>
    </row>
    <row r="296" spans="1:23">
      <c r="A296" s="31" t="s">
        <v>581</v>
      </c>
      <c r="B296" s="66">
        <f>R296</f>
        <v>267.09852102274181</v>
      </c>
      <c r="C296" s="66"/>
      <c r="D296" s="31" t="s">
        <v>37</v>
      </c>
      <c r="E296" s="31" t="s">
        <v>2</v>
      </c>
      <c r="F296" s="31" t="s">
        <v>29</v>
      </c>
      <c r="G296" s="31" t="s">
        <v>86</v>
      </c>
      <c r="H296" s="31" t="s">
        <v>33</v>
      </c>
      <c r="I296" s="31">
        <v>2</v>
      </c>
      <c r="J296" s="31">
        <f t="shared" si="16"/>
        <v>5.5876175829337633</v>
      </c>
      <c r="K296" s="31">
        <v>0.28635642126552702</v>
      </c>
      <c r="L296" s="31" t="s">
        <v>31</v>
      </c>
      <c r="M296" s="31" t="s">
        <v>31</v>
      </c>
      <c r="N296" s="31" t="s">
        <v>31</v>
      </c>
      <c r="O296" s="31"/>
      <c r="P296" s="31" t="s">
        <v>329</v>
      </c>
      <c r="Q296" s="31"/>
      <c r="R296" s="31">
        <v>267.09852102274181</v>
      </c>
      <c r="S296" s="31" t="s">
        <v>337</v>
      </c>
      <c r="V296" s="31"/>
    </row>
    <row r="297" spans="1:23">
      <c r="A297" s="31" t="s">
        <v>48</v>
      </c>
      <c r="B297" s="66">
        <f t="shared" ref="B297:B300" si="17">R297</f>
        <v>5018.0818305996536</v>
      </c>
      <c r="C297" s="66"/>
      <c r="D297" s="31" t="s">
        <v>37</v>
      </c>
      <c r="E297" s="31" t="s">
        <v>43</v>
      </c>
      <c r="F297" s="31" t="s">
        <v>44</v>
      </c>
      <c r="G297" s="31" t="s">
        <v>29</v>
      </c>
      <c r="H297" s="31" t="s">
        <v>45</v>
      </c>
      <c r="I297" s="31">
        <v>2</v>
      </c>
      <c r="J297" s="31">
        <f t="shared" si="16"/>
        <v>8.5208030342066454</v>
      </c>
      <c r="K297" s="31">
        <v>0.28635642126552702</v>
      </c>
      <c r="L297" s="31" t="s">
        <v>31</v>
      </c>
      <c r="M297" s="31" t="s">
        <v>31</v>
      </c>
      <c r="N297" s="31" t="s">
        <v>31</v>
      </c>
      <c r="O297" s="31"/>
      <c r="P297" s="31" t="s">
        <v>329</v>
      </c>
      <c r="Q297" s="31"/>
      <c r="R297" s="31">
        <v>5018.0818305996536</v>
      </c>
      <c r="S297" s="31" t="s">
        <v>337</v>
      </c>
      <c r="V297" s="31"/>
    </row>
    <row r="298" spans="1:23">
      <c r="A298" s="31" t="s">
        <v>51</v>
      </c>
      <c r="B298" s="66">
        <f t="shared" si="17"/>
        <v>5.3680437759379633E-2</v>
      </c>
      <c r="C298" s="66"/>
      <c r="D298" s="31" t="s">
        <v>37</v>
      </c>
      <c r="E298" s="31" t="s">
        <v>43</v>
      </c>
      <c r="F298" s="31" t="s">
        <v>44</v>
      </c>
      <c r="G298" s="31" t="s">
        <v>29</v>
      </c>
      <c r="H298" s="31" t="s">
        <v>45</v>
      </c>
      <c r="I298" s="31">
        <v>2</v>
      </c>
      <c r="J298" s="31">
        <f t="shared" si="16"/>
        <v>-2.9247066313709706</v>
      </c>
      <c r="K298" s="31">
        <v>0.28635642126552702</v>
      </c>
      <c r="L298" s="31" t="s">
        <v>31</v>
      </c>
      <c r="M298" s="31" t="s">
        <v>31</v>
      </c>
      <c r="N298" s="31" t="s">
        <v>31</v>
      </c>
      <c r="O298" s="31"/>
      <c r="P298" s="31" t="s">
        <v>329</v>
      </c>
      <c r="Q298" s="31"/>
      <c r="R298" s="31">
        <v>5.3680437759379633E-2</v>
      </c>
      <c r="S298" s="31" t="s">
        <v>337</v>
      </c>
      <c r="V298" s="31"/>
    </row>
    <row r="299" spans="1:23">
      <c r="A299" s="31" t="s">
        <v>42</v>
      </c>
      <c r="B299" s="66">
        <f t="shared" si="17"/>
        <v>0.85121837018444846</v>
      </c>
      <c r="C299" s="66"/>
      <c r="D299" s="31" t="s">
        <v>37</v>
      </c>
      <c r="E299" s="31" t="s">
        <v>43</v>
      </c>
      <c r="F299" s="31" t="s">
        <v>44</v>
      </c>
      <c r="G299" s="31" t="s">
        <v>29</v>
      </c>
      <c r="H299" s="31" t="s">
        <v>45</v>
      </c>
      <c r="I299" s="31">
        <v>2</v>
      </c>
      <c r="J299" s="31">
        <f t="shared" si="16"/>
        <v>-0.16108657911394988</v>
      </c>
      <c r="K299" s="31">
        <v>0.28635642126552702</v>
      </c>
      <c r="L299" s="31" t="s">
        <v>31</v>
      </c>
      <c r="M299" s="31" t="s">
        <v>31</v>
      </c>
      <c r="N299" s="31" t="s">
        <v>31</v>
      </c>
      <c r="O299" s="31"/>
      <c r="P299" s="31" t="s">
        <v>329</v>
      </c>
      <c r="Q299" s="31"/>
      <c r="R299" s="31">
        <v>0.85121837018444846</v>
      </c>
      <c r="S299" s="31" t="s">
        <v>337</v>
      </c>
      <c r="V299" s="31"/>
    </row>
    <row r="300" spans="1:23">
      <c r="A300" s="31" t="s">
        <v>490</v>
      </c>
      <c r="B300" s="66">
        <f t="shared" si="17"/>
        <v>4.0298671489362858</v>
      </c>
      <c r="C300" s="66"/>
      <c r="D300" s="31" t="s">
        <v>37</v>
      </c>
      <c r="E300" s="31" t="s">
        <v>43</v>
      </c>
      <c r="F300" s="31" t="s">
        <v>44</v>
      </c>
      <c r="G300" s="31" t="s">
        <v>29</v>
      </c>
      <c r="H300" s="31" t="s">
        <v>45</v>
      </c>
      <c r="I300" s="31">
        <v>2</v>
      </c>
      <c r="J300" s="31">
        <f t="shared" si="16"/>
        <v>1.3937334098907219</v>
      </c>
      <c r="K300" s="31">
        <v>0.28635642126552702</v>
      </c>
      <c r="L300" s="31" t="s">
        <v>31</v>
      </c>
      <c r="M300" s="31" t="s">
        <v>31</v>
      </c>
      <c r="N300" s="31" t="s">
        <v>31</v>
      </c>
      <c r="O300" s="31"/>
      <c r="P300" s="31" t="s">
        <v>329</v>
      </c>
      <c r="Q300" s="31"/>
      <c r="R300" s="31">
        <v>4.0298671489362858</v>
      </c>
      <c r="S300" s="31" t="s">
        <v>337</v>
      </c>
      <c r="V300" s="31"/>
    </row>
    <row r="301" spans="1:23" s="42" customFormat="1">
      <c r="A301" s="36" t="s">
        <v>5</v>
      </c>
      <c r="B301" s="36" t="s">
        <v>646</v>
      </c>
      <c r="C301" s="36"/>
      <c r="D301" s="37"/>
      <c r="E301" s="38"/>
      <c r="F301" s="38"/>
      <c r="G301" s="38"/>
      <c r="H301" s="38"/>
      <c r="I301" s="38"/>
      <c r="J301" s="38"/>
      <c r="K301" s="38"/>
      <c r="L301" s="38"/>
      <c r="M301" s="38"/>
      <c r="N301" s="38"/>
      <c r="O301" s="38"/>
      <c r="P301" s="38" t="s">
        <v>329</v>
      </c>
      <c r="Q301" s="38"/>
      <c r="R301" s="38"/>
      <c r="S301" s="38"/>
      <c r="T301" s="38"/>
      <c r="U301" s="38"/>
      <c r="V301" s="38"/>
      <c r="W301" s="38"/>
    </row>
    <row r="302" spans="1:23">
      <c r="A302" s="31" t="s">
        <v>7</v>
      </c>
      <c r="B302" s="31" t="s">
        <v>324</v>
      </c>
      <c r="C302" s="31"/>
      <c r="D302" s="31"/>
      <c r="E302" s="31"/>
      <c r="F302" s="31"/>
      <c r="G302" s="31"/>
      <c r="H302" s="31"/>
      <c r="I302" s="31"/>
      <c r="J302" s="31"/>
      <c r="K302" s="31"/>
      <c r="L302" s="31"/>
      <c r="M302" s="31"/>
      <c r="N302" s="31"/>
      <c r="O302" s="31"/>
      <c r="P302" s="31" t="s">
        <v>329</v>
      </c>
      <c r="Q302" s="31"/>
      <c r="V302" s="31"/>
    </row>
    <row r="303" spans="1:23">
      <c r="A303" s="31" t="s">
        <v>9</v>
      </c>
      <c r="B303" s="43" t="s">
        <v>651</v>
      </c>
      <c r="C303" s="31"/>
      <c r="D303" s="31"/>
      <c r="E303" s="31"/>
      <c r="F303" s="31"/>
      <c r="G303" s="31"/>
      <c r="H303" s="31"/>
      <c r="I303" s="31"/>
      <c r="J303" s="31"/>
      <c r="K303" s="31"/>
      <c r="L303" s="31"/>
      <c r="M303" s="31"/>
      <c r="N303" s="31"/>
      <c r="O303" s="31"/>
      <c r="P303" s="31" t="s">
        <v>329</v>
      </c>
      <c r="Q303" s="31"/>
      <c r="V303" s="31"/>
    </row>
    <row r="304" spans="1:23">
      <c r="A304" s="31" t="s">
        <v>11</v>
      </c>
      <c r="B304" s="31" t="s">
        <v>652</v>
      </c>
      <c r="C304" s="31"/>
      <c r="D304" s="31"/>
      <c r="E304" s="31"/>
      <c r="F304" s="31"/>
      <c r="G304" s="31"/>
      <c r="H304" s="31"/>
      <c r="I304" s="31"/>
      <c r="J304" s="31"/>
      <c r="K304" s="31"/>
      <c r="L304" s="31"/>
      <c r="M304" s="31"/>
      <c r="N304" s="31"/>
      <c r="O304" s="31"/>
      <c r="P304" s="31" t="s">
        <v>329</v>
      </c>
      <c r="Q304" s="31"/>
      <c r="V304" s="31"/>
    </row>
    <row r="305" spans="1:23">
      <c r="A305" s="31" t="s">
        <v>13</v>
      </c>
      <c r="B305" s="47" t="s">
        <v>60</v>
      </c>
      <c r="C305" s="31"/>
      <c r="D305" s="31"/>
      <c r="E305" s="31"/>
      <c r="F305" s="31"/>
      <c r="G305" s="31"/>
      <c r="H305" s="31"/>
      <c r="I305" s="31"/>
      <c r="J305" s="31"/>
      <c r="K305" s="31"/>
      <c r="L305" s="31"/>
      <c r="M305" s="31"/>
      <c r="N305" s="31"/>
      <c r="O305" s="31"/>
      <c r="P305" s="31" t="s">
        <v>329</v>
      </c>
      <c r="Q305" s="31"/>
      <c r="V305" s="31"/>
    </row>
    <row r="306" spans="1:23">
      <c r="A306" s="31" t="s">
        <v>15</v>
      </c>
      <c r="B306" s="31">
        <v>1</v>
      </c>
      <c r="C306" s="31"/>
      <c r="D306" s="31"/>
      <c r="E306" s="31"/>
      <c r="F306" s="31"/>
      <c r="G306" s="31"/>
      <c r="H306" s="31"/>
      <c r="I306" s="31"/>
      <c r="J306" s="31"/>
      <c r="K306" s="31"/>
      <c r="L306" s="31"/>
      <c r="M306" s="31"/>
      <c r="N306" s="31"/>
      <c r="O306" s="31"/>
      <c r="P306" s="31" t="s">
        <v>329</v>
      </c>
      <c r="Q306" s="31"/>
      <c r="V306" s="31"/>
    </row>
    <row r="307" spans="1:23">
      <c r="A307" s="31" t="s">
        <v>16</v>
      </c>
      <c r="B307" s="31" t="s">
        <v>17</v>
      </c>
      <c r="C307" s="31"/>
      <c r="D307" s="31"/>
      <c r="E307" s="31"/>
      <c r="F307" s="31"/>
      <c r="G307" s="31"/>
      <c r="H307" s="31"/>
      <c r="I307" s="31"/>
      <c r="J307" s="31"/>
      <c r="K307" s="31"/>
      <c r="L307" s="31"/>
      <c r="M307" s="31"/>
      <c r="N307" s="31"/>
      <c r="O307" s="31"/>
      <c r="P307" s="31" t="s">
        <v>329</v>
      </c>
      <c r="Q307" s="31"/>
      <c r="V307" s="31"/>
    </row>
    <row r="308" spans="1:23">
      <c r="A308" s="31" t="s">
        <v>18</v>
      </c>
      <c r="B308" s="31" t="s">
        <v>18</v>
      </c>
      <c r="C308" s="31"/>
      <c r="D308" s="31"/>
      <c r="E308" s="31" t="s">
        <v>77</v>
      </c>
      <c r="F308" s="31"/>
      <c r="G308" s="31"/>
      <c r="H308" s="31"/>
      <c r="I308" s="31"/>
      <c r="J308" s="31"/>
      <c r="K308" s="31"/>
      <c r="L308" s="31"/>
      <c r="M308" s="31"/>
      <c r="N308" s="31"/>
      <c r="O308" s="31"/>
      <c r="P308" s="31" t="s">
        <v>329</v>
      </c>
      <c r="Q308" s="31"/>
      <c r="V308" s="31"/>
    </row>
    <row r="309" spans="1:23">
      <c r="A309" s="32" t="s">
        <v>19</v>
      </c>
      <c r="B309" s="31"/>
      <c r="C309" s="31"/>
      <c r="D309" s="31"/>
      <c r="E309" s="31"/>
      <c r="F309" s="31"/>
      <c r="G309" s="31"/>
      <c r="H309" s="31"/>
      <c r="I309" s="31"/>
      <c r="J309" s="31"/>
      <c r="K309" s="31"/>
      <c r="L309" s="31"/>
      <c r="M309" s="31"/>
      <c r="N309" s="31"/>
      <c r="O309" s="31"/>
      <c r="P309" s="31" t="s">
        <v>329</v>
      </c>
      <c r="Q309" s="31"/>
      <c r="V309" s="31"/>
    </row>
    <row r="310" spans="1:23">
      <c r="A310" s="32" t="s">
        <v>20</v>
      </c>
      <c r="B310" s="32" t="s">
        <v>21</v>
      </c>
      <c r="C310" s="32" t="s">
        <v>78</v>
      </c>
      <c r="D310" s="32" t="s">
        <v>18</v>
      </c>
      <c r="E310" s="32" t="s">
        <v>22</v>
      </c>
      <c r="F310" s="32" t="s">
        <v>7</v>
      </c>
      <c r="G310" s="32" t="s">
        <v>13</v>
      </c>
      <c r="H310" s="32" t="s">
        <v>16</v>
      </c>
      <c r="I310" s="32" t="s">
        <v>23</v>
      </c>
      <c r="J310" s="32" t="s">
        <v>24</v>
      </c>
      <c r="K310" s="32" t="s">
        <v>25</v>
      </c>
      <c r="L310" s="32" t="s">
        <v>26</v>
      </c>
      <c r="M310" s="32" t="s">
        <v>27</v>
      </c>
      <c r="N310" s="32" t="s">
        <v>28</v>
      </c>
      <c r="O310" s="32" t="s">
        <v>11</v>
      </c>
      <c r="P310" s="32" t="s">
        <v>555</v>
      </c>
      <c r="Q310" s="31"/>
      <c r="V310" s="31"/>
    </row>
    <row r="311" spans="1:23">
      <c r="A311" s="45" t="s">
        <v>646</v>
      </c>
      <c r="B311" s="31">
        <v>1</v>
      </c>
      <c r="C311" s="31"/>
      <c r="D311" s="31" t="s">
        <v>18</v>
      </c>
      <c r="E311" s="31" t="s">
        <v>2</v>
      </c>
      <c r="F311" s="31" t="s">
        <v>29</v>
      </c>
      <c r="G311" s="47" t="s">
        <v>60</v>
      </c>
      <c r="H311" s="31" t="s">
        <v>30</v>
      </c>
      <c r="I311" s="31">
        <v>1</v>
      </c>
      <c r="J311" s="31">
        <f>B311</f>
        <v>1</v>
      </c>
      <c r="K311" s="31" t="s">
        <v>31</v>
      </c>
      <c r="L311" s="31" t="s">
        <v>31</v>
      </c>
      <c r="M311" s="31" t="s">
        <v>31</v>
      </c>
      <c r="N311" s="31" t="s">
        <v>31</v>
      </c>
      <c r="O311" s="31"/>
      <c r="P311" s="31" t="s">
        <v>329</v>
      </c>
      <c r="Q311" s="31"/>
      <c r="V311" s="31"/>
    </row>
    <row r="312" spans="1:23">
      <c r="A312" s="68" t="s">
        <v>464</v>
      </c>
      <c r="B312" s="35">
        <f>24.1238305005046*15</f>
        <v>361.85745750756899</v>
      </c>
      <c r="C312" s="35"/>
      <c r="D312" s="35" t="s">
        <v>37</v>
      </c>
      <c r="E312" s="35" t="s">
        <v>38</v>
      </c>
      <c r="F312" s="35" t="s">
        <v>29</v>
      </c>
      <c r="G312" s="35" t="s">
        <v>60</v>
      </c>
      <c r="H312" s="35" t="s">
        <v>33</v>
      </c>
      <c r="I312" s="35">
        <v>2</v>
      </c>
      <c r="J312" s="35">
        <f t="shared" ref="J312:J327" si="18">LN(B312)</f>
        <v>5.8912503704892067</v>
      </c>
      <c r="K312" s="35">
        <v>0.30331501776206199</v>
      </c>
      <c r="L312" s="31" t="s">
        <v>31</v>
      </c>
      <c r="M312" s="31" t="s">
        <v>31</v>
      </c>
      <c r="N312" s="31" t="s">
        <v>31</v>
      </c>
      <c r="O312" s="35" t="s">
        <v>590</v>
      </c>
      <c r="P312" s="31" t="s">
        <v>653</v>
      </c>
      <c r="Q312" s="31"/>
      <c r="V312" s="31"/>
    </row>
    <row r="313" spans="1:23">
      <c r="A313" s="93" t="s">
        <v>134</v>
      </c>
      <c r="B313" s="34">
        <f>B312*(1-1/15)</f>
        <v>337.7336270070644</v>
      </c>
      <c r="C313" s="34"/>
      <c r="D313" s="34" t="s">
        <v>37</v>
      </c>
      <c r="E313" s="34" t="s">
        <v>38</v>
      </c>
      <c r="F313" s="34" t="s">
        <v>29</v>
      </c>
      <c r="G313" s="34" t="s">
        <v>86</v>
      </c>
      <c r="H313" s="34" t="s">
        <v>33</v>
      </c>
      <c r="I313" s="34">
        <v>2</v>
      </c>
      <c r="J313" s="34">
        <f t="shared" si="18"/>
        <v>5.8222574990022551</v>
      </c>
      <c r="K313" s="34">
        <v>0.30331501776206199</v>
      </c>
      <c r="L313" s="31" t="s">
        <v>31</v>
      </c>
      <c r="M313" s="31" t="s">
        <v>31</v>
      </c>
      <c r="N313" s="31" t="s">
        <v>31</v>
      </c>
      <c r="O313" s="34" t="s">
        <v>327</v>
      </c>
      <c r="P313" s="31" t="s">
        <v>637</v>
      </c>
      <c r="Q313" s="31"/>
      <c r="R313" s="32" t="s">
        <v>578</v>
      </c>
      <c r="V313" s="31"/>
    </row>
    <row r="314" spans="1:23">
      <c r="A314" s="34" t="s">
        <v>464</v>
      </c>
      <c r="B314" s="34">
        <f>B312*(1-1/15)</f>
        <v>337.7336270070644</v>
      </c>
      <c r="C314" s="34"/>
      <c r="D314" s="34" t="s">
        <v>37</v>
      </c>
      <c r="E314" s="34" t="s">
        <v>38</v>
      </c>
      <c r="F314" s="34" t="s">
        <v>29</v>
      </c>
      <c r="G314" s="34" t="s">
        <v>60</v>
      </c>
      <c r="H314" s="34" t="s">
        <v>98</v>
      </c>
      <c r="I314" s="34">
        <v>2</v>
      </c>
      <c r="J314" s="34">
        <f t="shared" si="18"/>
        <v>5.8222574990022551</v>
      </c>
      <c r="K314" s="34">
        <v>0.30331501776206199</v>
      </c>
      <c r="L314" s="31" t="s">
        <v>31</v>
      </c>
      <c r="M314" s="31" t="s">
        <v>31</v>
      </c>
      <c r="N314" s="31" t="s">
        <v>31</v>
      </c>
      <c r="O314" s="34" t="s">
        <v>327</v>
      </c>
      <c r="P314" s="31" t="s">
        <v>638</v>
      </c>
      <c r="Q314" s="31"/>
      <c r="V314" s="31"/>
    </row>
    <row r="315" spans="1:23">
      <c r="A315" s="31" t="s">
        <v>168</v>
      </c>
      <c r="B315" s="67">
        <f>R315</f>
        <v>965.48101627227106</v>
      </c>
      <c r="C315" s="67"/>
      <c r="D315" s="31" t="s">
        <v>41</v>
      </c>
      <c r="E315" s="31" t="s">
        <v>38</v>
      </c>
      <c r="F315" s="31" t="s">
        <v>29</v>
      </c>
      <c r="G315" s="31" t="s">
        <v>60</v>
      </c>
      <c r="H315" s="31" t="s">
        <v>33</v>
      </c>
      <c r="I315" s="31">
        <v>2</v>
      </c>
      <c r="J315" s="31">
        <f t="shared" si="18"/>
        <v>6.8726264396061545</v>
      </c>
      <c r="K315" s="31">
        <v>0.28635642126552702</v>
      </c>
      <c r="L315" s="31" t="s">
        <v>31</v>
      </c>
      <c r="M315" s="31" t="s">
        <v>31</v>
      </c>
      <c r="N315" s="31" t="s">
        <v>31</v>
      </c>
      <c r="O315" s="31"/>
      <c r="P315" s="31" t="s">
        <v>329</v>
      </c>
      <c r="Q315" s="31"/>
      <c r="R315" s="31">
        <v>965.48101627227106</v>
      </c>
      <c r="S315" s="31" t="s">
        <v>332</v>
      </c>
      <c r="V315" s="31"/>
    </row>
    <row r="316" spans="1:23">
      <c r="A316" s="31" t="s">
        <v>170</v>
      </c>
      <c r="B316" s="67">
        <f>V316</f>
        <v>91.254668932911116</v>
      </c>
      <c r="C316" s="67"/>
      <c r="D316" s="31" t="s">
        <v>50</v>
      </c>
      <c r="E316" s="31" t="s">
        <v>38</v>
      </c>
      <c r="F316" s="31" t="s">
        <v>29</v>
      </c>
      <c r="G316" s="31" t="s">
        <v>333</v>
      </c>
      <c r="H316" s="31" t="s">
        <v>33</v>
      </c>
      <c r="I316" s="31">
        <v>2</v>
      </c>
      <c r="J316" s="31">
        <f t="shared" si="18"/>
        <v>4.5136541575417128</v>
      </c>
      <c r="K316" s="31">
        <v>0.28635642126552702</v>
      </c>
      <c r="L316" s="31" t="s">
        <v>31</v>
      </c>
      <c r="M316" s="31" t="s">
        <v>31</v>
      </c>
      <c r="N316" s="31" t="s">
        <v>31</v>
      </c>
      <c r="O316" s="31"/>
      <c r="P316" s="31" t="s">
        <v>329</v>
      </c>
      <c r="Q316" s="31"/>
      <c r="R316" s="46">
        <v>970.84906004820891</v>
      </c>
      <c r="S316" s="31" t="s">
        <v>332</v>
      </c>
      <c r="T316" s="31">
        <f>R316/0.277778</f>
        <v>3495.0538201304958</v>
      </c>
      <c r="U316" s="31" t="s">
        <v>331</v>
      </c>
      <c r="V316" s="31">
        <f>T316/38.3</f>
        <v>91.254668932911116</v>
      </c>
      <c r="W316" s="31" t="s">
        <v>335</v>
      </c>
    </row>
    <row r="317" spans="1:23">
      <c r="A317" s="31" t="s">
        <v>112</v>
      </c>
      <c r="B317" s="67">
        <f>T317</f>
        <v>436.19155101154689</v>
      </c>
      <c r="C317" s="67"/>
      <c r="D317" s="31" t="s">
        <v>113</v>
      </c>
      <c r="E317" s="31" t="s">
        <v>38</v>
      </c>
      <c r="F317" s="31" t="s">
        <v>29</v>
      </c>
      <c r="G317" s="31" t="s">
        <v>60</v>
      </c>
      <c r="H317" s="31" t="s">
        <v>33</v>
      </c>
      <c r="I317" s="31">
        <v>2</v>
      </c>
      <c r="J317" s="31">
        <f t="shared" si="18"/>
        <v>6.0780814840511583</v>
      </c>
      <c r="K317" s="31">
        <v>0.28635642126552702</v>
      </c>
      <c r="L317" s="31" t="s">
        <v>31</v>
      </c>
      <c r="M317" s="31" t="s">
        <v>31</v>
      </c>
      <c r="N317" s="31" t="s">
        <v>31</v>
      </c>
      <c r="O317" s="31"/>
      <c r="P317" s="31" t="s">
        <v>329</v>
      </c>
      <c r="Q317" s="31"/>
      <c r="R317" s="46">
        <v>121.16441665688548</v>
      </c>
      <c r="S317" s="31" t="s">
        <v>332</v>
      </c>
      <c r="T317" s="31">
        <f>R317/0.277778</f>
        <v>436.19155101154689</v>
      </c>
      <c r="U317" s="31" t="s">
        <v>331</v>
      </c>
      <c r="V317" s="31"/>
    </row>
    <row r="318" spans="1:23">
      <c r="A318" s="31" t="s">
        <v>164</v>
      </c>
      <c r="B318" s="67">
        <f>V318</f>
        <v>20.643672240742003</v>
      </c>
      <c r="C318" s="67"/>
      <c r="D318" s="31" t="s">
        <v>37</v>
      </c>
      <c r="E318" s="31" t="s">
        <v>38</v>
      </c>
      <c r="F318" s="31" t="s">
        <v>29</v>
      </c>
      <c r="G318" s="31" t="s">
        <v>60</v>
      </c>
      <c r="H318" s="31" t="s">
        <v>33</v>
      </c>
      <c r="I318" s="31">
        <v>2</v>
      </c>
      <c r="J318" s="31">
        <f t="shared" si="18"/>
        <v>3.0274088434283186</v>
      </c>
      <c r="K318" s="31">
        <v>0.28635642126552702</v>
      </c>
      <c r="L318" s="31" t="s">
        <v>31</v>
      </c>
      <c r="M318" s="31" t="s">
        <v>31</v>
      </c>
      <c r="N318" s="31" t="s">
        <v>31</v>
      </c>
      <c r="O318" s="31"/>
      <c r="P318" s="31" t="s">
        <v>329</v>
      </c>
      <c r="Q318" s="31"/>
      <c r="R318" s="53">
        <v>256.89923784845968</v>
      </c>
      <c r="S318" s="31" t="s">
        <v>332</v>
      </c>
      <c r="T318" s="31">
        <f>R318/0.277778</f>
        <v>924.83651638524168</v>
      </c>
      <c r="U318" s="31" t="s">
        <v>331</v>
      </c>
      <c r="V318" s="31">
        <f>T318/44.8</f>
        <v>20.643672240742003</v>
      </c>
      <c r="W318" s="31" t="s">
        <v>337</v>
      </c>
    </row>
    <row r="319" spans="1:23">
      <c r="A319" s="31" t="s">
        <v>36</v>
      </c>
      <c r="B319" s="67">
        <f>V319</f>
        <v>40.753279328987198</v>
      </c>
      <c r="C319" s="67"/>
      <c r="D319" s="31" t="s">
        <v>37</v>
      </c>
      <c r="E319" s="31" t="s">
        <v>38</v>
      </c>
      <c r="F319" s="31" t="s">
        <v>29</v>
      </c>
      <c r="G319" s="31" t="s">
        <v>86</v>
      </c>
      <c r="H319" s="31" t="s">
        <v>33</v>
      </c>
      <c r="I319" s="31">
        <v>2</v>
      </c>
      <c r="J319" s="31">
        <f t="shared" si="18"/>
        <v>3.7075363107799606</v>
      </c>
      <c r="K319" s="31">
        <v>0.28635642126552702</v>
      </c>
      <c r="L319" s="31" t="s">
        <v>31</v>
      </c>
      <c r="M319" s="31" t="s">
        <v>31</v>
      </c>
      <c r="N319" s="31" t="s">
        <v>31</v>
      </c>
      <c r="O319" s="31"/>
      <c r="P319" s="31" t="s">
        <v>329</v>
      </c>
      <c r="Q319" s="31"/>
      <c r="R319" s="53">
        <v>523.0008364556702</v>
      </c>
      <c r="S319" s="31" t="s">
        <v>332</v>
      </c>
      <c r="T319" s="31">
        <f>R319/0.277778</f>
        <v>1882.8015049992086</v>
      </c>
      <c r="U319" s="31" t="s">
        <v>331</v>
      </c>
      <c r="V319" s="31">
        <f>T319/46.2</f>
        <v>40.753279328987198</v>
      </c>
      <c r="W319" s="31" t="s">
        <v>337</v>
      </c>
    </row>
    <row r="320" spans="1:23" s="65" customFormat="1">
      <c r="A320" s="31" t="s">
        <v>59</v>
      </c>
      <c r="B320" s="67">
        <f>V320</f>
        <v>0.25097327446003848</v>
      </c>
      <c r="C320" s="67"/>
      <c r="D320" s="31" t="s">
        <v>37</v>
      </c>
      <c r="E320" s="31" t="s">
        <v>2</v>
      </c>
      <c r="F320" s="31" t="s">
        <v>324</v>
      </c>
      <c r="G320" s="31" t="s">
        <v>60</v>
      </c>
      <c r="H320" s="31" t="s">
        <v>33</v>
      </c>
      <c r="I320" s="31">
        <v>2</v>
      </c>
      <c r="J320" s="31">
        <f t="shared" si="18"/>
        <v>-1.3824088217741788</v>
      </c>
      <c r="K320" s="31">
        <v>0.28635642126552702</v>
      </c>
      <c r="L320" s="31" t="s">
        <v>31</v>
      </c>
      <c r="M320" s="31" t="s">
        <v>31</v>
      </c>
      <c r="N320" s="31" t="s">
        <v>31</v>
      </c>
      <c r="O320" s="64"/>
      <c r="P320" s="31"/>
      <c r="Q320" s="45"/>
      <c r="R320" s="53">
        <v>3.0674535862502652</v>
      </c>
      <c r="S320" s="31" t="s">
        <v>332</v>
      </c>
      <c r="T320" s="31">
        <f>R320/0.277778</f>
        <v>11.042824076241693</v>
      </c>
      <c r="U320" s="31" t="s">
        <v>331</v>
      </c>
      <c r="V320" s="31">
        <f>T320/44</f>
        <v>0.25097327446003848</v>
      </c>
      <c r="W320" s="31" t="s">
        <v>337</v>
      </c>
    </row>
    <row r="321" spans="1:23">
      <c r="A321" s="31" t="s">
        <v>172</v>
      </c>
      <c r="B321" s="45">
        <f>T321</f>
        <v>2355.5932707191782</v>
      </c>
      <c r="C321" s="45"/>
      <c r="D321" s="31" t="s">
        <v>37</v>
      </c>
      <c r="E321" s="31" t="s">
        <v>38</v>
      </c>
      <c r="F321" s="31" t="s">
        <v>29</v>
      </c>
      <c r="G321" s="31" t="s">
        <v>60</v>
      </c>
      <c r="H321" s="31" t="s">
        <v>33</v>
      </c>
      <c r="I321" s="31">
        <v>2</v>
      </c>
      <c r="J321" s="31">
        <f t="shared" si="18"/>
        <v>7.7645478943500752</v>
      </c>
      <c r="K321" s="31">
        <v>0.28635642126552702</v>
      </c>
      <c r="L321" s="31" t="s">
        <v>31</v>
      </c>
      <c r="M321" s="31" t="s">
        <v>31</v>
      </c>
      <c r="N321" s="31" t="s">
        <v>31</v>
      </c>
      <c r="O321" s="31"/>
      <c r="P321" s="31" t="s">
        <v>329</v>
      </c>
      <c r="Q321" s="31"/>
      <c r="R321" s="101">
        <v>2.3608579840235508</v>
      </c>
      <c r="S321" s="31" t="s">
        <v>335</v>
      </c>
      <c r="T321" s="31">
        <f>R321*997.77</f>
        <v>2355.5932707191782</v>
      </c>
      <c r="U321" s="31" t="s">
        <v>337</v>
      </c>
      <c r="V321" s="31"/>
    </row>
    <row r="322" spans="1:23">
      <c r="A322" s="51" t="s">
        <v>580</v>
      </c>
      <c r="B322" s="66">
        <f>R322</f>
        <v>2.2014715619551941</v>
      </c>
      <c r="C322" s="66"/>
      <c r="D322" s="31" t="s">
        <v>50</v>
      </c>
      <c r="E322" s="31" t="s">
        <v>2</v>
      </c>
      <c r="F322" s="31" t="s">
        <v>29</v>
      </c>
      <c r="G322" s="51" t="s">
        <v>86</v>
      </c>
      <c r="H322" s="31" t="s">
        <v>33</v>
      </c>
      <c r="I322" s="31">
        <v>2</v>
      </c>
      <c r="J322" s="31">
        <f t="shared" si="18"/>
        <v>0.78912602855367475</v>
      </c>
      <c r="K322" s="31">
        <v>0.28635642126552702</v>
      </c>
      <c r="L322" s="31" t="s">
        <v>31</v>
      </c>
      <c r="M322" s="31" t="s">
        <v>31</v>
      </c>
      <c r="N322" s="31" t="s">
        <v>31</v>
      </c>
      <c r="O322" s="31"/>
      <c r="P322" s="31" t="s">
        <v>329</v>
      </c>
      <c r="Q322" s="31"/>
      <c r="R322" s="101">
        <v>2.2014715619551941</v>
      </c>
      <c r="S322" s="31" t="s">
        <v>335</v>
      </c>
      <c r="V322" s="31"/>
    </row>
    <row r="323" spans="1:23">
      <c r="A323" s="31" t="s">
        <v>581</v>
      </c>
      <c r="B323" s="66">
        <f>R323</f>
        <v>53.419704204548367</v>
      </c>
      <c r="C323" s="66"/>
      <c r="D323" s="31" t="s">
        <v>37</v>
      </c>
      <c r="E323" s="31" t="s">
        <v>2</v>
      </c>
      <c r="F323" s="31" t="s">
        <v>29</v>
      </c>
      <c r="G323" s="31" t="s">
        <v>86</v>
      </c>
      <c r="H323" s="31" t="s">
        <v>33</v>
      </c>
      <c r="I323" s="31">
        <v>2</v>
      </c>
      <c r="J323" s="31">
        <f t="shared" si="18"/>
        <v>3.9781796704996628</v>
      </c>
      <c r="K323" s="31">
        <v>0.28635642126552702</v>
      </c>
      <c r="L323" s="31" t="s">
        <v>31</v>
      </c>
      <c r="M323" s="31" t="s">
        <v>31</v>
      </c>
      <c r="N323" s="31" t="s">
        <v>31</v>
      </c>
      <c r="O323" s="31"/>
      <c r="P323" s="31" t="s">
        <v>329</v>
      </c>
      <c r="Q323" s="31"/>
      <c r="R323" s="101">
        <v>53.419704204548367</v>
      </c>
      <c r="S323" s="31" t="s">
        <v>337</v>
      </c>
      <c r="V323" s="31"/>
    </row>
    <row r="324" spans="1:23">
      <c r="A324" s="31" t="s">
        <v>48</v>
      </c>
      <c r="B324" s="66">
        <f t="shared" ref="B324:B327" si="19">R324</f>
        <v>1003.6163661199308</v>
      </c>
      <c r="C324" s="66"/>
      <c r="D324" s="31" t="s">
        <v>37</v>
      </c>
      <c r="E324" s="31" t="s">
        <v>43</v>
      </c>
      <c r="F324" s="31" t="s">
        <v>44</v>
      </c>
      <c r="G324" s="31" t="s">
        <v>29</v>
      </c>
      <c r="H324" s="31" t="s">
        <v>45</v>
      </c>
      <c r="I324" s="31">
        <v>2</v>
      </c>
      <c r="J324" s="31">
        <f t="shared" si="18"/>
        <v>6.9113651217725458</v>
      </c>
      <c r="K324" s="31">
        <v>0.28635642126552702</v>
      </c>
      <c r="L324" s="31" t="s">
        <v>31</v>
      </c>
      <c r="M324" s="31" t="s">
        <v>31</v>
      </c>
      <c r="N324" s="31" t="s">
        <v>31</v>
      </c>
      <c r="O324" s="31"/>
      <c r="P324" s="31" t="s">
        <v>329</v>
      </c>
      <c r="Q324" s="31"/>
      <c r="R324" s="101">
        <v>1003.6163661199308</v>
      </c>
      <c r="S324" s="31" t="s">
        <v>337</v>
      </c>
      <c r="V324" s="31"/>
    </row>
    <row r="325" spans="1:23">
      <c r="A325" s="31" t="s">
        <v>51</v>
      </c>
      <c r="B325" s="66">
        <f t="shared" si="19"/>
        <v>1.0736087551875927E-2</v>
      </c>
      <c r="C325" s="66"/>
      <c r="D325" s="31" t="s">
        <v>37</v>
      </c>
      <c r="E325" s="31" t="s">
        <v>43</v>
      </c>
      <c r="F325" s="31" t="s">
        <v>44</v>
      </c>
      <c r="G325" s="31" t="s">
        <v>29</v>
      </c>
      <c r="H325" s="31" t="s">
        <v>45</v>
      </c>
      <c r="I325" s="31">
        <v>2</v>
      </c>
      <c r="J325" s="31">
        <f t="shared" si="18"/>
        <v>-4.5341445438050707</v>
      </c>
      <c r="K325" s="31">
        <v>0.28635642126552702</v>
      </c>
      <c r="L325" s="31" t="s">
        <v>31</v>
      </c>
      <c r="M325" s="31" t="s">
        <v>31</v>
      </c>
      <c r="N325" s="31" t="s">
        <v>31</v>
      </c>
      <c r="O325" s="31"/>
      <c r="P325" s="31" t="s">
        <v>329</v>
      </c>
      <c r="Q325" s="31"/>
      <c r="R325" s="31">
        <v>1.0736087551875927E-2</v>
      </c>
      <c r="S325" s="31" t="s">
        <v>337</v>
      </c>
      <c r="V325" s="31"/>
    </row>
    <row r="326" spans="1:23">
      <c r="A326" s="31" t="s">
        <v>42</v>
      </c>
      <c r="B326" s="66">
        <f t="shared" si="19"/>
        <v>0.1702436740368897</v>
      </c>
      <c r="C326" s="66"/>
      <c r="D326" s="31" t="s">
        <v>37</v>
      </c>
      <c r="E326" s="31" t="s">
        <v>43</v>
      </c>
      <c r="F326" s="31" t="s">
        <v>44</v>
      </c>
      <c r="G326" s="31" t="s">
        <v>29</v>
      </c>
      <c r="H326" s="31" t="s">
        <v>45</v>
      </c>
      <c r="I326" s="31">
        <v>2</v>
      </c>
      <c r="J326" s="31">
        <f t="shared" si="18"/>
        <v>-1.7705244915480502</v>
      </c>
      <c r="K326" s="31">
        <v>0.28635642126552702</v>
      </c>
      <c r="L326" s="31" t="s">
        <v>31</v>
      </c>
      <c r="M326" s="31" t="s">
        <v>31</v>
      </c>
      <c r="N326" s="31" t="s">
        <v>31</v>
      </c>
      <c r="O326" s="31"/>
      <c r="P326" s="31" t="s">
        <v>329</v>
      </c>
      <c r="Q326" s="31"/>
      <c r="R326" s="31">
        <v>0.1702436740368897</v>
      </c>
      <c r="S326" s="31" t="s">
        <v>337</v>
      </c>
      <c r="V326" s="31"/>
    </row>
    <row r="327" spans="1:23">
      <c r="A327" s="31" t="s">
        <v>490</v>
      </c>
      <c r="B327" s="66">
        <f t="shared" si="19"/>
        <v>0.80597342978725717</v>
      </c>
      <c r="C327" s="66"/>
      <c r="D327" s="31" t="s">
        <v>37</v>
      </c>
      <c r="E327" s="31" t="s">
        <v>43</v>
      </c>
      <c r="F327" s="31" t="s">
        <v>44</v>
      </c>
      <c r="G327" s="31" t="s">
        <v>29</v>
      </c>
      <c r="H327" s="31" t="s">
        <v>45</v>
      </c>
      <c r="I327" s="31">
        <v>2</v>
      </c>
      <c r="J327" s="31">
        <f t="shared" si="18"/>
        <v>-0.21570450254337845</v>
      </c>
      <c r="K327" s="31">
        <v>0.28635642126552702</v>
      </c>
      <c r="L327" s="31" t="s">
        <v>31</v>
      </c>
      <c r="M327" s="31" t="s">
        <v>31</v>
      </c>
      <c r="N327" s="31" t="s">
        <v>31</v>
      </c>
      <c r="O327" s="31"/>
      <c r="P327" s="31" t="s">
        <v>329</v>
      </c>
      <c r="Q327" s="31"/>
      <c r="R327" s="31">
        <v>0.80597342978725717</v>
      </c>
      <c r="S327" s="31" t="s">
        <v>337</v>
      </c>
      <c r="V327" s="31"/>
    </row>
    <row r="328" spans="1:23" s="42" customFormat="1">
      <c r="A328" s="36" t="s">
        <v>5</v>
      </c>
      <c r="B328" s="36" t="s">
        <v>647</v>
      </c>
      <c r="C328" s="36"/>
      <c r="D328" s="37"/>
      <c r="E328" s="38"/>
      <c r="F328" s="38"/>
      <c r="G328" s="38"/>
      <c r="H328" s="38"/>
      <c r="I328" s="38"/>
      <c r="J328" s="38"/>
      <c r="K328" s="38"/>
      <c r="L328" s="38"/>
      <c r="M328" s="38"/>
      <c r="N328" s="38"/>
      <c r="O328" s="38"/>
      <c r="P328" s="38" t="s">
        <v>329</v>
      </c>
      <c r="Q328" s="38"/>
      <c r="R328" s="38"/>
      <c r="S328" s="38"/>
      <c r="T328" s="38"/>
      <c r="U328" s="38"/>
      <c r="V328" s="38"/>
      <c r="W328" s="38"/>
    </row>
    <row r="329" spans="1:23">
      <c r="A329" s="31" t="s">
        <v>7</v>
      </c>
      <c r="B329" s="31" t="s">
        <v>324</v>
      </c>
      <c r="C329" s="31"/>
      <c r="D329" s="31"/>
      <c r="E329" s="31"/>
      <c r="F329" s="31"/>
      <c r="G329" s="31"/>
      <c r="H329" s="31"/>
      <c r="I329" s="31"/>
      <c r="J329" s="31"/>
      <c r="K329" s="31"/>
      <c r="L329" s="31"/>
      <c r="M329" s="31"/>
      <c r="N329" s="31"/>
      <c r="O329" s="31"/>
      <c r="P329" s="31" t="s">
        <v>329</v>
      </c>
      <c r="Q329" s="31"/>
      <c r="V329" s="31"/>
    </row>
    <row r="330" spans="1:23">
      <c r="A330" s="31" t="s">
        <v>9</v>
      </c>
      <c r="B330" s="43" t="s">
        <v>654</v>
      </c>
      <c r="C330" s="31"/>
      <c r="D330" s="31"/>
      <c r="E330" s="31"/>
      <c r="F330" s="31"/>
      <c r="G330" s="31"/>
      <c r="H330" s="31"/>
      <c r="I330" s="31"/>
      <c r="J330" s="31"/>
      <c r="K330" s="31"/>
      <c r="L330" s="31"/>
      <c r="M330" s="31"/>
      <c r="N330" s="31"/>
      <c r="O330" s="31"/>
      <c r="P330" s="31" t="s">
        <v>329</v>
      </c>
      <c r="Q330" s="31"/>
      <c r="V330" s="31"/>
    </row>
    <row r="331" spans="1:23">
      <c r="A331" s="31" t="s">
        <v>11</v>
      </c>
      <c r="B331" s="31" t="s">
        <v>655</v>
      </c>
      <c r="C331" s="31"/>
      <c r="D331" s="31"/>
      <c r="E331" s="31"/>
      <c r="F331" s="31"/>
      <c r="G331" s="31"/>
      <c r="H331" s="31"/>
      <c r="I331" s="31"/>
      <c r="J331" s="31"/>
      <c r="K331" s="31"/>
      <c r="L331" s="31"/>
      <c r="M331" s="31"/>
      <c r="N331" s="31"/>
      <c r="O331" s="31"/>
      <c r="P331" s="31" t="s">
        <v>329</v>
      </c>
      <c r="Q331" s="31"/>
      <c r="V331" s="31"/>
    </row>
    <row r="332" spans="1:23">
      <c r="A332" s="31" t="s">
        <v>13</v>
      </c>
      <c r="B332" s="47" t="s">
        <v>60</v>
      </c>
      <c r="C332" s="31"/>
      <c r="D332" s="31"/>
      <c r="E332" s="31"/>
      <c r="F332" s="31"/>
      <c r="G332" s="31"/>
      <c r="H332" s="31"/>
      <c r="I332" s="31"/>
      <c r="J332" s="31"/>
      <c r="K332" s="31"/>
      <c r="L332" s="31"/>
      <c r="M332" s="31"/>
      <c r="N332" s="31"/>
      <c r="O332" s="31"/>
      <c r="P332" s="31" t="s">
        <v>329</v>
      </c>
      <c r="Q332" s="31"/>
      <c r="V332" s="31"/>
    </row>
    <row r="333" spans="1:23">
      <c r="A333" s="31" t="s">
        <v>15</v>
      </c>
      <c r="B333" s="31">
        <v>1</v>
      </c>
      <c r="C333" s="31"/>
      <c r="D333" s="31"/>
      <c r="E333" s="31"/>
      <c r="F333" s="31"/>
      <c r="G333" s="31"/>
      <c r="H333" s="31"/>
      <c r="I333" s="31"/>
      <c r="J333" s="31"/>
      <c r="K333" s="31"/>
      <c r="L333" s="31"/>
      <c r="M333" s="31"/>
      <c r="N333" s="31"/>
      <c r="O333" s="31"/>
      <c r="P333" s="31" t="s">
        <v>329</v>
      </c>
      <c r="Q333" s="31"/>
      <c r="V333" s="31"/>
    </row>
    <row r="334" spans="1:23">
      <c r="A334" s="31" t="s">
        <v>16</v>
      </c>
      <c r="B334" s="31" t="s">
        <v>17</v>
      </c>
      <c r="C334" s="31"/>
      <c r="D334" s="31"/>
      <c r="E334" s="31"/>
      <c r="F334" s="31"/>
      <c r="G334" s="31"/>
      <c r="H334" s="31"/>
      <c r="I334" s="31"/>
      <c r="J334" s="31"/>
      <c r="K334" s="31"/>
      <c r="L334" s="31"/>
      <c r="M334" s="31"/>
      <c r="N334" s="31"/>
      <c r="O334" s="31"/>
      <c r="P334" s="31" t="s">
        <v>329</v>
      </c>
      <c r="Q334" s="31"/>
      <c r="V334" s="31"/>
    </row>
    <row r="335" spans="1:23">
      <c r="A335" s="31" t="s">
        <v>18</v>
      </c>
      <c r="B335" s="31" t="s">
        <v>18</v>
      </c>
      <c r="C335" s="31"/>
      <c r="D335" s="31"/>
      <c r="E335" s="31" t="s">
        <v>77</v>
      </c>
      <c r="F335" s="31"/>
      <c r="G335" s="31"/>
      <c r="H335" s="31"/>
      <c r="I335" s="31"/>
      <c r="J335" s="31"/>
      <c r="K335" s="31"/>
      <c r="L335" s="31"/>
      <c r="M335" s="31"/>
      <c r="N335" s="31"/>
      <c r="O335" s="31"/>
      <c r="P335" s="31" t="s">
        <v>329</v>
      </c>
      <c r="Q335" s="31"/>
      <c r="V335" s="31"/>
    </row>
    <row r="336" spans="1:23">
      <c r="A336" s="32" t="s">
        <v>19</v>
      </c>
      <c r="B336" s="31"/>
      <c r="C336" s="31"/>
      <c r="D336" s="31"/>
      <c r="E336" s="31"/>
      <c r="F336" s="31"/>
      <c r="G336" s="31"/>
      <c r="H336" s="31"/>
      <c r="I336" s="31"/>
      <c r="J336" s="31"/>
      <c r="K336" s="31"/>
      <c r="L336" s="31"/>
      <c r="M336" s="31"/>
      <c r="N336" s="31"/>
      <c r="O336" s="31"/>
      <c r="P336" s="31" t="s">
        <v>329</v>
      </c>
      <c r="Q336" s="31"/>
      <c r="V336" s="31"/>
    </row>
    <row r="337" spans="1:23">
      <c r="A337" s="32" t="s">
        <v>20</v>
      </c>
      <c r="B337" s="32" t="s">
        <v>21</v>
      </c>
      <c r="C337" s="32" t="s">
        <v>78</v>
      </c>
      <c r="D337" s="32" t="s">
        <v>18</v>
      </c>
      <c r="E337" s="32" t="s">
        <v>22</v>
      </c>
      <c r="F337" s="32" t="s">
        <v>7</v>
      </c>
      <c r="G337" s="32" t="s">
        <v>13</v>
      </c>
      <c r="H337" s="32" t="s">
        <v>16</v>
      </c>
      <c r="I337" s="32" t="s">
        <v>23</v>
      </c>
      <c r="J337" s="32" t="s">
        <v>24</v>
      </c>
      <c r="K337" s="32" t="s">
        <v>25</v>
      </c>
      <c r="L337" s="32" t="s">
        <v>26</v>
      </c>
      <c r="M337" s="32" t="s">
        <v>27</v>
      </c>
      <c r="N337" s="32" t="s">
        <v>28</v>
      </c>
      <c r="O337" s="32" t="s">
        <v>11</v>
      </c>
      <c r="P337" s="32" t="s">
        <v>555</v>
      </c>
      <c r="Q337" s="31"/>
      <c r="R337" s="32" t="s">
        <v>578</v>
      </c>
      <c r="V337" s="31"/>
    </row>
    <row r="338" spans="1:23">
      <c r="A338" s="45" t="s">
        <v>647</v>
      </c>
      <c r="B338" s="31">
        <v>1</v>
      </c>
      <c r="C338" s="31"/>
      <c r="D338" s="31" t="s">
        <v>18</v>
      </c>
      <c r="E338" s="31" t="s">
        <v>2</v>
      </c>
      <c r="F338" s="31" t="s">
        <v>29</v>
      </c>
      <c r="G338" s="47" t="s">
        <v>60</v>
      </c>
      <c r="H338" s="31" t="s">
        <v>30</v>
      </c>
      <c r="I338" s="31">
        <v>1</v>
      </c>
      <c r="J338" s="31">
        <f>B338</f>
        <v>1</v>
      </c>
      <c r="K338" s="31" t="s">
        <v>31</v>
      </c>
      <c r="L338" s="31" t="s">
        <v>31</v>
      </c>
      <c r="M338" s="31" t="s">
        <v>31</v>
      </c>
      <c r="N338" s="31" t="s">
        <v>31</v>
      </c>
      <c r="O338" s="31"/>
      <c r="P338" s="31" t="s">
        <v>329</v>
      </c>
      <c r="Q338" s="31"/>
      <c r="V338" s="31"/>
    </row>
    <row r="339" spans="1:23">
      <c r="A339" s="68" t="s">
        <v>656</v>
      </c>
      <c r="B339" s="35">
        <f>V339</f>
        <v>4.9569514727064341</v>
      </c>
      <c r="C339" s="35"/>
      <c r="D339" s="35" t="s">
        <v>206</v>
      </c>
      <c r="E339" s="35" t="s">
        <v>38</v>
      </c>
      <c r="F339" s="35" t="s">
        <v>29</v>
      </c>
      <c r="G339" s="35" t="s">
        <v>60</v>
      </c>
      <c r="H339" s="35" t="s">
        <v>33</v>
      </c>
      <c r="I339" s="35">
        <v>2</v>
      </c>
      <c r="J339" s="35">
        <f t="shared" ref="J339:J356" si="20">LN(B339)</f>
        <v>1.6007909293408173</v>
      </c>
      <c r="K339" s="35">
        <v>0.30331501776206199</v>
      </c>
      <c r="L339" s="31" t="s">
        <v>31</v>
      </c>
      <c r="M339" s="31" t="s">
        <v>31</v>
      </c>
      <c r="N339" s="31" t="s">
        <v>31</v>
      </c>
      <c r="O339" s="35" t="s">
        <v>590</v>
      </c>
      <c r="P339" s="31" t="s">
        <v>657</v>
      </c>
      <c r="Q339" s="51"/>
      <c r="R339" s="31">
        <f>4.82476610010093*15</f>
        <v>72.371491501513944</v>
      </c>
      <c r="S339" s="31" t="s">
        <v>337</v>
      </c>
      <c r="T339" s="31">
        <f>R339/7300</f>
        <v>9.9139029454128683E-3</v>
      </c>
      <c r="U339" s="31" t="s">
        <v>335</v>
      </c>
      <c r="V339" s="31">
        <f>T339/0.002</f>
        <v>4.9569514727064341</v>
      </c>
      <c r="W339" s="31" t="s">
        <v>658</v>
      </c>
    </row>
    <row r="340" spans="1:23" ht="15.75" customHeight="1">
      <c r="A340" s="68" t="s">
        <v>467</v>
      </c>
      <c r="B340" s="35">
        <f>1.20619152502523*15</f>
        <v>18.09287287537845</v>
      </c>
      <c r="C340" s="35"/>
      <c r="D340" s="35" t="s">
        <v>37</v>
      </c>
      <c r="E340" s="35" t="s">
        <v>38</v>
      </c>
      <c r="F340" s="35" t="s">
        <v>29</v>
      </c>
      <c r="G340" s="35" t="s">
        <v>86</v>
      </c>
      <c r="H340" s="35" t="s">
        <v>33</v>
      </c>
      <c r="I340" s="35">
        <v>2</v>
      </c>
      <c r="J340" s="35">
        <f t="shared" si="20"/>
        <v>2.8955180969352154</v>
      </c>
      <c r="K340" s="35">
        <v>0.30331501776206199</v>
      </c>
      <c r="L340" s="31" t="s">
        <v>31</v>
      </c>
      <c r="M340" s="31" t="s">
        <v>31</v>
      </c>
      <c r="N340" s="31" t="s">
        <v>31</v>
      </c>
      <c r="O340" s="35" t="s">
        <v>590</v>
      </c>
      <c r="P340" s="31" t="s">
        <v>659</v>
      </c>
      <c r="Q340" s="31"/>
      <c r="V340" s="31"/>
    </row>
    <row r="341" spans="1:23" s="42" customFormat="1">
      <c r="A341" s="70" t="s">
        <v>134</v>
      </c>
      <c r="B341" s="72">
        <f>4.82476610010093*15-4.82476610010093</f>
        <v>67.546725401413013</v>
      </c>
      <c r="C341" s="72"/>
      <c r="D341" s="72" t="s">
        <v>37</v>
      </c>
      <c r="E341" s="72" t="s">
        <v>38</v>
      </c>
      <c r="F341" s="72" t="s">
        <v>29</v>
      </c>
      <c r="G341" s="72" t="s">
        <v>86</v>
      </c>
      <c r="H341" s="72" t="s">
        <v>33</v>
      </c>
      <c r="I341" s="72">
        <v>2</v>
      </c>
      <c r="J341" s="72">
        <f t="shared" si="20"/>
        <v>4.2128195865681564</v>
      </c>
      <c r="K341" s="72">
        <v>0.30331501776206199</v>
      </c>
      <c r="L341" s="38" t="s">
        <v>31</v>
      </c>
      <c r="M341" s="38" t="s">
        <v>31</v>
      </c>
      <c r="N341" s="38" t="s">
        <v>31</v>
      </c>
      <c r="O341" s="72" t="s">
        <v>327</v>
      </c>
      <c r="P341" s="38" t="s">
        <v>660</v>
      </c>
      <c r="Q341" s="38"/>
      <c r="R341" s="38"/>
      <c r="S341" s="38"/>
      <c r="T341" s="38"/>
      <c r="U341" s="38"/>
      <c r="V341" s="38"/>
      <c r="W341" s="38"/>
    </row>
    <row r="342" spans="1:23" s="79" customFormat="1">
      <c r="A342" s="76" t="s">
        <v>656</v>
      </c>
      <c r="B342" s="78">
        <f>V342</f>
        <v>4.9569514727064341</v>
      </c>
      <c r="C342" s="78"/>
      <c r="D342" s="78" t="s">
        <v>206</v>
      </c>
      <c r="E342" s="78" t="s">
        <v>38</v>
      </c>
      <c r="F342" s="78" t="s">
        <v>29</v>
      </c>
      <c r="G342" s="78" t="s">
        <v>60</v>
      </c>
      <c r="H342" s="78" t="s">
        <v>98</v>
      </c>
      <c r="I342" s="78">
        <v>2</v>
      </c>
      <c r="J342" s="78">
        <f t="shared" si="20"/>
        <v>1.6007909293408173</v>
      </c>
      <c r="K342" s="78">
        <v>0.30331501776206199</v>
      </c>
      <c r="L342" s="57" t="s">
        <v>31</v>
      </c>
      <c r="M342" s="57" t="s">
        <v>31</v>
      </c>
      <c r="N342" s="57" t="s">
        <v>31</v>
      </c>
      <c r="O342" s="78" t="s">
        <v>327</v>
      </c>
      <c r="P342" s="57" t="s">
        <v>661</v>
      </c>
      <c r="Q342" s="57"/>
      <c r="R342" s="57">
        <f>4.82476610010093*15</f>
        <v>72.371491501513944</v>
      </c>
      <c r="S342" s="57" t="s">
        <v>337</v>
      </c>
      <c r="T342" s="57">
        <f>R342/7300</f>
        <v>9.9139029454128683E-3</v>
      </c>
      <c r="U342" s="57" t="s">
        <v>335</v>
      </c>
      <c r="V342" s="57">
        <f>T342/0.002</f>
        <v>4.9569514727064341</v>
      </c>
      <c r="W342" s="57" t="s">
        <v>658</v>
      </c>
    </row>
    <row r="343" spans="1:23">
      <c r="A343" s="93" t="s">
        <v>662</v>
      </c>
      <c r="B343" s="92">
        <v>16.063530000000004</v>
      </c>
      <c r="C343" s="92"/>
      <c r="D343" s="102" t="s">
        <v>37</v>
      </c>
      <c r="E343" s="102" t="s">
        <v>38</v>
      </c>
      <c r="F343" s="102" t="s">
        <v>29</v>
      </c>
      <c r="G343" s="102" t="s">
        <v>60</v>
      </c>
      <c r="H343" s="102" t="s">
        <v>33</v>
      </c>
      <c r="I343" s="103">
        <v>2</v>
      </c>
      <c r="J343" s="103">
        <f t="shared" si="20"/>
        <v>2.7765514851131687</v>
      </c>
      <c r="K343" s="103">
        <v>0.30331501776206199</v>
      </c>
      <c r="L343" s="31" t="s">
        <v>31</v>
      </c>
      <c r="M343" s="31" t="s">
        <v>31</v>
      </c>
      <c r="N343" s="31" t="s">
        <v>31</v>
      </c>
      <c r="O343" s="34" t="s">
        <v>327</v>
      </c>
      <c r="P343" s="31" t="s">
        <v>663</v>
      </c>
      <c r="Q343" s="31"/>
      <c r="V343" s="31"/>
    </row>
    <row r="344" spans="1:23">
      <c r="A344" s="31" t="s">
        <v>168</v>
      </c>
      <c r="B344" s="67">
        <f>R344</f>
        <v>241.37025406806777</v>
      </c>
      <c r="C344" s="67"/>
      <c r="D344" s="31" t="s">
        <v>41</v>
      </c>
      <c r="E344" s="31" t="s">
        <v>38</v>
      </c>
      <c r="F344" s="31" t="s">
        <v>29</v>
      </c>
      <c r="G344" s="31" t="s">
        <v>60</v>
      </c>
      <c r="H344" s="31" t="s">
        <v>33</v>
      </c>
      <c r="I344" s="31">
        <v>2</v>
      </c>
      <c r="J344" s="31">
        <f t="shared" si="20"/>
        <v>5.4863320784862646</v>
      </c>
      <c r="K344" s="31">
        <v>0.28635642126552702</v>
      </c>
      <c r="L344" s="31" t="s">
        <v>31</v>
      </c>
      <c r="M344" s="31" t="s">
        <v>31</v>
      </c>
      <c r="N344" s="31" t="s">
        <v>31</v>
      </c>
      <c r="O344" s="31"/>
      <c r="P344" s="31" t="s">
        <v>329</v>
      </c>
      <c r="Q344" s="31"/>
      <c r="R344" s="31">
        <v>241.37025406806777</v>
      </c>
      <c r="S344" s="31" t="s">
        <v>332</v>
      </c>
      <c r="V344" s="31"/>
    </row>
    <row r="345" spans="1:23">
      <c r="A345" s="31" t="s">
        <v>170</v>
      </c>
      <c r="B345" s="67">
        <f>V345</f>
        <v>22.813667233227779</v>
      </c>
      <c r="C345" s="67"/>
      <c r="D345" s="31" t="s">
        <v>50</v>
      </c>
      <c r="E345" s="31" t="s">
        <v>38</v>
      </c>
      <c r="F345" s="31" t="s">
        <v>29</v>
      </c>
      <c r="G345" s="31" t="s">
        <v>333</v>
      </c>
      <c r="H345" s="31" t="s">
        <v>33</v>
      </c>
      <c r="I345" s="31">
        <v>2</v>
      </c>
      <c r="J345" s="31">
        <f t="shared" si="20"/>
        <v>3.1273597964218225</v>
      </c>
      <c r="K345" s="31">
        <v>0.28635642126552702</v>
      </c>
      <c r="L345" s="31" t="s">
        <v>31</v>
      </c>
      <c r="M345" s="31" t="s">
        <v>31</v>
      </c>
      <c r="N345" s="31" t="s">
        <v>31</v>
      </c>
      <c r="O345" s="31"/>
      <c r="P345" s="31" t="s">
        <v>329</v>
      </c>
      <c r="Q345" s="31"/>
      <c r="R345" s="46">
        <v>242.71226501205223</v>
      </c>
      <c r="S345" s="31" t="s">
        <v>332</v>
      </c>
      <c r="T345" s="31">
        <f>R345/0.277778</f>
        <v>873.76345503262394</v>
      </c>
      <c r="U345" s="31" t="s">
        <v>331</v>
      </c>
      <c r="V345" s="31">
        <f>T345/38.3</f>
        <v>22.813667233227779</v>
      </c>
      <c r="W345" s="31" t="s">
        <v>335</v>
      </c>
    </row>
    <row r="346" spans="1:23">
      <c r="A346" s="31" t="s">
        <v>112</v>
      </c>
      <c r="B346" s="67">
        <f>T346</f>
        <v>109.04788775288672</v>
      </c>
      <c r="C346" s="67"/>
      <c r="D346" s="31" t="s">
        <v>113</v>
      </c>
      <c r="E346" s="31" t="s">
        <v>38</v>
      </c>
      <c r="F346" s="31" t="s">
        <v>29</v>
      </c>
      <c r="G346" s="31" t="s">
        <v>60</v>
      </c>
      <c r="H346" s="31" t="s">
        <v>33</v>
      </c>
      <c r="I346" s="31">
        <v>2</v>
      </c>
      <c r="J346" s="31">
        <f t="shared" si="20"/>
        <v>4.6917871229312684</v>
      </c>
      <c r="K346" s="31">
        <v>0.28635642126552702</v>
      </c>
      <c r="L346" s="31" t="s">
        <v>31</v>
      </c>
      <c r="M346" s="31" t="s">
        <v>31</v>
      </c>
      <c r="N346" s="31" t="s">
        <v>31</v>
      </c>
      <c r="O346" s="31"/>
      <c r="P346" s="31" t="s">
        <v>329</v>
      </c>
      <c r="Q346" s="31"/>
      <c r="R346" s="104">
        <v>30.29110416422137</v>
      </c>
      <c r="S346" s="31" t="s">
        <v>332</v>
      </c>
      <c r="T346" s="31">
        <f>R346/0.277778</f>
        <v>109.04788775288672</v>
      </c>
      <c r="U346" s="31" t="s">
        <v>331</v>
      </c>
      <c r="V346" s="31"/>
    </row>
    <row r="347" spans="1:23">
      <c r="A347" s="31" t="s">
        <v>164</v>
      </c>
      <c r="B347" s="67">
        <f>V347</f>
        <v>5.1609180601855007</v>
      </c>
      <c r="C347" s="67"/>
      <c r="D347" s="31" t="s">
        <v>37</v>
      </c>
      <c r="E347" s="31" t="s">
        <v>38</v>
      </c>
      <c r="F347" s="31" t="s">
        <v>29</v>
      </c>
      <c r="G347" s="31" t="s">
        <v>60</v>
      </c>
      <c r="H347" s="31" t="s">
        <v>33</v>
      </c>
      <c r="I347" s="31">
        <v>2</v>
      </c>
      <c r="J347" s="31">
        <f t="shared" si="20"/>
        <v>1.641114482308428</v>
      </c>
      <c r="K347" s="31">
        <v>0.28635642126552702</v>
      </c>
      <c r="L347" s="31" t="s">
        <v>31</v>
      </c>
      <c r="M347" s="31" t="s">
        <v>31</v>
      </c>
      <c r="N347" s="31" t="s">
        <v>31</v>
      </c>
      <c r="O347" s="31"/>
      <c r="P347" s="31" t="s">
        <v>329</v>
      </c>
      <c r="Q347" s="31"/>
      <c r="R347" s="104">
        <v>64.224809462114919</v>
      </c>
      <c r="S347" s="31" t="s">
        <v>332</v>
      </c>
      <c r="T347" s="31">
        <f>R347/0.277778</f>
        <v>231.20912909631042</v>
      </c>
      <c r="U347" s="31" t="s">
        <v>331</v>
      </c>
      <c r="V347" s="31">
        <f>T347/44.8</f>
        <v>5.1609180601855007</v>
      </c>
      <c r="W347" s="31" t="s">
        <v>337</v>
      </c>
    </row>
    <row r="348" spans="1:23">
      <c r="A348" s="31" t="s">
        <v>36</v>
      </c>
      <c r="B348" s="67">
        <f>V348</f>
        <v>10.188319832246799</v>
      </c>
      <c r="C348" s="67"/>
      <c r="D348" s="31" t="s">
        <v>37</v>
      </c>
      <c r="E348" s="31" t="s">
        <v>38</v>
      </c>
      <c r="F348" s="31" t="s">
        <v>29</v>
      </c>
      <c r="G348" s="31" t="s">
        <v>86</v>
      </c>
      <c r="H348" s="31" t="s">
        <v>33</v>
      </c>
      <c r="I348" s="31">
        <v>2</v>
      </c>
      <c r="J348" s="31">
        <f t="shared" si="20"/>
        <v>2.3212419496600698</v>
      </c>
      <c r="K348" s="31">
        <v>0.28635642126552702</v>
      </c>
      <c r="L348" s="31" t="s">
        <v>31</v>
      </c>
      <c r="M348" s="31" t="s">
        <v>31</v>
      </c>
      <c r="N348" s="31" t="s">
        <v>31</v>
      </c>
      <c r="O348" s="31"/>
      <c r="P348" s="31" t="s">
        <v>329</v>
      </c>
      <c r="Q348" s="31"/>
      <c r="R348" s="104">
        <v>130.75020911391755</v>
      </c>
      <c r="S348" s="31" t="s">
        <v>332</v>
      </c>
      <c r="T348" s="31">
        <f>R348/0.277778</f>
        <v>470.70037624980216</v>
      </c>
      <c r="U348" s="31" t="s">
        <v>331</v>
      </c>
      <c r="V348" s="31">
        <f>T348/46.2</f>
        <v>10.188319832246799</v>
      </c>
      <c r="W348" s="31" t="s">
        <v>337</v>
      </c>
    </row>
    <row r="349" spans="1:23" s="65" customFormat="1">
      <c r="A349" s="31" t="s">
        <v>59</v>
      </c>
      <c r="B349" s="67">
        <f>V349</f>
        <v>6.2743318615009619E-2</v>
      </c>
      <c r="C349" s="67"/>
      <c r="D349" s="31" t="s">
        <v>37</v>
      </c>
      <c r="E349" s="31" t="s">
        <v>2</v>
      </c>
      <c r="F349" s="31" t="s">
        <v>324</v>
      </c>
      <c r="G349" s="31" t="s">
        <v>60</v>
      </c>
      <c r="H349" s="31" t="s">
        <v>33</v>
      </c>
      <c r="I349" s="31">
        <v>2</v>
      </c>
      <c r="J349" s="31">
        <f t="shared" si="20"/>
        <v>-2.7687031828940696</v>
      </c>
      <c r="K349" s="31">
        <v>0.28635642126552702</v>
      </c>
      <c r="L349" s="31" t="s">
        <v>31</v>
      </c>
      <c r="M349" s="31" t="s">
        <v>31</v>
      </c>
      <c r="N349" s="31" t="s">
        <v>31</v>
      </c>
      <c r="O349" s="64"/>
      <c r="P349" s="31"/>
      <c r="Q349" s="45"/>
      <c r="R349" s="104">
        <v>0.7668633965625663</v>
      </c>
      <c r="S349" s="31" t="s">
        <v>332</v>
      </c>
      <c r="T349" s="31">
        <f>R349/0.277778</f>
        <v>2.7607060190604233</v>
      </c>
      <c r="U349" s="31" t="s">
        <v>331</v>
      </c>
      <c r="V349" s="31">
        <f>T349/44</f>
        <v>6.2743318615009619E-2</v>
      </c>
      <c r="W349" s="31" t="s">
        <v>337</v>
      </c>
    </row>
    <row r="350" spans="1:23">
      <c r="A350" s="31" t="s">
        <v>172</v>
      </c>
      <c r="B350" s="45">
        <f>T350</f>
        <v>588.89831767979456</v>
      </c>
      <c r="C350" s="45"/>
      <c r="D350" s="31" t="s">
        <v>37</v>
      </c>
      <c r="E350" s="31" t="s">
        <v>38</v>
      </c>
      <c r="F350" s="31" t="s">
        <v>29</v>
      </c>
      <c r="G350" s="31" t="s">
        <v>60</v>
      </c>
      <c r="H350" s="31" t="s">
        <v>33</v>
      </c>
      <c r="I350" s="31">
        <v>2</v>
      </c>
      <c r="J350" s="31">
        <f t="shared" si="20"/>
        <v>6.3782535332301844</v>
      </c>
      <c r="K350" s="31">
        <v>0.28635642126552702</v>
      </c>
      <c r="L350" s="31" t="s">
        <v>31</v>
      </c>
      <c r="M350" s="31" t="s">
        <v>31</v>
      </c>
      <c r="N350" s="31" t="s">
        <v>31</v>
      </c>
      <c r="O350" s="31"/>
      <c r="P350" s="31" t="s">
        <v>329</v>
      </c>
      <c r="Q350" s="31"/>
      <c r="R350" s="105">
        <v>0.59021449600588771</v>
      </c>
      <c r="S350" s="31" t="s">
        <v>335</v>
      </c>
      <c r="T350" s="31">
        <f>R350*997.77</f>
        <v>588.89831767979456</v>
      </c>
      <c r="U350" s="31" t="s">
        <v>337</v>
      </c>
      <c r="V350" s="31"/>
    </row>
    <row r="351" spans="1:23">
      <c r="A351" s="51" t="s">
        <v>580</v>
      </c>
      <c r="B351" s="66">
        <f>R351</f>
        <v>0.55036789048879853</v>
      </c>
      <c r="C351" s="66"/>
      <c r="D351" s="31" t="s">
        <v>50</v>
      </c>
      <c r="E351" s="31" t="s">
        <v>2</v>
      </c>
      <c r="F351" s="31" t="s">
        <v>29</v>
      </c>
      <c r="G351" s="51" t="s">
        <v>86</v>
      </c>
      <c r="H351" s="31" t="s">
        <v>33</v>
      </c>
      <c r="I351" s="31">
        <v>2</v>
      </c>
      <c r="J351" s="31">
        <f t="shared" si="20"/>
        <v>-0.59716833256621582</v>
      </c>
      <c r="K351" s="31">
        <v>0.28635642126552702</v>
      </c>
      <c r="L351" s="31" t="s">
        <v>31</v>
      </c>
      <c r="M351" s="31" t="s">
        <v>31</v>
      </c>
      <c r="N351" s="31" t="s">
        <v>31</v>
      </c>
      <c r="O351" s="31"/>
      <c r="P351" s="31" t="s">
        <v>329</v>
      </c>
      <c r="Q351" s="31"/>
      <c r="R351" s="105">
        <v>0.55036789048879853</v>
      </c>
      <c r="S351" s="31" t="s">
        <v>335</v>
      </c>
      <c r="V351" s="31"/>
    </row>
    <row r="352" spans="1:23">
      <c r="A352" s="31" t="s">
        <v>581</v>
      </c>
      <c r="B352" s="66">
        <f>R352</f>
        <v>13.354926051137092</v>
      </c>
      <c r="C352" s="66"/>
      <c r="D352" s="31" t="s">
        <v>37</v>
      </c>
      <c r="E352" s="31" t="s">
        <v>2</v>
      </c>
      <c r="F352" s="31" t="s">
        <v>29</v>
      </c>
      <c r="G352" s="31" t="s">
        <v>86</v>
      </c>
      <c r="H352" s="31" t="s">
        <v>33</v>
      </c>
      <c r="I352" s="31">
        <v>2</v>
      </c>
      <c r="J352" s="31">
        <f t="shared" si="20"/>
        <v>2.591885309379772</v>
      </c>
      <c r="K352" s="31">
        <v>0.28635642126552702</v>
      </c>
      <c r="L352" s="31" t="s">
        <v>31</v>
      </c>
      <c r="M352" s="31" t="s">
        <v>31</v>
      </c>
      <c r="N352" s="31" t="s">
        <v>31</v>
      </c>
      <c r="O352" s="31"/>
      <c r="P352" s="31" t="s">
        <v>329</v>
      </c>
      <c r="Q352" s="31"/>
      <c r="R352" s="31">
        <v>13.354926051137092</v>
      </c>
      <c r="S352" s="31" t="s">
        <v>337</v>
      </c>
      <c r="V352" s="31"/>
    </row>
    <row r="353" spans="1:23">
      <c r="A353" s="31" t="s">
        <v>48</v>
      </c>
      <c r="B353" s="66">
        <f t="shared" ref="B353:B356" si="21">R353</f>
        <v>250.90409152998271</v>
      </c>
      <c r="C353" s="66"/>
      <c r="D353" s="31" t="s">
        <v>37</v>
      </c>
      <c r="E353" s="31" t="s">
        <v>43</v>
      </c>
      <c r="F353" s="31" t="s">
        <v>44</v>
      </c>
      <c r="G353" s="31" t="s">
        <v>29</v>
      </c>
      <c r="H353" s="31" t="s">
        <v>45</v>
      </c>
      <c r="I353" s="31">
        <v>2</v>
      </c>
      <c r="J353" s="31">
        <f t="shared" si="20"/>
        <v>5.525070760652655</v>
      </c>
      <c r="K353" s="31">
        <v>0.28635642126552702</v>
      </c>
      <c r="L353" s="31" t="s">
        <v>31</v>
      </c>
      <c r="M353" s="31" t="s">
        <v>31</v>
      </c>
      <c r="N353" s="31" t="s">
        <v>31</v>
      </c>
      <c r="O353" s="31"/>
      <c r="P353" s="31" t="s">
        <v>329</v>
      </c>
      <c r="Q353" s="31"/>
      <c r="R353" s="31">
        <v>250.90409152998271</v>
      </c>
      <c r="S353" s="31" t="s">
        <v>337</v>
      </c>
      <c r="V353" s="31"/>
    </row>
    <row r="354" spans="1:23">
      <c r="A354" s="31" t="s">
        <v>51</v>
      </c>
      <c r="B354" s="66">
        <f t="shared" si="21"/>
        <v>2.6840218879689817E-3</v>
      </c>
      <c r="C354" s="66"/>
      <c r="D354" s="31" t="s">
        <v>37</v>
      </c>
      <c r="E354" s="31" t="s">
        <v>43</v>
      </c>
      <c r="F354" s="31" t="s">
        <v>44</v>
      </c>
      <c r="G354" s="31" t="s">
        <v>29</v>
      </c>
      <c r="H354" s="31" t="s">
        <v>45</v>
      </c>
      <c r="I354" s="31">
        <v>2</v>
      </c>
      <c r="J354" s="31">
        <f t="shared" si="20"/>
        <v>-5.9204389049249615</v>
      </c>
      <c r="K354" s="31">
        <v>0.28635642126552702</v>
      </c>
      <c r="L354" s="31" t="s">
        <v>31</v>
      </c>
      <c r="M354" s="31" t="s">
        <v>31</v>
      </c>
      <c r="N354" s="31" t="s">
        <v>31</v>
      </c>
      <c r="O354" s="31"/>
      <c r="P354" s="31" t="s">
        <v>329</v>
      </c>
      <c r="Q354" s="31"/>
      <c r="R354" s="31">
        <v>2.6840218879689817E-3</v>
      </c>
      <c r="S354" s="31" t="s">
        <v>337</v>
      </c>
      <c r="V354" s="31"/>
    </row>
    <row r="355" spans="1:23">
      <c r="A355" s="31" t="s">
        <v>42</v>
      </c>
      <c r="B355" s="66">
        <f t="shared" si="21"/>
        <v>4.2560918509222424E-2</v>
      </c>
      <c r="C355" s="66"/>
      <c r="D355" s="31" t="s">
        <v>37</v>
      </c>
      <c r="E355" s="31" t="s">
        <v>43</v>
      </c>
      <c r="F355" s="31" t="s">
        <v>44</v>
      </c>
      <c r="G355" s="31" t="s">
        <v>29</v>
      </c>
      <c r="H355" s="31" t="s">
        <v>45</v>
      </c>
      <c r="I355" s="31">
        <v>2</v>
      </c>
      <c r="J355" s="31">
        <f t="shared" si="20"/>
        <v>-3.156818852667941</v>
      </c>
      <c r="K355" s="31">
        <v>0.28635642126552702</v>
      </c>
      <c r="L355" s="31" t="s">
        <v>31</v>
      </c>
      <c r="M355" s="31" t="s">
        <v>31</v>
      </c>
      <c r="N355" s="31" t="s">
        <v>31</v>
      </c>
      <c r="O355" s="31"/>
      <c r="P355" s="31" t="s">
        <v>329</v>
      </c>
      <c r="Q355" s="31"/>
      <c r="R355" s="31">
        <v>4.2560918509222424E-2</v>
      </c>
      <c r="S355" s="31" t="s">
        <v>337</v>
      </c>
      <c r="V355" s="31"/>
    </row>
    <row r="356" spans="1:23">
      <c r="A356" s="31" t="s">
        <v>490</v>
      </c>
      <c r="B356" s="66">
        <f t="shared" si="21"/>
        <v>0.20149335744681429</v>
      </c>
      <c r="C356" s="66"/>
      <c r="D356" s="31" t="s">
        <v>37</v>
      </c>
      <c r="E356" s="31" t="s">
        <v>43</v>
      </c>
      <c r="F356" s="31" t="s">
        <v>44</v>
      </c>
      <c r="G356" s="31" t="s">
        <v>29</v>
      </c>
      <c r="H356" s="31" t="s">
        <v>45</v>
      </c>
      <c r="I356" s="31">
        <v>2</v>
      </c>
      <c r="J356" s="31">
        <f t="shared" si="20"/>
        <v>-1.6019988636632692</v>
      </c>
      <c r="K356" s="31">
        <v>0.28635642126552702</v>
      </c>
      <c r="L356" s="31" t="s">
        <v>31</v>
      </c>
      <c r="M356" s="31" t="s">
        <v>31</v>
      </c>
      <c r="N356" s="31" t="s">
        <v>31</v>
      </c>
      <c r="O356" s="31"/>
      <c r="P356" s="31" t="s">
        <v>329</v>
      </c>
      <c r="Q356" s="31"/>
      <c r="R356" s="31">
        <v>0.20149335744681429</v>
      </c>
      <c r="S356" s="31" t="s">
        <v>337</v>
      </c>
      <c r="V356" s="31"/>
    </row>
    <row r="357" spans="1:23" s="42" customFormat="1">
      <c r="A357" s="36" t="s">
        <v>5</v>
      </c>
      <c r="B357" s="36" t="s">
        <v>648</v>
      </c>
      <c r="C357" s="36"/>
      <c r="D357" s="37"/>
      <c r="E357" s="38"/>
      <c r="F357" s="38"/>
      <c r="G357" s="38"/>
      <c r="H357" s="38"/>
      <c r="I357" s="38"/>
      <c r="J357" s="38"/>
      <c r="K357" s="38"/>
      <c r="L357" s="38"/>
      <c r="M357" s="38"/>
      <c r="N357" s="38"/>
      <c r="O357" s="38"/>
      <c r="P357" s="38" t="s">
        <v>329</v>
      </c>
      <c r="Q357" s="38"/>
      <c r="R357" s="38"/>
      <c r="S357" s="38"/>
      <c r="T357" s="38"/>
      <c r="U357" s="38"/>
      <c r="V357" s="38"/>
      <c r="W357" s="38"/>
    </row>
    <row r="358" spans="1:23">
      <c r="A358" s="31" t="s">
        <v>7</v>
      </c>
      <c r="B358" s="31" t="s">
        <v>324</v>
      </c>
      <c r="C358" s="31"/>
      <c r="D358" s="31"/>
      <c r="E358" s="31"/>
      <c r="F358" s="31"/>
      <c r="G358" s="31"/>
      <c r="H358" s="31"/>
      <c r="I358" s="31"/>
      <c r="J358" s="31"/>
      <c r="K358" s="31"/>
      <c r="L358" s="31"/>
      <c r="M358" s="31"/>
      <c r="N358" s="31"/>
      <c r="O358" s="31"/>
      <c r="P358" s="31" t="s">
        <v>329</v>
      </c>
      <c r="Q358" s="31"/>
      <c r="V358" s="31"/>
    </row>
    <row r="359" spans="1:23">
      <c r="A359" s="31" t="s">
        <v>9</v>
      </c>
      <c r="B359" s="43" t="s">
        <v>664</v>
      </c>
      <c r="C359" s="31"/>
      <c r="D359" s="31"/>
      <c r="E359" s="31"/>
      <c r="F359" s="31"/>
      <c r="G359" s="31"/>
      <c r="H359" s="31"/>
      <c r="I359" s="31"/>
      <c r="J359" s="31"/>
      <c r="K359" s="31"/>
      <c r="L359" s="31"/>
      <c r="M359" s="31"/>
      <c r="N359" s="31"/>
      <c r="O359" s="31"/>
      <c r="P359" s="31" t="s">
        <v>329</v>
      </c>
      <c r="Q359" s="31"/>
      <c r="V359" s="31"/>
    </row>
    <row r="360" spans="1:23">
      <c r="A360" s="31" t="s">
        <v>11</v>
      </c>
      <c r="B360" s="31" t="s">
        <v>665</v>
      </c>
      <c r="C360" s="31"/>
      <c r="D360" s="31"/>
      <c r="E360" s="31"/>
      <c r="F360" s="31"/>
      <c r="G360" s="31"/>
      <c r="H360" s="31"/>
      <c r="I360" s="31"/>
      <c r="J360" s="31"/>
      <c r="K360" s="31"/>
      <c r="L360" s="31"/>
      <c r="M360" s="31"/>
      <c r="N360" s="31"/>
      <c r="O360" s="31"/>
      <c r="P360" s="31" t="s">
        <v>329</v>
      </c>
      <c r="Q360" s="31"/>
      <c r="V360" s="31"/>
    </row>
    <row r="361" spans="1:23">
      <c r="A361" s="31" t="s">
        <v>13</v>
      </c>
      <c r="B361" s="47" t="s">
        <v>60</v>
      </c>
      <c r="C361" s="31"/>
      <c r="D361" s="31"/>
      <c r="E361" s="31"/>
      <c r="F361" s="31"/>
      <c r="G361" s="31"/>
      <c r="H361" s="31"/>
      <c r="I361" s="31"/>
      <c r="J361" s="31"/>
      <c r="K361" s="31"/>
      <c r="L361" s="31"/>
      <c r="M361" s="31"/>
      <c r="N361" s="31"/>
      <c r="O361" s="31"/>
      <c r="P361" s="31" t="s">
        <v>329</v>
      </c>
      <c r="Q361" s="31"/>
      <c r="V361" s="31"/>
    </row>
    <row r="362" spans="1:23">
      <c r="A362" s="31" t="s">
        <v>15</v>
      </c>
      <c r="B362" s="31">
        <v>1</v>
      </c>
      <c r="C362" s="31"/>
      <c r="D362" s="31"/>
      <c r="E362" s="31"/>
      <c r="F362" s="31"/>
      <c r="G362" s="31"/>
      <c r="H362" s="31"/>
      <c r="I362" s="31"/>
      <c r="J362" s="31"/>
      <c r="K362" s="31"/>
      <c r="L362" s="31"/>
      <c r="M362" s="31"/>
      <c r="N362" s="31"/>
      <c r="O362" s="31"/>
      <c r="P362" s="31" t="s">
        <v>329</v>
      </c>
      <c r="Q362" s="31"/>
      <c r="V362" s="31"/>
    </row>
    <row r="363" spans="1:23">
      <c r="A363" s="31" t="s">
        <v>16</v>
      </c>
      <c r="B363" s="31" t="s">
        <v>17</v>
      </c>
      <c r="C363" s="31"/>
      <c r="D363" s="31"/>
      <c r="E363" s="31"/>
      <c r="F363" s="31"/>
      <c r="G363" s="31"/>
      <c r="H363" s="31"/>
      <c r="I363" s="31"/>
      <c r="J363" s="31"/>
      <c r="K363" s="31"/>
      <c r="L363" s="31"/>
      <c r="M363" s="31"/>
      <c r="N363" s="31"/>
      <c r="O363" s="31"/>
      <c r="P363" s="31" t="s">
        <v>329</v>
      </c>
      <c r="Q363" s="31"/>
      <c r="V363" s="31"/>
    </row>
    <row r="364" spans="1:23">
      <c r="A364" s="31" t="s">
        <v>18</v>
      </c>
      <c r="B364" s="31" t="s">
        <v>18</v>
      </c>
      <c r="C364" s="31"/>
      <c r="D364" s="31"/>
      <c r="E364" s="31" t="s">
        <v>77</v>
      </c>
      <c r="F364" s="31"/>
      <c r="G364" s="31"/>
      <c r="H364" s="31"/>
      <c r="I364" s="31"/>
      <c r="J364" s="31"/>
      <c r="K364" s="31"/>
      <c r="L364" s="31"/>
      <c r="M364" s="31"/>
      <c r="N364" s="31"/>
      <c r="O364" s="31"/>
      <c r="P364" s="31" t="s">
        <v>329</v>
      </c>
      <c r="Q364" s="31"/>
      <c r="V364" s="31"/>
    </row>
    <row r="365" spans="1:23">
      <c r="A365" s="32" t="s">
        <v>19</v>
      </c>
      <c r="B365" s="31"/>
      <c r="C365" s="31"/>
      <c r="D365" s="31"/>
      <c r="E365" s="31"/>
      <c r="F365" s="31"/>
      <c r="G365" s="31"/>
      <c r="H365" s="31"/>
      <c r="I365" s="31"/>
      <c r="J365" s="31"/>
      <c r="K365" s="31"/>
      <c r="L365" s="31"/>
      <c r="M365" s="31"/>
      <c r="N365" s="31"/>
      <c r="O365" s="31"/>
      <c r="P365" s="31" t="s">
        <v>329</v>
      </c>
      <c r="Q365" s="31"/>
      <c r="V365" s="31"/>
    </row>
    <row r="366" spans="1:23">
      <c r="A366" s="32" t="s">
        <v>20</v>
      </c>
      <c r="B366" s="32" t="s">
        <v>21</v>
      </c>
      <c r="C366" s="32" t="s">
        <v>78</v>
      </c>
      <c r="D366" s="32" t="s">
        <v>18</v>
      </c>
      <c r="E366" s="32" t="s">
        <v>22</v>
      </c>
      <c r="F366" s="32" t="s">
        <v>7</v>
      </c>
      <c r="G366" s="32" t="s">
        <v>13</v>
      </c>
      <c r="H366" s="32" t="s">
        <v>16</v>
      </c>
      <c r="I366" s="32" t="s">
        <v>23</v>
      </c>
      <c r="J366" s="32" t="s">
        <v>24</v>
      </c>
      <c r="K366" s="32" t="s">
        <v>25</v>
      </c>
      <c r="L366" s="32" t="s">
        <v>26</v>
      </c>
      <c r="M366" s="32" t="s">
        <v>27</v>
      </c>
      <c r="N366" s="32" t="s">
        <v>28</v>
      </c>
      <c r="O366" s="32" t="s">
        <v>11</v>
      </c>
      <c r="P366" s="32" t="s">
        <v>555</v>
      </c>
      <c r="Q366" s="31"/>
      <c r="V366" s="31"/>
    </row>
    <row r="367" spans="1:23">
      <c r="A367" s="45" t="s">
        <v>648</v>
      </c>
      <c r="B367" s="31">
        <v>1</v>
      </c>
      <c r="C367" s="31"/>
      <c r="D367" s="31" t="s">
        <v>18</v>
      </c>
      <c r="E367" s="31" t="s">
        <v>2</v>
      </c>
      <c r="F367" s="31" t="s">
        <v>29</v>
      </c>
      <c r="G367" s="47" t="s">
        <v>60</v>
      </c>
      <c r="H367" s="31" t="s">
        <v>30</v>
      </c>
      <c r="I367" s="31">
        <v>1</v>
      </c>
      <c r="J367" s="31">
        <f>B367</f>
        <v>1</v>
      </c>
      <c r="K367" s="31" t="s">
        <v>31</v>
      </c>
      <c r="L367" s="31" t="s">
        <v>31</v>
      </c>
      <c r="M367" s="31" t="s">
        <v>31</v>
      </c>
      <c r="N367" s="31" t="s">
        <v>31</v>
      </c>
      <c r="O367" s="31"/>
      <c r="P367" s="31" t="s">
        <v>329</v>
      </c>
      <c r="Q367" s="31"/>
      <c r="V367" s="31"/>
    </row>
    <row r="368" spans="1:23" s="65" customFormat="1">
      <c r="A368" s="106" t="s">
        <v>666</v>
      </c>
      <c r="B368" s="107">
        <f>16.0825536670031*15</f>
        <v>241.2383050050465</v>
      </c>
      <c r="C368" s="107"/>
      <c r="D368" s="107" t="s">
        <v>37</v>
      </c>
      <c r="E368" s="107" t="s">
        <v>38</v>
      </c>
      <c r="F368" s="107" t="s">
        <v>29</v>
      </c>
      <c r="G368" s="107" t="s">
        <v>60</v>
      </c>
      <c r="H368" s="107" t="s">
        <v>33</v>
      </c>
      <c r="I368" s="107">
        <v>2</v>
      </c>
      <c r="J368" s="107">
        <f>LN(B368)</f>
        <v>5.4857852623810439</v>
      </c>
      <c r="K368" s="107">
        <v>0.30331501776206199</v>
      </c>
      <c r="L368" s="65" t="s">
        <v>31</v>
      </c>
      <c r="M368" s="65" t="s">
        <v>31</v>
      </c>
      <c r="N368" s="65" t="s">
        <v>31</v>
      </c>
      <c r="O368" s="107" t="s">
        <v>590</v>
      </c>
      <c r="P368" s="65" t="s">
        <v>667</v>
      </c>
    </row>
    <row r="369" spans="1:23" s="65" customFormat="1">
      <c r="A369" s="108" t="s">
        <v>464</v>
      </c>
      <c r="B369" s="107">
        <f>16.0825536670031*15</f>
        <v>241.2383050050465</v>
      </c>
      <c r="C369" s="107"/>
      <c r="D369" s="99" t="s">
        <v>37</v>
      </c>
      <c r="E369" s="99" t="s">
        <v>38</v>
      </c>
      <c r="F369" s="99" t="s">
        <v>29</v>
      </c>
      <c r="G369" s="99" t="s">
        <v>60</v>
      </c>
      <c r="H369" s="99" t="s">
        <v>33</v>
      </c>
      <c r="I369" s="109" t="s">
        <v>668</v>
      </c>
      <c r="J369" s="107">
        <f>LN(B369)</f>
        <v>5.4857852623810439</v>
      </c>
      <c r="K369" s="109">
        <v>0.30331501776206199</v>
      </c>
      <c r="L369" s="110" t="s">
        <v>31</v>
      </c>
      <c r="M369" s="110" t="s">
        <v>31</v>
      </c>
      <c r="N369" s="110" t="s">
        <v>31</v>
      </c>
      <c r="O369" s="107" t="s">
        <v>590</v>
      </c>
      <c r="P369" s="65" t="s">
        <v>669</v>
      </c>
    </row>
    <row r="370" spans="1:23" s="31" customFormat="1" ht="18" customHeight="1">
      <c r="A370" s="68" t="s">
        <v>449</v>
      </c>
      <c r="B370" s="35">
        <f>8.04127683350154*15</f>
        <v>120.61915250252309</v>
      </c>
      <c r="C370" s="35"/>
      <c r="D370" s="35" t="s">
        <v>37</v>
      </c>
      <c r="E370" s="35" t="s">
        <v>38</v>
      </c>
      <c r="F370" s="35" t="s">
        <v>29</v>
      </c>
      <c r="G370" s="35" t="s">
        <v>60</v>
      </c>
      <c r="H370" s="35" t="s">
        <v>33</v>
      </c>
      <c r="I370" s="35">
        <v>2</v>
      </c>
      <c r="J370" s="35">
        <f t="shared" ref="J370:J388" si="22">LN(B370)</f>
        <v>4.7926380818210976</v>
      </c>
      <c r="K370" s="35">
        <v>0.30331501776206199</v>
      </c>
      <c r="L370" s="31" t="s">
        <v>31</v>
      </c>
      <c r="M370" s="31" t="s">
        <v>31</v>
      </c>
      <c r="N370" s="31" t="s">
        <v>31</v>
      </c>
      <c r="O370" s="35" t="s">
        <v>590</v>
      </c>
      <c r="P370" s="31" t="s">
        <v>670</v>
      </c>
    </row>
    <row r="371" spans="1:23" s="42" customFormat="1" ht="18" customHeight="1">
      <c r="A371" s="70" t="s">
        <v>134</v>
      </c>
      <c r="B371" s="72">
        <f>B368*(1-1/15)</f>
        <v>225.15575133804342</v>
      </c>
      <c r="C371" s="72"/>
      <c r="D371" s="72" t="s">
        <v>37</v>
      </c>
      <c r="E371" s="72" t="s">
        <v>38</v>
      </c>
      <c r="F371" s="72" t="s">
        <v>29</v>
      </c>
      <c r="G371" s="72" t="s">
        <v>86</v>
      </c>
      <c r="H371" s="72" t="s">
        <v>33</v>
      </c>
      <c r="I371" s="72">
        <v>2</v>
      </c>
      <c r="J371" s="72">
        <f t="shared" si="22"/>
        <v>5.4167923908940931</v>
      </c>
      <c r="K371" s="72">
        <v>0.30331501776206199</v>
      </c>
      <c r="L371" s="38" t="s">
        <v>31</v>
      </c>
      <c r="M371" s="38" t="s">
        <v>31</v>
      </c>
      <c r="N371" s="38" t="s">
        <v>31</v>
      </c>
      <c r="O371" s="72" t="s">
        <v>327</v>
      </c>
      <c r="P371" s="38" t="s">
        <v>671</v>
      </c>
      <c r="Q371" s="38"/>
      <c r="R371" s="38"/>
      <c r="S371" s="38"/>
      <c r="T371" s="38"/>
      <c r="U371" s="38"/>
      <c r="V371" s="38"/>
      <c r="W371" s="38"/>
    </row>
    <row r="372" spans="1:23" s="79" customFormat="1">
      <c r="A372" s="78" t="s">
        <v>464</v>
      </c>
      <c r="B372" s="78">
        <f>B368*(1-1/15)</f>
        <v>225.15575133804342</v>
      </c>
      <c r="C372" s="78"/>
      <c r="D372" s="78" t="s">
        <v>37</v>
      </c>
      <c r="E372" s="78" t="s">
        <v>38</v>
      </c>
      <c r="F372" s="78" t="s">
        <v>29</v>
      </c>
      <c r="G372" s="78" t="s">
        <v>60</v>
      </c>
      <c r="H372" s="78" t="s">
        <v>98</v>
      </c>
      <c r="I372" s="78">
        <v>2</v>
      </c>
      <c r="J372" s="78">
        <f t="shared" si="22"/>
        <v>5.4167923908940931</v>
      </c>
      <c r="K372" s="78">
        <v>0.30331501776206199</v>
      </c>
      <c r="L372" s="57" t="s">
        <v>31</v>
      </c>
      <c r="M372" s="57" t="s">
        <v>31</v>
      </c>
      <c r="N372" s="57" t="s">
        <v>31</v>
      </c>
      <c r="O372" s="78" t="s">
        <v>327</v>
      </c>
      <c r="P372" s="57" t="s">
        <v>672</v>
      </c>
      <c r="Q372" s="57"/>
      <c r="R372" s="57"/>
      <c r="S372" s="57"/>
      <c r="T372" s="57"/>
      <c r="U372" s="57"/>
      <c r="V372" s="57"/>
      <c r="W372" s="57"/>
    </row>
    <row r="373" spans="1:23">
      <c r="A373" s="70" t="s">
        <v>93</v>
      </c>
      <c r="B373" s="34">
        <f>B370*(1-1/15)</f>
        <v>112.57787566902155</v>
      </c>
      <c r="C373" s="34"/>
      <c r="D373" s="34" t="s">
        <v>37</v>
      </c>
      <c r="E373" s="34" t="s">
        <v>38</v>
      </c>
      <c r="F373" s="34" t="s">
        <v>29</v>
      </c>
      <c r="G373" s="34" t="s">
        <v>86</v>
      </c>
      <c r="H373" s="34" t="s">
        <v>33</v>
      </c>
      <c r="I373" s="34">
        <v>2</v>
      </c>
      <c r="J373" s="34">
        <f t="shared" si="22"/>
        <v>4.723645210334146</v>
      </c>
      <c r="K373" s="34">
        <v>0.30331501776206199</v>
      </c>
      <c r="L373" s="31" t="s">
        <v>31</v>
      </c>
      <c r="M373" s="31" t="s">
        <v>31</v>
      </c>
      <c r="N373" s="31" t="s">
        <v>31</v>
      </c>
      <c r="O373" s="34" t="s">
        <v>327</v>
      </c>
      <c r="P373" s="31" t="s">
        <v>673</v>
      </c>
      <c r="Q373" s="31"/>
      <c r="R373" s="32" t="s">
        <v>578</v>
      </c>
      <c r="V373" s="31"/>
    </row>
    <row r="374" spans="1:23">
      <c r="A374" s="73" t="s">
        <v>94</v>
      </c>
      <c r="B374" s="34">
        <f>B370*(1-1/15)</f>
        <v>112.57787566902155</v>
      </c>
      <c r="C374" s="31" t="s">
        <v>95</v>
      </c>
      <c r="D374" s="34" t="s">
        <v>37</v>
      </c>
      <c r="E374" s="34" t="s">
        <v>38</v>
      </c>
      <c r="F374" s="34" t="s">
        <v>29</v>
      </c>
      <c r="G374" s="34" t="s">
        <v>86</v>
      </c>
      <c r="H374" s="34" t="s">
        <v>33</v>
      </c>
      <c r="I374" s="34">
        <v>2</v>
      </c>
      <c r="J374" s="34">
        <f>LN(B374)</f>
        <v>4.723645210334146</v>
      </c>
      <c r="K374" s="34">
        <v>0.30331501776206199</v>
      </c>
      <c r="L374" s="31" t="s">
        <v>31</v>
      </c>
      <c r="M374" s="31" t="s">
        <v>31</v>
      </c>
      <c r="N374" s="31" t="s">
        <v>31</v>
      </c>
      <c r="O374" s="34" t="s">
        <v>327</v>
      </c>
      <c r="P374" s="31" t="s">
        <v>673</v>
      </c>
      <c r="Q374" s="31"/>
      <c r="R374" s="32"/>
      <c r="V374" s="31"/>
    </row>
    <row r="375" spans="1:23">
      <c r="A375" s="93" t="s">
        <v>449</v>
      </c>
      <c r="B375" s="34">
        <f>B370*(1-1/15)</f>
        <v>112.57787566902155</v>
      </c>
      <c r="C375" s="34"/>
      <c r="D375" s="34" t="s">
        <v>37</v>
      </c>
      <c r="E375" s="34" t="s">
        <v>38</v>
      </c>
      <c r="F375" s="34" t="s">
        <v>29</v>
      </c>
      <c r="G375" s="34" t="s">
        <v>60</v>
      </c>
      <c r="H375" s="34" t="s">
        <v>98</v>
      </c>
      <c r="I375" s="34">
        <v>2</v>
      </c>
      <c r="J375" s="34">
        <f t="shared" si="22"/>
        <v>4.723645210334146</v>
      </c>
      <c r="K375" s="34">
        <v>0.30331501776206199</v>
      </c>
      <c r="L375" s="31" t="s">
        <v>31</v>
      </c>
      <c r="M375" s="31" t="s">
        <v>31</v>
      </c>
      <c r="N375" s="31" t="s">
        <v>31</v>
      </c>
      <c r="O375" s="34" t="s">
        <v>327</v>
      </c>
      <c r="P375" s="31" t="s">
        <v>674</v>
      </c>
      <c r="Q375" s="31"/>
      <c r="V375" s="31"/>
    </row>
    <row r="376" spans="1:23">
      <c r="A376" s="31" t="s">
        <v>168</v>
      </c>
      <c r="B376" s="67">
        <f>R376</f>
        <v>965.48101627227106</v>
      </c>
      <c r="C376" s="67"/>
      <c r="D376" s="31" t="s">
        <v>41</v>
      </c>
      <c r="E376" s="31" t="s">
        <v>38</v>
      </c>
      <c r="F376" s="31" t="s">
        <v>29</v>
      </c>
      <c r="G376" s="31" t="s">
        <v>60</v>
      </c>
      <c r="H376" s="31" t="s">
        <v>33</v>
      </c>
      <c r="I376" s="31">
        <v>2</v>
      </c>
      <c r="J376" s="31">
        <f t="shared" si="22"/>
        <v>6.8726264396061545</v>
      </c>
      <c r="K376" s="31">
        <v>0.28635642126552702</v>
      </c>
      <c r="L376" s="31" t="s">
        <v>31</v>
      </c>
      <c r="M376" s="31" t="s">
        <v>31</v>
      </c>
      <c r="N376" s="31" t="s">
        <v>31</v>
      </c>
      <c r="O376" s="31"/>
      <c r="P376" s="31" t="s">
        <v>329</v>
      </c>
      <c r="Q376" s="31"/>
      <c r="R376" s="31">
        <v>965.48101627227106</v>
      </c>
      <c r="S376" s="31" t="s">
        <v>332</v>
      </c>
      <c r="V376" s="31"/>
    </row>
    <row r="377" spans="1:23">
      <c r="A377" s="31" t="s">
        <v>170</v>
      </c>
      <c r="B377" s="67">
        <f>V377</f>
        <v>91.254668932911116</v>
      </c>
      <c r="C377" s="67"/>
      <c r="D377" s="31" t="s">
        <v>50</v>
      </c>
      <c r="E377" s="31" t="s">
        <v>38</v>
      </c>
      <c r="F377" s="31" t="s">
        <v>29</v>
      </c>
      <c r="G377" s="31" t="s">
        <v>333</v>
      </c>
      <c r="H377" s="31" t="s">
        <v>33</v>
      </c>
      <c r="I377" s="31">
        <v>2</v>
      </c>
      <c r="J377" s="31">
        <f t="shared" si="22"/>
        <v>4.5136541575417128</v>
      </c>
      <c r="K377" s="31">
        <v>0.28635642126552702</v>
      </c>
      <c r="L377" s="31" t="s">
        <v>31</v>
      </c>
      <c r="M377" s="31" t="s">
        <v>31</v>
      </c>
      <c r="N377" s="31" t="s">
        <v>31</v>
      </c>
      <c r="O377" s="31"/>
      <c r="P377" s="31" t="s">
        <v>329</v>
      </c>
      <c r="Q377" s="31"/>
      <c r="R377" s="46">
        <v>970.84906004820891</v>
      </c>
      <c r="S377" s="31" t="s">
        <v>332</v>
      </c>
      <c r="T377" s="31">
        <f>R377/0.277778</f>
        <v>3495.0538201304958</v>
      </c>
      <c r="U377" s="31" t="s">
        <v>331</v>
      </c>
      <c r="V377" s="31">
        <f>T377/38.3</f>
        <v>91.254668932911116</v>
      </c>
      <c r="W377" s="31" t="s">
        <v>335</v>
      </c>
    </row>
    <row r="378" spans="1:23">
      <c r="A378" s="31" t="s">
        <v>112</v>
      </c>
      <c r="B378" s="67">
        <f>T378</f>
        <v>436.19155101154689</v>
      </c>
      <c r="C378" s="67"/>
      <c r="D378" s="31" t="s">
        <v>113</v>
      </c>
      <c r="E378" s="31" t="s">
        <v>38</v>
      </c>
      <c r="F378" s="31" t="s">
        <v>29</v>
      </c>
      <c r="G378" s="31" t="s">
        <v>60</v>
      </c>
      <c r="H378" s="31" t="s">
        <v>33</v>
      </c>
      <c r="I378" s="31">
        <v>2</v>
      </c>
      <c r="J378" s="31">
        <f t="shared" si="22"/>
        <v>6.0780814840511583</v>
      </c>
      <c r="K378" s="31">
        <v>0.28635642126552702</v>
      </c>
      <c r="L378" s="31" t="s">
        <v>31</v>
      </c>
      <c r="M378" s="31" t="s">
        <v>31</v>
      </c>
      <c r="N378" s="31" t="s">
        <v>31</v>
      </c>
      <c r="O378" s="31"/>
      <c r="P378" s="31" t="s">
        <v>329</v>
      </c>
      <c r="Q378" s="31"/>
      <c r="R378" s="104">
        <v>121.16441665688548</v>
      </c>
      <c r="S378" s="31" t="s">
        <v>332</v>
      </c>
      <c r="T378" s="31">
        <f>R378/0.277778</f>
        <v>436.19155101154689</v>
      </c>
      <c r="U378" s="31" t="s">
        <v>331</v>
      </c>
      <c r="V378" s="31"/>
    </row>
    <row r="379" spans="1:23">
      <c r="A379" s="31" t="s">
        <v>164</v>
      </c>
      <c r="B379" s="67">
        <f>V379</f>
        <v>20.643672240742003</v>
      </c>
      <c r="C379" s="67"/>
      <c r="D379" s="31" t="s">
        <v>37</v>
      </c>
      <c r="E379" s="31" t="s">
        <v>38</v>
      </c>
      <c r="F379" s="31" t="s">
        <v>29</v>
      </c>
      <c r="G379" s="31" t="s">
        <v>60</v>
      </c>
      <c r="H379" s="31" t="s">
        <v>33</v>
      </c>
      <c r="I379" s="31">
        <v>2</v>
      </c>
      <c r="J379" s="31">
        <f t="shared" si="22"/>
        <v>3.0274088434283186</v>
      </c>
      <c r="K379" s="31">
        <v>0.28635642126552702</v>
      </c>
      <c r="L379" s="31" t="s">
        <v>31</v>
      </c>
      <c r="M379" s="31" t="s">
        <v>31</v>
      </c>
      <c r="N379" s="31" t="s">
        <v>31</v>
      </c>
      <c r="O379" s="31"/>
      <c r="P379" s="31" t="s">
        <v>329</v>
      </c>
      <c r="Q379" s="31"/>
      <c r="R379" s="104">
        <v>256.89923784845968</v>
      </c>
      <c r="S379" s="31" t="s">
        <v>332</v>
      </c>
      <c r="T379" s="31">
        <f>R379/0.277778</f>
        <v>924.83651638524168</v>
      </c>
      <c r="U379" s="31" t="s">
        <v>331</v>
      </c>
      <c r="V379" s="31">
        <f>T379/44.8</f>
        <v>20.643672240742003</v>
      </c>
      <c r="W379" s="31" t="s">
        <v>337</v>
      </c>
    </row>
    <row r="380" spans="1:23">
      <c r="A380" s="31" t="s">
        <v>36</v>
      </c>
      <c r="B380" s="67">
        <f>V380</f>
        <v>40.753279328987198</v>
      </c>
      <c r="C380" s="67"/>
      <c r="D380" s="31" t="s">
        <v>37</v>
      </c>
      <c r="E380" s="31" t="s">
        <v>38</v>
      </c>
      <c r="F380" s="31" t="s">
        <v>29</v>
      </c>
      <c r="G380" s="31" t="s">
        <v>86</v>
      </c>
      <c r="H380" s="31" t="s">
        <v>33</v>
      </c>
      <c r="I380" s="31">
        <v>2</v>
      </c>
      <c r="J380" s="31">
        <f t="shared" si="22"/>
        <v>3.7075363107799606</v>
      </c>
      <c r="K380" s="31">
        <v>0.28635642126552702</v>
      </c>
      <c r="L380" s="31" t="s">
        <v>31</v>
      </c>
      <c r="M380" s="31" t="s">
        <v>31</v>
      </c>
      <c r="N380" s="31" t="s">
        <v>31</v>
      </c>
      <c r="O380" s="31"/>
      <c r="P380" s="31" t="s">
        <v>329</v>
      </c>
      <c r="Q380" s="31"/>
      <c r="R380" s="104">
        <v>523.0008364556702</v>
      </c>
      <c r="S380" s="31" t="s">
        <v>332</v>
      </c>
      <c r="T380" s="31">
        <f>R380/0.277778</f>
        <v>1882.8015049992086</v>
      </c>
      <c r="U380" s="31" t="s">
        <v>331</v>
      </c>
      <c r="V380" s="31">
        <f>T380/46.2</f>
        <v>40.753279328987198</v>
      </c>
      <c r="W380" s="31" t="s">
        <v>337</v>
      </c>
    </row>
    <row r="381" spans="1:23" s="65" customFormat="1">
      <c r="A381" s="31" t="s">
        <v>59</v>
      </c>
      <c r="B381" s="67">
        <f>V381</f>
        <v>0.25097327446003848</v>
      </c>
      <c r="C381" s="67"/>
      <c r="D381" s="31" t="s">
        <v>37</v>
      </c>
      <c r="E381" s="31" t="s">
        <v>2</v>
      </c>
      <c r="F381" s="31" t="s">
        <v>324</v>
      </c>
      <c r="G381" s="31" t="s">
        <v>60</v>
      </c>
      <c r="H381" s="31" t="s">
        <v>33</v>
      </c>
      <c r="I381" s="31">
        <v>2</v>
      </c>
      <c r="J381" s="31">
        <f t="shared" si="22"/>
        <v>-1.3824088217741788</v>
      </c>
      <c r="K381" s="31">
        <v>0.28635642126552702</v>
      </c>
      <c r="L381" s="31" t="s">
        <v>31</v>
      </c>
      <c r="M381" s="31" t="s">
        <v>31</v>
      </c>
      <c r="N381" s="31" t="s">
        <v>31</v>
      </c>
      <c r="O381" s="64"/>
      <c r="P381" s="31"/>
      <c r="Q381" s="45"/>
      <c r="R381" s="104">
        <v>3.0674535862502652</v>
      </c>
      <c r="S381" s="31" t="s">
        <v>332</v>
      </c>
      <c r="T381" s="31">
        <f>R381/0.277778</f>
        <v>11.042824076241693</v>
      </c>
      <c r="U381" s="31" t="s">
        <v>331</v>
      </c>
      <c r="V381" s="31">
        <f>T381/44</f>
        <v>0.25097327446003848</v>
      </c>
      <c r="W381" s="31" t="s">
        <v>337</v>
      </c>
    </row>
    <row r="382" spans="1:23">
      <c r="A382" s="31" t="s">
        <v>172</v>
      </c>
      <c r="B382" s="45">
        <f>T382</f>
        <v>2355.5932707191782</v>
      </c>
      <c r="C382" s="45"/>
      <c r="D382" s="31" t="s">
        <v>37</v>
      </c>
      <c r="E382" s="31" t="s">
        <v>38</v>
      </c>
      <c r="F382" s="31" t="s">
        <v>29</v>
      </c>
      <c r="G382" s="31" t="s">
        <v>60</v>
      </c>
      <c r="H382" s="31" t="s">
        <v>33</v>
      </c>
      <c r="I382" s="31">
        <v>2</v>
      </c>
      <c r="J382" s="31">
        <f t="shared" si="22"/>
        <v>7.7645478943500752</v>
      </c>
      <c r="K382" s="31">
        <v>0.28635642126552702</v>
      </c>
      <c r="L382" s="31" t="s">
        <v>31</v>
      </c>
      <c r="M382" s="31" t="s">
        <v>31</v>
      </c>
      <c r="N382" s="31" t="s">
        <v>31</v>
      </c>
      <c r="O382" s="31"/>
      <c r="P382" s="31" t="s">
        <v>329</v>
      </c>
      <c r="Q382" s="31"/>
      <c r="R382" s="105">
        <v>2.3608579840235508</v>
      </c>
      <c r="S382" s="31" t="s">
        <v>335</v>
      </c>
      <c r="T382" s="31">
        <f>R382*997.77</f>
        <v>2355.5932707191782</v>
      </c>
      <c r="U382" s="31" t="s">
        <v>337</v>
      </c>
      <c r="V382" s="31"/>
    </row>
    <row r="383" spans="1:23">
      <c r="A383" s="51" t="s">
        <v>580</v>
      </c>
      <c r="B383" s="66">
        <f>R383</f>
        <v>2.2014715619551941</v>
      </c>
      <c r="C383" s="66"/>
      <c r="D383" s="31" t="s">
        <v>50</v>
      </c>
      <c r="E383" s="31" t="s">
        <v>2</v>
      </c>
      <c r="F383" s="31" t="s">
        <v>29</v>
      </c>
      <c r="G383" s="51" t="s">
        <v>86</v>
      </c>
      <c r="H383" s="31" t="s">
        <v>33</v>
      </c>
      <c r="I383" s="31">
        <v>2</v>
      </c>
      <c r="J383" s="31">
        <f t="shared" si="22"/>
        <v>0.78912602855367475</v>
      </c>
      <c r="K383" s="31">
        <v>0.28635642126552702</v>
      </c>
      <c r="L383" s="31" t="s">
        <v>31</v>
      </c>
      <c r="M383" s="31" t="s">
        <v>31</v>
      </c>
      <c r="N383" s="31" t="s">
        <v>31</v>
      </c>
      <c r="O383" s="31"/>
      <c r="P383" s="31" t="s">
        <v>329</v>
      </c>
      <c r="Q383" s="31"/>
      <c r="R383" s="105">
        <v>2.2014715619551941</v>
      </c>
      <c r="S383" s="31" t="s">
        <v>335</v>
      </c>
      <c r="V383" s="31"/>
    </row>
    <row r="384" spans="1:23">
      <c r="A384" s="31" t="s">
        <v>581</v>
      </c>
      <c r="B384" s="66">
        <f>R384</f>
        <v>53.419704204548367</v>
      </c>
      <c r="C384" s="66"/>
      <c r="D384" s="31" t="s">
        <v>37</v>
      </c>
      <c r="E384" s="31" t="s">
        <v>2</v>
      </c>
      <c r="F384" s="31" t="s">
        <v>29</v>
      </c>
      <c r="G384" s="31" t="s">
        <v>86</v>
      </c>
      <c r="H384" s="31" t="s">
        <v>33</v>
      </c>
      <c r="I384" s="31">
        <v>2</v>
      </c>
      <c r="J384" s="31">
        <f t="shared" si="22"/>
        <v>3.9781796704996628</v>
      </c>
      <c r="K384" s="31">
        <v>0.28635642126552702</v>
      </c>
      <c r="L384" s="31" t="s">
        <v>31</v>
      </c>
      <c r="M384" s="31" t="s">
        <v>31</v>
      </c>
      <c r="N384" s="31" t="s">
        <v>31</v>
      </c>
      <c r="O384" s="31"/>
      <c r="P384" s="31" t="s">
        <v>329</v>
      </c>
      <c r="Q384" s="31"/>
      <c r="R384" s="31">
        <v>53.419704204548367</v>
      </c>
      <c r="S384" s="31" t="s">
        <v>337</v>
      </c>
      <c r="V384" s="31"/>
    </row>
    <row r="385" spans="1:23">
      <c r="A385" s="31" t="s">
        <v>48</v>
      </c>
      <c r="B385" s="66">
        <f t="shared" ref="B385:B388" si="23">R385</f>
        <v>1003.6163661199308</v>
      </c>
      <c r="C385" s="66"/>
      <c r="D385" s="31" t="s">
        <v>37</v>
      </c>
      <c r="E385" s="31" t="s">
        <v>43</v>
      </c>
      <c r="F385" s="31" t="s">
        <v>44</v>
      </c>
      <c r="G385" s="31" t="s">
        <v>29</v>
      </c>
      <c r="H385" s="31" t="s">
        <v>45</v>
      </c>
      <c r="I385" s="31">
        <v>2</v>
      </c>
      <c r="J385" s="31">
        <f t="shared" si="22"/>
        <v>6.9113651217725458</v>
      </c>
      <c r="K385" s="31">
        <v>0.28635642126552702</v>
      </c>
      <c r="L385" s="31" t="s">
        <v>31</v>
      </c>
      <c r="M385" s="31" t="s">
        <v>31</v>
      </c>
      <c r="N385" s="31" t="s">
        <v>31</v>
      </c>
      <c r="O385" s="31"/>
      <c r="P385" s="31" t="s">
        <v>329</v>
      </c>
      <c r="Q385" s="31"/>
      <c r="R385" s="31">
        <v>1003.6163661199308</v>
      </c>
      <c r="S385" s="31" t="s">
        <v>337</v>
      </c>
      <c r="V385" s="31"/>
    </row>
    <row r="386" spans="1:23">
      <c r="A386" s="31" t="s">
        <v>51</v>
      </c>
      <c r="B386" s="66">
        <f t="shared" si="23"/>
        <v>1.0736087551875927E-2</v>
      </c>
      <c r="C386" s="66"/>
      <c r="D386" s="31" t="s">
        <v>37</v>
      </c>
      <c r="E386" s="31" t="s">
        <v>43</v>
      </c>
      <c r="F386" s="31" t="s">
        <v>44</v>
      </c>
      <c r="G386" s="31" t="s">
        <v>29</v>
      </c>
      <c r="H386" s="31" t="s">
        <v>45</v>
      </c>
      <c r="I386" s="31">
        <v>2</v>
      </c>
      <c r="J386" s="31">
        <f t="shared" si="22"/>
        <v>-4.5341445438050707</v>
      </c>
      <c r="K386" s="31">
        <v>0.28635642126552702</v>
      </c>
      <c r="L386" s="31" t="s">
        <v>31</v>
      </c>
      <c r="M386" s="31" t="s">
        <v>31</v>
      </c>
      <c r="N386" s="31" t="s">
        <v>31</v>
      </c>
      <c r="O386" s="31"/>
      <c r="P386" s="31" t="s">
        <v>329</v>
      </c>
      <c r="Q386" s="31"/>
      <c r="R386" s="31">
        <v>1.0736087551875927E-2</v>
      </c>
      <c r="S386" s="31" t="s">
        <v>337</v>
      </c>
      <c r="V386" s="31"/>
    </row>
    <row r="387" spans="1:23">
      <c r="A387" s="31" t="s">
        <v>42</v>
      </c>
      <c r="B387" s="66">
        <f t="shared" si="23"/>
        <v>0.1702436740368897</v>
      </c>
      <c r="C387" s="66"/>
      <c r="D387" s="31" t="s">
        <v>37</v>
      </c>
      <c r="E387" s="31" t="s">
        <v>43</v>
      </c>
      <c r="F387" s="31" t="s">
        <v>44</v>
      </c>
      <c r="G387" s="31" t="s">
        <v>29</v>
      </c>
      <c r="H387" s="31" t="s">
        <v>45</v>
      </c>
      <c r="I387" s="31">
        <v>2</v>
      </c>
      <c r="J387" s="31">
        <f t="shared" si="22"/>
        <v>-1.7705244915480502</v>
      </c>
      <c r="K387" s="31">
        <v>0.28635642126552702</v>
      </c>
      <c r="L387" s="31" t="s">
        <v>31</v>
      </c>
      <c r="M387" s="31" t="s">
        <v>31</v>
      </c>
      <c r="N387" s="31" t="s">
        <v>31</v>
      </c>
      <c r="O387" s="31"/>
      <c r="P387" s="31" t="s">
        <v>329</v>
      </c>
      <c r="Q387" s="31"/>
      <c r="R387" s="31">
        <v>0.1702436740368897</v>
      </c>
      <c r="S387" s="31" t="s">
        <v>337</v>
      </c>
      <c r="V387" s="31"/>
    </row>
    <row r="388" spans="1:23">
      <c r="A388" s="31" t="s">
        <v>490</v>
      </c>
      <c r="B388" s="66">
        <f t="shared" si="23"/>
        <v>0.80597342978725717</v>
      </c>
      <c r="C388" s="66"/>
      <c r="D388" s="31" t="s">
        <v>37</v>
      </c>
      <c r="E388" s="31" t="s">
        <v>43</v>
      </c>
      <c r="F388" s="31" t="s">
        <v>44</v>
      </c>
      <c r="G388" s="31" t="s">
        <v>29</v>
      </c>
      <c r="H388" s="31" t="s">
        <v>45</v>
      </c>
      <c r="I388" s="31">
        <v>2</v>
      </c>
      <c r="J388" s="31">
        <f t="shared" si="22"/>
        <v>-0.21570450254337845</v>
      </c>
      <c r="K388" s="31">
        <v>0.28635642126552702</v>
      </c>
      <c r="L388" s="31" t="s">
        <v>31</v>
      </c>
      <c r="M388" s="31" t="s">
        <v>31</v>
      </c>
      <c r="N388" s="31" t="s">
        <v>31</v>
      </c>
      <c r="O388" s="31"/>
      <c r="P388" s="31" t="s">
        <v>329</v>
      </c>
      <c r="Q388" s="31"/>
      <c r="R388" s="31">
        <v>0.80597342978725717</v>
      </c>
      <c r="S388" s="31" t="s">
        <v>337</v>
      </c>
      <c r="V388" s="31"/>
    </row>
    <row r="389" spans="1:23" s="42" customFormat="1">
      <c r="A389" s="36" t="s">
        <v>5</v>
      </c>
      <c r="B389" s="36" t="s">
        <v>649</v>
      </c>
      <c r="C389" s="36"/>
      <c r="D389" s="37"/>
      <c r="E389" s="38"/>
      <c r="F389" s="38"/>
      <c r="G389" s="38"/>
      <c r="H389" s="38"/>
      <c r="I389" s="38"/>
      <c r="J389" s="38"/>
      <c r="K389" s="38"/>
      <c r="L389" s="38"/>
      <c r="M389" s="38"/>
      <c r="N389" s="38"/>
      <c r="O389" s="38"/>
      <c r="P389" s="38" t="s">
        <v>329</v>
      </c>
      <c r="Q389" s="38"/>
      <c r="R389" s="38"/>
      <c r="S389" s="38"/>
      <c r="T389" s="38"/>
      <c r="U389" s="38"/>
      <c r="V389" s="38"/>
      <c r="W389" s="38"/>
    </row>
    <row r="390" spans="1:23">
      <c r="A390" s="31" t="s">
        <v>7</v>
      </c>
      <c r="B390" s="31" t="s">
        <v>324</v>
      </c>
      <c r="C390" s="31"/>
      <c r="D390" s="31"/>
      <c r="E390" s="31"/>
      <c r="F390" s="31"/>
      <c r="G390" s="31"/>
      <c r="H390" s="31"/>
      <c r="I390" s="31"/>
      <c r="J390" s="31"/>
      <c r="K390" s="31"/>
      <c r="L390" s="31"/>
      <c r="M390" s="31"/>
      <c r="N390" s="31"/>
      <c r="O390" s="31"/>
      <c r="P390" s="31" t="s">
        <v>329</v>
      </c>
      <c r="Q390" s="31"/>
      <c r="V390" s="31"/>
    </row>
    <row r="391" spans="1:23">
      <c r="A391" s="31" t="s">
        <v>9</v>
      </c>
      <c r="B391" s="43" t="s">
        <v>675</v>
      </c>
      <c r="C391" s="31"/>
      <c r="D391" s="31"/>
      <c r="E391" s="31"/>
      <c r="F391" s="31"/>
      <c r="G391" s="31"/>
      <c r="H391" s="31"/>
      <c r="I391" s="31"/>
      <c r="J391" s="31"/>
      <c r="K391" s="31"/>
      <c r="L391" s="31"/>
      <c r="M391" s="31"/>
      <c r="N391" s="31"/>
      <c r="O391" s="31"/>
      <c r="P391" s="31" t="s">
        <v>329</v>
      </c>
      <c r="Q391" s="31"/>
      <c r="V391" s="31"/>
    </row>
    <row r="392" spans="1:23">
      <c r="A392" s="31" t="s">
        <v>11</v>
      </c>
      <c r="B392" s="31" t="s">
        <v>676</v>
      </c>
      <c r="C392" s="31"/>
      <c r="D392" s="31"/>
      <c r="E392" s="31"/>
      <c r="F392" s="31"/>
      <c r="G392" s="31"/>
      <c r="H392" s="31"/>
      <c r="I392" s="31"/>
      <c r="J392" s="31"/>
      <c r="K392" s="31"/>
      <c r="L392" s="31"/>
      <c r="M392" s="31"/>
      <c r="N392" s="31"/>
      <c r="O392" s="31"/>
      <c r="P392" s="31" t="s">
        <v>329</v>
      </c>
      <c r="Q392" s="31"/>
      <c r="V392" s="31"/>
    </row>
    <row r="393" spans="1:23">
      <c r="A393" s="31" t="s">
        <v>13</v>
      </c>
      <c r="B393" s="47" t="s">
        <v>60</v>
      </c>
      <c r="C393" s="31"/>
      <c r="D393" s="31"/>
      <c r="E393" s="31"/>
      <c r="F393" s="31"/>
      <c r="G393" s="31"/>
      <c r="H393" s="31"/>
      <c r="I393" s="31"/>
      <c r="J393" s="31"/>
      <c r="K393" s="31"/>
      <c r="L393" s="31"/>
      <c r="M393" s="31"/>
      <c r="N393" s="31"/>
      <c r="O393" s="31"/>
      <c r="P393" s="31" t="s">
        <v>329</v>
      </c>
      <c r="Q393" s="31"/>
      <c r="V393" s="31"/>
    </row>
    <row r="394" spans="1:23">
      <c r="A394" s="31" t="s">
        <v>15</v>
      </c>
      <c r="B394" s="31">
        <v>1</v>
      </c>
      <c r="C394" s="31"/>
      <c r="D394" s="31"/>
      <c r="E394" s="31"/>
      <c r="F394" s="31"/>
      <c r="G394" s="31"/>
      <c r="H394" s="31"/>
      <c r="I394" s="31"/>
      <c r="J394" s="31"/>
      <c r="K394" s="31"/>
      <c r="L394" s="31"/>
      <c r="M394" s="31"/>
      <c r="N394" s="31"/>
      <c r="O394" s="31"/>
      <c r="P394" s="31" t="s">
        <v>329</v>
      </c>
      <c r="Q394" s="31"/>
      <c r="V394" s="31"/>
    </row>
    <row r="395" spans="1:23">
      <c r="A395" s="31" t="s">
        <v>16</v>
      </c>
      <c r="B395" s="31" t="s">
        <v>17</v>
      </c>
      <c r="C395" s="31"/>
      <c r="D395" s="31"/>
      <c r="E395" s="31"/>
      <c r="F395" s="31"/>
      <c r="G395" s="31"/>
      <c r="H395" s="31"/>
      <c r="I395" s="31"/>
      <c r="J395" s="31"/>
      <c r="K395" s="31"/>
      <c r="L395" s="31"/>
      <c r="M395" s="31"/>
      <c r="N395" s="31"/>
      <c r="O395" s="31"/>
      <c r="P395" s="31" t="s">
        <v>329</v>
      </c>
      <c r="Q395" s="31"/>
      <c r="V395" s="31"/>
    </row>
    <row r="396" spans="1:23">
      <c r="A396" s="31" t="s">
        <v>18</v>
      </c>
      <c r="B396" s="31" t="s">
        <v>18</v>
      </c>
      <c r="C396" s="31"/>
      <c r="D396" s="31"/>
      <c r="E396" s="31" t="s">
        <v>77</v>
      </c>
      <c r="F396" s="31"/>
      <c r="G396" s="31"/>
      <c r="H396" s="31"/>
      <c r="I396" s="31"/>
      <c r="J396" s="31"/>
      <c r="K396" s="31"/>
      <c r="L396" s="31"/>
      <c r="M396" s="31"/>
      <c r="N396" s="31"/>
      <c r="O396" s="31"/>
      <c r="P396" s="31" t="s">
        <v>329</v>
      </c>
      <c r="Q396" s="31"/>
      <c r="V396" s="31"/>
    </row>
    <row r="397" spans="1:23">
      <c r="A397" s="32" t="s">
        <v>19</v>
      </c>
      <c r="B397" s="31"/>
      <c r="C397" s="31"/>
      <c r="D397" s="31"/>
      <c r="E397" s="31"/>
      <c r="F397" s="31"/>
      <c r="G397" s="31"/>
      <c r="H397" s="31"/>
      <c r="I397" s="31"/>
      <c r="J397" s="31"/>
      <c r="K397" s="31"/>
      <c r="L397" s="31"/>
      <c r="M397" s="31"/>
      <c r="N397" s="31"/>
      <c r="O397" s="31"/>
      <c r="P397" s="31" t="s">
        <v>329</v>
      </c>
      <c r="Q397" s="31"/>
      <c r="V397" s="31"/>
    </row>
    <row r="398" spans="1:23">
      <c r="A398" s="32" t="s">
        <v>20</v>
      </c>
      <c r="B398" s="32" t="s">
        <v>21</v>
      </c>
      <c r="C398" s="32" t="s">
        <v>78</v>
      </c>
      <c r="D398" s="32" t="s">
        <v>18</v>
      </c>
      <c r="E398" s="32" t="s">
        <v>22</v>
      </c>
      <c r="F398" s="32" t="s">
        <v>7</v>
      </c>
      <c r="G398" s="32" t="s">
        <v>13</v>
      </c>
      <c r="H398" s="32" t="s">
        <v>16</v>
      </c>
      <c r="I398" s="32" t="s">
        <v>23</v>
      </c>
      <c r="J398" s="32" t="s">
        <v>24</v>
      </c>
      <c r="K398" s="32" t="s">
        <v>25</v>
      </c>
      <c r="L398" s="32" t="s">
        <v>26</v>
      </c>
      <c r="M398" s="32" t="s">
        <v>27</v>
      </c>
      <c r="N398" s="32" t="s">
        <v>28</v>
      </c>
      <c r="O398" s="32" t="s">
        <v>11</v>
      </c>
      <c r="P398" s="32" t="s">
        <v>555</v>
      </c>
      <c r="Q398" s="31"/>
      <c r="V398" s="31"/>
    </row>
    <row r="399" spans="1:23">
      <c r="A399" s="45" t="s">
        <v>649</v>
      </c>
      <c r="B399" s="31">
        <v>1</v>
      </c>
      <c r="C399" s="31"/>
      <c r="D399" s="31" t="s">
        <v>18</v>
      </c>
      <c r="E399" s="31" t="s">
        <v>2</v>
      </c>
      <c r="F399" s="31" t="s">
        <v>29</v>
      </c>
      <c r="G399" s="47" t="s">
        <v>60</v>
      </c>
      <c r="H399" s="31" t="s">
        <v>30</v>
      </c>
      <c r="I399" s="31">
        <v>1</v>
      </c>
      <c r="J399" s="31">
        <f>B399</f>
        <v>1</v>
      </c>
      <c r="K399" s="31" t="s">
        <v>31</v>
      </c>
      <c r="L399" s="31" t="s">
        <v>31</v>
      </c>
      <c r="M399" s="31" t="s">
        <v>31</v>
      </c>
      <c r="N399" s="31" t="s">
        <v>31</v>
      </c>
      <c r="O399" s="31"/>
      <c r="P399" s="31" t="s">
        <v>329</v>
      </c>
      <c r="Q399" s="31"/>
      <c r="V399" s="31"/>
    </row>
    <row r="400" spans="1:23">
      <c r="A400" s="68" t="s">
        <v>449</v>
      </c>
      <c r="B400" s="35">
        <f>19.2990644004037*15</f>
        <v>289.48596600605549</v>
      </c>
      <c r="C400" s="35"/>
      <c r="D400" s="35" t="s">
        <v>37</v>
      </c>
      <c r="E400" s="35" t="s">
        <v>38</v>
      </c>
      <c r="F400" s="35" t="s">
        <v>29</v>
      </c>
      <c r="G400" s="35" t="s">
        <v>60</v>
      </c>
      <c r="H400" s="35" t="s">
        <v>33</v>
      </c>
      <c r="I400" s="35">
        <v>2</v>
      </c>
      <c r="J400" s="35">
        <f t="shared" ref="J400:J419" si="24">LN(B400)</f>
        <v>5.6681068191749979</v>
      </c>
      <c r="K400" s="35">
        <v>0.30331501776206199</v>
      </c>
      <c r="L400" s="31" t="s">
        <v>31</v>
      </c>
      <c r="M400" s="31" t="s">
        <v>31</v>
      </c>
      <c r="N400" s="31" t="s">
        <v>31</v>
      </c>
      <c r="O400" s="35" t="s">
        <v>590</v>
      </c>
      <c r="P400" s="44" t="s">
        <v>677</v>
      </c>
      <c r="Q400" s="31"/>
      <c r="V400" s="31"/>
    </row>
    <row r="401" spans="1:23">
      <c r="A401" s="68" t="s">
        <v>678</v>
      </c>
      <c r="B401" s="35">
        <f>19.2990644004037*15</f>
        <v>289.48596600605549</v>
      </c>
      <c r="C401" s="35"/>
      <c r="D401" s="35" t="s">
        <v>37</v>
      </c>
      <c r="E401" s="35" t="s">
        <v>38</v>
      </c>
      <c r="F401" s="35" t="s">
        <v>29</v>
      </c>
      <c r="G401" s="35" t="s">
        <v>60</v>
      </c>
      <c r="H401" s="35" t="s">
        <v>33</v>
      </c>
      <c r="I401" s="35">
        <v>2</v>
      </c>
      <c r="J401" s="35">
        <f t="shared" si="24"/>
        <v>5.6681068191749979</v>
      </c>
      <c r="K401" s="35">
        <v>0.30331501776206199</v>
      </c>
      <c r="L401" s="31" t="s">
        <v>31</v>
      </c>
      <c r="M401" s="31" t="s">
        <v>31</v>
      </c>
      <c r="N401" s="31" t="s">
        <v>31</v>
      </c>
      <c r="O401" s="35" t="s">
        <v>590</v>
      </c>
      <c r="P401" s="44" t="s">
        <v>679</v>
      </c>
      <c r="Q401" s="31"/>
      <c r="V401" s="31"/>
    </row>
    <row r="402" spans="1:23">
      <c r="A402" s="68" t="s">
        <v>473</v>
      </c>
      <c r="B402" s="35">
        <f>9.64953220020185*15</f>
        <v>144.74298300302775</v>
      </c>
      <c r="C402" s="35"/>
      <c r="D402" s="35" t="s">
        <v>37</v>
      </c>
      <c r="E402" s="35" t="s">
        <v>38</v>
      </c>
      <c r="F402" s="35" t="s">
        <v>29</v>
      </c>
      <c r="G402" s="35" t="s">
        <v>60</v>
      </c>
      <c r="H402" s="35" t="s">
        <v>33</v>
      </c>
      <c r="I402" s="35">
        <v>2</v>
      </c>
      <c r="J402" s="35">
        <f t="shared" si="24"/>
        <v>4.9749596386150525</v>
      </c>
      <c r="K402" s="35">
        <v>0.30331501776206199</v>
      </c>
      <c r="L402" s="31" t="s">
        <v>31</v>
      </c>
      <c r="M402" s="31" t="s">
        <v>31</v>
      </c>
      <c r="N402" s="31" t="s">
        <v>31</v>
      </c>
      <c r="O402" s="35" t="s">
        <v>590</v>
      </c>
      <c r="P402" s="44" t="s">
        <v>329</v>
      </c>
      <c r="Q402" s="31"/>
      <c r="V402" s="31"/>
    </row>
    <row r="403" spans="1:23" s="42" customFormat="1">
      <c r="A403" s="70" t="s">
        <v>93</v>
      </c>
      <c r="B403" s="72">
        <f>B400*(1-1/15)</f>
        <v>270.18690160565177</v>
      </c>
      <c r="C403" s="72"/>
      <c r="D403" s="72" t="s">
        <v>37</v>
      </c>
      <c r="E403" s="72" t="s">
        <v>38</v>
      </c>
      <c r="F403" s="72" t="s">
        <v>29</v>
      </c>
      <c r="G403" s="72" t="s">
        <v>86</v>
      </c>
      <c r="H403" s="72" t="s">
        <v>33</v>
      </c>
      <c r="I403" s="72">
        <v>2</v>
      </c>
      <c r="J403" s="72">
        <f t="shared" si="24"/>
        <v>5.5991139476880463</v>
      </c>
      <c r="K403" s="72">
        <v>0.30331501776206199</v>
      </c>
      <c r="L403" s="38" t="s">
        <v>31</v>
      </c>
      <c r="M403" s="38" t="s">
        <v>31</v>
      </c>
      <c r="N403" s="38" t="s">
        <v>31</v>
      </c>
      <c r="O403" s="72" t="s">
        <v>327</v>
      </c>
      <c r="P403" s="38" t="s">
        <v>673</v>
      </c>
      <c r="Q403" s="38"/>
      <c r="R403" s="38"/>
      <c r="S403" s="38"/>
      <c r="T403" s="38"/>
      <c r="U403" s="38"/>
      <c r="V403" s="38"/>
      <c r="W403" s="38"/>
    </row>
    <row r="404" spans="1:23">
      <c r="A404" s="73" t="s">
        <v>94</v>
      </c>
      <c r="B404" s="34">
        <f>B400*(1-1/15)</f>
        <v>270.18690160565177</v>
      </c>
      <c r="C404" s="31" t="s">
        <v>95</v>
      </c>
      <c r="D404" s="34" t="s">
        <v>37</v>
      </c>
      <c r="E404" s="34" t="s">
        <v>38</v>
      </c>
      <c r="F404" s="34" t="s">
        <v>29</v>
      </c>
      <c r="G404" s="34" t="s">
        <v>86</v>
      </c>
      <c r="H404" s="34" t="s">
        <v>33</v>
      </c>
      <c r="I404" s="34">
        <v>2</v>
      </c>
      <c r="J404" s="34">
        <f t="shared" si="24"/>
        <v>5.5991139476880463</v>
      </c>
      <c r="K404" s="34">
        <v>0.30331501776206199</v>
      </c>
      <c r="L404" s="31" t="s">
        <v>31</v>
      </c>
      <c r="M404" s="31" t="s">
        <v>31</v>
      </c>
      <c r="N404" s="31" t="s">
        <v>31</v>
      </c>
      <c r="O404" s="34" t="s">
        <v>327</v>
      </c>
      <c r="P404" s="31" t="s">
        <v>673</v>
      </c>
      <c r="Q404" s="31"/>
      <c r="V404" s="31"/>
    </row>
    <row r="405" spans="1:23" s="79" customFormat="1">
      <c r="A405" s="94" t="s">
        <v>449</v>
      </c>
      <c r="B405" s="78">
        <f>B400*(1-1/15)</f>
        <v>270.18690160565177</v>
      </c>
      <c r="C405" s="78"/>
      <c r="D405" s="78" t="s">
        <v>37</v>
      </c>
      <c r="E405" s="78" t="s">
        <v>38</v>
      </c>
      <c r="F405" s="78" t="s">
        <v>29</v>
      </c>
      <c r="G405" s="78" t="s">
        <v>60</v>
      </c>
      <c r="H405" s="78" t="s">
        <v>98</v>
      </c>
      <c r="I405" s="78">
        <v>2</v>
      </c>
      <c r="J405" s="78">
        <f t="shared" si="24"/>
        <v>5.5991139476880463</v>
      </c>
      <c r="K405" s="78">
        <v>0.30331501776206199</v>
      </c>
      <c r="L405" s="57" t="s">
        <v>31</v>
      </c>
      <c r="M405" s="57" t="s">
        <v>31</v>
      </c>
      <c r="N405" s="57" t="s">
        <v>31</v>
      </c>
      <c r="O405" s="78" t="s">
        <v>327</v>
      </c>
      <c r="P405" s="57" t="s">
        <v>674</v>
      </c>
      <c r="Q405" s="57"/>
      <c r="R405" s="57"/>
      <c r="S405" s="57"/>
      <c r="T405" s="57"/>
      <c r="U405" s="57"/>
      <c r="V405" s="57"/>
      <c r="W405" s="57"/>
    </row>
    <row r="406" spans="1:23" s="42" customFormat="1">
      <c r="A406" s="97" t="s">
        <v>134</v>
      </c>
      <c r="B406" s="72">
        <f>B401*(1-1/15)</f>
        <v>270.18690160565177</v>
      </c>
      <c r="C406" s="72"/>
      <c r="D406" s="72" t="s">
        <v>37</v>
      </c>
      <c r="E406" s="72" t="s">
        <v>38</v>
      </c>
      <c r="F406" s="72" t="s">
        <v>29</v>
      </c>
      <c r="G406" s="72" t="s">
        <v>86</v>
      </c>
      <c r="H406" s="72" t="s">
        <v>33</v>
      </c>
      <c r="I406" s="72">
        <v>2</v>
      </c>
      <c r="J406" s="72">
        <f t="shared" si="24"/>
        <v>5.5991139476880463</v>
      </c>
      <c r="K406" s="72">
        <v>0.30331501776206199</v>
      </c>
      <c r="L406" s="38" t="s">
        <v>31</v>
      </c>
      <c r="M406" s="38" t="s">
        <v>31</v>
      </c>
      <c r="N406" s="38" t="s">
        <v>31</v>
      </c>
      <c r="O406" s="72" t="s">
        <v>327</v>
      </c>
      <c r="P406" s="38" t="s">
        <v>680</v>
      </c>
      <c r="Q406" s="38"/>
      <c r="R406" s="38"/>
      <c r="S406" s="38"/>
      <c r="T406" s="38"/>
      <c r="U406" s="38"/>
      <c r="V406" s="38"/>
      <c r="W406" s="38"/>
    </row>
    <row r="407" spans="1:23" s="79" customFormat="1">
      <c r="A407" s="94" t="s">
        <v>678</v>
      </c>
      <c r="B407" s="78">
        <f>B401*(1-1/15)</f>
        <v>270.18690160565177</v>
      </c>
      <c r="C407" s="78"/>
      <c r="D407" s="78" t="s">
        <v>37</v>
      </c>
      <c r="E407" s="78" t="s">
        <v>38</v>
      </c>
      <c r="F407" s="78" t="s">
        <v>29</v>
      </c>
      <c r="G407" s="78" t="s">
        <v>60</v>
      </c>
      <c r="H407" s="78" t="s">
        <v>98</v>
      </c>
      <c r="I407" s="78">
        <v>2</v>
      </c>
      <c r="J407" s="78">
        <f t="shared" si="24"/>
        <v>5.5991139476880463</v>
      </c>
      <c r="K407" s="78">
        <v>0.30331501776206199</v>
      </c>
      <c r="L407" s="57" t="s">
        <v>31</v>
      </c>
      <c r="M407" s="57" t="s">
        <v>31</v>
      </c>
      <c r="N407" s="57" t="s">
        <v>31</v>
      </c>
      <c r="O407" s="78" t="s">
        <v>327</v>
      </c>
      <c r="P407" s="57" t="s">
        <v>681</v>
      </c>
      <c r="Q407" s="57"/>
      <c r="R407" s="111" t="s">
        <v>578</v>
      </c>
      <c r="S407" s="57"/>
      <c r="T407" s="57"/>
      <c r="U407" s="57"/>
      <c r="V407" s="57"/>
      <c r="W407" s="57"/>
    </row>
    <row r="408" spans="1:23">
      <c r="A408" s="93" t="s">
        <v>682</v>
      </c>
      <c r="B408" s="34">
        <f>B402*(1-1/15)</f>
        <v>135.09345080282588</v>
      </c>
      <c r="C408" s="34"/>
      <c r="D408" s="34" t="s">
        <v>37</v>
      </c>
      <c r="E408" s="34" t="s">
        <v>38</v>
      </c>
      <c r="F408" s="34" t="s">
        <v>29</v>
      </c>
      <c r="G408" s="34" t="s">
        <v>86</v>
      </c>
      <c r="H408" s="34" t="s">
        <v>33</v>
      </c>
      <c r="I408" s="34">
        <v>2</v>
      </c>
      <c r="J408" s="34">
        <f t="shared" si="24"/>
        <v>4.9059667671281009</v>
      </c>
      <c r="K408" s="34">
        <v>0.30331501776206199</v>
      </c>
      <c r="L408" s="31" t="s">
        <v>31</v>
      </c>
      <c r="M408" s="31" t="s">
        <v>31</v>
      </c>
      <c r="N408" s="31" t="s">
        <v>31</v>
      </c>
      <c r="O408" s="34" t="s">
        <v>327</v>
      </c>
      <c r="P408" s="44" t="s">
        <v>683</v>
      </c>
      <c r="Q408" s="31"/>
      <c r="V408" s="31"/>
    </row>
    <row r="409" spans="1:23">
      <c r="A409" s="31" t="s">
        <v>168</v>
      </c>
      <c r="B409" s="67">
        <f>R409</f>
        <v>1930.9620325445421</v>
      </c>
      <c r="C409" s="67"/>
      <c r="D409" s="31" t="s">
        <v>41</v>
      </c>
      <c r="E409" s="31" t="s">
        <v>38</v>
      </c>
      <c r="F409" s="31" t="s">
        <v>29</v>
      </c>
      <c r="G409" s="31" t="s">
        <v>60</v>
      </c>
      <c r="H409" s="31" t="s">
        <v>33</v>
      </c>
      <c r="I409" s="31">
        <v>2</v>
      </c>
      <c r="J409" s="31">
        <f t="shared" si="24"/>
        <v>7.5657736201660999</v>
      </c>
      <c r="K409" s="31">
        <v>0.28635642126552702</v>
      </c>
      <c r="L409" s="31" t="s">
        <v>31</v>
      </c>
      <c r="M409" s="31" t="s">
        <v>31</v>
      </c>
      <c r="N409" s="31" t="s">
        <v>31</v>
      </c>
      <c r="O409" s="31"/>
      <c r="P409" s="31" t="s">
        <v>329</v>
      </c>
      <c r="Q409" s="31"/>
      <c r="R409" s="31">
        <v>1930.9620325445421</v>
      </c>
      <c r="S409" s="31" t="s">
        <v>332</v>
      </c>
      <c r="V409" s="31"/>
    </row>
    <row r="410" spans="1:23">
      <c r="A410" s="31" t="s">
        <v>170</v>
      </c>
      <c r="B410" s="67">
        <f>V410</f>
        <v>182.50933786582223</v>
      </c>
      <c r="C410" s="67"/>
      <c r="D410" s="31" t="s">
        <v>50</v>
      </c>
      <c r="E410" s="31" t="s">
        <v>38</v>
      </c>
      <c r="F410" s="31" t="s">
        <v>29</v>
      </c>
      <c r="G410" s="31" t="s">
        <v>333</v>
      </c>
      <c r="H410" s="31" t="s">
        <v>33</v>
      </c>
      <c r="I410" s="31">
        <v>2</v>
      </c>
      <c r="J410" s="31">
        <f t="shared" si="24"/>
        <v>5.2068013381016582</v>
      </c>
      <c r="K410" s="31">
        <v>0.28635642126552702</v>
      </c>
      <c r="L410" s="31" t="s">
        <v>31</v>
      </c>
      <c r="M410" s="31" t="s">
        <v>31</v>
      </c>
      <c r="N410" s="31" t="s">
        <v>31</v>
      </c>
      <c r="O410" s="31"/>
      <c r="P410" s="31" t="s">
        <v>329</v>
      </c>
      <c r="Q410" s="31"/>
      <c r="R410" s="46">
        <v>1941.6981200964178</v>
      </c>
      <c r="S410" s="31" t="s">
        <v>332</v>
      </c>
      <c r="T410" s="31">
        <f>R410/0.277778</f>
        <v>6990.1076402609915</v>
      </c>
      <c r="U410" s="31" t="s">
        <v>331</v>
      </c>
      <c r="V410" s="31">
        <f>T410/38.3</f>
        <v>182.50933786582223</v>
      </c>
      <c r="W410" s="31" t="s">
        <v>335</v>
      </c>
    </row>
    <row r="411" spans="1:23">
      <c r="A411" s="31" t="s">
        <v>112</v>
      </c>
      <c r="B411" s="67">
        <f>T411</f>
        <v>872.38310202309378</v>
      </c>
      <c r="C411" s="67"/>
      <c r="D411" s="31" t="s">
        <v>113</v>
      </c>
      <c r="E411" s="31" t="s">
        <v>38</v>
      </c>
      <c r="F411" s="31" t="s">
        <v>29</v>
      </c>
      <c r="G411" s="31" t="s">
        <v>60</v>
      </c>
      <c r="H411" s="31" t="s">
        <v>33</v>
      </c>
      <c r="I411" s="31">
        <v>2</v>
      </c>
      <c r="J411" s="31">
        <f t="shared" si="24"/>
        <v>6.7712286646111037</v>
      </c>
      <c r="K411" s="31">
        <v>0.28635642126552702</v>
      </c>
      <c r="L411" s="31" t="s">
        <v>31</v>
      </c>
      <c r="M411" s="31" t="s">
        <v>31</v>
      </c>
      <c r="N411" s="31" t="s">
        <v>31</v>
      </c>
      <c r="O411" s="31"/>
      <c r="P411" s="31" t="s">
        <v>329</v>
      </c>
      <c r="Q411" s="31"/>
      <c r="R411" s="104">
        <v>242.32883331377096</v>
      </c>
      <c r="S411" s="31" t="s">
        <v>332</v>
      </c>
      <c r="T411" s="31">
        <f>R411/0.277778</f>
        <v>872.38310202309378</v>
      </c>
      <c r="U411" s="31" t="s">
        <v>331</v>
      </c>
      <c r="V411" s="31"/>
    </row>
    <row r="412" spans="1:23">
      <c r="A412" s="31" t="s">
        <v>164</v>
      </c>
      <c r="B412" s="67">
        <f>V412</f>
        <v>41.287344481484006</v>
      </c>
      <c r="C412" s="67"/>
      <c r="D412" s="31" t="s">
        <v>37</v>
      </c>
      <c r="E412" s="31" t="s">
        <v>38</v>
      </c>
      <c r="F412" s="31" t="s">
        <v>29</v>
      </c>
      <c r="G412" s="31" t="s">
        <v>60</v>
      </c>
      <c r="H412" s="31" t="s">
        <v>33</v>
      </c>
      <c r="I412" s="31">
        <v>2</v>
      </c>
      <c r="J412" s="31">
        <f t="shared" si="24"/>
        <v>3.720556023988264</v>
      </c>
      <c r="K412" s="31">
        <v>0.28635642126552702</v>
      </c>
      <c r="L412" s="31" t="s">
        <v>31</v>
      </c>
      <c r="M412" s="31" t="s">
        <v>31</v>
      </c>
      <c r="N412" s="31" t="s">
        <v>31</v>
      </c>
      <c r="O412" s="31"/>
      <c r="P412" s="31" t="s">
        <v>329</v>
      </c>
      <c r="Q412" s="31"/>
      <c r="R412" s="104">
        <v>513.79847569691935</v>
      </c>
      <c r="S412" s="31" t="s">
        <v>332</v>
      </c>
      <c r="T412" s="31">
        <f>R412/0.277778</f>
        <v>1849.6730327704834</v>
      </c>
      <c r="U412" s="31" t="s">
        <v>331</v>
      </c>
      <c r="V412" s="31">
        <f>T412/44.8</f>
        <v>41.287344481484006</v>
      </c>
      <c r="W412" s="31" t="s">
        <v>337</v>
      </c>
    </row>
    <row r="413" spans="1:23">
      <c r="A413" s="31" t="s">
        <v>36</v>
      </c>
      <c r="B413" s="67">
        <f>V413</f>
        <v>81.506558657974395</v>
      </c>
      <c r="C413" s="67"/>
      <c r="D413" s="31" t="s">
        <v>37</v>
      </c>
      <c r="E413" s="31" t="s">
        <v>38</v>
      </c>
      <c r="F413" s="31" t="s">
        <v>29</v>
      </c>
      <c r="G413" s="31" t="s">
        <v>86</v>
      </c>
      <c r="H413" s="31" t="s">
        <v>33</v>
      </c>
      <c r="I413" s="31">
        <v>2</v>
      </c>
      <c r="J413" s="31">
        <f t="shared" si="24"/>
        <v>4.4006834913399056</v>
      </c>
      <c r="K413" s="31">
        <v>0.28635642126552702</v>
      </c>
      <c r="L413" s="31" t="s">
        <v>31</v>
      </c>
      <c r="M413" s="31" t="s">
        <v>31</v>
      </c>
      <c r="N413" s="31" t="s">
        <v>31</v>
      </c>
      <c r="O413" s="31"/>
      <c r="P413" s="31" t="s">
        <v>329</v>
      </c>
      <c r="Q413" s="31"/>
      <c r="R413" s="104">
        <v>1046.0016729113404</v>
      </c>
      <c r="S413" s="31" t="s">
        <v>332</v>
      </c>
      <c r="T413" s="31">
        <f>R413/0.277778</f>
        <v>3765.6030099984173</v>
      </c>
      <c r="U413" s="31" t="s">
        <v>331</v>
      </c>
      <c r="V413" s="31">
        <f>T413/46.2</f>
        <v>81.506558657974395</v>
      </c>
      <c r="W413" s="31" t="s">
        <v>337</v>
      </c>
    </row>
    <row r="414" spans="1:23" s="65" customFormat="1">
      <c r="A414" s="31" t="s">
        <v>59</v>
      </c>
      <c r="B414" s="67">
        <f>V414</f>
        <v>0.50194654892007695</v>
      </c>
      <c r="C414" s="67"/>
      <c r="D414" s="31" t="s">
        <v>37</v>
      </c>
      <c r="E414" s="31" t="s">
        <v>2</v>
      </c>
      <c r="F414" s="31" t="s">
        <v>324</v>
      </c>
      <c r="G414" s="31" t="s">
        <v>60</v>
      </c>
      <c r="H414" s="31" t="s">
        <v>33</v>
      </c>
      <c r="I414" s="31">
        <v>2</v>
      </c>
      <c r="J414" s="31">
        <f t="shared" si="24"/>
        <v>-0.6892616412142335</v>
      </c>
      <c r="K414" s="31">
        <v>0.28635642126552702</v>
      </c>
      <c r="L414" s="31" t="s">
        <v>31</v>
      </c>
      <c r="M414" s="31" t="s">
        <v>31</v>
      </c>
      <c r="N414" s="31" t="s">
        <v>31</v>
      </c>
      <c r="O414" s="64"/>
      <c r="P414" s="31"/>
      <c r="Q414" s="45"/>
      <c r="R414" s="104">
        <v>6.1349071725005304</v>
      </c>
      <c r="S414" s="31" t="s">
        <v>332</v>
      </c>
      <c r="T414" s="31">
        <f>R414/0.277778</f>
        <v>22.085648152483387</v>
      </c>
      <c r="U414" s="31" t="s">
        <v>331</v>
      </c>
      <c r="V414" s="31">
        <f>T414/44</f>
        <v>0.50194654892007695</v>
      </c>
      <c r="W414" s="31" t="s">
        <v>337</v>
      </c>
    </row>
    <row r="415" spans="1:23">
      <c r="A415" s="31" t="s">
        <v>172</v>
      </c>
      <c r="B415" s="45">
        <f>T415</f>
        <v>4711.1865414383565</v>
      </c>
      <c r="C415" s="45"/>
      <c r="D415" s="31" t="s">
        <v>37</v>
      </c>
      <c r="E415" s="31" t="s">
        <v>38</v>
      </c>
      <c r="F415" s="31" t="s">
        <v>29</v>
      </c>
      <c r="G415" s="31" t="s">
        <v>60</v>
      </c>
      <c r="H415" s="31" t="s">
        <v>33</v>
      </c>
      <c r="I415" s="31">
        <v>2</v>
      </c>
      <c r="J415" s="31">
        <f t="shared" si="24"/>
        <v>8.4576950749100206</v>
      </c>
      <c r="K415" s="31">
        <v>0.28635642126552702</v>
      </c>
      <c r="L415" s="31" t="s">
        <v>31</v>
      </c>
      <c r="M415" s="31" t="s">
        <v>31</v>
      </c>
      <c r="N415" s="31" t="s">
        <v>31</v>
      </c>
      <c r="O415" s="31"/>
      <c r="P415" s="31" t="s">
        <v>329</v>
      </c>
      <c r="Q415" s="31"/>
      <c r="R415" s="105">
        <v>4.7217159680471017</v>
      </c>
      <c r="S415" s="31" t="s">
        <v>335</v>
      </c>
      <c r="T415" s="31">
        <f>R415*997.77</f>
        <v>4711.1865414383565</v>
      </c>
      <c r="U415" s="31" t="s">
        <v>337</v>
      </c>
      <c r="V415" s="31"/>
    </row>
    <row r="416" spans="1:23">
      <c r="A416" s="51" t="s">
        <v>580</v>
      </c>
      <c r="B416" s="66">
        <f>R416</f>
        <v>4.4029431239103882</v>
      </c>
      <c r="C416" s="66"/>
      <c r="D416" s="31" t="s">
        <v>50</v>
      </c>
      <c r="E416" s="31" t="s">
        <v>2</v>
      </c>
      <c r="F416" s="31" t="s">
        <v>29</v>
      </c>
      <c r="G416" s="51" t="s">
        <v>86</v>
      </c>
      <c r="H416" s="31" t="s">
        <v>33</v>
      </c>
      <c r="I416" s="31">
        <v>2</v>
      </c>
      <c r="J416" s="31">
        <f t="shared" si="24"/>
        <v>1.4822732091136201</v>
      </c>
      <c r="K416" s="31">
        <v>0.28635642126552702</v>
      </c>
      <c r="L416" s="31" t="s">
        <v>31</v>
      </c>
      <c r="M416" s="31" t="s">
        <v>31</v>
      </c>
      <c r="N416" s="31" t="s">
        <v>31</v>
      </c>
      <c r="O416" s="31"/>
      <c r="P416" s="31" t="s">
        <v>329</v>
      </c>
      <c r="Q416" s="31"/>
      <c r="R416" s="105">
        <v>4.4029431239103882</v>
      </c>
      <c r="S416" s="31" t="s">
        <v>335</v>
      </c>
      <c r="V416" s="31"/>
    </row>
    <row r="417" spans="1:23">
      <c r="A417" s="31" t="s">
        <v>581</v>
      </c>
      <c r="B417" s="66">
        <f>R417</f>
        <v>106.83940840909673</v>
      </c>
      <c r="C417" s="66"/>
      <c r="D417" s="31" t="s">
        <v>37</v>
      </c>
      <c r="E417" s="31" t="s">
        <v>2</v>
      </c>
      <c r="F417" s="31" t="s">
        <v>29</v>
      </c>
      <c r="G417" s="31" t="s">
        <v>86</v>
      </c>
      <c r="H417" s="31" t="s">
        <v>33</v>
      </c>
      <c r="I417" s="31">
        <v>2</v>
      </c>
      <c r="J417" s="31">
        <f t="shared" si="24"/>
        <v>4.6713268510596082</v>
      </c>
      <c r="K417" s="31">
        <v>0.28635642126552702</v>
      </c>
      <c r="L417" s="31" t="s">
        <v>31</v>
      </c>
      <c r="M417" s="31" t="s">
        <v>31</v>
      </c>
      <c r="N417" s="31" t="s">
        <v>31</v>
      </c>
      <c r="O417" s="31"/>
      <c r="P417" s="31" t="s">
        <v>329</v>
      </c>
      <c r="Q417" s="31"/>
      <c r="R417" s="31">
        <v>106.83940840909673</v>
      </c>
      <c r="S417" s="31" t="s">
        <v>337</v>
      </c>
      <c r="V417" s="31"/>
    </row>
    <row r="418" spans="1:23">
      <c r="A418" s="31" t="s">
        <v>48</v>
      </c>
      <c r="B418" s="66">
        <f t="shared" ref="B418:B421" si="25">R418</f>
        <v>2007.2327322398617</v>
      </c>
      <c r="C418" s="66"/>
      <c r="D418" s="31" t="s">
        <v>37</v>
      </c>
      <c r="E418" s="31" t="s">
        <v>43</v>
      </c>
      <c r="F418" s="31" t="s">
        <v>44</v>
      </c>
      <c r="G418" s="31" t="s">
        <v>29</v>
      </c>
      <c r="H418" s="31" t="s">
        <v>45</v>
      </c>
      <c r="I418" s="31">
        <v>2</v>
      </c>
      <c r="J418" s="31">
        <f t="shared" si="24"/>
        <v>7.6045123023324912</v>
      </c>
      <c r="K418" s="31">
        <v>0.28635642126552702</v>
      </c>
      <c r="L418" s="31" t="s">
        <v>31</v>
      </c>
      <c r="M418" s="31" t="s">
        <v>31</v>
      </c>
      <c r="N418" s="31" t="s">
        <v>31</v>
      </c>
      <c r="O418" s="31"/>
      <c r="P418" s="31" t="s">
        <v>329</v>
      </c>
      <c r="Q418" s="31"/>
      <c r="R418" s="31">
        <v>2007.2327322398617</v>
      </c>
      <c r="S418" s="31" t="s">
        <v>337</v>
      </c>
      <c r="V418" s="31"/>
    </row>
    <row r="419" spans="1:23">
      <c r="A419" s="31" t="s">
        <v>51</v>
      </c>
      <c r="B419" s="66">
        <f t="shared" si="25"/>
        <v>2.1472175103751854E-2</v>
      </c>
      <c r="C419" s="66"/>
      <c r="D419" s="31" t="s">
        <v>37</v>
      </c>
      <c r="E419" s="31" t="s">
        <v>43</v>
      </c>
      <c r="F419" s="31" t="s">
        <v>44</v>
      </c>
      <c r="G419" s="31" t="s">
        <v>29</v>
      </c>
      <c r="H419" s="31" t="s">
        <v>45</v>
      </c>
      <c r="I419" s="31">
        <v>2</v>
      </c>
      <c r="J419" s="31">
        <f t="shared" si="24"/>
        <v>-3.8409973632451258</v>
      </c>
      <c r="K419" s="31">
        <v>0.28635642126552702</v>
      </c>
      <c r="L419" s="31" t="s">
        <v>31</v>
      </c>
      <c r="M419" s="31" t="s">
        <v>31</v>
      </c>
      <c r="N419" s="31" t="s">
        <v>31</v>
      </c>
      <c r="O419" s="31"/>
      <c r="P419" s="31" t="s">
        <v>329</v>
      </c>
      <c r="Q419" s="31"/>
      <c r="R419" s="31">
        <v>2.1472175103751854E-2</v>
      </c>
      <c r="S419" s="31" t="s">
        <v>337</v>
      </c>
      <c r="V419" s="31"/>
    </row>
    <row r="420" spans="1:23">
      <c r="A420" s="31" t="s">
        <v>42</v>
      </c>
      <c r="B420" s="66">
        <f t="shared" si="25"/>
        <v>0.34048734807377939</v>
      </c>
      <c r="C420" s="66"/>
      <c r="D420" s="31" t="s">
        <v>37</v>
      </c>
      <c r="E420" s="31" t="s">
        <v>43</v>
      </c>
      <c r="F420" s="31" t="s">
        <v>44</v>
      </c>
      <c r="G420" s="31" t="s">
        <v>29</v>
      </c>
      <c r="H420" s="31" t="s">
        <v>45</v>
      </c>
      <c r="I420" s="31">
        <v>2</v>
      </c>
      <c r="J420" s="31">
        <f>LN(B420)</f>
        <v>-1.0773773109881049</v>
      </c>
      <c r="K420" s="31">
        <v>0.28635642126552702</v>
      </c>
      <c r="L420" s="31" t="s">
        <v>31</v>
      </c>
      <c r="M420" s="31" t="s">
        <v>31</v>
      </c>
      <c r="N420" s="31" t="s">
        <v>31</v>
      </c>
      <c r="O420" s="31"/>
      <c r="P420" s="31" t="s">
        <v>329</v>
      </c>
      <c r="Q420" s="31"/>
      <c r="R420" s="31">
        <v>0.34048734807377939</v>
      </c>
      <c r="S420" s="31" t="s">
        <v>337</v>
      </c>
      <c r="V420" s="31"/>
    </row>
    <row r="421" spans="1:23">
      <c r="A421" s="31" t="s">
        <v>490</v>
      </c>
      <c r="B421" s="66">
        <f t="shared" si="25"/>
        <v>1.6119468595745143</v>
      </c>
      <c r="C421" s="66"/>
      <c r="D421" s="31" t="s">
        <v>37</v>
      </c>
      <c r="E421" s="31" t="s">
        <v>43</v>
      </c>
      <c r="F421" s="31" t="s">
        <v>44</v>
      </c>
      <c r="G421" s="31" t="s">
        <v>29</v>
      </c>
      <c r="H421" s="31" t="s">
        <v>45</v>
      </c>
      <c r="I421" s="31">
        <v>2</v>
      </c>
      <c r="J421" s="31">
        <f t="shared" ref="J421" si="26">LN(B421)</f>
        <v>0.47744267801656687</v>
      </c>
      <c r="K421" s="31">
        <v>0.28635642126552702</v>
      </c>
      <c r="L421" s="31" t="s">
        <v>31</v>
      </c>
      <c r="M421" s="31" t="s">
        <v>31</v>
      </c>
      <c r="N421" s="31" t="s">
        <v>31</v>
      </c>
      <c r="O421" s="31"/>
      <c r="P421" s="31" t="s">
        <v>329</v>
      </c>
      <c r="Q421" s="31"/>
      <c r="R421" s="31">
        <v>1.6119468595745143</v>
      </c>
      <c r="S421" s="31" t="s">
        <v>337</v>
      </c>
      <c r="V421" s="31"/>
    </row>
    <row r="422" spans="1:23" s="42" customFormat="1">
      <c r="A422" s="36" t="s">
        <v>5</v>
      </c>
      <c r="B422" s="36" t="s">
        <v>650</v>
      </c>
      <c r="C422" s="36"/>
      <c r="D422" s="37"/>
      <c r="E422" s="38"/>
      <c r="F422" s="38"/>
      <c r="G422" s="38"/>
      <c r="H422" s="38"/>
      <c r="I422" s="38"/>
      <c r="J422" s="38"/>
      <c r="K422" s="38"/>
      <c r="L422" s="38"/>
      <c r="M422" s="38"/>
      <c r="N422" s="38"/>
      <c r="O422" s="38"/>
      <c r="P422" s="38" t="s">
        <v>329</v>
      </c>
      <c r="Q422" s="38"/>
      <c r="R422" s="38"/>
      <c r="S422" s="38"/>
      <c r="T422" s="38"/>
      <c r="U422" s="38"/>
      <c r="V422" s="38"/>
      <c r="W422" s="38"/>
    </row>
    <row r="423" spans="1:23">
      <c r="A423" s="31" t="s">
        <v>7</v>
      </c>
      <c r="B423" s="31" t="s">
        <v>324</v>
      </c>
      <c r="C423" s="31"/>
      <c r="D423" s="31"/>
      <c r="E423" s="31"/>
      <c r="F423" s="31"/>
      <c r="G423" s="31"/>
      <c r="H423" s="31"/>
      <c r="I423" s="31"/>
      <c r="J423" s="31"/>
      <c r="K423" s="31"/>
      <c r="L423" s="31"/>
      <c r="M423" s="31"/>
      <c r="N423" s="31"/>
      <c r="O423" s="31"/>
      <c r="P423" s="31" t="s">
        <v>329</v>
      </c>
      <c r="Q423" s="31"/>
      <c r="V423" s="31"/>
    </row>
    <row r="424" spans="1:23">
      <c r="A424" s="31" t="s">
        <v>9</v>
      </c>
      <c r="B424" s="43" t="s">
        <v>684</v>
      </c>
      <c r="C424" s="31"/>
      <c r="D424" s="31"/>
      <c r="E424" s="31"/>
      <c r="F424" s="31"/>
      <c r="G424" s="31"/>
      <c r="H424" s="31"/>
      <c r="I424" s="31"/>
      <c r="J424" s="31"/>
      <c r="K424" s="31"/>
      <c r="L424" s="31"/>
      <c r="M424" s="31"/>
      <c r="N424" s="31"/>
      <c r="O424" s="31"/>
      <c r="P424" s="31" t="s">
        <v>329</v>
      </c>
      <c r="Q424" s="31"/>
      <c r="V424" s="31"/>
    </row>
    <row r="425" spans="1:23">
      <c r="A425" s="31" t="s">
        <v>11</v>
      </c>
      <c r="B425" s="31" t="s">
        <v>685</v>
      </c>
      <c r="C425" s="31"/>
      <c r="D425" s="31"/>
      <c r="E425" s="31"/>
      <c r="F425" s="31"/>
      <c r="G425" s="31"/>
      <c r="H425" s="31"/>
      <c r="I425" s="31"/>
      <c r="J425" s="31"/>
      <c r="K425" s="31"/>
      <c r="L425" s="31"/>
      <c r="M425" s="31"/>
      <c r="N425" s="31"/>
      <c r="O425" s="31"/>
      <c r="P425" s="31" t="s">
        <v>329</v>
      </c>
      <c r="Q425" s="31"/>
      <c r="V425" s="31"/>
    </row>
    <row r="426" spans="1:23">
      <c r="A426" s="31" t="s">
        <v>13</v>
      </c>
      <c r="B426" s="47" t="s">
        <v>60</v>
      </c>
      <c r="C426" s="31"/>
      <c r="D426" s="31"/>
      <c r="E426" s="31"/>
      <c r="F426" s="31"/>
      <c r="G426" s="31"/>
      <c r="H426" s="31"/>
      <c r="I426" s="31"/>
      <c r="J426" s="31"/>
      <c r="K426" s="31"/>
      <c r="L426" s="31"/>
      <c r="M426" s="31"/>
      <c r="N426" s="31"/>
      <c r="O426" s="31"/>
      <c r="P426" s="31" t="s">
        <v>329</v>
      </c>
      <c r="Q426" s="31"/>
      <c r="V426" s="31"/>
    </row>
    <row r="427" spans="1:23">
      <c r="A427" s="31" t="s">
        <v>15</v>
      </c>
      <c r="B427" s="31">
        <v>1</v>
      </c>
      <c r="C427" s="31"/>
      <c r="D427" s="31"/>
      <c r="E427" s="31"/>
      <c r="F427" s="31"/>
      <c r="G427" s="31"/>
      <c r="H427" s="31"/>
      <c r="I427" s="31"/>
      <c r="J427" s="31"/>
      <c r="K427" s="31"/>
      <c r="L427" s="31"/>
      <c r="M427" s="31"/>
      <c r="N427" s="31"/>
      <c r="O427" s="31"/>
      <c r="P427" s="31" t="s">
        <v>329</v>
      </c>
      <c r="Q427" s="31"/>
      <c r="V427" s="31"/>
    </row>
    <row r="428" spans="1:23">
      <c r="A428" s="31" t="s">
        <v>16</v>
      </c>
      <c r="B428" s="31" t="s">
        <v>17</v>
      </c>
      <c r="C428" s="31"/>
      <c r="D428" s="31"/>
      <c r="E428" s="31"/>
      <c r="F428" s="31"/>
      <c r="G428" s="31"/>
      <c r="H428" s="31"/>
      <c r="I428" s="31"/>
      <c r="J428" s="31"/>
      <c r="K428" s="31"/>
      <c r="L428" s="31"/>
      <c r="M428" s="31"/>
      <c r="N428" s="31"/>
      <c r="O428" s="31"/>
      <c r="P428" s="31" t="s">
        <v>329</v>
      </c>
      <c r="Q428" s="31"/>
      <c r="V428" s="31"/>
    </row>
    <row r="429" spans="1:23">
      <c r="A429" s="31" t="s">
        <v>18</v>
      </c>
      <c r="B429" s="31" t="s">
        <v>18</v>
      </c>
      <c r="C429" s="31"/>
      <c r="D429" s="31"/>
      <c r="E429" s="31" t="s">
        <v>77</v>
      </c>
      <c r="F429" s="31"/>
      <c r="G429" s="31"/>
      <c r="H429" s="31"/>
      <c r="I429" s="31"/>
      <c r="J429" s="31"/>
      <c r="K429" s="31"/>
      <c r="L429" s="31"/>
      <c r="M429" s="31"/>
      <c r="N429" s="31"/>
      <c r="O429" s="31"/>
      <c r="P429" s="31" t="s">
        <v>329</v>
      </c>
      <c r="Q429" s="31"/>
      <c r="V429" s="31"/>
    </row>
    <row r="430" spans="1:23">
      <c r="A430" s="32" t="s">
        <v>19</v>
      </c>
      <c r="B430" s="31"/>
      <c r="C430" s="31"/>
      <c r="D430" s="31"/>
      <c r="E430" s="31"/>
      <c r="F430" s="31"/>
      <c r="G430" s="31"/>
      <c r="H430" s="31"/>
      <c r="I430" s="31"/>
      <c r="J430" s="31"/>
      <c r="K430" s="31"/>
      <c r="L430" s="31"/>
      <c r="M430" s="31"/>
      <c r="N430" s="31"/>
      <c r="O430" s="31"/>
      <c r="P430" s="31" t="s">
        <v>329</v>
      </c>
      <c r="Q430" s="31"/>
      <c r="V430" s="31"/>
    </row>
    <row r="431" spans="1:23">
      <c r="A431" s="32" t="s">
        <v>20</v>
      </c>
      <c r="B431" s="32" t="s">
        <v>21</v>
      </c>
      <c r="C431" s="32" t="s">
        <v>78</v>
      </c>
      <c r="D431" s="32" t="s">
        <v>18</v>
      </c>
      <c r="E431" s="32" t="s">
        <v>22</v>
      </c>
      <c r="F431" s="32" t="s">
        <v>7</v>
      </c>
      <c r="G431" s="32" t="s">
        <v>13</v>
      </c>
      <c r="H431" s="32" t="s">
        <v>16</v>
      </c>
      <c r="I431" s="32" t="s">
        <v>23</v>
      </c>
      <c r="J431" s="32" t="s">
        <v>24</v>
      </c>
      <c r="K431" s="32" t="s">
        <v>25</v>
      </c>
      <c r="L431" s="32" t="s">
        <v>26</v>
      </c>
      <c r="M431" s="32" t="s">
        <v>27</v>
      </c>
      <c r="N431" s="32" t="s">
        <v>28</v>
      </c>
      <c r="O431" s="32" t="s">
        <v>11</v>
      </c>
      <c r="P431" s="32" t="s">
        <v>555</v>
      </c>
      <c r="Q431" s="31"/>
      <c r="V431" s="31"/>
    </row>
    <row r="432" spans="1:23">
      <c r="A432" s="45" t="s">
        <v>650</v>
      </c>
      <c r="B432" s="31">
        <v>1</v>
      </c>
      <c r="C432" s="31"/>
      <c r="D432" s="31" t="s">
        <v>18</v>
      </c>
      <c r="E432" s="31" t="s">
        <v>2</v>
      </c>
      <c r="F432" s="31" t="s">
        <v>29</v>
      </c>
      <c r="G432" s="47" t="s">
        <v>60</v>
      </c>
      <c r="H432" s="31" t="s">
        <v>30</v>
      </c>
      <c r="I432" s="31">
        <v>1</v>
      </c>
      <c r="J432" s="31">
        <f>B432</f>
        <v>1</v>
      </c>
      <c r="K432" s="31" t="s">
        <v>31</v>
      </c>
      <c r="L432" s="31" t="s">
        <v>31</v>
      </c>
      <c r="M432" s="31" t="s">
        <v>31</v>
      </c>
      <c r="N432" s="31" t="s">
        <v>31</v>
      </c>
      <c r="O432" s="31"/>
      <c r="P432" s="31" t="s">
        <v>329</v>
      </c>
      <c r="Q432" s="31"/>
      <c r="V432" s="31"/>
    </row>
    <row r="433" spans="1:23">
      <c r="A433" s="112" t="s">
        <v>97</v>
      </c>
      <c r="B433" s="35">
        <f>3.01547881256308*15</f>
        <v>45.232182188446195</v>
      </c>
      <c r="C433" s="35"/>
      <c r="D433" s="47" t="s">
        <v>37</v>
      </c>
      <c r="E433" s="47" t="s">
        <v>38</v>
      </c>
      <c r="F433" s="47" t="s">
        <v>29</v>
      </c>
      <c r="G433" s="47" t="s">
        <v>60</v>
      </c>
      <c r="H433" s="47" t="s">
        <v>33</v>
      </c>
      <c r="I433" s="113" t="s">
        <v>668</v>
      </c>
      <c r="J433" s="113">
        <f t="shared" ref="J433:J457" si="27">LN(B433)</f>
        <v>3.8118088288093723</v>
      </c>
      <c r="K433" s="113">
        <v>0.30331501776206199</v>
      </c>
      <c r="L433" s="114" t="s">
        <v>31</v>
      </c>
      <c r="M433" s="114" t="s">
        <v>31</v>
      </c>
      <c r="N433" s="114" t="s">
        <v>31</v>
      </c>
      <c r="O433" s="35" t="s">
        <v>590</v>
      </c>
      <c r="P433" s="44" t="s">
        <v>686</v>
      </c>
      <c r="Q433" s="31"/>
      <c r="V433" s="31"/>
    </row>
    <row r="434" spans="1:23">
      <c r="A434" s="68" t="s">
        <v>464</v>
      </c>
      <c r="B434" s="35">
        <f>3.01547881256308*15</f>
        <v>45.232182188446195</v>
      </c>
      <c r="C434" s="35"/>
      <c r="D434" s="35" t="s">
        <v>37</v>
      </c>
      <c r="E434" s="35" t="s">
        <v>38</v>
      </c>
      <c r="F434" s="35" t="s">
        <v>29</v>
      </c>
      <c r="G434" s="35" t="s">
        <v>60</v>
      </c>
      <c r="H434" s="35" t="s">
        <v>33</v>
      </c>
      <c r="I434" s="35">
        <v>2</v>
      </c>
      <c r="J434" s="35">
        <f t="shared" si="27"/>
        <v>3.8118088288093723</v>
      </c>
      <c r="K434" s="35">
        <v>0.30331501776206199</v>
      </c>
      <c r="L434" s="31" t="s">
        <v>31</v>
      </c>
      <c r="M434" s="31" t="s">
        <v>31</v>
      </c>
      <c r="N434" s="31" t="s">
        <v>31</v>
      </c>
      <c r="O434" s="35" t="s">
        <v>590</v>
      </c>
      <c r="P434" s="31" t="s">
        <v>687</v>
      </c>
      <c r="Q434" s="31"/>
      <c r="V434" s="31"/>
    </row>
    <row r="435" spans="1:23">
      <c r="A435" s="68" t="s">
        <v>102</v>
      </c>
      <c r="B435" s="35">
        <f>3.01547881256308*15</f>
        <v>45.232182188446195</v>
      </c>
      <c r="C435" s="35"/>
      <c r="D435" s="35" t="s">
        <v>37</v>
      </c>
      <c r="E435" s="35" t="s">
        <v>38</v>
      </c>
      <c r="F435" s="35" t="s">
        <v>29</v>
      </c>
      <c r="G435" s="35" t="s">
        <v>60</v>
      </c>
      <c r="H435" s="35" t="s">
        <v>33</v>
      </c>
      <c r="I435" s="35">
        <v>2</v>
      </c>
      <c r="J435" s="35">
        <f t="shared" si="27"/>
        <v>3.8118088288093723</v>
      </c>
      <c r="K435" s="35">
        <v>0.30331501776206199</v>
      </c>
      <c r="L435" s="31" t="s">
        <v>31</v>
      </c>
      <c r="M435" s="31" t="s">
        <v>31</v>
      </c>
      <c r="N435" s="31" t="s">
        <v>31</v>
      </c>
      <c r="O435" s="35" t="s">
        <v>590</v>
      </c>
      <c r="P435" s="44" t="s">
        <v>688</v>
      </c>
      <c r="Q435" s="31"/>
      <c r="V435" s="31"/>
    </row>
    <row r="436" spans="1:23">
      <c r="A436" s="68" t="s">
        <v>102</v>
      </c>
      <c r="B436" s="35">
        <f>B435*0.3</f>
        <v>13.569654656533858</v>
      </c>
      <c r="C436" s="35"/>
      <c r="D436" s="35" t="s">
        <v>37</v>
      </c>
      <c r="E436" s="35" t="s">
        <v>38</v>
      </c>
      <c r="F436" s="35" t="s">
        <v>29</v>
      </c>
      <c r="G436" s="35" t="s">
        <v>60</v>
      </c>
      <c r="H436" s="35" t="s">
        <v>33</v>
      </c>
      <c r="I436" s="35">
        <v>2</v>
      </c>
      <c r="J436" s="35">
        <f t="shared" si="27"/>
        <v>2.607836024483436</v>
      </c>
      <c r="K436" s="35">
        <v>0.30331501776206199</v>
      </c>
      <c r="L436" s="31" t="s">
        <v>31</v>
      </c>
      <c r="M436" s="31" t="s">
        <v>31</v>
      </c>
      <c r="N436" s="31" t="s">
        <v>31</v>
      </c>
      <c r="O436" s="35" t="s">
        <v>590</v>
      </c>
      <c r="P436" s="44" t="s">
        <v>689</v>
      </c>
      <c r="Q436" s="31"/>
      <c r="V436" s="31"/>
    </row>
    <row r="437" spans="1:23">
      <c r="A437" s="68" t="s">
        <v>355</v>
      </c>
      <c r="B437" s="35">
        <f>B435*0.7</f>
        <v>31.662527531912335</v>
      </c>
      <c r="C437" s="35"/>
      <c r="D437" s="35" t="s">
        <v>37</v>
      </c>
      <c r="E437" s="35" t="s">
        <v>38</v>
      </c>
      <c r="F437" s="35" t="s">
        <v>29</v>
      </c>
      <c r="G437" s="35" t="s">
        <v>60</v>
      </c>
      <c r="H437" s="35" t="s">
        <v>33</v>
      </c>
      <c r="I437" s="35">
        <v>2</v>
      </c>
      <c r="J437" s="35">
        <f t="shared" si="27"/>
        <v>3.4551338848706399</v>
      </c>
      <c r="K437" s="35">
        <v>0.30331501776206199</v>
      </c>
      <c r="L437" s="31" t="s">
        <v>31</v>
      </c>
      <c r="M437" s="31" t="s">
        <v>31</v>
      </c>
      <c r="N437" s="31" t="s">
        <v>31</v>
      </c>
      <c r="O437" s="35" t="s">
        <v>590</v>
      </c>
      <c r="P437" s="44" t="s">
        <v>690</v>
      </c>
      <c r="Q437" s="31"/>
      <c r="V437" s="31"/>
    </row>
    <row r="438" spans="1:23">
      <c r="A438" s="68" t="s">
        <v>352</v>
      </c>
      <c r="B438" s="35">
        <f>3.01547881256308*15</f>
        <v>45.232182188446195</v>
      </c>
      <c r="C438" s="35"/>
      <c r="D438" s="35" t="s">
        <v>37</v>
      </c>
      <c r="E438" s="35" t="s">
        <v>38</v>
      </c>
      <c r="F438" s="35" t="s">
        <v>29</v>
      </c>
      <c r="G438" s="35" t="s">
        <v>60</v>
      </c>
      <c r="H438" s="35" t="s">
        <v>33</v>
      </c>
      <c r="I438" s="35">
        <v>2</v>
      </c>
      <c r="J438" s="35">
        <f t="shared" si="27"/>
        <v>3.8118088288093723</v>
      </c>
      <c r="K438" s="35">
        <v>0.30331501776206199</v>
      </c>
      <c r="L438" s="31" t="s">
        <v>31</v>
      </c>
      <c r="M438" s="31" t="s">
        <v>31</v>
      </c>
      <c r="N438" s="31" t="s">
        <v>31</v>
      </c>
      <c r="O438" s="35" t="s">
        <v>590</v>
      </c>
      <c r="P438" s="31" t="s">
        <v>691</v>
      </c>
      <c r="Q438" s="31"/>
      <c r="V438" s="31"/>
    </row>
    <row r="439" spans="1:23">
      <c r="A439" s="68" t="s">
        <v>678</v>
      </c>
      <c r="B439" s="35">
        <f>3.01547881256308*15</f>
        <v>45.232182188446195</v>
      </c>
      <c r="C439" s="35"/>
      <c r="D439" s="35" t="s">
        <v>37</v>
      </c>
      <c r="E439" s="35" t="s">
        <v>38</v>
      </c>
      <c r="F439" s="35" t="s">
        <v>29</v>
      </c>
      <c r="G439" s="35" t="s">
        <v>60</v>
      </c>
      <c r="H439" s="35" t="s">
        <v>33</v>
      </c>
      <c r="I439" s="35">
        <v>2</v>
      </c>
      <c r="J439" s="35">
        <f t="shared" si="27"/>
        <v>3.8118088288093723</v>
      </c>
      <c r="K439" s="35">
        <v>0.30331501776206199</v>
      </c>
      <c r="L439" s="31" t="s">
        <v>31</v>
      </c>
      <c r="M439" s="31" t="s">
        <v>31</v>
      </c>
      <c r="N439" s="31" t="s">
        <v>31</v>
      </c>
      <c r="O439" s="35" t="s">
        <v>590</v>
      </c>
      <c r="P439" s="31" t="s">
        <v>692</v>
      </c>
      <c r="Q439" s="31"/>
      <c r="V439" s="31"/>
    </row>
    <row r="440" spans="1:23" s="42" customFormat="1">
      <c r="A440" s="70" t="s">
        <v>93</v>
      </c>
      <c r="B440" s="72">
        <f>B433*(1-1/15)</f>
        <v>42.216703375883114</v>
      </c>
      <c r="C440" s="72"/>
      <c r="D440" s="72" t="s">
        <v>37</v>
      </c>
      <c r="E440" s="72" t="s">
        <v>38</v>
      </c>
      <c r="F440" s="72" t="s">
        <v>29</v>
      </c>
      <c r="G440" s="72" t="s">
        <v>86</v>
      </c>
      <c r="H440" s="72" t="s">
        <v>33</v>
      </c>
      <c r="I440" s="72">
        <v>2</v>
      </c>
      <c r="J440" s="72">
        <f t="shared" si="27"/>
        <v>3.7428159573224207</v>
      </c>
      <c r="K440" s="72">
        <v>0.30331501776206199</v>
      </c>
      <c r="L440" s="38" t="s">
        <v>31</v>
      </c>
      <c r="M440" s="38" t="s">
        <v>31</v>
      </c>
      <c r="N440" s="38" t="s">
        <v>31</v>
      </c>
      <c r="O440" s="72" t="s">
        <v>327</v>
      </c>
      <c r="P440" s="38" t="s">
        <v>693</v>
      </c>
      <c r="Q440" s="38"/>
      <c r="R440" s="38"/>
      <c r="S440" s="38"/>
      <c r="T440" s="38"/>
      <c r="U440" s="38"/>
      <c r="V440" s="38"/>
      <c r="W440" s="38"/>
    </row>
    <row r="441" spans="1:23">
      <c r="A441" s="73" t="s">
        <v>94</v>
      </c>
      <c r="B441" s="34">
        <f>B433*(1-1/15)</f>
        <v>42.216703375883114</v>
      </c>
      <c r="C441" s="31" t="s">
        <v>95</v>
      </c>
      <c r="D441" s="34" t="s">
        <v>37</v>
      </c>
      <c r="E441" s="34" t="s">
        <v>38</v>
      </c>
      <c r="F441" s="34" t="s">
        <v>29</v>
      </c>
      <c r="G441" s="34" t="s">
        <v>86</v>
      </c>
      <c r="H441" s="34" t="s">
        <v>33</v>
      </c>
      <c r="I441" s="34">
        <v>2</v>
      </c>
      <c r="J441" s="34">
        <f t="shared" si="27"/>
        <v>3.7428159573224207</v>
      </c>
      <c r="K441" s="34">
        <v>0.30331501776206199</v>
      </c>
      <c r="L441" s="31" t="s">
        <v>31</v>
      </c>
      <c r="M441" s="31" t="s">
        <v>31</v>
      </c>
      <c r="N441" s="31" t="s">
        <v>31</v>
      </c>
      <c r="O441" s="34" t="s">
        <v>327</v>
      </c>
      <c r="P441" s="31" t="s">
        <v>693</v>
      </c>
      <c r="Q441" s="31"/>
      <c r="V441" s="31"/>
    </row>
    <row r="442" spans="1:23" s="79" customFormat="1">
      <c r="A442" s="76" t="s">
        <v>97</v>
      </c>
      <c r="B442" s="78">
        <f>B433*(1-1/15)</f>
        <v>42.216703375883114</v>
      </c>
      <c r="C442" s="78"/>
      <c r="D442" s="78" t="s">
        <v>37</v>
      </c>
      <c r="E442" s="78" t="s">
        <v>38</v>
      </c>
      <c r="F442" s="78" t="s">
        <v>29</v>
      </c>
      <c r="G442" s="78" t="s">
        <v>60</v>
      </c>
      <c r="H442" s="78" t="s">
        <v>98</v>
      </c>
      <c r="I442" s="78">
        <v>2</v>
      </c>
      <c r="J442" s="78">
        <f t="shared" si="27"/>
        <v>3.7428159573224207</v>
      </c>
      <c r="K442" s="78">
        <v>0.30331501776206199</v>
      </c>
      <c r="L442" s="57" t="s">
        <v>31</v>
      </c>
      <c r="M442" s="57" t="s">
        <v>31</v>
      </c>
      <c r="N442" s="57" t="s">
        <v>31</v>
      </c>
      <c r="O442" s="78" t="s">
        <v>327</v>
      </c>
      <c r="P442" s="57" t="s">
        <v>694</v>
      </c>
      <c r="Q442" s="57"/>
      <c r="R442" s="57"/>
      <c r="S442" s="57"/>
      <c r="T442" s="57"/>
      <c r="U442" s="57"/>
      <c r="V442" s="57"/>
      <c r="W442" s="57"/>
    </row>
    <row r="443" spans="1:23" s="42" customFormat="1">
      <c r="A443" s="70" t="s">
        <v>134</v>
      </c>
      <c r="B443" s="72">
        <f>B434*(1-1/15)</f>
        <v>42.216703375883114</v>
      </c>
      <c r="C443" s="72"/>
      <c r="D443" s="72" t="s">
        <v>37</v>
      </c>
      <c r="E443" s="72" t="s">
        <v>38</v>
      </c>
      <c r="F443" s="72" t="s">
        <v>29</v>
      </c>
      <c r="G443" s="72" t="s">
        <v>86</v>
      </c>
      <c r="H443" s="72" t="s">
        <v>33</v>
      </c>
      <c r="I443" s="72">
        <v>2</v>
      </c>
      <c r="J443" s="72">
        <f t="shared" si="27"/>
        <v>3.7428159573224207</v>
      </c>
      <c r="K443" s="72">
        <v>0.30331501776206199</v>
      </c>
      <c r="L443" s="38" t="s">
        <v>31</v>
      </c>
      <c r="M443" s="38" t="s">
        <v>31</v>
      </c>
      <c r="N443" s="38" t="s">
        <v>31</v>
      </c>
      <c r="O443" s="72" t="s">
        <v>327</v>
      </c>
      <c r="P443" s="38" t="s">
        <v>695</v>
      </c>
      <c r="Q443" s="38"/>
      <c r="R443" s="38"/>
      <c r="S443" s="38"/>
      <c r="T443" s="38"/>
      <c r="U443" s="38"/>
      <c r="V443" s="38"/>
      <c r="W443" s="38"/>
    </row>
    <row r="444" spans="1:23" s="79" customFormat="1">
      <c r="A444" s="94" t="s">
        <v>464</v>
      </c>
      <c r="B444" s="78">
        <f>B434*(1-1/15)</f>
        <v>42.216703375883114</v>
      </c>
      <c r="C444" s="78"/>
      <c r="D444" s="78" t="s">
        <v>37</v>
      </c>
      <c r="E444" s="78" t="s">
        <v>38</v>
      </c>
      <c r="F444" s="78" t="s">
        <v>29</v>
      </c>
      <c r="G444" s="78" t="s">
        <v>60</v>
      </c>
      <c r="H444" s="78" t="s">
        <v>98</v>
      </c>
      <c r="I444" s="78">
        <v>2</v>
      </c>
      <c r="J444" s="78">
        <f t="shared" si="27"/>
        <v>3.7428159573224207</v>
      </c>
      <c r="K444" s="78">
        <v>0.30331501776206199</v>
      </c>
      <c r="L444" s="57" t="s">
        <v>31</v>
      </c>
      <c r="M444" s="57" t="s">
        <v>31</v>
      </c>
      <c r="N444" s="57" t="s">
        <v>31</v>
      </c>
      <c r="O444" s="78" t="s">
        <v>327</v>
      </c>
      <c r="P444" s="57" t="s">
        <v>696</v>
      </c>
      <c r="Q444" s="57"/>
      <c r="R444" s="57"/>
      <c r="S444" s="57"/>
      <c r="T444" s="57"/>
      <c r="U444" s="57"/>
      <c r="V444" s="57"/>
      <c r="W444" s="57"/>
    </row>
    <row r="445" spans="1:23" s="42" customFormat="1">
      <c r="A445" s="70" t="s">
        <v>100</v>
      </c>
      <c r="B445" s="72">
        <f>B435*(1-1/15)</f>
        <v>42.216703375883114</v>
      </c>
      <c r="C445" s="83" t="s">
        <v>101</v>
      </c>
      <c r="D445" s="72" t="s">
        <v>37</v>
      </c>
      <c r="E445" s="72" t="s">
        <v>38</v>
      </c>
      <c r="F445" s="72" t="s">
        <v>29</v>
      </c>
      <c r="G445" s="72" t="s">
        <v>86</v>
      </c>
      <c r="H445" s="72" t="s">
        <v>33</v>
      </c>
      <c r="I445" s="72">
        <v>2</v>
      </c>
      <c r="J445" s="72">
        <f t="shared" si="27"/>
        <v>3.7428159573224207</v>
      </c>
      <c r="K445" s="72">
        <v>0.30331501776206199</v>
      </c>
      <c r="L445" s="38" t="s">
        <v>31</v>
      </c>
      <c r="M445" s="38" t="s">
        <v>31</v>
      </c>
      <c r="N445" s="38" t="s">
        <v>31</v>
      </c>
      <c r="O445" s="72" t="s">
        <v>327</v>
      </c>
      <c r="P445" s="80" t="s">
        <v>697</v>
      </c>
      <c r="Q445" s="38"/>
      <c r="R445" s="38"/>
      <c r="S445" s="38"/>
      <c r="T445" s="38"/>
      <c r="U445" s="38"/>
      <c r="V445" s="38"/>
      <c r="W445" s="38"/>
    </row>
    <row r="446" spans="1:23" s="79" customFormat="1">
      <c r="A446" s="94" t="s">
        <v>102</v>
      </c>
      <c r="B446" s="78">
        <f>B435*(1-1/15)</f>
        <v>42.216703375883114</v>
      </c>
      <c r="C446" s="78"/>
      <c r="D446" s="78" t="s">
        <v>37</v>
      </c>
      <c r="E446" s="78" t="s">
        <v>38</v>
      </c>
      <c r="F446" s="78" t="s">
        <v>29</v>
      </c>
      <c r="G446" s="78" t="s">
        <v>60</v>
      </c>
      <c r="H446" s="78" t="s">
        <v>98</v>
      </c>
      <c r="I446" s="78">
        <v>2</v>
      </c>
      <c r="J446" s="78">
        <f t="shared" si="27"/>
        <v>3.7428159573224207</v>
      </c>
      <c r="K446" s="78">
        <v>0.30331501776206199</v>
      </c>
      <c r="L446" s="57" t="s">
        <v>31</v>
      </c>
      <c r="M446" s="57" t="s">
        <v>31</v>
      </c>
      <c r="N446" s="57" t="s">
        <v>31</v>
      </c>
      <c r="O446" s="78" t="s">
        <v>327</v>
      </c>
      <c r="P446" s="82" t="s">
        <v>698</v>
      </c>
      <c r="Q446" s="57"/>
      <c r="R446" s="57"/>
      <c r="S446" s="57"/>
      <c r="T446" s="57"/>
      <c r="U446" s="57"/>
      <c r="V446" s="57"/>
      <c r="W446" s="57"/>
    </row>
    <row r="447" spans="1:23" s="42" customFormat="1">
      <c r="A447" s="70" t="s">
        <v>100</v>
      </c>
      <c r="B447" s="72">
        <f>B446*0.3</f>
        <v>12.665011012764934</v>
      </c>
      <c r="C447" s="115" t="s">
        <v>101</v>
      </c>
      <c r="D447" s="72" t="s">
        <v>37</v>
      </c>
      <c r="E447" s="72" t="s">
        <v>38</v>
      </c>
      <c r="F447" s="72" t="s">
        <v>29</v>
      </c>
      <c r="G447" s="72" t="s">
        <v>86</v>
      </c>
      <c r="H447" s="72" t="s">
        <v>33</v>
      </c>
      <c r="I447" s="72">
        <v>2</v>
      </c>
      <c r="J447" s="72">
        <f t="shared" si="27"/>
        <v>2.5388431529964848</v>
      </c>
      <c r="K447" s="72">
        <v>0.30331501776206199</v>
      </c>
      <c r="L447" s="38" t="s">
        <v>31</v>
      </c>
      <c r="M447" s="38" t="s">
        <v>31</v>
      </c>
      <c r="N447" s="38" t="s">
        <v>31</v>
      </c>
      <c r="O447" s="72" t="s">
        <v>327</v>
      </c>
      <c r="P447" s="80" t="s">
        <v>699</v>
      </c>
      <c r="Q447" s="38"/>
      <c r="R447" s="38"/>
      <c r="S447" s="38"/>
      <c r="T447" s="38"/>
      <c r="U447" s="38"/>
      <c r="V447" s="38"/>
      <c r="W447" s="38"/>
    </row>
    <row r="448" spans="1:23" s="79" customFormat="1">
      <c r="A448" s="94" t="s">
        <v>102</v>
      </c>
      <c r="B448" s="78">
        <f>B446*0.3</f>
        <v>12.665011012764934</v>
      </c>
      <c r="C448" s="78"/>
      <c r="D448" s="78" t="s">
        <v>37</v>
      </c>
      <c r="E448" s="78" t="s">
        <v>38</v>
      </c>
      <c r="F448" s="78" t="s">
        <v>29</v>
      </c>
      <c r="G448" s="78" t="s">
        <v>60</v>
      </c>
      <c r="H448" s="78" t="s">
        <v>98</v>
      </c>
      <c r="I448" s="78">
        <v>2</v>
      </c>
      <c r="J448" s="78">
        <f>LN(B448)</f>
        <v>2.5388431529964848</v>
      </c>
      <c r="K448" s="78">
        <v>0.30331501776206199</v>
      </c>
      <c r="L448" s="57" t="s">
        <v>31</v>
      </c>
      <c r="M448" s="57" t="s">
        <v>31</v>
      </c>
      <c r="N448" s="57" t="s">
        <v>31</v>
      </c>
      <c r="O448" s="78" t="s">
        <v>327</v>
      </c>
      <c r="P448" s="82" t="s">
        <v>700</v>
      </c>
      <c r="Q448" s="57"/>
      <c r="R448" s="57"/>
      <c r="S448" s="57"/>
      <c r="T448" s="57"/>
      <c r="U448" s="57"/>
      <c r="V448" s="57"/>
      <c r="W448" s="57"/>
    </row>
    <row r="449" spans="1:23" s="42" customFormat="1">
      <c r="A449" s="70" t="s">
        <v>100</v>
      </c>
      <c r="B449" s="72">
        <f>B446*0.7</f>
        <v>29.551692363118178</v>
      </c>
      <c r="C449" s="115" t="s">
        <v>101</v>
      </c>
      <c r="D449" s="72" t="s">
        <v>37</v>
      </c>
      <c r="E449" s="72" t="s">
        <v>38</v>
      </c>
      <c r="F449" s="72" t="s">
        <v>29</v>
      </c>
      <c r="G449" s="72" t="s">
        <v>86</v>
      </c>
      <c r="H449" s="72" t="s">
        <v>33</v>
      </c>
      <c r="I449" s="72">
        <v>2</v>
      </c>
      <c r="J449" s="72">
        <f>LN(B449)</f>
        <v>3.3861410133836882</v>
      </c>
      <c r="K449" s="72">
        <v>0.30331501776206199</v>
      </c>
      <c r="L449" s="38" t="s">
        <v>31</v>
      </c>
      <c r="M449" s="38" t="s">
        <v>31</v>
      </c>
      <c r="N449" s="38" t="s">
        <v>31</v>
      </c>
      <c r="O449" s="72" t="s">
        <v>327</v>
      </c>
      <c r="P449" s="80" t="s">
        <v>701</v>
      </c>
      <c r="Q449" s="38"/>
      <c r="R449" s="38"/>
      <c r="S449" s="38"/>
      <c r="T449" s="38"/>
      <c r="U449" s="38"/>
      <c r="V449" s="38"/>
      <c r="W449" s="38"/>
    </row>
    <row r="450" spans="1:23" s="79" customFormat="1">
      <c r="A450" s="94" t="s">
        <v>355</v>
      </c>
      <c r="B450" s="78">
        <f>B446*0.7</f>
        <v>29.551692363118178</v>
      </c>
      <c r="C450" s="78"/>
      <c r="D450" s="78" t="s">
        <v>37</v>
      </c>
      <c r="E450" s="78" t="s">
        <v>38</v>
      </c>
      <c r="F450" s="78" t="s">
        <v>29</v>
      </c>
      <c r="G450" s="78" t="s">
        <v>60</v>
      </c>
      <c r="H450" s="78" t="s">
        <v>98</v>
      </c>
      <c r="I450" s="78">
        <v>2</v>
      </c>
      <c r="J450" s="78">
        <f t="shared" si="27"/>
        <v>3.3861410133836882</v>
      </c>
      <c r="K450" s="78">
        <v>0.30331501776206199</v>
      </c>
      <c r="L450" s="57" t="s">
        <v>31</v>
      </c>
      <c r="M450" s="57" t="s">
        <v>31</v>
      </c>
      <c r="N450" s="57" t="s">
        <v>31</v>
      </c>
      <c r="O450" s="78" t="s">
        <v>327</v>
      </c>
      <c r="P450" s="82" t="s">
        <v>702</v>
      </c>
      <c r="Q450" s="57"/>
      <c r="R450" s="57"/>
      <c r="S450" s="57"/>
      <c r="T450" s="57"/>
      <c r="U450" s="57"/>
      <c r="V450" s="57"/>
      <c r="W450" s="57"/>
    </row>
    <row r="451" spans="1:23" s="42" customFormat="1">
      <c r="A451" s="70" t="s">
        <v>100</v>
      </c>
      <c r="B451" s="72">
        <f>B438*(1-1/15)</f>
        <v>42.216703375883114</v>
      </c>
      <c r="C451" s="115" t="s">
        <v>101</v>
      </c>
      <c r="D451" s="72" t="s">
        <v>37</v>
      </c>
      <c r="E451" s="72" t="s">
        <v>38</v>
      </c>
      <c r="F451" s="72" t="s">
        <v>29</v>
      </c>
      <c r="G451" s="72" t="s">
        <v>86</v>
      </c>
      <c r="H451" s="72" t="s">
        <v>33</v>
      </c>
      <c r="I451" s="72">
        <v>2</v>
      </c>
      <c r="J451" s="72">
        <f t="shared" si="27"/>
        <v>3.7428159573224207</v>
      </c>
      <c r="K451" s="72">
        <v>0.30331501776206199</v>
      </c>
      <c r="L451" s="38" t="s">
        <v>31</v>
      </c>
      <c r="M451" s="38" t="s">
        <v>31</v>
      </c>
      <c r="N451" s="38" t="s">
        <v>31</v>
      </c>
      <c r="O451" s="72" t="s">
        <v>327</v>
      </c>
      <c r="P451" s="80" t="s">
        <v>703</v>
      </c>
      <c r="Q451" s="38"/>
      <c r="R451" s="38"/>
      <c r="S451" s="38"/>
      <c r="T451" s="38"/>
      <c r="U451" s="38"/>
      <c r="V451" s="38"/>
      <c r="W451" s="38"/>
    </row>
    <row r="452" spans="1:23" s="79" customFormat="1">
      <c r="A452" s="94" t="s">
        <v>352</v>
      </c>
      <c r="B452" s="78">
        <f>B438*(1-1/15)</f>
        <v>42.216703375883114</v>
      </c>
      <c r="C452" s="78"/>
      <c r="D452" s="78" t="s">
        <v>37</v>
      </c>
      <c r="E452" s="78" t="s">
        <v>38</v>
      </c>
      <c r="F452" s="78" t="s">
        <v>29</v>
      </c>
      <c r="G452" s="78" t="s">
        <v>60</v>
      </c>
      <c r="H452" s="78" t="s">
        <v>98</v>
      </c>
      <c r="I452" s="78">
        <v>2</v>
      </c>
      <c r="J452" s="78">
        <f t="shared" si="27"/>
        <v>3.7428159573224207</v>
      </c>
      <c r="K452" s="78">
        <v>0.30331501776206199</v>
      </c>
      <c r="L452" s="57" t="s">
        <v>31</v>
      </c>
      <c r="M452" s="57" t="s">
        <v>31</v>
      </c>
      <c r="N452" s="57" t="s">
        <v>31</v>
      </c>
      <c r="O452" s="78" t="s">
        <v>327</v>
      </c>
      <c r="P452" s="82" t="s">
        <v>704</v>
      </c>
      <c r="Q452" s="57"/>
      <c r="R452" s="57"/>
      <c r="S452" s="57"/>
      <c r="T452" s="57"/>
      <c r="U452" s="57"/>
      <c r="V452" s="57"/>
      <c r="W452" s="57"/>
    </row>
    <row r="453" spans="1:23">
      <c r="A453" s="34" t="s">
        <v>134</v>
      </c>
      <c r="B453" s="34">
        <f>B439*(1-1/15)</f>
        <v>42.216703375883114</v>
      </c>
      <c r="C453" s="34"/>
      <c r="D453" s="34" t="s">
        <v>37</v>
      </c>
      <c r="E453" s="34" t="s">
        <v>38</v>
      </c>
      <c r="F453" s="34" t="s">
        <v>29</v>
      </c>
      <c r="G453" s="34" t="s">
        <v>86</v>
      </c>
      <c r="H453" s="34" t="s">
        <v>33</v>
      </c>
      <c r="I453" s="34">
        <v>2</v>
      </c>
      <c r="J453" s="34">
        <f t="shared" si="27"/>
        <v>3.7428159573224207</v>
      </c>
      <c r="K453" s="34">
        <v>0.30331501776206199</v>
      </c>
      <c r="L453" s="31" t="s">
        <v>31</v>
      </c>
      <c r="M453" s="31" t="s">
        <v>31</v>
      </c>
      <c r="N453" s="31" t="s">
        <v>31</v>
      </c>
      <c r="O453" s="34" t="s">
        <v>327</v>
      </c>
      <c r="P453" s="31" t="s">
        <v>705</v>
      </c>
      <c r="Q453" s="31"/>
      <c r="R453" s="32" t="s">
        <v>578</v>
      </c>
      <c r="V453" s="31"/>
    </row>
    <row r="454" spans="1:23">
      <c r="A454" s="34" t="s">
        <v>678</v>
      </c>
      <c r="B454" s="34">
        <f>B439*(1-1/15)</f>
        <v>42.216703375883114</v>
      </c>
      <c r="C454" s="34"/>
      <c r="D454" s="34" t="s">
        <v>37</v>
      </c>
      <c r="E454" s="34" t="s">
        <v>38</v>
      </c>
      <c r="F454" s="34" t="s">
        <v>29</v>
      </c>
      <c r="G454" s="34" t="s">
        <v>60</v>
      </c>
      <c r="H454" s="34" t="s">
        <v>98</v>
      </c>
      <c r="I454" s="34">
        <v>2</v>
      </c>
      <c r="J454" s="34">
        <f t="shared" si="27"/>
        <v>3.7428159573224207</v>
      </c>
      <c r="K454" s="34">
        <v>0.30331501776206199</v>
      </c>
      <c r="L454" s="31" t="s">
        <v>31</v>
      </c>
      <c r="M454" s="31" t="s">
        <v>31</v>
      </c>
      <c r="N454" s="31" t="s">
        <v>31</v>
      </c>
      <c r="O454" s="34" t="s">
        <v>327</v>
      </c>
      <c r="P454" s="31" t="s">
        <v>706</v>
      </c>
      <c r="Q454" s="31"/>
      <c r="V454" s="31"/>
    </row>
    <row r="455" spans="1:23">
      <c r="A455" s="31" t="s">
        <v>168</v>
      </c>
      <c r="B455" s="67">
        <f>R455</f>
        <v>724.11076220420307</v>
      </c>
      <c r="C455" s="67"/>
      <c r="D455" s="31" t="s">
        <v>41</v>
      </c>
      <c r="E455" s="31" t="s">
        <v>38</v>
      </c>
      <c r="F455" s="31" t="s">
        <v>29</v>
      </c>
      <c r="G455" s="31" t="s">
        <v>60</v>
      </c>
      <c r="H455" s="31" t="s">
        <v>33</v>
      </c>
      <c r="I455" s="31">
        <v>2</v>
      </c>
      <c r="J455" s="31">
        <f t="shared" si="27"/>
        <v>6.5849443671543737</v>
      </c>
      <c r="K455" s="31">
        <v>0.28635642126552702</v>
      </c>
      <c r="L455" s="31" t="s">
        <v>31</v>
      </c>
      <c r="M455" s="31" t="s">
        <v>31</v>
      </c>
      <c r="N455" s="31" t="s">
        <v>31</v>
      </c>
      <c r="O455" s="31"/>
      <c r="P455" s="31" t="s">
        <v>329</v>
      </c>
      <c r="Q455" s="31"/>
      <c r="R455" s="31">
        <v>724.11076220420307</v>
      </c>
      <c r="S455" s="31" t="s">
        <v>332</v>
      </c>
      <c r="V455" s="31"/>
    </row>
    <row r="456" spans="1:23">
      <c r="A456" s="31" t="s">
        <v>170</v>
      </c>
      <c r="B456" s="67">
        <f>V456</f>
        <v>68.441001699683326</v>
      </c>
      <c r="C456" s="67"/>
      <c r="D456" s="31" t="s">
        <v>50</v>
      </c>
      <c r="E456" s="31" t="s">
        <v>38</v>
      </c>
      <c r="F456" s="31" t="s">
        <v>29</v>
      </c>
      <c r="G456" s="31" t="s">
        <v>333</v>
      </c>
      <c r="H456" s="31" t="s">
        <v>33</v>
      </c>
      <c r="I456" s="31">
        <v>2</v>
      </c>
      <c r="J456" s="31">
        <f t="shared" si="27"/>
        <v>4.2259720850899321</v>
      </c>
      <c r="K456" s="31">
        <v>0.28635642126552702</v>
      </c>
      <c r="L456" s="31" t="s">
        <v>31</v>
      </c>
      <c r="M456" s="31" t="s">
        <v>31</v>
      </c>
      <c r="N456" s="31" t="s">
        <v>31</v>
      </c>
      <c r="O456" s="31"/>
      <c r="P456" s="31" t="s">
        <v>329</v>
      </c>
      <c r="Q456" s="31"/>
      <c r="R456" s="46">
        <v>728.13679503615651</v>
      </c>
      <c r="S456" s="31" t="s">
        <v>332</v>
      </c>
      <c r="T456" s="31">
        <f>R456/0.277778</f>
        <v>2621.290365097871</v>
      </c>
      <c r="U456" s="31" t="s">
        <v>331</v>
      </c>
      <c r="V456" s="31">
        <f>T456/38.3</f>
        <v>68.441001699683326</v>
      </c>
      <c r="W456" s="31" t="s">
        <v>335</v>
      </c>
    </row>
    <row r="457" spans="1:23">
      <c r="A457" s="31" t="s">
        <v>112</v>
      </c>
      <c r="B457" s="67">
        <f>T457</f>
        <v>327.14366325866007</v>
      </c>
      <c r="C457" s="67"/>
      <c r="D457" s="31" t="s">
        <v>113</v>
      </c>
      <c r="E457" s="31" t="s">
        <v>38</v>
      </c>
      <c r="F457" s="31" t="s">
        <v>29</v>
      </c>
      <c r="G457" s="31" t="s">
        <v>60</v>
      </c>
      <c r="H457" s="31" t="s">
        <v>33</v>
      </c>
      <c r="I457" s="31">
        <v>2</v>
      </c>
      <c r="J457" s="31">
        <f t="shared" si="27"/>
        <v>5.7903994115993775</v>
      </c>
      <c r="K457" s="31">
        <v>0.28635642126552702</v>
      </c>
      <c r="L457" s="31" t="s">
        <v>31</v>
      </c>
      <c r="M457" s="31" t="s">
        <v>31</v>
      </c>
      <c r="N457" s="31" t="s">
        <v>31</v>
      </c>
      <c r="O457" s="31"/>
      <c r="P457" s="31" t="s">
        <v>329</v>
      </c>
      <c r="Q457" s="31"/>
      <c r="R457" s="104">
        <v>90.873312492664084</v>
      </c>
      <c r="S457" s="31" t="s">
        <v>332</v>
      </c>
      <c r="T457" s="31">
        <f>R457/0.277778</f>
        <v>327.14366325866007</v>
      </c>
      <c r="U457" s="31" t="s">
        <v>331</v>
      </c>
      <c r="V457" s="31"/>
    </row>
    <row r="458" spans="1:23">
      <c r="A458" s="31" t="s">
        <v>164</v>
      </c>
      <c r="B458" s="67">
        <f>V458</f>
        <v>15.482754180556499</v>
      </c>
      <c r="C458" s="67"/>
      <c r="D458" s="31" t="s">
        <v>37</v>
      </c>
      <c r="E458" s="31" t="s">
        <v>38</v>
      </c>
      <c r="F458" s="31" t="s">
        <v>29</v>
      </c>
      <c r="G458" s="31" t="s">
        <v>60</v>
      </c>
      <c r="H458" s="31" t="s">
        <v>33</v>
      </c>
      <c r="I458" s="31">
        <v>2</v>
      </c>
      <c r="J458" s="31">
        <f>LN(B458)</f>
        <v>2.7397267709765374</v>
      </c>
      <c r="K458" s="31">
        <v>0.28635642126552702</v>
      </c>
      <c r="L458" s="31" t="s">
        <v>31</v>
      </c>
      <c r="M458" s="31" t="s">
        <v>31</v>
      </c>
      <c r="N458" s="31" t="s">
        <v>31</v>
      </c>
      <c r="O458" s="31"/>
      <c r="P458" s="31" t="s">
        <v>329</v>
      </c>
      <c r="Q458" s="31"/>
      <c r="R458" s="104">
        <v>192.67442838634472</v>
      </c>
      <c r="S458" s="31" t="s">
        <v>332</v>
      </c>
      <c r="T458" s="31">
        <f>R458/0.277778</f>
        <v>693.62738728893112</v>
      </c>
      <c r="U458" s="31" t="s">
        <v>331</v>
      </c>
      <c r="V458" s="31">
        <f>T458/44.8</f>
        <v>15.482754180556499</v>
      </c>
      <c r="W458" s="31" t="s">
        <v>337</v>
      </c>
    </row>
    <row r="459" spans="1:23">
      <c r="A459" s="31" t="s">
        <v>36</v>
      </c>
      <c r="B459" s="67">
        <f>V459</f>
        <v>30.564959496740386</v>
      </c>
      <c r="C459" s="67"/>
      <c r="D459" s="31" t="s">
        <v>37</v>
      </c>
      <c r="E459" s="31" t="s">
        <v>38</v>
      </c>
      <c r="F459" s="31" t="s">
        <v>29</v>
      </c>
      <c r="G459" s="31" t="s">
        <v>86</v>
      </c>
      <c r="H459" s="31" t="s">
        <v>33</v>
      </c>
      <c r="I459" s="31">
        <v>2</v>
      </c>
      <c r="J459" s="31">
        <f t="shared" ref="J459:J467" si="28">LN(B459)</f>
        <v>3.4198542383281794</v>
      </c>
      <c r="K459" s="31">
        <v>0.28635642126552702</v>
      </c>
      <c r="L459" s="31" t="s">
        <v>31</v>
      </c>
      <c r="M459" s="31" t="s">
        <v>31</v>
      </c>
      <c r="N459" s="31" t="s">
        <v>31</v>
      </c>
      <c r="O459" s="31"/>
      <c r="P459" s="31" t="s">
        <v>329</v>
      </c>
      <c r="Q459" s="31"/>
      <c r="R459" s="104">
        <v>392.25062734175253</v>
      </c>
      <c r="S459" s="31" t="s">
        <v>332</v>
      </c>
      <c r="T459" s="31">
        <f>R459/0.277778</f>
        <v>1412.1011287494059</v>
      </c>
      <c r="U459" s="31" t="s">
        <v>331</v>
      </c>
      <c r="V459" s="31">
        <f>T459/46.2</f>
        <v>30.564959496740386</v>
      </c>
      <c r="W459" s="31" t="s">
        <v>337</v>
      </c>
    </row>
    <row r="460" spans="1:23" s="65" customFormat="1">
      <c r="A460" s="31" t="s">
        <v>59</v>
      </c>
      <c r="B460" s="67">
        <f>V460</f>
        <v>0.18822995584502883</v>
      </c>
      <c r="C460" s="67"/>
      <c r="D460" s="31" t="s">
        <v>37</v>
      </c>
      <c r="E460" s="31" t="s">
        <v>2</v>
      </c>
      <c r="F460" s="31" t="s">
        <v>324</v>
      </c>
      <c r="G460" s="31" t="s">
        <v>60</v>
      </c>
      <c r="H460" s="31" t="s">
        <v>33</v>
      </c>
      <c r="I460" s="31">
        <v>2</v>
      </c>
      <c r="J460" s="31">
        <f t="shared" si="28"/>
        <v>-1.6700908942259598</v>
      </c>
      <c r="K460" s="31">
        <v>0.28635642126552702</v>
      </c>
      <c r="L460" s="31" t="s">
        <v>31</v>
      </c>
      <c r="M460" s="31" t="s">
        <v>31</v>
      </c>
      <c r="N460" s="31" t="s">
        <v>31</v>
      </c>
      <c r="O460" s="64"/>
      <c r="P460" s="31"/>
      <c r="Q460" s="45"/>
      <c r="R460" s="104">
        <v>2.3005901896876986</v>
      </c>
      <c r="S460" s="31" t="s">
        <v>332</v>
      </c>
      <c r="T460" s="31">
        <f>R460/0.277778</f>
        <v>8.2821180571812683</v>
      </c>
      <c r="U460" s="31" t="s">
        <v>331</v>
      </c>
      <c r="V460" s="31">
        <f>T460/44</f>
        <v>0.18822995584502883</v>
      </c>
      <c r="W460" s="31" t="s">
        <v>337</v>
      </c>
    </row>
    <row r="461" spans="1:23">
      <c r="A461" s="31" t="s">
        <v>172</v>
      </c>
      <c r="B461" s="45">
        <f>T461</f>
        <v>1766.6949530393833</v>
      </c>
      <c r="C461" s="45"/>
      <c r="D461" s="31" t="s">
        <v>37</v>
      </c>
      <c r="E461" s="31" t="s">
        <v>38</v>
      </c>
      <c r="F461" s="31" t="s">
        <v>29</v>
      </c>
      <c r="G461" s="31" t="s">
        <v>60</v>
      </c>
      <c r="H461" s="31" t="s">
        <v>33</v>
      </c>
      <c r="I461" s="31">
        <v>2</v>
      </c>
      <c r="J461" s="31">
        <f t="shared" si="28"/>
        <v>7.4768658218982944</v>
      </c>
      <c r="K461" s="31">
        <v>0.28635642126552702</v>
      </c>
      <c r="L461" s="31" t="s">
        <v>31</v>
      </c>
      <c r="M461" s="31" t="s">
        <v>31</v>
      </c>
      <c r="N461" s="31" t="s">
        <v>31</v>
      </c>
      <c r="O461" s="31"/>
      <c r="P461" s="31" t="s">
        <v>329</v>
      </c>
      <c r="Q461" s="31"/>
      <c r="R461" s="105">
        <v>1.7706434880176627</v>
      </c>
      <c r="S461" s="31" t="s">
        <v>335</v>
      </c>
      <c r="T461" s="31">
        <f>R461*997.77</f>
        <v>1766.6949530393833</v>
      </c>
      <c r="U461" s="31" t="s">
        <v>337</v>
      </c>
      <c r="V461" s="31"/>
    </row>
    <row r="462" spans="1:23">
      <c r="A462" s="51" t="s">
        <v>580</v>
      </c>
      <c r="B462" s="66">
        <f>R462</f>
        <v>1.6511036714663954</v>
      </c>
      <c r="C462" s="66"/>
      <c r="D462" s="31" t="s">
        <v>50</v>
      </c>
      <c r="E462" s="31" t="s">
        <v>2</v>
      </c>
      <c r="F462" s="31" t="s">
        <v>29</v>
      </c>
      <c r="G462" s="51" t="s">
        <v>86</v>
      </c>
      <c r="H462" s="31" t="s">
        <v>33</v>
      </c>
      <c r="I462" s="31">
        <v>2</v>
      </c>
      <c r="J462" s="31">
        <f t="shared" si="28"/>
        <v>0.50144395610189374</v>
      </c>
      <c r="K462" s="31">
        <v>0.28635642126552702</v>
      </c>
      <c r="L462" s="31" t="s">
        <v>31</v>
      </c>
      <c r="M462" s="31" t="s">
        <v>31</v>
      </c>
      <c r="N462" s="31" t="s">
        <v>31</v>
      </c>
      <c r="O462" s="31"/>
      <c r="P462" s="31" t="s">
        <v>329</v>
      </c>
      <c r="Q462" s="31"/>
      <c r="R462" s="105">
        <v>1.6511036714663954</v>
      </c>
      <c r="S462" s="31" t="s">
        <v>335</v>
      </c>
      <c r="V462" s="31"/>
    </row>
    <row r="463" spans="1:23">
      <c r="A463" s="31" t="s">
        <v>581</v>
      </c>
      <c r="B463" s="66">
        <f>R463</f>
        <v>40.064778153411268</v>
      </c>
      <c r="C463" s="66"/>
      <c r="D463" s="31" t="s">
        <v>37</v>
      </c>
      <c r="E463" s="31" t="s">
        <v>2</v>
      </c>
      <c r="F463" s="31" t="s">
        <v>29</v>
      </c>
      <c r="G463" s="31" t="s">
        <v>86</v>
      </c>
      <c r="H463" s="31" t="s">
        <v>33</v>
      </c>
      <c r="I463" s="31">
        <v>2</v>
      </c>
      <c r="J463" s="31">
        <f t="shared" si="28"/>
        <v>3.6904975980478816</v>
      </c>
      <c r="K463" s="31">
        <v>0.28635642126552702</v>
      </c>
      <c r="L463" s="31" t="s">
        <v>31</v>
      </c>
      <c r="M463" s="31" t="s">
        <v>31</v>
      </c>
      <c r="N463" s="31" t="s">
        <v>31</v>
      </c>
      <c r="O463" s="31"/>
      <c r="P463" s="31" t="s">
        <v>329</v>
      </c>
      <c r="Q463" s="31"/>
      <c r="R463" s="31">
        <v>40.064778153411268</v>
      </c>
      <c r="S463" s="31" t="s">
        <v>337</v>
      </c>
      <c r="V463" s="31"/>
    </row>
    <row r="464" spans="1:23">
      <c r="A464" s="31" t="s">
        <v>48</v>
      </c>
      <c r="B464" s="66">
        <f t="shared" ref="B464:B467" si="29">R464</f>
        <v>752.71227458994804</v>
      </c>
      <c r="C464" s="66"/>
      <c r="D464" s="31" t="s">
        <v>37</v>
      </c>
      <c r="E464" s="31" t="s">
        <v>43</v>
      </c>
      <c r="F464" s="31" t="s">
        <v>44</v>
      </c>
      <c r="G464" s="31" t="s">
        <v>29</v>
      </c>
      <c r="H464" s="31" t="s">
        <v>45</v>
      </c>
      <c r="I464" s="31">
        <v>2</v>
      </c>
      <c r="J464" s="31">
        <f t="shared" si="28"/>
        <v>6.623683049320765</v>
      </c>
      <c r="K464" s="31">
        <v>0.28635642126552702</v>
      </c>
      <c r="L464" s="31" t="s">
        <v>31</v>
      </c>
      <c r="M464" s="31" t="s">
        <v>31</v>
      </c>
      <c r="N464" s="31" t="s">
        <v>31</v>
      </c>
      <c r="O464" s="31"/>
      <c r="P464" s="31" t="s">
        <v>329</v>
      </c>
      <c r="Q464" s="31"/>
      <c r="R464" s="31">
        <v>752.71227458994804</v>
      </c>
      <c r="S464" s="31" t="s">
        <v>337</v>
      </c>
      <c r="V464" s="31"/>
    </row>
    <row r="465" spans="1:23">
      <c r="A465" s="31" t="s">
        <v>51</v>
      </c>
      <c r="B465" s="66">
        <f t="shared" si="29"/>
        <v>8.0520656639069439E-3</v>
      </c>
      <c r="C465" s="66"/>
      <c r="D465" s="31" t="s">
        <v>37</v>
      </c>
      <c r="E465" s="31" t="s">
        <v>43</v>
      </c>
      <c r="F465" s="31" t="s">
        <v>44</v>
      </c>
      <c r="G465" s="31" t="s">
        <v>29</v>
      </c>
      <c r="H465" s="31" t="s">
        <v>45</v>
      </c>
      <c r="I465" s="31">
        <v>2</v>
      </c>
      <c r="J465" s="31">
        <f t="shared" si="28"/>
        <v>-4.8218266162568524</v>
      </c>
      <c r="K465" s="31">
        <v>0.28635642126552702</v>
      </c>
      <c r="L465" s="31" t="s">
        <v>31</v>
      </c>
      <c r="M465" s="31" t="s">
        <v>31</v>
      </c>
      <c r="N465" s="31" t="s">
        <v>31</v>
      </c>
      <c r="O465" s="31"/>
      <c r="P465" s="31" t="s">
        <v>329</v>
      </c>
      <c r="Q465" s="31"/>
      <c r="R465" s="31">
        <v>8.0520656639069439E-3</v>
      </c>
      <c r="S465" s="31" t="s">
        <v>337</v>
      </c>
      <c r="V465" s="31"/>
    </row>
    <row r="466" spans="1:23">
      <c r="A466" s="31" t="s">
        <v>42</v>
      </c>
      <c r="B466" s="66">
        <f t="shared" si="29"/>
        <v>0.12768275552766725</v>
      </c>
      <c r="C466" s="66"/>
      <c r="D466" s="31" t="s">
        <v>37</v>
      </c>
      <c r="E466" s="31" t="s">
        <v>43</v>
      </c>
      <c r="F466" s="31" t="s">
        <v>44</v>
      </c>
      <c r="G466" s="31" t="s">
        <v>29</v>
      </c>
      <c r="H466" s="31" t="s">
        <v>45</v>
      </c>
      <c r="I466" s="31">
        <v>2</v>
      </c>
      <c r="J466" s="31">
        <f t="shared" si="28"/>
        <v>-2.0582065639998315</v>
      </c>
      <c r="K466" s="31">
        <v>0.28635642126552702</v>
      </c>
      <c r="L466" s="31" t="s">
        <v>31</v>
      </c>
      <c r="M466" s="31" t="s">
        <v>31</v>
      </c>
      <c r="N466" s="31" t="s">
        <v>31</v>
      </c>
      <c r="O466" s="31"/>
      <c r="P466" s="31" t="s">
        <v>329</v>
      </c>
      <c r="Q466" s="31"/>
      <c r="R466" s="31">
        <v>0.12768275552766725</v>
      </c>
      <c r="S466" s="31" t="s">
        <v>337</v>
      </c>
      <c r="V466" s="31"/>
    </row>
    <row r="467" spans="1:23">
      <c r="A467" s="31" t="s">
        <v>490</v>
      </c>
      <c r="B467" s="66">
        <f t="shared" si="29"/>
        <v>0.60448007234044276</v>
      </c>
      <c r="C467" s="66"/>
      <c r="D467" s="31" t="s">
        <v>37</v>
      </c>
      <c r="E467" s="31" t="s">
        <v>43</v>
      </c>
      <c r="F467" s="31" t="s">
        <v>44</v>
      </c>
      <c r="G467" s="31" t="s">
        <v>29</v>
      </c>
      <c r="H467" s="31" t="s">
        <v>45</v>
      </c>
      <c r="I467" s="31">
        <v>2</v>
      </c>
      <c r="J467" s="31">
        <f t="shared" si="28"/>
        <v>-0.5033865749951596</v>
      </c>
      <c r="K467" s="31">
        <v>0.28635642126552702</v>
      </c>
      <c r="L467" s="31" t="s">
        <v>31</v>
      </c>
      <c r="M467" s="31" t="s">
        <v>31</v>
      </c>
      <c r="N467" s="31" t="s">
        <v>31</v>
      </c>
      <c r="O467" s="31"/>
      <c r="P467" s="31" t="s">
        <v>329</v>
      </c>
      <c r="Q467" s="31"/>
      <c r="R467" s="31">
        <v>0.60448007234044276</v>
      </c>
      <c r="S467" s="31" t="s">
        <v>337</v>
      </c>
      <c r="V467" s="31"/>
    </row>
    <row r="468" spans="1:23" s="42" customFormat="1">
      <c r="A468" s="36" t="s">
        <v>5</v>
      </c>
      <c r="B468" s="36" t="s">
        <v>571</v>
      </c>
      <c r="C468" s="36"/>
      <c r="D468" s="37"/>
      <c r="E468" s="38"/>
      <c r="F468" s="38"/>
      <c r="G468" s="38"/>
      <c r="H468" s="38"/>
      <c r="I468" s="38"/>
      <c r="J468" s="38"/>
      <c r="K468" s="38"/>
      <c r="L468" s="38"/>
      <c r="M468" s="38"/>
      <c r="N468" s="38"/>
      <c r="O468" s="38"/>
      <c r="P468" s="38" t="s">
        <v>329</v>
      </c>
      <c r="Q468" s="38"/>
      <c r="R468" s="38"/>
      <c r="S468" s="38"/>
      <c r="T468" s="38"/>
      <c r="U468" s="38"/>
      <c r="V468" s="38"/>
      <c r="W468" s="38"/>
    </row>
    <row r="469" spans="1:23">
      <c r="A469" s="31" t="s">
        <v>7</v>
      </c>
      <c r="B469" s="31" t="s">
        <v>324</v>
      </c>
      <c r="C469" s="31"/>
      <c r="D469" s="31"/>
      <c r="E469" s="31"/>
      <c r="F469" s="31"/>
      <c r="G469" s="31"/>
      <c r="H469" s="31"/>
      <c r="I469" s="31"/>
      <c r="J469" s="31"/>
      <c r="K469" s="31"/>
      <c r="L469" s="31"/>
      <c r="M469" s="31"/>
      <c r="N469" s="31"/>
      <c r="O469" s="31"/>
      <c r="P469" s="31" t="s">
        <v>329</v>
      </c>
      <c r="Q469" s="31"/>
      <c r="V469" s="31"/>
    </row>
    <row r="470" spans="1:23">
      <c r="A470" s="31" t="s">
        <v>9</v>
      </c>
      <c r="B470" s="43" t="s">
        <v>707</v>
      </c>
      <c r="C470" s="31"/>
      <c r="D470" s="31"/>
      <c r="E470" s="31"/>
      <c r="F470" s="31"/>
      <c r="G470" s="31"/>
      <c r="H470" s="31"/>
      <c r="I470" s="31"/>
      <c r="J470" s="31"/>
      <c r="K470" s="31"/>
      <c r="L470" s="31"/>
      <c r="M470" s="31"/>
      <c r="N470" s="31"/>
      <c r="O470" s="31"/>
      <c r="P470" s="31" t="s">
        <v>329</v>
      </c>
      <c r="Q470" s="31"/>
      <c r="V470" s="31"/>
    </row>
    <row r="471" spans="1:23">
      <c r="A471" s="31" t="s">
        <v>11</v>
      </c>
      <c r="B471" s="31" t="s">
        <v>708</v>
      </c>
      <c r="C471" s="31"/>
      <c r="D471" s="31"/>
      <c r="E471" s="31"/>
      <c r="F471" s="31"/>
      <c r="G471" s="31"/>
      <c r="H471" s="31"/>
      <c r="I471" s="31"/>
      <c r="J471" s="31"/>
      <c r="K471" s="31"/>
      <c r="L471" s="31"/>
      <c r="M471" s="31"/>
      <c r="N471" s="31"/>
      <c r="O471" s="31"/>
      <c r="P471" s="31" t="s">
        <v>329</v>
      </c>
      <c r="Q471" s="31"/>
      <c r="V471" s="31"/>
    </row>
    <row r="472" spans="1:23">
      <c r="A472" s="31" t="s">
        <v>13</v>
      </c>
      <c r="B472" s="31" t="s">
        <v>60</v>
      </c>
      <c r="C472" s="31"/>
      <c r="D472" s="31"/>
      <c r="E472" s="31"/>
      <c r="F472" s="31"/>
      <c r="G472" s="31"/>
      <c r="H472" s="31"/>
      <c r="I472" s="31"/>
      <c r="J472" s="31"/>
      <c r="K472" s="31"/>
      <c r="L472" s="31"/>
      <c r="M472" s="31"/>
      <c r="N472" s="31"/>
      <c r="O472" s="31"/>
      <c r="P472" s="31" t="s">
        <v>329</v>
      </c>
      <c r="Q472" s="31"/>
      <c r="V472" s="31"/>
    </row>
    <row r="473" spans="1:23">
      <c r="A473" s="31" t="s">
        <v>15</v>
      </c>
      <c r="B473" s="31">
        <v>1</v>
      </c>
      <c r="C473" s="31"/>
      <c r="D473" s="31"/>
      <c r="E473" s="31"/>
      <c r="F473" s="31"/>
      <c r="G473" s="31"/>
      <c r="H473" s="31"/>
      <c r="I473" s="31"/>
      <c r="J473" s="31"/>
      <c r="K473" s="31"/>
      <c r="L473" s="31"/>
      <c r="M473" s="31"/>
      <c r="N473" s="31"/>
      <c r="O473" s="31"/>
      <c r="P473" s="31" t="s">
        <v>329</v>
      </c>
      <c r="Q473" s="31"/>
      <c r="V473" s="31"/>
    </row>
    <row r="474" spans="1:23">
      <c r="A474" s="31" t="s">
        <v>16</v>
      </c>
      <c r="B474" s="31" t="s">
        <v>17</v>
      </c>
      <c r="C474" s="31"/>
      <c r="D474" s="31"/>
      <c r="E474" s="31"/>
      <c r="F474" s="31"/>
      <c r="G474" s="31"/>
      <c r="H474" s="31"/>
      <c r="I474" s="31"/>
      <c r="J474" s="31"/>
      <c r="K474" s="31"/>
      <c r="L474" s="31"/>
      <c r="M474" s="31"/>
      <c r="N474" s="31"/>
      <c r="O474" s="31"/>
      <c r="P474" s="31" t="s">
        <v>329</v>
      </c>
      <c r="Q474" s="31"/>
      <c r="V474" s="31"/>
    </row>
    <row r="475" spans="1:23">
      <c r="A475" s="31" t="s">
        <v>18</v>
      </c>
      <c r="B475" s="31" t="s">
        <v>18</v>
      </c>
      <c r="C475" s="31"/>
      <c r="D475" s="31"/>
      <c r="E475" s="31" t="s">
        <v>77</v>
      </c>
      <c r="F475" s="31"/>
      <c r="G475" s="31"/>
      <c r="H475" s="31"/>
      <c r="I475" s="31"/>
      <c r="J475" s="31"/>
      <c r="K475" s="31"/>
      <c r="L475" s="31"/>
      <c r="M475" s="31"/>
      <c r="N475" s="31"/>
      <c r="O475" s="31"/>
      <c r="P475" s="31" t="s">
        <v>329</v>
      </c>
      <c r="Q475" s="31"/>
      <c r="V475" s="31"/>
    </row>
    <row r="476" spans="1:23">
      <c r="A476" s="32" t="s">
        <v>19</v>
      </c>
      <c r="B476" s="31"/>
      <c r="C476" s="31"/>
      <c r="D476" s="31"/>
      <c r="E476" s="31"/>
      <c r="F476" s="31"/>
      <c r="G476" s="31"/>
      <c r="H476" s="31"/>
      <c r="I476" s="31"/>
      <c r="J476" s="31"/>
      <c r="K476" s="31"/>
      <c r="L476" s="31"/>
      <c r="M476" s="31"/>
      <c r="N476" s="31"/>
      <c r="O476" s="31"/>
      <c r="P476" s="31" t="s">
        <v>329</v>
      </c>
      <c r="Q476" s="31"/>
      <c r="V476" s="31"/>
    </row>
    <row r="477" spans="1:23">
      <c r="A477" s="32" t="s">
        <v>20</v>
      </c>
      <c r="B477" s="32" t="s">
        <v>21</v>
      </c>
      <c r="C477" s="32" t="s">
        <v>78</v>
      </c>
      <c r="D477" s="32" t="s">
        <v>18</v>
      </c>
      <c r="E477" s="32" t="s">
        <v>22</v>
      </c>
      <c r="F477" s="32" t="s">
        <v>7</v>
      </c>
      <c r="G477" s="32" t="s">
        <v>13</v>
      </c>
      <c r="H477" s="32" t="s">
        <v>16</v>
      </c>
      <c r="I477" s="32" t="s">
        <v>23</v>
      </c>
      <c r="J477" s="32" t="s">
        <v>24</v>
      </c>
      <c r="K477" s="32" t="s">
        <v>25</v>
      </c>
      <c r="L477" s="32" t="s">
        <v>26</v>
      </c>
      <c r="M477" s="32" t="s">
        <v>27</v>
      </c>
      <c r="N477" s="32" t="s">
        <v>28</v>
      </c>
      <c r="O477" s="32" t="s">
        <v>11</v>
      </c>
      <c r="P477" s="32" t="s">
        <v>555</v>
      </c>
      <c r="Q477" s="31"/>
      <c r="V477" s="31"/>
    </row>
    <row r="478" spans="1:23">
      <c r="A478" s="31" t="s">
        <v>571</v>
      </c>
      <c r="B478" s="31">
        <v>1</v>
      </c>
      <c r="C478" s="31"/>
      <c r="D478" s="31" t="s">
        <v>18</v>
      </c>
      <c r="E478" s="31" t="s">
        <v>2</v>
      </c>
      <c r="F478" s="31" t="s">
        <v>29</v>
      </c>
      <c r="G478" s="31" t="s">
        <v>60</v>
      </c>
      <c r="H478" s="31" t="s">
        <v>30</v>
      </c>
      <c r="I478" s="31">
        <v>1</v>
      </c>
      <c r="J478" s="31">
        <f>B478</f>
        <v>1</v>
      </c>
      <c r="K478" s="31" t="s">
        <v>31</v>
      </c>
      <c r="L478" s="31" t="s">
        <v>31</v>
      </c>
      <c r="M478" s="31" t="s">
        <v>31</v>
      </c>
      <c r="N478" s="31" t="s">
        <v>31</v>
      </c>
      <c r="O478" s="31"/>
      <c r="P478" s="31" t="s">
        <v>329</v>
      </c>
      <c r="Q478" s="31"/>
      <c r="V478" s="31"/>
    </row>
    <row r="479" spans="1:23">
      <c r="A479" s="68" t="s">
        <v>494</v>
      </c>
      <c r="B479" s="35">
        <f>13.0525322446797*1.5</f>
        <v>19.578798367019552</v>
      </c>
      <c r="C479" s="35"/>
      <c r="D479" s="35" t="s">
        <v>37</v>
      </c>
      <c r="E479" s="35" t="s">
        <v>38</v>
      </c>
      <c r="F479" s="35" t="s">
        <v>29</v>
      </c>
      <c r="G479" s="35" t="s">
        <v>60</v>
      </c>
      <c r="H479" s="35" t="s">
        <v>33</v>
      </c>
      <c r="I479" s="35">
        <v>2</v>
      </c>
      <c r="J479" s="35">
        <f t="shared" ref="J479:J497" si="30">LN(B479)</f>
        <v>2.9744472647911118</v>
      </c>
      <c r="K479" s="35">
        <v>0.30331501776206199</v>
      </c>
      <c r="L479" s="31" t="s">
        <v>31</v>
      </c>
      <c r="M479" s="31" t="s">
        <v>31</v>
      </c>
      <c r="N479" s="31" t="s">
        <v>31</v>
      </c>
      <c r="O479" s="35" t="s">
        <v>590</v>
      </c>
      <c r="P479" s="31" t="s">
        <v>329</v>
      </c>
      <c r="Q479" s="31"/>
      <c r="V479" s="31"/>
    </row>
    <row r="480" spans="1:23">
      <c r="A480" s="68" t="s">
        <v>449</v>
      </c>
      <c r="B480" s="35">
        <f>8.7016881631198*7</f>
        <v>60.911817141838597</v>
      </c>
      <c r="C480" s="35"/>
      <c r="D480" s="35" t="s">
        <v>37</v>
      </c>
      <c r="E480" s="35" t="s">
        <v>38</v>
      </c>
      <c r="F480" s="35" t="s">
        <v>29</v>
      </c>
      <c r="G480" s="35" t="s">
        <v>60</v>
      </c>
      <c r="H480" s="35" t="s">
        <v>33</v>
      </c>
      <c r="I480" s="35">
        <v>2</v>
      </c>
      <c r="J480" s="35">
        <f t="shared" si="30"/>
        <v>4.1094271976300965</v>
      </c>
      <c r="K480" s="35">
        <v>0.30331501776206199</v>
      </c>
      <c r="L480" s="31" t="s">
        <v>31</v>
      </c>
      <c r="M480" s="31" t="s">
        <v>31</v>
      </c>
      <c r="N480" s="31" t="s">
        <v>31</v>
      </c>
      <c r="O480" s="35" t="s">
        <v>590</v>
      </c>
      <c r="P480" s="31" t="s">
        <v>670</v>
      </c>
      <c r="Q480" s="31"/>
      <c r="V480" s="31"/>
    </row>
    <row r="481" spans="1:23" s="90" customFormat="1">
      <c r="A481" s="85" t="s">
        <v>581</v>
      </c>
      <c r="B481" s="86">
        <f>B479*(1-1/1.5)</f>
        <v>6.5262661223398508</v>
      </c>
      <c r="C481" s="86"/>
      <c r="D481" s="87" t="s">
        <v>37</v>
      </c>
      <c r="E481" s="95" t="s">
        <v>38</v>
      </c>
      <c r="F481" s="95" t="s">
        <v>29</v>
      </c>
      <c r="G481" s="95" t="s">
        <v>86</v>
      </c>
      <c r="H481" s="95" t="s">
        <v>33</v>
      </c>
      <c r="I481" s="96">
        <v>2</v>
      </c>
      <c r="J481" s="96">
        <f t="shared" si="30"/>
        <v>1.8758349761230022</v>
      </c>
      <c r="K481" s="96">
        <v>0.30331501776206199</v>
      </c>
      <c r="L481" s="116" t="s">
        <v>31</v>
      </c>
      <c r="M481" s="89" t="s">
        <v>31</v>
      </c>
      <c r="N481" s="89" t="s">
        <v>31</v>
      </c>
      <c r="O481" s="87" t="s">
        <v>327</v>
      </c>
      <c r="P481" s="89" t="s">
        <v>616</v>
      </c>
      <c r="Q481" s="89"/>
      <c r="R481" s="89"/>
      <c r="S481" s="89"/>
      <c r="T481" s="89"/>
      <c r="U481" s="89"/>
      <c r="V481" s="89"/>
      <c r="W481" s="89"/>
    </row>
    <row r="482" spans="1:23" s="42" customFormat="1">
      <c r="A482" s="70" t="s">
        <v>93</v>
      </c>
      <c r="B482" s="117">
        <f>B480*(1-1/7)</f>
        <v>52.210128978718799</v>
      </c>
      <c r="C482" s="117"/>
      <c r="D482" s="72" t="s">
        <v>37</v>
      </c>
      <c r="E482" s="72" t="s">
        <v>38</v>
      </c>
      <c r="F482" s="72" t="s">
        <v>29</v>
      </c>
      <c r="G482" s="72" t="s">
        <v>86</v>
      </c>
      <c r="H482" s="72" t="s">
        <v>33</v>
      </c>
      <c r="I482" s="72">
        <v>2</v>
      </c>
      <c r="J482" s="72">
        <f t="shared" si="30"/>
        <v>3.955276517802838</v>
      </c>
      <c r="K482" s="72">
        <v>0.30331501776206199</v>
      </c>
      <c r="L482" s="38" t="s">
        <v>31</v>
      </c>
      <c r="M482" s="38" t="s">
        <v>31</v>
      </c>
      <c r="N482" s="38" t="s">
        <v>31</v>
      </c>
      <c r="O482" s="72" t="s">
        <v>327</v>
      </c>
      <c r="P482" s="38" t="s">
        <v>639</v>
      </c>
      <c r="Q482" s="38"/>
      <c r="R482" s="84" t="s">
        <v>578</v>
      </c>
      <c r="S482" s="38"/>
      <c r="T482" s="38"/>
      <c r="U482" s="38"/>
      <c r="V482" s="38"/>
      <c r="W482" s="38"/>
    </row>
    <row r="483" spans="1:23">
      <c r="A483" s="73" t="s">
        <v>94</v>
      </c>
      <c r="B483" s="92">
        <f>B480*(1-1/7)</f>
        <v>52.210128978718799</v>
      </c>
      <c r="C483" s="31" t="s">
        <v>95</v>
      </c>
      <c r="D483" s="34" t="s">
        <v>37</v>
      </c>
      <c r="E483" s="34" t="s">
        <v>38</v>
      </c>
      <c r="F483" s="34" t="s">
        <v>29</v>
      </c>
      <c r="G483" s="34" t="s">
        <v>86</v>
      </c>
      <c r="H483" s="34" t="s">
        <v>33</v>
      </c>
      <c r="I483" s="34">
        <v>2</v>
      </c>
      <c r="J483" s="34">
        <f t="shared" si="30"/>
        <v>3.955276517802838</v>
      </c>
      <c r="K483" s="34">
        <v>0.30331501776206199</v>
      </c>
      <c r="L483" s="31" t="s">
        <v>31</v>
      </c>
      <c r="M483" s="31" t="s">
        <v>31</v>
      </c>
      <c r="N483" s="31" t="s">
        <v>31</v>
      </c>
      <c r="O483" s="34" t="s">
        <v>327</v>
      </c>
      <c r="P483" s="31" t="s">
        <v>639</v>
      </c>
      <c r="Q483" s="31"/>
      <c r="R483" s="32"/>
      <c r="V483" s="31"/>
    </row>
    <row r="484" spans="1:23" s="79" customFormat="1">
      <c r="A484" s="76" t="s">
        <v>449</v>
      </c>
      <c r="B484" s="91">
        <f>B480*(1-1/7)</f>
        <v>52.210128978718799</v>
      </c>
      <c r="C484" s="91"/>
      <c r="D484" s="78" t="s">
        <v>37</v>
      </c>
      <c r="E484" s="78" t="s">
        <v>38</v>
      </c>
      <c r="F484" s="78" t="s">
        <v>29</v>
      </c>
      <c r="G484" s="78" t="s">
        <v>60</v>
      </c>
      <c r="H484" s="78" t="s">
        <v>98</v>
      </c>
      <c r="I484" s="78">
        <v>2</v>
      </c>
      <c r="J484" s="78">
        <f t="shared" si="30"/>
        <v>3.955276517802838</v>
      </c>
      <c r="K484" s="78">
        <v>0.30331501776206199</v>
      </c>
      <c r="L484" s="57" t="s">
        <v>31</v>
      </c>
      <c r="M484" s="57" t="s">
        <v>31</v>
      </c>
      <c r="N484" s="57" t="s">
        <v>31</v>
      </c>
      <c r="O484" s="78" t="s">
        <v>327</v>
      </c>
      <c r="P484" s="57" t="s">
        <v>640</v>
      </c>
      <c r="Q484" s="57"/>
      <c r="R484" s="57"/>
      <c r="S484" s="57"/>
      <c r="T484" s="57"/>
      <c r="U484" s="57"/>
      <c r="V484" s="57"/>
      <c r="W484" s="57"/>
    </row>
    <row r="485" spans="1:23">
      <c r="A485" s="31" t="s">
        <v>168</v>
      </c>
      <c r="B485" s="67">
        <f>R485</f>
        <v>870.64476875237108</v>
      </c>
      <c r="C485" s="67"/>
      <c r="D485" s="31" t="s">
        <v>41</v>
      </c>
      <c r="E485" s="31" t="s">
        <v>38</v>
      </c>
      <c r="F485" s="31" t="s">
        <v>29</v>
      </c>
      <c r="G485" s="31" t="s">
        <v>60</v>
      </c>
      <c r="H485" s="31" t="s">
        <v>33</v>
      </c>
      <c r="I485" s="31">
        <v>2</v>
      </c>
      <c r="J485" s="31">
        <f t="shared" si="30"/>
        <v>6.7692340506680955</v>
      </c>
      <c r="K485" s="31">
        <v>0.28635642126552707</v>
      </c>
      <c r="L485" s="31" t="s">
        <v>31</v>
      </c>
      <c r="M485" s="31" t="s">
        <v>31</v>
      </c>
      <c r="N485" s="31" t="s">
        <v>31</v>
      </c>
      <c r="O485" s="31"/>
      <c r="P485" s="31" t="s">
        <v>329</v>
      </c>
      <c r="Q485" s="31"/>
      <c r="R485" s="31">
        <v>870.64476875237108</v>
      </c>
      <c r="S485" s="31" t="s">
        <v>332</v>
      </c>
      <c r="V485" s="31"/>
    </row>
    <row r="486" spans="1:23">
      <c r="A486" s="31" t="s">
        <v>170</v>
      </c>
      <c r="B486" s="67">
        <f>V486</f>
        <v>82.291001885699558</v>
      </c>
      <c r="C486" s="67"/>
      <c r="D486" s="31" t="s">
        <v>50</v>
      </c>
      <c r="E486" s="31" t="s">
        <v>38</v>
      </c>
      <c r="F486" s="31" t="s">
        <v>29</v>
      </c>
      <c r="G486" s="31" t="s">
        <v>333</v>
      </c>
      <c r="H486" s="31" t="s">
        <v>33</v>
      </c>
      <c r="I486" s="31">
        <v>2</v>
      </c>
      <c r="J486" s="31">
        <f t="shared" si="30"/>
        <v>4.4102617686036538</v>
      </c>
      <c r="K486" s="31">
        <v>0.28635642126552707</v>
      </c>
      <c r="L486" s="31" t="s">
        <v>31</v>
      </c>
      <c r="M486" s="31" t="s">
        <v>31</v>
      </c>
      <c r="N486" s="31" t="s">
        <v>31</v>
      </c>
      <c r="O486" s="31"/>
      <c r="P486" s="31" t="s">
        <v>329</v>
      </c>
      <c r="Q486" s="31"/>
      <c r="R486" s="46">
        <v>875.48552600516405</v>
      </c>
      <c r="S486" s="31" t="s">
        <v>332</v>
      </c>
      <c r="T486" s="31">
        <f>R486/0.277778</f>
        <v>3151.7453722222926</v>
      </c>
      <c r="U486" s="31" t="s">
        <v>331</v>
      </c>
      <c r="V486" s="31">
        <f>T486/38.3</f>
        <v>82.291001885699558</v>
      </c>
      <c r="W486" s="31" t="s">
        <v>335</v>
      </c>
    </row>
    <row r="487" spans="1:23">
      <c r="A487" s="31" t="s">
        <v>112</v>
      </c>
      <c r="B487" s="67">
        <f>T487</f>
        <v>393.34578895033354</v>
      </c>
      <c r="C487" s="67"/>
      <c r="D487" s="31" t="s">
        <v>113</v>
      </c>
      <c r="E487" s="31" t="s">
        <v>38</v>
      </c>
      <c r="F487" s="31" t="s">
        <v>29</v>
      </c>
      <c r="G487" s="31" t="s">
        <v>60</v>
      </c>
      <c r="H487" s="31" t="s">
        <v>33</v>
      </c>
      <c r="I487" s="31">
        <v>2</v>
      </c>
      <c r="J487" s="31">
        <f t="shared" si="30"/>
        <v>5.9746890951130993</v>
      </c>
      <c r="K487" s="31">
        <v>0.28635642126552707</v>
      </c>
      <c r="L487" s="31" t="s">
        <v>31</v>
      </c>
      <c r="M487" s="31" t="s">
        <v>31</v>
      </c>
      <c r="N487" s="31" t="s">
        <v>31</v>
      </c>
      <c r="O487" s="31"/>
      <c r="P487" s="31" t="s">
        <v>329</v>
      </c>
      <c r="Q487" s="31"/>
      <c r="R487" s="46">
        <v>109.26280656304576</v>
      </c>
      <c r="S487" s="31" t="s">
        <v>332</v>
      </c>
      <c r="T487" s="31">
        <f>R487/0.277778</f>
        <v>393.34578895033354</v>
      </c>
      <c r="U487" s="31" t="s">
        <v>331</v>
      </c>
      <c r="V487" s="31"/>
    </row>
    <row r="488" spans="1:23">
      <c r="A488" s="31" t="s">
        <v>164</v>
      </c>
      <c r="B488" s="67">
        <f>V488</f>
        <v>18.615907450604901</v>
      </c>
      <c r="C488" s="67"/>
      <c r="D488" s="31" t="s">
        <v>37</v>
      </c>
      <c r="E488" s="31" t="s">
        <v>38</v>
      </c>
      <c r="F488" s="31" t="s">
        <v>29</v>
      </c>
      <c r="G488" s="31" t="s">
        <v>60</v>
      </c>
      <c r="H488" s="31" t="s">
        <v>33</v>
      </c>
      <c r="I488" s="31">
        <v>2</v>
      </c>
      <c r="J488" s="31">
        <f t="shared" si="30"/>
        <v>2.9240164544902596</v>
      </c>
      <c r="K488" s="31">
        <v>0.28635642126552702</v>
      </c>
      <c r="L488" s="31" t="s">
        <v>31</v>
      </c>
      <c r="M488" s="31" t="s">
        <v>31</v>
      </c>
      <c r="N488" s="31" t="s">
        <v>31</v>
      </c>
      <c r="O488" s="31"/>
      <c r="P488" s="31" t="s">
        <v>329</v>
      </c>
      <c r="Q488" s="31"/>
      <c r="R488" s="46">
        <v>231.66481138367297</v>
      </c>
      <c r="S488" s="31" t="s">
        <v>332</v>
      </c>
      <c r="T488" s="31">
        <f>R488/0.277778</f>
        <v>833.99265378709958</v>
      </c>
      <c r="U488" s="31" t="s">
        <v>331</v>
      </c>
      <c r="V488" s="31">
        <f>T488/44.8</f>
        <v>18.615907450604901</v>
      </c>
      <c r="W488" s="31" t="s">
        <v>337</v>
      </c>
    </row>
    <row r="489" spans="1:23">
      <c r="A489" s="31" t="s">
        <v>36</v>
      </c>
      <c r="B489" s="67">
        <f>V489</f>
        <v>36.750209335323504</v>
      </c>
      <c r="C489" s="67"/>
      <c r="D489" s="31" t="s">
        <v>37</v>
      </c>
      <c r="E489" s="31" t="s">
        <v>38</v>
      </c>
      <c r="F489" s="31" t="s">
        <v>29</v>
      </c>
      <c r="G489" s="31" t="s">
        <v>86</v>
      </c>
      <c r="H489" s="31" t="s">
        <v>33</v>
      </c>
      <c r="I489" s="31">
        <v>2</v>
      </c>
      <c r="J489" s="31">
        <f t="shared" si="30"/>
        <v>3.6041439218419016</v>
      </c>
      <c r="K489" s="31">
        <v>0.28635642126552707</v>
      </c>
      <c r="L489" s="31" t="s">
        <v>31</v>
      </c>
      <c r="M489" s="31" t="s">
        <v>31</v>
      </c>
      <c r="N489" s="31" t="s">
        <v>31</v>
      </c>
      <c r="O489" s="31"/>
      <c r="P489" s="31" t="s">
        <v>329</v>
      </c>
      <c r="Q489" s="31"/>
      <c r="R489" s="46">
        <v>471.62806377213417</v>
      </c>
      <c r="S489" s="31" t="s">
        <v>332</v>
      </c>
      <c r="T489" s="31">
        <f>R489/0.277778</f>
        <v>1697.8596712919459</v>
      </c>
      <c r="U489" s="31" t="s">
        <v>331</v>
      </c>
      <c r="V489" s="31">
        <f>T489/46.2</f>
        <v>36.750209335323504</v>
      </c>
      <c r="W489" s="31" t="s">
        <v>337</v>
      </c>
    </row>
    <row r="490" spans="1:23" s="65" customFormat="1">
      <c r="A490" s="31" t="s">
        <v>59</v>
      </c>
      <c r="B490" s="67">
        <f>R490</f>
        <v>2.7661470015960954</v>
      </c>
      <c r="C490" s="67"/>
      <c r="D490" s="31" t="s">
        <v>37</v>
      </c>
      <c r="E490" s="31" t="s">
        <v>2</v>
      </c>
      <c r="F490" s="31" t="s">
        <v>324</v>
      </c>
      <c r="G490" s="31" t="s">
        <v>60</v>
      </c>
      <c r="H490" s="31" t="s">
        <v>33</v>
      </c>
      <c r="I490" s="31">
        <v>2</v>
      </c>
      <c r="J490" s="31">
        <f t="shared" si="30"/>
        <v>1.017455377743639</v>
      </c>
      <c r="K490" s="31">
        <v>0.28635642126552707</v>
      </c>
      <c r="L490" s="31" t="s">
        <v>31</v>
      </c>
      <c r="M490" s="31" t="s">
        <v>31</v>
      </c>
      <c r="N490" s="31" t="s">
        <v>31</v>
      </c>
      <c r="O490" s="64"/>
      <c r="P490" s="31"/>
      <c r="Q490" s="45"/>
      <c r="R490" s="46">
        <v>2.7661470015960954</v>
      </c>
      <c r="S490" s="31" t="s">
        <v>332</v>
      </c>
      <c r="T490" s="31">
        <f>R490/0.277778</f>
        <v>9.9581212392489515</v>
      </c>
      <c r="U490" s="31" t="s">
        <v>331</v>
      </c>
      <c r="V490" s="31">
        <f>T490/44</f>
        <v>0.22632093725565799</v>
      </c>
      <c r="W490" s="31" t="s">
        <v>337</v>
      </c>
    </row>
    <row r="491" spans="1:23">
      <c r="A491" s="31" t="s">
        <v>172</v>
      </c>
      <c r="B491" s="45">
        <f>T491</f>
        <v>2124.2105477934938</v>
      </c>
      <c r="C491" s="45"/>
      <c r="D491" s="31" t="s">
        <v>37</v>
      </c>
      <c r="E491" s="31" t="s">
        <v>38</v>
      </c>
      <c r="F491" s="31" t="s">
        <v>29</v>
      </c>
      <c r="G491" s="31" t="s">
        <v>60</v>
      </c>
      <c r="H491" s="31" t="s">
        <v>33</v>
      </c>
      <c r="I491" s="31">
        <v>2</v>
      </c>
      <c r="J491" s="31">
        <f t="shared" si="30"/>
        <v>7.6611555054120162</v>
      </c>
      <c r="K491" s="31">
        <v>0.28635642126552707</v>
      </c>
      <c r="L491" s="31" t="s">
        <v>31</v>
      </c>
      <c r="M491" s="31" t="s">
        <v>31</v>
      </c>
      <c r="N491" s="31" t="s">
        <v>31</v>
      </c>
      <c r="O491" s="31"/>
      <c r="P491" s="31" t="s">
        <v>329</v>
      </c>
      <c r="Q491" s="31"/>
      <c r="R491" s="31">
        <v>2.1289581244109304</v>
      </c>
      <c r="S491" s="31" t="s">
        <v>335</v>
      </c>
      <c r="T491" s="31">
        <f>R491*997.77</f>
        <v>2124.2105477934938</v>
      </c>
      <c r="U491" s="31" t="s">
        <v>337</v>
      </c>
      <c r="V491" s="31"/>
    </row>
    <row r="492" spans="1:23">
      <c r="A492" s="51" t="s">
        <v>580</v>
      </c>
      <c r="B492" s="66">
        <f>R492</f>
        <v>1.9852277431344969</v>
      </c>
      <c r="C492" s="66"/>
      <c r="D492" s="31" t="s">
        <v>50</v>
      </c>
      <c r="E492" s="31" t="s">
        <v>2</v>
      </c>
      <c r="F492" s="31" t="s">
        <v>29</v>
      </c>
      <c r="G492" s="51" t="s">
        <v>86</v>
      </c>
      <c r="H492" s="31" t="s">
        <v>33</v>
      </c>
      <c r="I492" s="31">
        <v>2</v>
      </c>
      <c r="J492" s="31">
        <f t="shared" si="30"/>
        <v>0.68573363961561562</v>
      </c>
      <c r="K492" s="31">
        <v>0.28635642126552707</v>
      </c>
      <c r="L492" s="31" t="s">
        <v>31</v>
      </c>
      <c r="M492" s="31" t="s">
        <v>31</v>
      </c>
      <c r="N492" s="31" t="s">
        <v>31</v>
      </c>
      <c r="O492" s="31"/>
      <c r="P492" s="31" t="s">
        <v>329</v>
      </c>
      <c r="Q492" s="31"/>
      <c r="R492" s="31">
        <v>1.9852277431344969</v>
      </c>
      <c r="S492" s="31" t="s">
        <v>335</v>
      </c>
      <c r="V492" s="31"/>
    </row>
    <row r="493" spans="1:23">
      <c r="A493" s="31" t="s">
        <v>581</v>
      </c>
      <c r="B493" s="66">
        <f>R493</f>
        <v>48.172450032796</v>
      </c>
      <c r="C493" s="66"/>
      <c r="D493" s="31" t="s">
        <v>37</v>
      </c>
      <c r="E493" s="31" t="s">
        <v>2</v>
      </c>
      <c r="F493" s="31" t="s">
        <v>29</v>
      </c>
      <c r="G493" s="31" t="s">
        <v>86</v>
      </c>
      <c r="H493" s="31" t="s">
        <v>33</v>
      </c>
      <c r="I493" s="31">
        <v>2</v>
      </c>
      <c r="J493" s="31">
        <f t="shared" si="30"/>
        <v>3.8747872815616033</v>
      </c>
      <c r="K493" s="31">
        <v>0.28635642126552707</v>
      </c>
      <c r="L493" s="31" t="s">
        <v>31</v>
      </c>
      <c r="M493" s="31" t="s">
        <v>31</v>
      </c>
      <c r="N493" s="31" t="s">
        <v>31</v>
      </c>
      <c r="O493" s="31"/>
      <c r="P493" s="31" t="s">
        <v>329</v>
      </c>
      <c r="Q493" s="31"/>
      <c r="R493" s="31">
        <v>48.172450032796</v>
      </c>
      <c r="S493" s="31" t="s">
        <v>337</v>
      </c>
      <c r="V493" s="31"/>
    </row>
    <row r="494" spans="1:23">
      <c r="A494" s="31" t="s">
        <v>48</v>
      </c>
      <c r="B494" s="66">
        <f t="shared" ref="B494:B497" si="31">R494</f>
        <v>905.03419981296395</v>
      </c>
      <c r="C494" s="66"/>
      <c r="D494" s="31" t="s">
        <v>37</v>
      </c>
      <c r="E494" s="31" t="s">
        <v>43</v>
      </c>
      <c r="F494" s="31" t="s">
        <v>44</v>
      </c>
      <c r="G494" s="31" t="s">
        <v>29</v>
      </c>
      <c r="H494" s="31" t="s">
        <v>45</v>
      </c>
      <c r="I494" s="31">
        <v>2</v>
      </c>
      <c r="J494" s="31">
        <f t="shared" si="30"/>
        <v>6.8079727328344868</v>
      </c>
      <c r="K494" s="31">
        <v>0.28635642126552707</v>
      </c>
      <c r="L494" s="31" t="s">
        <v>31</v>
      </c>
      <c r="M494" s="31" t="s">
        <v>31</v>
      </c>
      <c r="N494" s="31" t="s">
        <v>31</v>
      </c>
      <c r="O494" s="31"/>
      <c r="P494" s="31" t="s">
        <v>329</v>
      </c>
      <c r="Q494" s="31"/>
      <c r="R494" s="31">
        <v>905.03419981296395</v>
      </c>
      <c r="S494" s="31" t="s">
        <v>337</v>
      </c>
      <c r="V494" s="31"/>
    </row>
    <row r="495" spans="1:23">
      <c r="A495" s="31" t="s">
        <v>51</v>
      </c>
      <c r="B495" s="66">
        <f t="shared" si="31"/>
        <v>9.6815145055863337E-3</v>
      </c>
      <c r="C495" s="66"/>
      <c r="D495" s="31" t="s">
        <v>37</v>
      </c>
      <c r="E495" s="31" t="s">
        <v>43</v>
      </c>
      <c r="F495" s="31" t="s">
        <v>44</v>
      </c>
      <c r="G495" s="31" t="s">
        <v>29</v>
      </c>
      <c r="H495" s="31" t="s">
        <v>45</v>
      </c>
      <c r="I495" s="31">
        <v>2</v>
      </c>
      <c r="J495" s="31">
        <f t="shared" si="30"/>
        <v>-4.6375369327431297</v>
      </c>
      <c r="K495" s="31">
        <v>0.28635642126552707</v>
      </c>
      <c r="L495" s="31" t="s">
        <v>31</v>
      </c>
      <c r="M495" s="31" t="s">
        <v>31</v>
      </c>
      <c r="N495" s="31" t="s">
        <v>31</v>
      </c>
      <c r="O495" s="31"/>
      <c r="P495" s="31" t="s">
        <v>329</v>
      </c>
      <c r="Q495" s="31"/>
      <c r="R495" s="31">
        <v>9.6815145055863337E-3</v>
      </c>
      <c r="S495" s="31" t="s">
        <v>337</v>
      </c>
      <c r="V495" s="31"/>
    </row>
    <row r="496" spans="1:23">
      <c r="A496" s="31" t="s">
        <v>42</v>
      </c>
      <c r="B496" s="66">
        <f t="shared" si="31"/>
        <v>0.15352115858858328</v>
      </c>
      <c r="C496" s="66"/>
      <c r="D496" s="31" t="s">
        <v>37</v>
      </c>
      <c r="E496" s="31" t="s">
        <v>43</v>
      </c>
      <c r="F496" s="31" t="s">
        <v>44</v>
      </c>
      <c r="G496" s="31" t="s">
        <v>29</v>
      </c>
      <c r="H496" s="31" t="s">
        <v>45</v>
      </c>
      <c r="I496" s="31">
        <v>2</v>
      </c>
      <c r="J496" s="31">
        <f t="shared" si="30"/>
        <v>-1.8739168804861093</v>
      </c>
      <c r="K496" s="31">
        <v>0.28635642126552707</v>
      </c>
      <c r="L496" s="31" t="s">
        <v>31</v>
      </c>
      <c r="M496" s="31" t="s">
        <v>31</v>
      </c>
      <c r="N496" s="31" t="s">
        <v>31</v>
      </c>
      <c r="O496" s="31"/>
      <c r="P496" s="31" t="s">
        <v>329</v>
      </c>
      <c r="Q496" s="31"/>
      <c r="R496" s="31">
        <v>0.15352115858858328</v>
      </c>
      <c r="S496" s="31" t="s">
        <v>337</v>
      </c>
      <c r="V496" s="31"/>
    </row>
    <row r="497" spans="1:23">
      <c r="A497" s="31" t="s">
        <v>490</v>
      </c>
      <c r="B497" s="66">
        <f t="shared" si="31"/>
        <v>0.72680512466937397</v>
      </c>
      <c r="C497" s="66"/>
      <c r="D497" s="31" t="s">
        <v>37</v>
      </c>
      <c r="E497" s="31" t="s">
        <v>43</v>
      </c>
      <c r="F497" s="31" t="s">
        <v>44</v>
      </c>
      <c r="G497" s="31" t="s">
        <v>29</v>
      </c>
      <c r="H497" s="31" t="s">
        <v>45</v>
      </c>
      <c r="I497" s="31">
        <v>2</v>
      </c>
      <c r="J497" s="31">
        <f t="shared" si="30"/>
        <v>-0.31909689148143761</v>
      </c>
      <c r="K497" s="31">
        <v>0.28635642126552707</v>
      </c>
      <c r="L497" s="31" t="s">
        <v>31</v>
      </c>
      <c r="M497" s="31" t="s">
        <v>31</v>
      </c>
      <c r="N497" s="31" t="s">
        <v>31</v>
      </c>
      <c r="O497" s="31"/>
      <c r="P497" s="31" t="s">
        <v>329</v>
      </c>
      <c r="Q497" s="31"/>
      <c r="R497" s="31">
        <v>0.72680512466937397</v>
      </c>
      <c r="S497" s="31" t="s">
        <v>337</v>
      </c>
      <c r="V497" s="31"/>
    </row>
    <row r="498" spans="1:23" s="42" customFormat="1">
      <c r="A498" s="84"/>
      <c r="B498" s="84"/>
      <c r="C498" s="84"/>
      <c r="D498" s="37"/>
      <c r="E498" s="38"/>
      <c r="F498" s="38"/>
      <c r="G498" s="38"/>
      <c r="H498" s="38"/>
      <c r="I498" s="38"/>
      <c r="J498" s="38"/>
      <c r="K498" s="38"/>
      <c r="L498" s="38"/>
      <c r="M498" s="38"/>
      <c r="N498" s="38"/>
      <c r="O498" s="38"/>
      <c r="P498" s="38"/>
      <c r="Q498" s="38"/>
      <c r="R498" s="38"/>
      <c r="S498" s="38"/>
      <c r="T498" s="38"/>
      <c r="U498" s="38"/>
      <c r="V498" s="38"/>
      <c r="W498" s="38"/>
    </row>
    <row r="499" spans="1:23">
      <c r="A499" s="31"/>
      <c r="B499" s="31"/>
      <c r="C499" s="31"/>
      <c r="D499" s="31"/>
      <c r="E499" s="31"/>
      <c r="F499" s="31"/>
      <c r="G499" s="31"/>
      <c r="H499" s="31"/>
      <c r="I499" s="31"/>
      <c r="J499" s="31"/>
      <c r="K499" s="31"/>
      <c r="L499" s="31"/>
      <c r="M499" s="31"/>
      <c r="N499" s="31"/>
      <c r="O499" s="31"/>
      <c r="P499" s="31"/>
      <c r="Q499" s="31"/>
      <c r="V499" s="31"/>
    </row>
    <row r="500" spans="1:23">
      <c r="A500" s="31"/>
      <c r="B500" s="31"/>
      <c r="C500" s="31"/>
      <c r="D500" s="31"/>
      <c r="E500" s="31"/>
      <c r="F500" s="31"/>
      <c r="G500" s="31"/>
      <c r="H500" s="31"/>
      <c r="I500" s="31"/>
      <c r="J500" s="31"/>
      <c r="K500" s="31"/>
      <c r="L500" s="31"/>
      <c r="M500" s="31"/>
      <c r="N500" s="31"/>
      <c r="O500" s="31"/>
      <c r="P500" s="31"/>
      <c r="Q500" s="31"/>
      <c r="V500" s="31"/>
    </row>
    <row r="501" spans="1:23">
      <c r="A501" s="31"/>
      <c r="B501" s="31"/>
      <c r="C501" s="31"/>
      <c r="D501" s="31"/>
      <c r="E501" s="31"/>
      <c r="F501" s="31"/>
      <c r="G501" s="31"/>
      <c r="H501" s="31"/>
      <c r="I501" s="31"/>
      <c r="J501" s="31"/>
      <c r="K501" s="31"/>
      <c r="L501" s="31"/>
      <c r="M501" s="31"/>
      <c r="N501" s="31"/>
      <c r="O501" s="31"/>
      <c r="P501" s="31"/>
      <c r="Q501" s="31"/>
      <c r="V501" s="31"/>
    </row>
    <row r="502" spans="1:23">
      <c r="A502" s="31"/>
      <c r="B502" s="31"/>
      <c r="C502" s="31"/>
      <c r="D502" s="31"/>
      <c r="E502" s="31"/>
      <c r="F502" s="31"/>
      <c r="G502" s="31"/>
      <c r="H502" s="31"/>
      <c r="I502" s="31"/>
      <c r="J502" s="31"/>
      <c r="K502" s="31"/>
      <c r="L502" s="31"/>
      <c r="M502" s="31"/>
      <c r="N502" s="31"/>
      <c r="O502" s="31"/>
      <c r="P502" s="31"/>
      <c r="Q502" s="31"/>
      <c r="V502" s="31"/>
    </row>
    <row r="503" spans="1:23">
      <c r="A503" s="31"/>
      <c r="B503" s="31"/>
      <c r="C503" s="31"/>
      <c r="D503" s="31"/>
      <c r="E503" s="31"/>
      <c r="F503" s="31"/>
      <c r="G503" s="31"/>
      <c r="H503" s="31"/>
      <c r="I503" s="31"/>
      <c r="J503" s="31"/>
      <c r="K503" s="31"/>
      <c r="L503" s="31"/>
      <c r="M503" s="31"/>
      <c r="N503" s="31"/>
      <c r="O503" s="31"/>
      <c r="P503" s="31"/>
      <c r="Q503" s="31"/>
      <c r="V503" s="31"/>
    </row>
    <row r="504" spans="1:23">
      <c r="A504" s="31"/>
      <c r="B504" s="31"/>
      <c r="C504" s="31"/>
      <c r="D504" s="31"/>
      <c r="E504" s="31"/>
      <c r="F504" s="31"/>
      <c r="G504" s="31"/>
      <c r="H504" s="31"/>
      <c r="I504" s="31"/>
      <c r="J504" s="31"/>
      <c r="K504" s="31"/>
      <c r="L504" s="31"/>
      <c r="M504" s="31"/>
      <c r="N504" s="31"/>
      <c r="O504" s="31"/>
      <c r="P504" s="31"/>
      <c r="Q504" s="31"/>
      <c r="V504" s="31"/>
    </row>
    <row r="505" spans="1:23">
      <c r="A505" s="31"/>
      <c r="B505" s="31"/>
      <c r="C505" s="31"/>
      <c r="D505" s="31"/>
      <c r="E505" s="31"/>
      <c r="F505" s="31"/>
      <c r="G505" s="31"/>
      <c r="H505" s="31"/>
      <c r="I505" s="31"/>
      <c r="J505" s="31"/>
      <c r="K505" s="31"/>
      <c r="L505" s="31"/>
      <c r="M505" s="31"/>
      <c r="N505" s="31"/>
      <c r="O505" s="31"/>
      <c r="P505" s="31"/>
      <c r="Q505" s="31"/>
      <c r="V505" s="31"/>
    </row>
    <row r="506" spans="1:23">
      <c r="A506" s="32"/>
      <c r="B506" s="31"/>
      <c r="C506" s="31"/>
      <c r="D506" s="31"/>
      <c r="E506" s="31"/>
      <c r="F506" s="31"/>
      <c r="G506" s="31"/>
      <c r="H506" s="31"/>
      <c r="I506" s="31"/>
      <c r="J506" s="31"/>
      <c r="K506" s="31"/>
      <c r="L506" s="31"/>
      <c r="M506" s="31"/>
      <c r="N506" s="31"/>
      <c r="O506" s="31"/>
      <c r="P506" s="31"/>
      <c r="Q506" s="31"/>
      <c r="V506" s="31"/>
    </row>
    <row r="507" spans="1:23">
      <c r="A507" s="32"/>
      <c r="B507" s="32"/>
      <c r="C507" s="32"/>
      <c r="D507" s="32"/>
      <c r="E507" s="32"/>
      <c r="F507" s="32"/>
      <c r="G507" s="32"/>
      <c r="H507" s="32"/>
      <c r="I507" s="32"/>
      <c r="J507" s="32"/>
      <c r="K507" s="32"/>
      <c r="L507" s="32"/>
      <c r="M507" s="32"/>
      <c r="N507" s="32"/>
      <c r="O507" s="32"/>
      <c r="P507" s="32"/>
      <c r="Q507" s="31"/>
      <c r="V507" s="31"/>
    </row>
    <row r="508" spans="1:23">
      <c r="A508" s="31"/>
      <c r="B508" s="31"/>
      <c r="C508" s="31"/>
      <c r="D508" s="31"/>
      <c r="E508" s="31"/>
      <c r="F508" s="31"/>
      <c r="G508" s="31"/>
      <c r="H508" s="31"/>
      <c r="I508" s="31"/>
      <c r="J508" s="31"/>
      <c r="K508" s="31"/>
      <c r="L508" s="31"/>
      <c r="M508" s="31"/>
      <c r="N508" s="31"/>
      <c r="O508" s="31"/>
      <c r="P508" s="31"/>
      <c r="Q508" s="31"/>
      <c r="V508" s="31"/>
    </row>
    <row r="509" spans="1:23">
      <c r="A509" s="31"/>
      <c r="B509" s="67"/>
      <c r="C509" s="67"/>
      <c r="D509" s="31"/>
      <c r="E509" s="31"/>
      <c r="F509" s="31"/>
      <c r="G509" s="31"/>
      <c r="H509" s="31"/>
      <c r="I509" s="31"/>
      <c r="J509" s="31"/>
      <c r="K509" s="31"/>
      <c r="L509" s="31"/>
      <c r="M509" s="31"/>
      <c r="N509" s="31"/>
      <c r="O509" s="31"/>
      <c r="P509" s="31"/>
      <c r="Q509" s="31"/>
      <c r="R509" s="46"/>
      <c r="V509" s="31"/>
    </row>
    <row r="760" spans="15:16">
      <c r="P760" s="63" t="s">
        <v>329</v>
      </c>
    </row>
    <row r="761" spans="15:16">
      <c r="O761" s="63" t="s">
        <v>329</v>
      </c>
      <c r="P761" s="63" t="s">
        <v>329</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E27" sqref="E27"/>
    </sheetView>
  </sheetViews>
  <sheetFormatPr defaultRowHeight="15"/>
  <cols>
    <col min="1" max="1" width="49.5703125" bestFit="1" customWidth="1"/>
    <col min="2" max="2" width="40.7109375" bestFit="1" customWidth="1"/>
    <col min="3" max="3" width="5" bestFit="1" customWidth="1"/>
    <col min="4" max="4" width="58.8554687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64</v>
      </c>
      <c r="C3" s="4"/>
      <c r="D3" s="13"/>
      <c r="E3" s="13"/>
      <c r="F3" s="13"/>
      <c r="G3" s="13"/>
      <c r="H3" s="13"/>
      <c r="I3" s="13"/>
      <c r="J3" s="13"/>
      <c r="K3" s="13"/>
      <c r="L3" s="13"/>
      <c r="M3" s="13"/>
    </row>
    <row r="4" spans="1:13">
      <c r="A4" s="12" t="s">
        <v>9</v>
      </c>
      <c r="B4" s="13" t="s">
        <v>65</v>
      </c>
      <c r="C4" s="4"/>
      <c r="D4" s="13"/>
      <c r="E4" s="13"/>
      <c r="F4" s="13"/>
      <c r="G4" s="13"/>
      <c r="H4" s="13"/>
      <c r="I4" s="13"/>
      <c r="J4" s="13"/>
      <c r="K4" s="13"/>
      <c r="L4" s="13"/>
      <c r="M4" s="13"/>
    </row>
    <row r="5" spans="1:13" ht="45">
      <c r="A5" s="12" t="s">
        <v>11</v>
      </c>
      <c r="B5" s="14" t="s">
        <v>66</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67</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68</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75">
      <c r="A15" s="7" t="s">
        <v>69</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70</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71</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7" t="s">
        <v>72</v>
      </c>
      <c r="B18" s="13">
        <v>1</v>
      </c>
      <c r="C18" s="13" t="s">
        <v>18</v>
      </c>
      <c r="D18" s="8" t="s">
        <v>2</v>
      </c>
      <c r="E18" s="13" t="s">
        <v>29</v>
      </c>
      <c r="F18" s="13" t="s">
        <v>60</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3648-93C3-4428-84B5-778941D3C186}">
  <sheetPr>
    <tabColor rgb="FFFFFF00"/>
  </sheetPr>
  <dimension ref="A1:X49"/>
  <sheetViews>
    <sheetView topLeftCell="A55" zoomScale="115" zoomScaleNormal="115" workbookViewId="0">
      <selection activeCell="A36" sqref="A36"/>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118" customFormat="1">
      <c r="A1" s="118" t="s">
        <v>0</v>
      </c>
      <c r="B1" s="118" t="s">
        <v>709</v>
      </c>
      <c r="C1" s="44"/>
    </row>
    <row r="2" spans="1:24">
      <c r="A2" s="119" t="s">
        <v>5</v>
      </c>
      <c r="B2" s="119" t="s">
        <v>581</v>
      </c>
      <c r="C2" s="119"/>
      <c r="D2" s="120"/>
      <c r="E2" s="42"/>
      <c r="F2" s="42"/>
      <c r="G2" s="42"/>
      <c r="H2" s="42"/>
      <c r="I2" s="42"/>
      <c r="J2" s="42"/>
      <c r="K2" s="42"/>
      <c r="L2" s="42"/>
      <c r="M2" s="42"/>
      <c r="N2" s="42"/>
      <c r="O2" s="42"/>
      <c r="P2" s="42"/>
      <c r="Q2" s="42" t="s">
        <v>329</v>
      </c>
      <c r="S2" s="31"/>
      <c r="T2" s="31"/>
      <c r="U2" s="31"/>
      <c r="V2" s="31"/>
      <c r="W2" s="31"/>
      <c r="X2" s="31"/>
    </row>
    <row r="3" spans="1:24">
      <c r="A3" t="s">
        <v>7</v>
      </c>
      <c r="B3" t="s">
        <v>324</v>
      </c>
      <c r="Q3" t="s">
        <v>329</v>
      </c>
      <c r="S3" s="31"/>
      <c r="T3" s="31"/>
      <c r="U3" s="31"/>
      <c r="V3" s="31"/>
      <c r="W3" s="31"/>
      <c r="X3" s="31"/>
    </row>
    <row r="4" spans="1:24">
      <c r="A4" t="s">
        <v>9</v>
      </c>
      <c r="B4" s="31" t="s">
        <v>710</v>
      </c>
      <c r="C4" s="31"/>
      <c r="Q4" t="s">
        <v>329</v>
      </c>
      <c r="S4" s="31"/>
      <c r="T4" s="31"/>
      <c r="U4" s="31"/>
      <c r="V4" s="31"/>
      <c r="W4" s="31"/>
      <c r="X4" s="31"/>
    </row>
    <row r="5" spans="1:24">
      <c r="A5" t="s">
        <v>11</v>
      </c>
      <c r="B5" t="s">
        <v>711</v>
      </c>
      <c r="Q5" t="s">
        <v>329</v>
      </c>
      <c r="S5" s="31"/>
      <c r="T5" s="31"/>
      <c r="U5" s="31"/>
      <c r="V5" s="31"/>
      <c r="W5" s="31"/>
      <c r="X5" s="31"/>
    </row>
    <row r="6" spans="1:24">
      <c r="A6" t="s">
        <v>13</v>
      </c>
      <c r="B6" t="s">
        <v>86</v>
      </c>
      <c r="Q6" t="s">
        <v>329</v>
      </c>
      <c r="S6" s="31"/>
      <c r="T6" s="31"/>
      <c r="U6" s="31"/>
      <c r="V6" s="31"/>
      <c r="W6" s="31"/>
      <c r="X6" s="31"/>
    </row>
    <row r="7" spans="1:24">
      <c r="A7" t="s">
        <v>15</v>
      </c>
      <c r="B7">
        <v>1</v>
      </c>
      <c r="Q7" t="s">
        <v>329</v>
      </c>
      <c r="S7" s="31"/>
      <c r="T7" s="31"/>
      <c r="U7" s="31"/>
      <c r="V7" s="31"/>
      <c r="W7" s="31"/>
      <c r="X7" s="31"/>
    </row>
    <row r="8" spans="1:24">
      <c r="A8" t="s">
        <v>16</v>
      </c>
      <c r="B8" t="s">
        <v>17</v>
      </c>
      <c r="Q8" t="s">
        <v>329</v>
      </c>
      <c r="S8" s="31"/>
      <c r="T8" s="31"/>
      <c r="U8" s="31"/>
      <c r="V8" s="31"/>
      <c r="W8" s="31"/>
      <c r="X8" s="31"/>
    </row>
    <row r="9" spans="1:24">
      <c r="A9" t="s">
        <v>18</v>
      </c>
      <c r="B9" t="s">
        <v>37</v>
      </c>
      <c r="E9" t="s">
        <v>77</v>
      </c>
      <c r="Q9" t="s">
        <v>329</v>
      </c>
      <c r="S9" s="31"/>
      <c r="T9" s="31"/>
      <c r="U9" s="31"/>
      <c r="V9" s="31"/>
      <c r="W9" s="31"/>
      <c r="X9" s="31"/>
    </row>
    <row r="10" spans="1:24">
      <c r="A10" s="28" t="s">
        <v>19</v>
      </c>
      <c r="Q10" t="s">
        <v>329</v>
      </c>
      <c r="S10" s="31"/>
      <c r="T10" s="31"/>
      <c r="U10" s="31"/>
      <c r="V10" s="31"/>
      <c r="W10" s="31"/>
      <c r="X10" s="31"/>
    </row>
    <row r="11" spans="1:24">
      <c r="A11" s="28" t="s">
        <v>20</v>
      </c>
      <c r="B11" s="28" t="s">
        <v>21</v>
      </c>
      <c r="C11" s="28" t="s">
        <v>78</v>
      </c>
      <c r="D11" s="28" t="s">
        <v>18</v>
      </c>
      <c r="E11" s="28" t="s">
        <v>22</v>
      </c>
      <c r="F11" s="28" t="s">
        <v>7</v>
      </c>
      <c r="G11" s="28" t="s">
        <v>13</v>
      </c>
      <c r="H11" s="28" t="s">
        <v>16</v>
      </c>
      <c r="I11" s="28" t="s">
        <v>23</v>
      </c>
      <c r="J11" s="28" t="s">
        <v>24</v>
      </c>
      <c r="K11" s="28" t="s">
        <v>25</v>
      </c>
      <c r="L11" s="28" t="s">
        <v>26</v>
      </c>
      <c r="M11" s="28" t="s">
        <v>27</v>
      </c>
      <c r="N11" s="28" t="s">
        <v>28</v>
      </c>
      <c r="O11" s="28" t="s">
        <v>11</v>
      </c>
      <c r="P11" s="32" t="s">
        <v>555</v>
      </c>
      <c r="Q11" t="s">
        <v>329</v>
      </c>
      <c r="S11" s="31"/>
      <c r="T11" s="31"/>
      <c r="U11" s="31"/>
      <c r="V11" s="31"/>
      <c r="W11" s="31"/>
      <c r="X11" s="31"/>
    </row>
    <row r="12" spans="1:24">
      <c r="A12" t="s">
        <v>581</v>
      </c>
      <c r="B12">
        <v>1</v>
      </c>
      <c r="D12" t="s">
        <v>37</v>
      </c>
      <c r="E12" t="s">
        <v>2</v>
      </c>
      <c r="F12" t="s">
        <v>29</v>
      </c>
      <c r="G12" t="s">
        <v>86</v>
      </c>
      <c r="H12" t="s">
        <v>30</v>
      </c>
      <c r="I12">
        <v>1</v>
      </c>
      <c r="J12">
        <v>1</v>
      </c>
      <c r="K12" t="s">
        <v>31</v>
      </c>
      <c r="L12" t="s">
        <v>31</v>
      </c>
      <c r="M12" t="s">
        <v>31</v>
      </c>
      <c r="N12" t="s">
        <v>31</v>
      </c>
      <c r="Q12" t="s">
        <v>329</v>
      </c>
      <c r="S12" s="31"/>
      <c r="T12" s="31"/>
      <c r="U12" s="31"/>
      <c r="V12" s="31"/>
      <c r="W12" s="31"/>
      <c r="X12" s="31"/>
    </row>
    <row r="13" spans="1:24">
      <c r="A13" s="30" t="s">
        <v>491</v>
      </c>
      <c r="B13">
        <v>-1</v>
      </c>
      <c r="D13" t="s">
        <v>37</v>
      </c>
      <c r="E13" s="121" t="s">
        <v>38</v>
      </c>
      <c r="F13" s="121" t="s">
        <v>29</v>
      </c>
      <c r="G13" s="121" t="s">
        <v>86</v>
      </c>
      <c r="H13" s="121" t="s">
        <v>33</v>
      </c>
      <c r="I13">
        <v>1</v>
      </c>
      <c r="J13">
        <v>1</v>
      </c>
      <c r="K13" t="s">
        <v>31</v>
      </c>
      <c r="L13" t="s">
        <v>31</v>
      </c>
      <c r="M13" t="s">
        <v>31</v>
      </c>
      <c r="N13" t="s">
        <v>31</v>
      </c>
      <c r="Q13" s="31" t="s">
        <v>329</v>
      </c>
      <c r="S13" s="31"/>
      <c r="T13" s="31"/>
      <c r="U13" s="31"/>
      <c r="V13" s="31"/>
      <c r="W13" s="31"/>
      <c r="X13" s="31"/>
    </row>
    <row r="14" spans="1:24">
      <c r="A14" s="119" t="s">
        <v>5</v>
      </c>
      <c r="B14" s="119" t="s">
        <v>712</v>
      </c>
      <c r="C14" s="119"/>
      <c r="D14" s="120"/>
      <c r="E14" s="42"/>
      <c r="F14" s="42"/>
      <c r="G14" s="42"/>
      <c r="H14" s="42"/>
      <c r="I14" s="42"/>
      <c r="J14" s="42"/>
      <c r="K14" s="42"/>
      <c r="L14" s="42"/>
      <c r="M14" s="42"/>
      <c r="N14" s="42"/>
      <c r="O14" s="42"/>
      <c r="P14" s="42"/>
      <c r="Q14" s="42" t="s">
        <v>329</v>
      </c>
      <c r="S14" s="31"/>
      <c r="T14" s="31"/>
      <c r="U14" s="31"/>
      <c r="V14" s="31"/>
      <c r="W14" s="31"/>
      <c r="X14" s="31"/>
    </row>
    <row r="15" spans="1:24">
      <c r="A15" t="s">
        <v>7</v>
      </c>
      <c r="B15" t="s">
        <v>324</v>
      </c>
      <c r="Q15" t="s">
        <v>329</v>
      </c>
      <c r="S15" s="31"/>
      <c r="T15" s="31"/>
      <c r="U15" s="31"/>
      <c r="V15" s="31"/>
      <c r="W15" s="31"/>
      <c r="X15" s="31"/>
    </row>
    <row r="16" spans="1:24">
      <c r="A16" t="s">
        <v>9</v>
      </c>
      <c r="B16" s="31" t="s">
        <v>713</v>
      </c>
      <c r="C16" s="31"/>
      <c r="Q16" t="s">
        <v>329</v>
      </c>
      <c r="S16" s="31"/>
      <c r="T16" s="31"/>
      <c r="U16" s="31"/>
      <c r="V16" s="31"/>
      <c r="W16" s="31"/>
      <c r="X16" s="31"/>
    </row>
    <row r="17" spans="1:24">
      <c r="A17" t="s">
        <v>11</v>
      </c>
      <c r="B17" t="s">
        <v>711</v>
      </c>
      <c r="Q17" t="s">
        <v>329</v>
      </c>
      <c r="S17" s="31"/>
      <c r="T17" s="31"/>
      <c r="U17" s="31"/>
      <c r="V17" s="31"/>
      <c r="W17" s="31"/>
      <c r="X17" s="31"/>
    </row>
    <row r="18" spans="1:24">
      <c r="A18" t="s">
        <v>13</v>
      </c>
      <c r="B18" t="s">
        <v>60</v>
      </c>
      <c r="Q18" t="s">
        <v>329</v>
      </c>
      <c r="S18" s="31"/>
      <c r="T18" s="31"/>
      <c r="U18" s="31"/>
      <c r="V18" s="31"/>
      <c r="W18" s="31"/>
      <c r="X18" s="31"/>
    </row>
    <row r="19" spans="1:24">
      <c r="A19" t="s">
        <v>15</v>
      </c>
      <c r="B19">
        <v>1</v>
      </c>
      <c r="Q19" t="s">
        <v>329</v>
      </c>
      <c r="S19" s="31"/>
      <c r="T19" s="31"/>
      <c r="U19" s="31"/>
      <c r="V19" s="31"/>
      <c r="W19" s="31"/>
      <c r="X19" s="31"/>
    </row>
    <row r="20" spans="1:24">
      <c r="A20" t="s">
        <v>16</v>
      </c>
      <c r="B20" t="s">
        <v>17</v>
      </c>
      <c r="Q20" t="s">
        <v>329</v>
      </c>
      <c r="S20" s="31"/>
      <c r="T20" s="31"/>
      <c r="U20" s="31"/>
      <c r="V20" s="31"/>
      <c r="W20" s="31"/>
      <c r="X20" s="31"/>
    </row>
    <row r="21" spans="1:24">
      <c r="A21" t="s">
        <v>18</v>
      </c>
      <c r="B21" t="s">
        <v>37</v>
      </c>
      <c r="E21" t="s">
        <v>77</v>
      </c>
      <c r="Q21" t="s">
        <v>329</v>
      </c>
      <c r="S21" s="31"/>
      <c r="T21" s="31"/>
      <c r="U21" s="31"/>
      <c r="V21" s="31"/>
      <c r="W21" s="31"/>
      <c r="X21" s="31"/>
    </row>
    <row r="22" spans="1:24">
      <c r="A22" s="28" t="s">
        <v>19</v>
      </c>
      <c r="Q22" t="s">
        <v>329</v>
      </c>
      <c r="S22" s="31"/>
      <c r="T22" s="31"/>
      <c r="U22" s="31"/>
      <c r="V22" s="31"/>
      <c r="W22" s="31"/>
      <c r="X22" s="31"/>
    </row>
    <row r="23" spans="1:24">
      <c r="A23" s="28" t="s">
        <v>20</v>
      </c>
      <c r="B23" s="28" t="s">
        <v>21</v>
      </c>
      <c r="C23" s="28" t="s">
        <v>78</v>
      </c>
      <c r="D23" s="28" t="s">
        <v>18</v>
      </c>
      <c r="E23" s="28" t="s">
        <v>22</v>
      </c>
      <c r="F23" s="28" t="s">
        <v>7</v>
      </c>
      <c r="G23" s="28" t="s">
        <v>13</v>
      </c>
      <c r="H23" s="28" t="s">
        <v>16</v>
      </c>
      <c r="I23" s="28" t="s">
        <v>23</v>
      </c>
      <c r="J23" s="28" t="s">
        <v>24</v>
      </c>
      <c r="K23" s="28" t="s">
        <v>25</v>
      </c>
      <c r="L23" s="28" t="s">
        <v>26</v>
      </c>
      <c r="M23" s="28" t="s">
        <v>27</v>
      </c>
      <c r="N23" s="28" t="s">
        <v>28</v>
      </c>
      <c r="O23" s="28" t="s">
        <v>11</v>
      </c>
      <c r="P23" s="32" t="s">
        <v>555</v>
      </c>
      <c r="Q23" t="s">
        <v>329</v>
      </c>
      <c r="S23" s="31"/>
      <c r="T23" s="31"/>
      <c r="U23" s="31"/>
      <c r="V23" s="31"/>
      <c r="W23" s="31"/>
      <c r="X23" s="31"/>
    </row>
    <row r="24" spans="1:24">
      <c r="A24" t="s">
        <v>712</v>
      </c>
      <c r="B24">
        <v>1</v>
      </c>
      <c r="D24" t="s">
        <v>37</v>
      </c>
      <c r="E24" t="s">
        <v>2</v>
      </c>
      <c r="F24" t="s">
        <v>29</v>
      </c>
      <c r="G24" t="s">
        <v>60</v>
      </c>
      <c r="H24" t="s">
        <v>30</v>
      </c>
      <c r="I24">
        <v>1</v>
      </c>
      <c r="J24">
        <v>1</v>
      </c>
      <c r="K24" t="s">
        <v>31</v>
      </c>
      <c r="L24" t="s">
        <v>31</v>
      </c>
      <c r="M24" t="s">
        <v>31</v>
      </c>
      <c r="N24" t="s">
        <v>31</v>
      </c>
      <c r="Q24" t="s">
        <v>329</v>
      </c>
      <c r="S24" s="31"/>
      <c r="T24" s="31"/>
      <c r="U24" s="31"/>
      <c r="V24" s="31"/>
      <c r="W24" s="31"/>
      <c r="X24" s="31"/>
    </row>
    <row r="25" spans="1:24">
      <c r="A25" s="51" t="s">
        <v>662</v>
      </c>
      <c r="B25">
        <v>-1</v>
      </c>
      <c r="D25" t="s">
        <v>37</v>
      </c>
      <c r="E25" s="121" t="s">
        <v>38</v>
      </c>
      <c r="F25" s="121" t="s">
        <v>29</v>
      </c>
      <c r="G25" s="121" t="s">
        <v>60</v>
      </c>
      <c r="H25" s="121" t="s">
        <v>33</v>
      </c>
      <c r="I25">
        <v>1</v>
      </c>
      <c r="J25">
        <v>1</v>
      </c>
      <c r="K25" t="s">
        <v>31</v>
      </c>
      <c r="L25" t="s">
        <v>31</v>
      </c>
      <c r="M25" t="s">
        <v>31</v>
      </c>
      <c r="N25" t="s">
        <v>31</v>
      </c>
      <c r="Q25" s="31" t="s">
        <v>329</v>
      </c>
      <c r="S25" s="31"/>
      <c r="T25" s="31"/>
      <c r="U25" s="31"/>
      <c r="V25" s="31"/>
      <c r="W25" s="31"/>
      <c r="X25" s="31"/>
    </row>
    <row r="26" spans="1:24" s="42" customFormat="1">
      <c r="A26" s="119" t="s">
        <v>5</v>
      </c>
      <c r="B26" s="119" t="s">
        <v>682</v>
      </c>
      <c r="C26" s="119"/>
      <c r="D26" s="120"/>
      <c r="Q26" s="42" t="s">
        <v>329</v>
      </c>
      <c r="S26" s="38"/>
      <c r="T26" s="38"/>
      <c r="U26" s="38"/>
      <c r="V26" s="38"/>
      <c r="W26" s="38"/>
      <c r="X26" s="38"/>
    </row>
    <row r="27" spans="1:24">
      <c r="A27" t="s">
        <v>7</v>
      </c>
      <c r="B27" t="s">
        <v>324</v>
      </c>
      <c r="Q27" t="s">
        <v>329</v>
      </c>
      <c r="S27" s="31"/>
      <c r="T27" s="31"/>
      <c r="U27" s="31"/>
      <c r="V27" s="31"/>
      <c r="W27" s="31"/>
      <c r="X27" s="31"/>
    </row>
    <row r="28" spans="1:24">
      <c r="A28" t="s">
        <v>9</v>
      </c>
      <c r="B28" s="31" t="s">
        <v>714</v>
      </c>
      <c r="C28" s="31"/>
      <c r="Q28" t="s">
        <v>329</v>
      </c>
      <c r="S28" s="31"/>
      <c r="T28" s="31"/>
      <c r="U28" s="31"/>
      <c r="V28" s="31"/>
      <c r="W28" s="31"/>
      <c r="X28" s="31"/>
    </row>
    <row r="29" spans="1:24">
      <c r="A29" t="s">
        <v>11</v>
      </c>
      <c r="B29" t="s">
        <v>711</v>
      </c>
      <c r="Q29" t="s">
        <v>329</v>
      </c>
      <c r="S29" s="31"/>
      <c r="T29" s="31"/>
      <c r="U29" s="31"/>
      <c r="V29" s="31"/>
      <c r="W29" s="31"/>
      <c r="X29" s="31"/>
    </row>
    <row r="30" spans="1:24">
      <c r="A30" t="s">
        <v>13</v>
      </c>
      <c r="B30" t="s">
        <v>86</v>
      </c>
      <c r="Q30" t="s">
        <v>329</v>
      </c>
      <c r="S30" s="31"/>
      <c r="T30" s="31"/>
      <c r="U30" s="31"/>
      <c r="V30" s="31"/>
      <c r="W30" s="31"/>
      <c r="X30" s="31"/>
    </row>
    <row r="31" spans="1:24">
      <c r="A31" t="s">
        <v>15</v>
      </c>
      <c r="B31">
        <v>1</v>
      </c>
      <c r="Q31" t="s">
        <v>329</v>
      </c>
      <c r="S31" s="31"/>
      <c r="T31" s="31"/>
      <c r="U31" s="31"/>
      <c r="V31" s="31"/>
      <c r="W31" s="31"/>
      <c r="X31" s="31"/>
    </row>
    <row r="32" spans="1:24">
      <c r="A32" t="s">
        <v>16</v>
      </c>
      <c r="B32" t="s">
        <v>17</v>
      </c>
      <c r="Q32" t="s">
        <v>329</v>
      </c>
      <c r="S32" s="31"/>
      <c r="T32" s="31"/>
      <c r="U32" s="31"/>
      <c r="V32" s="31"/>
      <c r="W32" s="31"/>
      <c r="X32" s="31"/>
    </row>
    <row r="33" spans="1:24">
      <c r="A33" t="s">
        <v>18</v>
      </c>
      <c r="B33" t="str">
        <f>D36</f>
        <v>kilogram</v>
      </c>
      <c r="E33" t="s">
        <v>77</v>
      </c>
      <c r="Q33" t="s">
        <v>329</v>
      </c>
      <c r="S33" s="31"/>
      <c r="T33" s="31"/>
      <c r="U33" s="31"/>
      <c r="V33" s="31"/>
      <c r="W33" s="31"/>
      <c r="X33" s="31"/>
    </row>
    <row r="34" spans="1:24">
      <c r="A34" s="28" t="s">
        <v>19</v>
      </c>
      <c r="Q34" t="s">
        <v>329</v>
      </c>
      <c r="S34" s="31"/>
      <c r="T34" s="31"/>
      <c r="U34" s="31"/>
      <c r="V34" s="31"/>
      <c r="W34" s="31"/>
      <c r="X34" s="31"/>
    </row>
    <row r="35" spans="1:24">
      <c r="A35" s="28" t="s">
        <v>20</v>
      </c>
      <c r="B35" s="28" t="s">
        <v>21</v>
      </c>
      <c r="C35" s="28" t="s">
        <v>78</v>
      </c>
      <c r="D35" s="28" t="s">
        <v>18</v>
      </c>
      <c r="E35" s="28" t="s">
        <v>22</v>
      </c>
      <c r="F35" s="28" t="s">
        <v>7</v>
      </c>
      <c r="G35" s="28" t="s">
        <v>13</v>
      </c>
      <c r="H35" s="28" t="s">
        <v>16</v>
      </c>
      <c r="I35" s="28" t="s">
        <v>23</v>
      </c>
      <c r="J35" s="28" t="s">
        <v>24</v>
      </c>
      <c r="K35" s="28" t="s">
        <v>25</v>
      </c>
      <c r="L35" s="28" t="s">
        <v>26</v>
      </c>
      <c r="M35" s="28" t="s">
        <v>27</v>
      </c>
      <c r="N35" s="28" t="s">
        <v>28</v>
      </c>
      <c r="O35" s="28" t="s">
        <v>11</v>
      </c>
      <c r="P35" s="32" t="s">
        <v>555</v>
      </c>
      <c r="Q35" t="s">
        <v>329</v>
      </c>
      <c r="S35" s="31"/>
      <c r="T35" s="31"/>
      <c r="U35" s="31"/>
      <c r="V35" s="31"/>
      <c r="W35" s="31"/>
      <c r="X35" s="31"/>
    </row>
    <row r="36" spans="1:24">
      <c r="A36" t="s">
        <v>682</v>
      </c>
      <c r="B36">
        <v>1</v>
      </c>
      <c r="D36" t="s">
        <v>37</v>
      </c>
      <c r="E36" t="s">
        <v>2</v>
      </c>
      <c r="F36" t="s">
        <v>29</v>
      </c>
      <c r="G36" t="s">
        <v>86</v>
      </c>
      <c r="H36" t="s">
        <v>30</v>
      </c>
      <c r="I36">
        <v>1</v>
      </c>
      <c r="J36">
        <v>1</v>
      </c>
      <c r="K36" t="s">
        <v>31</v>
      </c>
      <c r="L36" t="s">
        <v>31</v>
      </c>
      <c r="M36" t="s">
        <v>31</v>
      </c>
      <c r="N36" t="s">
        <v>31</v>
      </c>
      <c r="Q36" t="s">
        <v>329</v>
      </c>
      <c r="S36" s="31"/>
      <c r="T36" s="31"/>
      <c r="U36" s="31"/>
      <c r="V36" s="31"/>
      <c r="W36" s="31"/>
      <c r="X36" s="31"/>
    </row>
    <row r="37" spans="1:24" s="79" customFormat="1">
      <c r="A37" s="122" t="s">
        <v>474</v>
      </c>
      <c r="B37" s="79">
        <v>-1</v>
      </c>
      <c r="C37" s="123"/>
      <c r="D37" s="79" t="s">
        <v>37</v>
      </c>
      <c r="E37" s="124" t="s">
        <v>38</v>
      </c>
      <c r="F37" s="124" t="s">
        <v>29</v>
      </c>
      <c r="G37" s="79" t="s">
        <v>86</v>
      </c>
      <c r="H37" s="124" t="s">
        <v>33</v>
      </c>
      <c r="I37" s="79">
        <v>1</v>
      </c>
      <c r="J37" s="79">
        <v>1</v>
      </c>
      <c r="K37" s="79" t="s">
        <v>31</v>
      </c>
      <c r="L37" s="79" t="s">
        <v>31</v>
      </c>
      <c r="M37" s="79" t="s">
        <v>31</v>
      </c>
      <c r="N37" s="79" t="s">
        <v>31</v>
      </c>
      <c r="Q37" s="57" t="s">
        <v>329</v>
      </c>
      <c r="S37" s="57"/>
      <c r="T37" s="57"/>
      <c r="U37" s="57"/>
      <c r="V37" s="57"/>
      <c r="W37" s="57"/>
      <c r="X37" s="57"/>
    </row>
    <row r="38" spans="1:24" s="118" customFormat="1">
      <c r="A38" s="125" t="s">
        <v>5</v>
      </c>
      <c r="B38" s="125" t="s">
        <v>580</v>
      </c>
      <c r="C38" s="126"/>
      <c r="D38" s="127" t="s">
        <v>715</v>
      </c>
      <c r="E38" s="128" t="s">
        <v>715</v>
      </c>
      <c r="F38" s="128" t="s">
        <v>715</v>
      </c>
      <c r="G38" s="128" t="s">
        <v>715</v>
      </c>
      <c r="H38" s="128" t="s">
        <v>715</v>
      </c>
      <c r="I38" s="128" t="s">
        <v>715</v>
      </c>
      <c r="J38" s="128" t="s">
        <v>715</v>
      </c>
      <c r="K38" s="128" t="s">
        <v>715</v>
      </c>
      <c r="L38" s="128" t="s">
        <v>715</v>
      </c>
      <c r="M38" s="128" t="s">
        <v>715</v>
      </c>
      <c r="N38" s="128" t="s">
        <v>715</v>
      </c>
      <c r="O38" s="128" t="s">
        <v>715</v>
      </c>
      <c r="P38" s="128" t="s">
        <v>715</v>
      </c>
      <c r="Q38" s="129" t="s">
        <v>329</v>
      </c>
      <c r="R38" s="128" t="s">
        <v>715</v>
      </c>
      <c r="S38" s="130" t="s">
        <v>715</v>
      </c>
      <c r="T38" s="130" t="s">
        <v>715</v>
      </c>
      <c r="U38" s="130" t="s">
        <v>715</v>
      </c>
      <c r="V38" s="130" t="s">
        <v>715</v>
      </c>
      <c r="W38" s="130" t="s">
        <v>715</v>
      </c>
      <c r="X38" s="130" t="s">
        <v>715</v>
      </c>
    </row>
    <row r="39" spans="1:24" s="118" customFormat="1">
      <c r="A39" s="131" t="s">
        <v>7</v>
      </c>
      <c r="B39" s="131" t="s">
        <v>324</v>
      </c>
      <c r="C39" s="131"/>
      <c r="D39" s="131"/>
      <c r="E39" s="131"/>
      <c r="F39" s="131"/>
      <c r="G39" s="131"/>
      <c r="H39" s="131"/>
      <c r="I39" s="131"/>
      <c r="J39" s="131"/>
      <c r="K39" s="131"/>
      <c r="L39" s="131"/>
      <c r="M39" s="131"/>
      <c r="N39" s="131"/>
      <c r="O39" s="131"/>
      <c r="P39" s="131"/>
      <c r="Q39" s="132" t="s">
        <v>329</v>
      </c>
      <c r="R39" s="131"/>
      <c r="S39" s="133"/>
      <c r="T39" s="133"/>
      <c r="U39" s="133"/>
      <c r="V39" s="133"/>
      <c r="W39" s="133"/>
      <c r="X39" s="133"/>
    </row>
    <row r="40" spans="1:24" s="118" customFormat="1">
      <c r="A40" s="131" t="s">
        <v>9</v>
      </c>
      <c r="B40" s="133" t="s">
        <v>716</v>
      </c>
      <c r="C40" s="133"/>
      <c r="D40" s="133"/>
      <c r="E40" s="131"/>
      <c r="F40" s="131"/>
      <c r="G40" s="131"/>
      <c r="H40" s="131"/>
      <c r="I40" s="131"/>
      <c r="J40" s="131"/>
      <c r="K40" s="131"/>
      <c r="L40" s="131"/>
      <c r="M40" s="131"/>
      <c r="N40" s="131"/>
      <c r="O40" s="131"/>
      <c r="P40" s="131"/>
      <c r="Q40" s="132" t="s">
        <v>329</v>
      </c>
      <c r="R40" s="131"/>
      <c r="S40" s="133"/>
      <c r="T40" s="133"/>
      <c r="U40" s="133"/>
      <c r="V40" s="133"/>
      <c r="W40" s="133"/>
      <c r="X40" s="133"/>
    </row>
    <row r="41" spans="1:24" s="118" customFormat="1">
      <c r="A41" s="131" t="s">
        <v>11</v>
      </c>
      <c r="B41" s="131" t="s">
        <v>711</v>
      </c>
      <c r="C41" s="131"/>
      <c r="D41" s="131"/>
      <c r="E41" s="131"/>
      <c r="F41" s="131"/>
      <c r="G41" s="131"/>
      <c r="H41" s="131"/>
      <c r="I41" s="131"/>
      <c r="J41" s="131"/>
      <c r="K41" s="131"/>
      <c r="L41" s="131"/>
      <c r="M41" s="131"/>
      <c r="N41" s="131"/>
      <c r="O41" s="131"/>
      <c r="P41" s="131"/>
      <c r="Q41" s="132" t="s">
        <v>329</v>
      </c>
      <c r="R41" s="131"/>
      <c r="S41" s="133"/>
      <c r="T41" s="133"/>
      <c r="U41" s="133"/>
      <c r="V41" s="133"/>
      <c r="W41" s="133"/>
      <c r="X41" s="133"/>
    </row>
    <row r="42" spans="1:24" s="118" customFormat="1">
      <c r="A42" s="131" t="s">
        <v>13</v>
      </c>
      <c r="B42" s="131" t="s">
        <v>86</v>
      </c>
      <c r="C42" s="131"/>
      <c r="D42" s="131"/>
      <c r="E42" s="131"/>
      <c r="F42" s="131"/>
      <c r="G42" s="131"/>
      <c r="H42" s="131"/>
      <c r="I42" s="131"/>
      <c r="J42" s="131"/>
      <c r="K42" s="131"/>
      <c r="L42" s="131"/>
      <c r="M42" s="131"/>
      <c r="N42" s="131"/>
      <c r="O42" s="131"/>
      <c r="P42" s="131"/>
      <c r="Q42" s="132" t="s">
        <v>329</v>
      </c>
      <c r="R42" s="131"/>
      <c r="S42" s="133"/>
      <c r="T42" s="133"/>
      <c r="U42" s="133"/>
      <c r="V42" s="133"/>
      <c r="W42" s="133"/>
      <c r="X42" s="133"/>
    </row>
    <row r="43" spans="1:24" s="118" customFormat="1">
      <c r="A43" s="131" t="s">
        <v>15</v>
      </c>
      <c r="B43" s="131">
        <v>1</v>
      </c>
      <c r="C43" s="131"/>
      <c r="D43" s="131"/>
      <c r="E43" s="131"/>
      <c r="F43" s="131"/>
      <c r="G43" s="131"/>
      <c r="H43" s="131"/>
      <c r="I43" s="131"/>
      <c r="J43" s="131"/>
      <c r="K43" s="131"/>
      <c r="L43" s="131"/>
      <c r="M43" s="131"/>
      <c r="N43" s="131"/>
      <c r="O43" s="131"/>
      <c r="P43" s="131"/>
      <c r="Q43" s="132" t="s">
        <v>329</v>
      </c>
      <c r="R43" s="131"/>
      <c r="S43" s="133"/>
      <c r="T43" s="133"/>
      <c r="U43" s="133"/>
      <c r="V43" s="133"/>
      <c r="W43" s="133"/>
      <c r="X43" s="133"/>
    </row>
    <row r="44" spans="1:24" s="118" customFormat="1">
      <c r="A44" s="131" t="s">
        <v>16</v>
      </c>
      <c r="B44" s="131" t="s">
        <v>17</v>
      </c>
      <c r="C44" s="131"/>
      <c r="D44" s="131"/>
      <c r="E44" s="131"/>
      <c r="F44" s="131"/>
      <c r="G44" s="131"/>
      <c r="H44" s="131"/>
      <c r="I44" s="131"/>
      <c r="J44" s="131"/>
      <c r="K44" s="131"/>
      <c r="L44" s="131"/>
      <c r="M44" s="131"/>
      <c r="N44" s="131"/>
      <c r="O44" s="131"/>
      <c r="P44" s="131"/>
      <c r="Q44" s="132" t="s">
        <v>329</v>
      </c>
      <c r="R44" s="131"/>
      <c r="S44" s="133"/>
      <c r="T44" s="133"/>
      <c r="U44" s="133"/>
      <c r="V44" s="133"/>
      <c r="W44" s="133"/>
      <c r="X44" s="133"/>
    </row>
    <row r="45" spans="1:24" s="118" customFormat="1">
      <c r="A45" s="131" t="s">
        <v>18</v>
      </c>
      <c r="B45" s="131" t="s">
        <v>50</v>
      </c>
      <c r="C45" s="131"/>
      <c r="D45" s="131"/>
      <c r="E45" s="131" t="s">
        <v>77</v>
      </c>
      <c r="F45" s="131"/>
      <c r="G45" s="131"/>
      <c r="H45" s="131"/>
      <c r="I45" s="131"/>
      <c r="J45" s="131"/>
      <c r="K45" s="131"/>
      <c r="L45" s="131"/>
      <c r="M45" s="131"/>
      <c r="N45" s="131"/>
      <c r="O45" s="131"/>
      <c r="P45" s="131"/>
      <c r="Q45" s="132" t="s">
        <v>329</v>
      </c>
      <c r="R45" s="131"/>
      <c r="S45" s="133"/>
      <c r="T45" s="133"/>
      <c r="U45" s="133"/>
      <c r="V45" s="133"/>
      <c r="W45" s="133"/>
      <c r="X45" s="133"/>
    </row>
    <row r="46" spans="1:24" s="118" customFormat="1">
      <c r="A46" s="134" t="s">
        <v>19</v>
      </c>
      <c r="B46" s="131"/>
      <c r="C46" s="131"/>
      <c r="D46" s="131"/>
      <c r="E46" s="131"/>
      <c r="F46" s="131"/>
      <c r="G46" s="131"/>
      <c r="H46" s="131"/>
      <c r="I46" s="131"/>
      <c r="J46" s="131"/>
      <c r="K46" s="131"/>
      <c r="L46" s="131"/>
      <c r="M46" s="131"/>
      <c r="N46" s="131"/>
      <c r="O46" s="131"/>
      <c r="P46" s="131"/>
      <c r="Q46" s="132" t="s">
        <v>329</v>
      </c>
      <c r="R46" s="131"/>
      <c r="S46" s="133"/>
      <c r="T46" s="133"/>
      <c r="U46" s="133"/>
      <c r="V46" s="133"/>
      <c r="W46" s="133"/>
      <c r="X46" s="133"/>
    </row>
    <row r="47" spans="1:24" s="118" customFormat="1">
      <c r="A47" s="134" t="s">
        <v>20</v>
      </c>
      <c r="B47" s="134" t="s">
        <v>21</v>
      </c>
      <c r="C47" s="134" t="s">
        <v>78</v>
      </c>
      <c r="D47" s="134" t="s">
        <v>18</v>
      </c>
      <c r="E47" s="134" t="s">
        <v>22</v>
      </c>
      <c r="F47" s="134" t="s">
        <v>7</v>
      </c>
      <c r="G47" s="134" t="s">
        <v>13</v>
      </c>
      <c r="H47" s="134" t="s">
        <v>16</v>
      </c>
      <c r="I47" s="134" t="s">
        <v>23</v>
      </c>
      <c r="J47" s="134" t="s">
        <v>24</v>
      </c>
      <c r="K47" s="134" t="s">
        <v>25</v>
      </c>
      <c r="L47" s="134" t="s">
        <v>26</v>
      </c>
      <c r="M47" s="134" t="s">
        <v>27</v>
      </c>
      <c r="N47" s="134" t="s">
        <v>28</v>
      </c>
      <c r="O47" s="134" t="s">
        <v>11</v>
      </c>
      <c r="P47" s="135" t="s">
        <v>555</v>
      </c>
      <c r="Q47" s="132" t="s">
        <v>329</v>
      </c>
      <c r="R47" s="131"/>
      <c r="S47" s="133"/>
      <c r="T47" s="133"/>
      <c r="U47" s="133"/>
      <c r="V47" s="133"/>
      <c r="W47" s="133"/>
      <c r="X47" s="133"/>
    </row>
    <row r="48" spans="1:24" s="118" customFormat="1">
      <c r="A48" s="131" t="s">
        <v>580</v>
      </c>
      <c r="B48" s="131">
        <v>1</v>
      </c>
      <c r="C48" s="131"/>
      <c r="D48" s="133" t="s">
        <v>50</v>
      </c>
      <c r="E48" s="131" t="s">
        <v>2</v>
      </c>
      <c r="F48" s="131" t="s">
        <v>29</v>
      </c>
      <c r="G48" s="131" t="s">
        <v>86</v>
      </c>
      <c r="H48" s="131" t="s">
        <v>30</v>
      </c>
      <c r="I48" s="131">
        <v>1</v>
      </c>
      <c r="J48" s="131">
        <v>1</v>
      </c>
      <c r="K48" s="131" t="s">
        <v>31</v>
      </c>
      <c r="L48" s="131" t="s">
        <v>31</v>
      </c>
      <c r="M48" s="131" t="s">
        <v>31</v>
      </c>
      <c r="N48" s="131" t="s">
        <v>31</v>
      </c>
      <c r="O48" s="131"/>
      <c r="P48" s="131"/>
      <c r="Q48" s="132" t="s">
        <v>329</v>
      </c>
      <c r="R48" s="131"/>
      <c r="S48" s="133"/>
      <c r="T48" s="133"/>
      <c r="U48" s="133"/>
      <c r="V48" s="133"/>
      <c r="W48" s="133"/>
      <c r="X48" s="133"/>
    </row>
    <row r="49" spans="1:24">
      <c r="A49" s="133" t="s">
        <v>489</v>
      </c>
      <c r="B49" s="131">
        <v>-1</v>
      </c>
      <c r="C49" s="133"/>
      <c r="D49" s="133" t="s">
        <v>50</v>
      </c>
      <c r="E49" s="133" t="s">
        <v>38</v>
      </c>
      <c r="F49" s="133" t="s">
        <v>29</v>
      </c>
      <c r="G49" s="133" t="s">
        <v>86</v>
      </c>
      <c r="H49" s="133" t="s">
        <v>33</v>
      </c>
      <c r="I49" s="136">
        <v>1</v>
      </c>
      <c r="J49" s="136">
        <v>1</v>
      </c>
      <c r="K49" s="136" t="s">
        <v>31</v>
      </c>
      <c r="L49" s="136" t="s">
        <v>31</v>
      </c>
      <c r="M49" s="136" t="s">
        <v>31</v>
      </c>
      <c r="N49" s="136" t="s">
        <v>31</v>
      </c>
      <c r="O49" s="133"/>
      <c r="P49" s="133"/>
      <c r="Q49" s="137" t="s">
        <v>329</v>
      </c>
      <c r="R49" s="133"/>
      <c r="S49" s="133"/>
      <c r="T49" s="133"/>
      <c r="U49" s="133"/>
      <c r="V49" s="133"/>
      <c r="W49" s="133"/>
      <c r="X49" s="13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85FC2-B934-494A-8534-52B24ACEA791}">
  <dimension ref="A1:O221"/>
  <sheetViews>
    <sheetView zoomScale="70" zoomScaleNormal="70" workbookViewId="0">
      <selection activeCell="A16" sqref="A16"/>
    </sheetView>
  </sheetViews>
  <sheetFormatPr defaultColWidth="8.7109375" defaultRowHeight="15"/>
  <cols>
    <col min="1" max="1" width="86.7109375" style="62" customWidth="1"/>
    <col min="2" max="3" width="19.85546875" style="138" customWidth="1"/>
    <col min="4" max="4" width="10.140625" style="62" customWidth="1"/>
    <col min="5" max="5" width="31" style="62" bestFit="1" customWidth="1"/>
    <col min="6" max="6" width="25.5703125" style="62" customWidth="1"/>
    <col min="7" max="8" width="8.7109375" style="62"/>
    <col min="9" max="12" width="8.7109375" style="140"/>
    <col min="13" max="14" width="11.85546875" style="140" bestFit="1" customWidth="1"/>
    <col min="15" max="15" width="40.140625" style="62" bestFit="1" customWidth="1"/>
    <col min="16" max="16384" width="8.7109375" style="62"/>
  </cols>
  <sheetData>
    <row r="1" spans="1:15">
      <c r="A1" s="62" t="s">
        <v>0</v>
      </c>
      <c r="B1" s="138">
        <v>14</v>
      </c>
      <c r="D1" s="139" t="s">
        <v>537</v>
      </c>
    </row>
    <row r="2" spans="1:15" s="143" customFormat="1" ht="15.75">
      <c r="A2" s="141" t="s">
        <v>5</v>
      </c>
      <c r="B2" s="141" t="s">
        <v>717</v>
      </c>
      <c r="C2" s="141"/>
      <c r="D2" s="142"/>
    </row>
    <row r="3" spans="1:15">
      <c r="A3" s="62" t="s">
        <v>7</v>
      </c>
      <c r="B3" s="62" t="s">
        <v>718</v>
      </c>
      <c r="C3" s="62"/>
      <c r="I3" s="62"/>
      <c r="J3" s="62"/>
      <c r="K3" s="62"/>
      <c r="L3" s="62"/>
      <c r="M3" s="62"/>
      <c r="N3" s="62"/>
    </row>
    <row r="4" spans="1:15">
      <c r="A4" s="62" t="s">
        <v>9</v>
      </c>
      <c r="B4" s="62" t="str">
        <f ca="1">UPPER(CONCATENATE(DEC2HEX(RANDBETWEEN(0,POWER(16,8)),8),DEC2HEX(RANDBETWEEN(0,POWER(16,4)),4),"4",DEC2HEX(RANDBETWEEN(0,POWER(16,3)),3),DEC2HEX(RANDBETWEEN(8,11)),DEC2HEX(RANDBETWEEN(0,POWER(16,3)),3),DEC2HEX(RANDBETWEEN(0,POWER(16,8)),8),DEC2HEX(RANDBETWEEN(0,POWER(16,4)),4)))</f>
        <v>B647A634584B4D11901049490232045B</v>
      </c>
      <c r="C4" s="62"/>
      <c r="I4" s="62"/>
      <c r="J4" s="62"/>
      <c r="K4" s="62"/>
      <c r="L4" s="62"/>
      <c r="M4" s="62"/>
      <c r="N4" s="62"/>
    </row>
    <row r="5" spans="1:15">
      <c r="A5" s="62" t="s">
        <v>11</v>
      </c>
      <c r="B5" s="62" t="s">
        <v>719</v>
      </c>
      <c r="C5" s="62"/>
      <c r="I5" s="62"/>
      <c r="J5" s="62"/>
      <c r="K5" s="62"/>
      <c r="L5" s="62"/>
      <c r="M5" s="62"/>
      <c r="N5" s="62"/>
    </row>
    <row r="6" spans="1:15">
      <c r="A6" s="62" t="s">
        <v>13</v>
      </c>
      <c r="B6" s="138" t="s">
        <v>60</v>
      </c>
    </row>
    <row r="7" spans="1:15">
      <c r="A7" s="62" t="s">
        <v>15</v>
      </c>
      <c r="B7" s="62">
        <v>1</v>
      </c>
      <c r="C7" s="62"/>
    </row>
    <row r="8" spans="1:15">
      <c r="A8" s="62" t="s">
        <v>16</v>
      </c>
      <c r="B8" s="62" t="s">
        <v>17</v>
      </c>
      <c r="C8" s="62"/>
    </row>
    <row r="9" spans="1:15">
      <c r="A9" s="62" t="s">
        <v>18</v>
      </c>
      <c r="B9" s="62" t="s">
        <v>18</v>
      </c>
      <c r="C9" s="62"/>
    </row>
    <row r="10" spans="1:15" ht="15.75">
      <c r="A10" s="144" t="s">
        <v>19</v>
      </c>
      <c r="B10" s="62"/>
      <c r="C10" s="62"/>
    </row>
    <row r="11" spans="1:15" ht="15.75">
      <c r="A11" s="144" t="s">
        <v>20</v>
      </c>
      <c r="B11" s="145" t="s">
        <v>21</v>
      </c>
      <c r="C11" s="145" t="s">
        <v>78</v>
      </c>
      <c r="D11" s="144" t="s">
        <v>18</v>
      </c>
      <c r="E11" s="144" t="s">
        <v>22</v>
      </c>
      <c r="F11" s="144" t="s">
        <v>7</v>
      </c>
      <c r="G11" s="144" t="s">
        <v>13</v>
      </c>
      <c r="H11" s="144" t="s">
        <v>16</v>
      </c>
      <c r="I11" s="146" t="s">
        <v>23</v>
      </c>
      <c r="J11" s="146" t="s">
        <v>24</v>
      </c>
      <c r="K11" s="146" t="s">
        <v>25</v>
      </c>
      <c r="L11" s="146" t="s">
        <v>26</v>
      </c>
      <c r="M11" s="146" t="s">
        <v>27</v>
      </c>
      <c r="N11" s="146" t="s">
        <v>28</v>
      </c>
      <c r="O11" s="144" t="s">
        <v>11</v>
      </c>
    </row>
    <row r="12" spans="1:15" ht="15.75">
      <c r="A12" s="61" t="s">
        <v>717</v>
      </c>
      <c r="B12" s="147">
        <v>1</v>
      </c>
      <c r="C12" s="147"/>
      <c r="D12" s="61" t="s">
        <v>18</v>
      </c>
      <c r="E12" s="61" t="s">
        <v>2</v>
      </c>
      <c r="F12" s="62" t="s">
        <v>718</v>
      </c>
      <c r="G12" s="61" t="s">
        <v>60</v>
      </c>
      <c r="H12" s="61" t="s">
        <v>30</v>
      </c>
      <c r="I12" s="148">
        <v>0</v>
      </c>
      <c r="J12" s="148" t="s">
        <v>31</v>
      </c>
      <c r="K12" s="148" t="s">
        <v>31</v>
      </c>
      <c r="L12" s="148" t="s">
        <v>31</v>
      </c>
      <c r="M12" s="148" t="s">
        <v>31</v>
      </c>
      <c r="N12" s="148" t="s">
        <v>31</v>
      </c>
      <c r="O12" s="61" t="s">
        <v>720</v>
      </c>
    </row>
    <row r="13" spans="1:15" ht="15.75">
      <c r="A13" s="62" t="s">
        <v>40</v>
      </c>
      <c r="B13" s="138">
        <f>1420*4*9.83251430822759*0.226045</f>
        <v>12624.315157842777</v>
      </c>
      <c r="D13" s="62" t="s">
        <v>41</v>
      </c>
      <c r="E13" s="149" t="s">
        <v>38</v>
      </c>
      <c r="F13" s="62" t="s">
        <v>29</v>
      </c>
      <c r="G13" s="62" t="s">
        <v>14</v>
      </c>
      <c r="H13" s="62" t="s">
        <v>33</v>
      </c>
      <c r="I13" s="140">
        <v>2</v>
      </c>
      <c r="J13" s="148">
        <f>LN(B13)</f>
        <v>9.4433800077489067</v>
      </c>
      <c r="K13" s="140">
        <v>0.03</v>
      </c>
      <c r="L13" s="148" t="s">
        <v>31</v>
      </c>
      <c r="M13" s="148" t="s">
        <v>31</v>
      </c>
      <c r="N13" s="148" t="s">
        <v>31</v>
      </c>
      <c r="O13" t="s">
        <v>721</v>
      </c>
    </row>
    <row r="14" spans="1:15" ht="15.75">
      <c r="A14" s="62" t="s">
        <v>722</v>
      </c>
      <c r="B14" s="138">
        <f>1420*4*0.045209</f>
        <v>256.78712000000002</v>
      </c>
      <c r="D14" s="62" t="s">
        <v>37</v>
      </c>
      <c r="E14" s="149" t="s">
        <v>38</v>
      </c>
      <c r="F14" s="62" t="s">
        <v>29</v>
      </c>
      <c r="G14" s="62" t="s">
        <v>60</v>
      </c>
      <c r="H14" s="62" t="s">
        <v>33</v>
      </c>
      <c r="I14" s="140">
        <v>2</v>
      </c>
      <c r="J14" s="148">
        <f>LN(B14)</f>
        <v>5.5482474147947238</v>
      </c>
      <c r="K14" s="140">
        <v>0.03</v>
      </c>
      <c r="L14" s="148" t="s">
        <v>31</v>
      </c>
      <c r="M14" s="148" t="s">
        <v>31</v>
      </c>
      <c r="N14" s="148" t="s">
        <v>31</v>
      </c>
    </row>
    <row r="15" spans="1:15" ht="15.75">
      <c r="A15" s="150" t="str">
        <f>A27</f>
        <v>graphene sulfur composite</v>
      </c>
      <c r="B15" s="138">
        <f>1420*4*0.16953375</f>
        <v>962.95170000000007</v>
      </c>
      <c r="D15" s="62" t="s">
        <v>37</v>
      </c>
      <c r="E15" s="149" t="s">
        <v>2</v>
      </c>
      <c r="F15" s="62" t="s">
        <v>718</v>
      </c>
      <c r="G15" s="62" t="s">
        <v>86</v>
      </c>
      <c r="H15" s="62" t="s">
        <v>33</v>
      </c>
      <c r="I15" s="140">
        <v>0</v>
      </c>
      <c r="J15" s="148" t="s">
        <v>31</v>
      </c>
      <c r="K15" s="148" t="s">
        <v>31</v>
      </c>
      <c r="L15" s="148" t="s">
        <v>31</v>
      </c>
      <c r="M15" s="148" t="s">
        <v>31</v>
      </c>
      <c r="N15" s="148" t="s">
        <v>31</v>
      </c>
      <c r="O15" s="62" t="s">
        <v>723</v>
      </c>
    </row>
    <row r="16" spans="1:15" ht="15.75">
      <c r="A16" s="151" t="s">
        <v>724</v>
      </c>
      <c r="B16" s="152">
        <f>1420*4*0.01130225</f>
        <v>64.196780000000004</v>
      </c>
      <c r="D16" s="62" t="s">
        <v>37</v>
      </c>
      <c r="E16" s="149" t="s">
        <v>38</v>
      </c>
      <c r="F16" s="62" t="s">
        <v>29</v>
      </c>
      <c r="G16" s="62" t="s">
        <v>60</v>
      </c>
      <c r="H16" s="62" t="s">
        <v>33</v>
      </c>
      <c r="I16" s="140">
        <v>2</v>
      </c>
      <c r="J16" s="148">
        <f>LN(B16)</f>
        <v>4.161953053674833</v>
      </c>
      <c r="K16" s="140">
        <v>0.03</v>
      </c>
      <c r="L16" s="148" t="s">
        <v>31</v>
      </c>
      <c r="M16" s="148" t="s">
        <v>31</v>
      </c>
      <c r="N16" s="148" t="s">
        <v>31</v>
      </c>
      <c r="O16" s="144"/>
    </row>
    <row r="17" spans="1:15" s="143" customFormat="1" ht="15.75">
      <c r="A17" s="153" t="s">
        <v>5</v>
      </c>
      <c r="B17" s="154" t="s">
        <v>725</v>
      </c>
      <c r="C17" s="154"/>
      <c r="D17" s="142"/>
      <c r="I17" s="155"/>
      <c r="J17" s="155"/>
      <c r="K17" s="155"/>
      <c r="L17" s="155"/>
      <c r="M17" s="155"/>
      <c r="N17" s="155"/>
    </row>
    <row r="18" spans="1:15">
      <c r="A18" s="62" t="s">
        <v>7</v>
      </c>
      <c r="B18" s="138" t="s">
        <v>718</v>
      </c>
    </row>
    <row r="19" spans="1:15">
      <c r="A19" s="62" t="s">
        <v>9</v>
      </c>
      <c r="B19" s="62" t="str">
        <f ca="1">UPPER(CONCATENATE(DEC2HEX(RANDBETWEEN(0,POWER(16,8)),8),DEC2HEX(RANDBETWEEN(0,POWER(16,4)),4),"4",DEC2HEX(RANDBETWEEN(0,POWER(16,3)),3),DEC2HEX(RANDBETWEEN(8,11)),DEC2HEX(RANDBETWEEN(0,POWER(16,3)),3),DEC2HEX(RANDBETWEEN(0,POWER(16,8)),8),DEC2HEX(RANDBETWEEN(0,POWER(16,4)),4)))</f>
        <v>C85F1183EDAF4A5993EAE74BD18DFF31</v>
      </c>
    </row>
    <row r="20" spans="1:15">
      <c r="A20" s="62" t="s">
        <v>11</v>
      </c>
      <c r="B20" s="138" t="s">
        <v>719</v>
      </c>
    </row>
    <row r="21" spans="1:15">
      <c r="A21" s="62" t="s">
        <v>13</v>
      </c>
      <c r="B21" s="138" t="s">
        <v>86</v>
      </c>
    </row>
    <row r="22" spans="1:15">
      <c r="A22" s="62" t="s">
        <v>15</v>
      </c>
      <c r="B22" s="138">
        <v>1</v>
      </c>
    </row>
    <row r="23" spans="1:15">
      <c r="A23" s="62" t="s">
        <v>16</v>
      </c>
      <c r="B23" s="138" t="s">
        <v>17</v>
      </c>
    </row>
    <row r="24" spans="1:15">
      <c r="A24" s="62" t="s">
        <v>18</v>
      </c>
      <c r="B24" s="138" t="s">
        <v>37</v>
      </c>
    </row>
    <row r="25" spans="1:15" ht="15.75">
      <c r="A25" s="144" t="s">
        <v>19</v>
      </c>
    </row>
    <row r="26" spans="1:15" ht="15.75">
      <c r="A26" s="144" t="s">
        <v>20</v>
      </c>
      <c r="B26" s="145" t="s">
        <v>21</v>
      </c>
      <c r="C26" s="145" t="s">
        <v>78</v>
      </c>
      <c r="D26" s="144" t="s">
        <v>18</v>
      </c>
      <c r="E26" s="144" t="s">
        <v>22</v>
      </c>
      <c r="F26" s="144" t="s">
        <v>7</v>
      </c>
      <c r="G26" s="144" t="s">
        <v>13</v>
      </c>
      <c r="H26" s="144" t="s">
        <v>16</v>
      </c>
      <c r="I26" s="146" t="s">
        <v>23</v>
      </c>
      <c r="J26" s="146" t="s">
        <v>24</v>
      </c>
      <c r="K26" s="146" t="s">
        <v>25</v>
      </c>
      <c r="L26" s="146" t="s">
        <v>26</v>
      </c>
      <c r="M26" s="146" t="s">
        <v>27</v>
      </c>
      <c r="N26" s="146" t="s">
        <v>28</v>
      </c>
      <c r="O26" s="144" t="s">
        <v>11</v>
      </c>
    </row>
    <row r="27" spans="1:15" ht="15.75">
      <c r="A27" s="147" t="str">
        <f>B17</f>
        <v>graphene sulfur composite</v>
      </c>
      <c r="B27" s="147">
        <v>1</v>
      </c>
      <c r="C27" s="147"/>
      <c r="D27" s="61" t="s">
        <v>37</v>
      </c>
      <c r="E27" s="61" t="s">
        <v>2</v>
      </c>
      <c r="F27" s="62" t="s">
        <v>718</v>
      </c>
      <c r="G27" s="61" t="s">
        <v>86</v>
      </c>
      <c r="H27" s="61" t="s">
        <v>30</v>
      </c>
      <c r="I27" s="148">
        <v>2</v>
      </c>
      <c r="J27" s="148">
        <v>0</v>
      </c>
      <c r="K27" s="148">
        <v>0.03</v>
      </c>
      <c r="L27" s="148" t="s">
        <v>31</v>
      </c>
      <c r="M27" s="148" t="s">
        <v>31</v>
      </c>
      <c r="N27" s="148" t="s">
        <v>31</v>
      </c>
      <c r="O27" s="61" t="s">
        <v>726</v>
      </c>
    </row>
    <row r="28" spans="1:15" ht="15.75">
      <c r="A28" s="24" t="s">
        <v>727</v>
      </c>
      <c r="B28" s="138">
        <v>0.158</v>
      </c>
      <c r="D28" s="62" t="s">
        <v>37</v>
      </c>
      <c r="E28" s="149" t="s">
        <v>38</v>
      </c>
      <c r="F28" s="62" t="s">
        <v>29</v>
      </c>
      <c r="G28" s="62" t="s">
        <v>86</v>
      </c>
      <c r="H28" s="62" t="s">
        <v>33</v>
      </c>
      <c r="I28" s="140">
        <v>0</v>
      </c>
      <c r="J28" s="148" t="s">
        <v>31</v>
      </c>
      <c r="K28" s="148" t="s">
        <v>31</v>
      </c>
      <c r="L28" s="148" t="s">
        <v>31</v>
      </c>
      <c r="M28" s="148" t="s">
        <v>31</v>
      </c>
      <c r="N28" s="148" t="s">
        <v>31</v>
      </c>
      <c r="O28" s="62" t="s">
        <v>728</v>
      </c>
    </row>
    <row r="29" spans="1:15" ht="15.75">
      <c r="A29" s="24" t="s">
        <v>729</v>
      </c>
      <c r="B29" s="138">
        <v>4</v>
      </c>
      <c r="C29" s="138" t="s">
        <v>730</v>
      </c>
      <c r="D29" s="62" t="s">
        <v>37</v>
      </c>
      <c r="E29" s="149" t="s">
        <v>38</v>
      </c>
      <c r="F29" s="62" t="s">
        <v>29</v>
      </c>
      <c r="G29" s="62" t="s">
        <v>86</v>
      </c>
      <c r="H29" s="62" t="s">
        <v>33</v>
      </c>
      <c r="I29" s="140">
        <v>0</v>
      </c>
      <c r="J29" s="148" t="s">
        <v>31</v>
      </c>
      <c r="K29" s="148" t="s">
        <v>31</v>
      </c>
      <c r="L29" s="148" t="s">
        <v>31</v>
      </c>
      <c r="M29" s="148" t="s">
        <v>31</v>
      </c>
      <c r="N29" s="148" t="s">
        <v>31</v>
      </c>
      <c r="O29" s="62" t="s">
        <v>731</v>
      </c>
    </row>
    <row r="30" spans="1:15" ht="15.75">
      <c r="A30" s="24" t="s">
        <v>732</v>
      </c>
      <c r="B30" s="138">
        <v>6.3E-2</v>
      </c>
      <c r="D30" s="62" t="s">
        <v>37</v>
      </c>
      <c r="E30" s="149" t="s">
        <v>38</v>
      </c>
      <c r="F30" s="62" t="s">
        <v>29</v>
      </c>
      <c r="G30" s="62" t="s">
        <v>86</v>
      </c>
      <c r="H30" s="62" t="s">
        <v>33</v>
      </c>
      <c r="I30" s="140">
        <v>0</v>
      </c>
      <c r="J30" s="148" t="s">
        <v>31</v>
      </c>
      <c r="K30" s="148" t="s">
        <v>31</v>
      </c>
      <c r="L30" s="148" t="s">
        <v>31</v>
      </c>
      <c r="M30" s="148" t="s">
        <v>31</v>
      </c>
      <c r="N30" s="148" t="s">
        <v>31</v>
      </c>
      <c r="O30" s="62" t="s">
        <v>733</v>
      </c>
    </row>
    <row r="31" spans="1:15" ht="15.75">
      <c r="A31" s="24" t="s">
        <v>734</v>
      </c>
      <c r="B31" s="138">
        <v>1.85</v>
      </c>
      <c r="D31" s="62" t="s">
        <v>37</v>
      </c>
      <c r="E31" s="149" t="s">
        <v>38</v>
      </c>
      <c r="F31" s="62" t="s">
        <v>29</v>
      </c>
      <c r="G31" s="62" t="s">
        <v>86</v>
      </c>
      <c r="H31" s="62" t="s">
        <v>33</v>
      </c>
      <c r="I31" s="140">
        <v>0</v>
      </c>
      <c r="J31" s="148" t="s">
        <v>31</v>
      </c>
      <c r="K31" s="148" t="s">
        <v>31</v>
      </c>
      <c r="L31" s="148" t="s">
        <v>31</v>
      </c>
      <c r="M31" s="148" t="s">
        <v>31</v>
      </c>
      <c r="N31" s="148" t="s">
        <v>31</v>
      </c>
    </row>
    <row r="32" spans="1:15" ht="15.75">
      <c r="A32" s="30" t="s">
        <v>118</v>
      </c>
      <c r="B32" s="138">
        <v>-5.0709999999999997</v>
      </c>
      <c r="D32" s="62" t="s">
        <v>37</v>
      </c>
      <c r="E32" s="149" t="s">
        <v>38</v>
      </c>
      <c r="F32" s="62" t="s">
        <v>29</v>
      </c>
      <c r="G32" s="62" t="s">
        <v>86</v>
      </c>
      <c r="H32" s="62" t="s">
        <v>33</v>
      </c>
      <c r="I32" s="140">
        <v>0</v>
      </c>
      <c r="J32" s="148" t="s">
        <v>31</v>
      </c>
      <c r="K32" s="148" t="s">
        <v>31</v>
      </c>
      <c r="L32" s="148" t="s">
        <v>31</v>
      </c>
      <c r="M32" s="148" t="s">
        <v>31</v>
      </c>
      <c r="N32" s="148" t="s">
        <v>31</v>
      </c>
      <c r="O32" s="62" t="s">
        <v>735</v>
      </c>
    </row>
    <row r="33" spans="1:15" s="143" customFormat="1" ht="15.75">
      <c r="A33" s="153" t="s">
        <v>5</v>
      </c>
      <c r="B33" s="154" t="s">
        <v>736</v>
      </c>
      <c r="C33" s="154"/>
      <c r="D33" s="142"/>
      <c r="I33" s="155"/>
      <c r="J33" s="155"/>
      <c r="K33" s="155"/>
      <c r="L33" s="155"/>
      <c r="M33" s="155"/>
      <c r="N33" s="155"/>
    </row>
    <row r="34" spans="1:15">
      <c r="A34" s="62" t="s">
        <v>7</v>
      </c>
      <c r="B34" s="138" t="s">
        <v>718</v>
      </c>
    </row>
    <row r="35" spans="1:15">
      <c r="A35" s="62" t="s">
        <v>9</v>
      </c>
      <c r="B35" s="62" t="str">
        <f ca="1">UPPER(CONCATENATE(DEC2HEX(RANDBETWEEN(0,POWER(16,8)),8),DEC2HEX(RANDBETWEEN(0,POWER(16,4)),4),"4",DEC2HEX(RANDBETWEEN(0,POWER(16,3)),3),DEC2HEX(RANDBETWEEN(8,11)),DEC2HEX(RANDBETWEEN(0,POWER(16,3)),3),DEC2HEX(RANDBETWEEN(0,POWER(16,8)),8),DEC2HEX(RANDBETWEEN(0,POWER(16,4)),4)))</f>
        <v>39A4C64C2BC549C4965FC77377052714</v>
      </c>
    </row>
    <row r="36" spans="1:15">
      <c r="A36" s="62" t="s">
        <v>11</v>
      </c>
      <c r="B36" s="138" t="s">
        <v>719</v>
      </c>
    </row>
    <row r="37" spans="1:15">
      <c r="A37" s="62" t="s">
        <v>13</v>
      </c>
      <c r="B37" s="138" t="s">
        <v>60</v>
      </c>
    </row>
    <row r="38" spans="1:15">
      <c r="A38" s="62" t="s">
        <v>15</v>
      </c>
      <c r="B38" s="138">
        <v>1</v>
      </c>
    </row>
    <row r="39" spans="1:15">
      <c r="A39" s="62" t="s">
        <v>16</v>
      </c>
      <c r="B39" s="138" t="s">
        <v>17</v>
      </c>
    </row>
    <row r="40" spans="1:15">
      <c r="A40" s="62" t="s">
        <v>18</v>
      </c>
      <c r="B40" s="138" t="s">
        <v>18</v>
      </c>
    </row>
    <row r="41" spans="1:15" ht="15.75">
      <c r="A41" s="144" t="s">
        <v>19</v>
      </c>
    </row>
    <row r="42" spans="1:15" ht="15.75">
      <c r="A42" s="144" t="s">
        <v>20</v>
      </c>
      <c r="B42" s="145" t="s">
        <v>21</v>
      </c>
      <c r="C42" s="145" t="s">
        <v>78</v>
      </c>
      <c r="D42" s="144" t="s">
        <v>18</v>
      </c>
      <c r="E42" s="144" t="s">
        <v>22</v>
      </c>
      <c r="F42" s="144" t="s">
        <v>7</v>
      </c>
      <c r="G42" s="144" t="s">
        <v>13</v>
      </c>
      <c r="H42" s="144" t="s">
        <v>16</v>
      </c>
      <c r="I42" s="146" t="s">
        <v>23</v>
      </c>
      <c r="J42" s="146" t="s">
        <v>24</v>
      </c>
      <c r="K42" s="146" t="s">
        <v>25</v>
      </c>
      <c r="L42" s="146" t="s">
        <v>26</v>
      </c>
      <c r="M42" s="146" t="s">
        <v>27</v>
      </c>
      <c r="N42" s="146" t="s">
        <v>28</v>
      </c>
      <c r="O42" s="144" t="s">
        <v>11</v>
      </c>
    </row>
    <row r="43" spans="1:15" ht="15.75">
      <c r="A43" s="61" t="s">
        <v>736</v>
      </c>
      <c r="B43" s="147">
        <v>1</v>
      </c>
      <c r="C43" s="147"/>
      <c r="D43" s="61" t="s">
        <v>18</v>
      </c>
      <c r="E43" s="61" t="s">
        <v>2</v>
      </c>
      <c r="F43" s="62" t="s">
        <v>718</v>
      </c>
      <c r="G43" s="61" t="s">
        <v>60</v>
      </c>
      <c r="H43" s="61" t="s">
        <v>30</v>
      </c>
      <c r="I43" s="148">
        <v>0</v>
      </c>
      <c r="J43" s="148" t="s">
        <v>31</v>
      </c>
      <c r="K43" s="148" t="s">
        <v>31</v>
      </c>
      <c r="L43" s="148" t="s">
        <v>31</v>
      </c>
      <c r="M43" s="148" t="s">
        <v>31</v>
      </c>
      <c r="N43" s="148" t="s">
        <v>31</v>
      </c>
      <c r="O43" s="61" t="s">
        <v>720</v>
      </c>
    </row>
    <row r="44" spans="1:15" ht="15.75">
      <c r="A44" s="62" t="s">
        <v>737</v>
      </c>
      <c r="B44" s="138">
        <f>1420*4*0.07</f>
        <v>397.6</v>
      </c>
      <c r="D44" s="62" t="s">
        <v>37</v>
      </c>
      <c r="E44" s="149" t="s">
        <v>38</v>
      </c>
      <c r="F44" s="62" t="s">
        <v>29</v>
      </c>
      <c r="G44" s="62" t="s">
        <v>60</v>
      </c>
      <c r="H44" s="62" t="s">
        <v>33</v>
      </c>
      <c r="I44" s="140">
        <v>2</v>
      </c>
      <c r="J44" s="140">
        <v>5.9992630595090386</v>
      </c>
      <c r="K44" s="140">
        <v>0.03</v>
      </c>
      <c r="L44" s="148" t="s">
        <v>31</v>
      </c>
      <c r="M44" s="148" t="s">
        <v>31</v>
      </c>
      <c r="N44" s="148" t="s">
        <v>31</v>
      </c>
    </row>
    <row r="45" spans="1:15" ht="15.75">
      <c r="A45" s="62" t="s">
        <v>40</v>
      </c>
      <c r="B45" s="138">
        <f>1420*4*9.586028476*0.07</f>
        <v>3811.4049220576003</v>
      </c>
      <c r="D45" s="62" t="s">
        <v>41</v>
      </c>
      <c r="E45" s="149" t="s">
        <v>38</v>
      </c>
      <c r="F45" s="62" t="s">
        <v>29</v>
      </c>
      <c r="G45" s="62" t="s">
        <v>60</v>
      </c>
      <c r="H45" s="62" t="s">
        <v>33</v>
      </c>
      <c r="I45" s="140">
        <v>2</v>
      </c>
      <c r="J45" s="148">
        <f>LN(B45)</f>
        <v>8.2457531460975453</v>
      </c>
      <c r="K45" s="140">
        <v>0.03</v>
      </c>
      <c r="L45" s="148" t="s">
        <v>31</v>
      </c>
      <c r="M45" s="148" t="s">
        <v>31</v>
      </c>
      <c r="N45" s="148" t="s">
        <v>31</v>
      </c>
      <c r="O45" s="62" t="s">
        <v>738</v>
      </c>
    </row>
    <row r="46" spans="1:15" s="143" customFormat="1" ht="15.75">
      <c r="A46" s="153" t="s">
        <v>5</v>
      </c>
      <c r="B46" s="154" t="s">
        <v>739</v>
      </c>
      <c r="C46" s="154"/>
      <c r="D46" s="142"/>
      <c r="I46" s="155"/>
      <c r="J46" s="155"/>
      <c r="K46" s="155"/>
      <c r="L46" s="155"/>
      <c r="M46" s="155"/>
      <c r="N46" s="155"/>
    </row>
    <row r="47" spans="1:15">
      <c r="A47" s="62" t="s">
        <v>7</v>
      </c>
      <c r="B47" s="138" t="s">
        <v>718</v>
      </c>
    </row>
    <row r="48" spans="1:15">
      <c r="A48" s="62" t="s">
        <v>9</v>
      </c>
      <c r="B48" s="62" t="str">
        <f ca="1">UPPER(CONCATENATE(DEC2HEX(RANDBETWEEN(0,POWER(16,8)),8),DEC2HEX(RANDBETWEEN(0,POWER(16,4)),4),"4",DEC2HEX(RANDBETWEEN(0,POWER(16,3)),3),DEC2HEX(RANDBETWEEN(8,11)),DEC2HEX(RANDBETWEEN(0,POWER(16,3)),3),DEC2HEX(RANDBETWEEN(0,POWER(16,8)),8),DEC2HEX(RANDBETWEEN(0,POWER(16,4)),4)))</f>
        <v>B50A7E4671DB47239CD6745C66238DCC</v>
      </c>
    </row>
    <row r="49" spans="1:15">
      <c r="A49" s="62" t="s">
        <v>11</v>
      </c>
      <c r="B49" s="138" t="s">
        <v>719</v>
      </c>
    </row>
    <row r="50" spans="1:15">
      <c r="A50" s="62" t="s">
        <v>13</v>
      </c>
      <c r="B50" s="138" t="s">
        <v>60</v>
      </c>
    </row>
    <row r="51" spans="1:15">
      <c r="A51" s="62" t="s">
        <v>15</v>
      </c>
      <c r="B51" s="138">
        <v>1</v>
      </c>
    </row>
    <row r="52" spans="1:15">
      <c r="A52" s="62" t="s">
        <v>16</v>
      </c>
      <c r="B52" s="138" t="s">
        <v>17</v>
      </c>
    </row>
    <row r="53" spans="1:15">
      <c r="A53" s="62" t="s">
        <v>18</v>
      </c>
      <c r="B53" s="138" t="s">
        <v>18</v>
      </c>
    </row>
    <row r="54" spans="1:15" ht="15.75">
      <c r="A54" s="144" t="s">
        <v>19</v>
      </c>
    </row>
    <row r="55" spans="1:15" ht="15.75">
      <c r="A55" s="144" t="s">
        <v>20</v>
      </c>
      <c r="B55" s="145" t="s">
        <v>21</v>
      </c>
      <c r="C55" s="145" t="s">
        <v>78</v>
      </c>
      <c r="D55" s="144" t="s">
        <v>18</v>
      </c>
      <c r="E55" s="144" t="s">
        <v>22</v>
      </c>
      <c r="F55" s="144" t="s">
        <v>7</v>
      </c>
      <c r="G55" s="144" t="s">
        <v>13</v>
      </c>
      <c r="H55" s="144" t="s">
        <v>16</v>
      </c>
      <c r="I55" s="146" t="s">
        <v>23</v>
      </c>
      <c r="J55" s="146" t="s">
        <v>24</v>
      </c>
      <c r="K55" s="146" t="s">
        <v>25</v>
      </c>
      <c r="L55" s="146" t="s">
        <v>26</v>
      </c>
      <c r="M55" s="146" t="s">
        <v>27</v>
      </c>
      <c r="N55" s="146" t="s">
        <v>28</v>
      </c>
      <c r="O55" s="144" t="s">
        <v>11</v>
      </c>
    </row>
    <row r="56" spans="1:15" ht="15.75">
      <c r="A56" s="61" t="s">
        <v>739</v>
      </c>
      <c r="B56" s="147">
        <v>1</v>
      </c>
      <c r="C56" s="147"/>
      <c r="D56" s="61" t="s">
        <v>18</v>
      </c>
      <c r="E56" s="61" t="s">
        <v>2</v>
      </c>
      <c r="F56" s="62" t="s">
        <v>718</v>
      </c>
      <c r="G56" s="62" t="s">
        <v>60</v>
      </c>
      <c r="H56" s="61" t="s">
        <v>30</v>
      </c>
      <c r="I56" s="148">
        <v>0</v>
      </c>
      <c r="J56" s="148" t="s">
        <v>31</v>
      </c>
      <c r="K56" s="148" t="s">
        <v>31</v>
      </c>
      <c r="L56" s="148" t="s">
        <v>31</v>
      </c>
      <c r="M56" s="148" t="s">
        <v>31</v>
      </c>
      <c r="N56" s="148" t="s">
        <v>31</v>
      </c>
      <c r="O56" s="61" t="s">
        <v>720</v>
      </c>
    </row>
    <row r="57" spans="1:15" ht="15.75">
      <c r="A57" s="62" t="s">
        <v>737</v>
      </c>
      <c r="B57" s="138">
        <f>1420*4*0.0074</f>
        <v>42.032000000000004</v>
      </c>
      <c r="D57" s="62" t="s">
        <v>37</v>
      </c>
      <c r="E57" s="149" t="s">
        <v>38</v>
      </c>
      <c r="F57" s="62" t="s">
        <v>29</v>
      </c>
      <c r="G57" s="62" t="s">
        <v>60</v>
      </c>
      <c r="H57" s="62" t="s">
        <v>33</v>
      </c>
      <c r="I57" s="140">
        <v>2</v>
      </c>
      <c r="J57" s="140">
        <f t="shared" ref="J57:J60" si="0">LN(B57)</f>
        <v>3.7384312329431841</v>
      </c>
      <c r="K57" s="140">
        <v>2.8284271E-2</v>
      </c>
      <c r="L57" s="148" t="s">
        <v>31</v>
      </c>
      <c r="M57" s="148" t="s">
        <v>31</v>
      </c>
      <c r="N57" s="148" t="s">
        <v>31</v>
      </c>
    </row>
    <row r="58" spans="1:15" ht="15.75">
      <c r="A58" s="62" t="s">
        <v>740</v>
      </c>
      <c r="B58" s="138">
        <f>1420*4*0.041</f>
        <v>232.88000000000002</v>
      </c>
      <c r="D58" s="62" t="s">
        <v>37</v>
      </c>
      <c r="E58" s="149" t="s">
        <v>38</v>
      </c>
      <c r="F58" s="62" t="s">
        <v>29</v>
      </c>
      <c r="G58" s="62" t="s">
        <v>60</v>
      </c>
      <c r="H58" s="62" t="s">
        <v>33</v>
      </c>
      <c r="I58" s="140">
        <v>2</v>
      </c>
      <c r="J58" s="140">
        <f t="shared" si="0"/>
        <v>5.4505232994373678</v>
      </c>
      <c r="K58" s="140">
        <v>2.8284271E-2</v>
      </c>
      <c r="L58" s="148" t="s">
        <v>31</v>
      </c>
      <c r="M58" s="148" t="s">
        <v>31</v>
      </c>
      <c r="N58" s="148" t="s">
        <v>31</v>
      </c>
    </row>
    <row r="59" spans="1:15" ht="15.75">
      <c r="A59" s="62" t="s">
        <v>741</v>
      </c>
      <c r="B59" s="138">
        <f>1420*4*0.0066</f>
        <v>37.488</v>
      </c>
      <c r="D59" s="62" t="s">
        <v>37</v>
      </c>
      <c r="E59" s="149" t="s">
        <v>38</v>
      </c>
      <c r="F59" s="62" t="s">
        <v>29</v>
      </c>
      <c r="G59" s="62" t="s">
        <v>60</v>
      </c>
      <c r="H59" s="62" t="s">
        <v>33</v>
      </c>
      <c r="I59" s="140">
        <v>2</v>
      </c>
      <c r="J59" s="140">
        <f t="shared" si="0"/>
        <v>3.62402088176544</v>
      </c>
      <c r="K59" s="140">
        <v>2.8284271E-2</v>
      </c>
      <c r="L59" s="148" t="s">
        <v>31</v>
      </c>
      <c r="M59" s="148" t="s">
        <v>31</v>
      </c>
      <c r="N59" s="148" t="s">
        <v>31</v>
      </c>
    </row>
    <row r="60" spans="1:15" ht="15.75">
      <c r="A60" s="156" t="s">
        <v>742</v>
      </c>
      <c r="B60" s="138">
        <f>1420*4*0.0077</f>
        <v>43.736000000000004</v>
      </c>
      <c r="C60" s="24"/>
      <c r="D60" s="62" t="s">
        <v>37</v>
      </c>
      <c r="E60" s="61" t="s">
        <v>2</v>
      </c>
      <c r="F60" s="62" t="s">
        <v>718</v>
      </c>
      <c r="G60" s="62" t="s">
        <v>60</v>
      </c>
      <c r="H60" s="62" t="s">
        <v>33</v>
      </c>
      <c r="I60" s="140">
        <v>2</v>
      </c>
      <c r="J60" s="140">
        <f t="shared" si="0"/>
        <v>3.7781715615926981</v>
      </c>
      <c r="K60" s="140">
        <v>2.8284271E-2</v>
      </c>
      <c r="L60" s="148" t="s">
        <v>31</v>
      </c>
      <c r="M60" s="148" t="s">
        <v>31</v>
      </c>
      <c r="N60" s="148" t="s">
        <v>31</v>
      </c>
      <c r="O60" s="62" t="s">
        <v>743</v>
      </c>
    </row>
    <row r="61" spans="1:15" s="143" customFormat="1" ht="15.75">
      <c r="A61" s="157" t="s">
        <v>5</v>
      </c>
      <c r="B61" s="154" t="s">
        <v>742</v>
      </c>
      <c r="C61" s="154"/>
      <c r="D61" s="142"/>
      <c r="I61" s="155"/>
      <c r="J61" s="155"/>
      <c r="K61" s="155"/>
      <c r="L61" s="155"/>
      <c r="M61" s="155"/>
      <c r="N61" s="155"/>
    </row>
    <row r="62" spans="1:15">
      <c r="A62" s="62" t="s">
        <v>7</v>
      </c>
      <c r="B62" s="138" t="s">
        <v>718</v>
      </c>
    </row>
    <row r="63" spans="1:15">
      <c r="A63" s="62" t="s">
        <v>9</v>
      </c>
      <c r="B63" s="62" t="str">
        <f ca="1">UPPER(CONCATENATE(DEC2HEX(RANDBETWEEN(0,POWER(16,8)),8),DEC2HEX(RANDBETWEEN(0,POWER(16,4)),4),"4",DEC2HEX(RANDBETWEEN(0,POWER(16,3)),3),DEC2HEX(RANDBETWEEN(8,11)),DEC2HEX(RANDBETWEEN(0,POWER(16,3)),3),DEC2HEX(RANDBETWEEN(0,POWER(16,8)),8),DEC2HEX(RANDBETWEEN(0,POWER(16,4)),4)))</f>
        <v>9B708A06C4564B10AEB6175BC9636EC7</v>
      </c>
    </row>
    <row r="64" spans="1:15">
      <c r="A64" s="62" t="s">
        <v>11</v>
      </c>
      <c r="B64" s="138" t="s">
        <v>719</v>
      </c>
    </row>
    <row r="65" spans="1:15">
      <c r="A65" s="62" t="s">
        <v>13</v>
      </c>
      <c r="B65" s="138" t="s">
        <v>60</v>
      </c>
    </row>
    <row r="66" spans="1:15">
      <c r="A66" s="62" t="s">
        <v>15</v>
      </c>
      <c r="B66" s="138">
        <v>1</v>
      </c>
    </row>
    <row r="67" spans="1:15">
      <c r="A67" s="62" t="s">
        <v>16</v>
      </c>
      <c r="B67" s="138" t="s">
        <v>17</v>
      </c>
    </row>
    <row r="68" spans="1:15">
      <c r="A68" s="62" t="s">
        <v>18</v>
      </c>
      <c r="B68" s="138" t="s">
        <v>37</v>
      </c>
    </row>
    <row r="69" spans="1:15" ht="15.75">
      <c r="A69" s="144" t="s">
        <v>19</v>
      </c>
    </row>
    <row r="70" spans="1:15" ht="15.75">
      <c r="A70" s="144" t="s">
        <v>20</v>
      </c>
      <c r="B70" s="145" t="s">
        <v>21</v>
      </c>
      <c r="C70" s="145" t="s">
        <v>78</v>
      </c>
      <c r="D70" s="144" t="s">
        <v>18</v>
      </c>
      <c r="E70" s="144" t="s">
        <v>22</v>
      </c>
      <c r="F70" s="144" t="s">
        <v>7</v>
      </c>
      <c r="G70" s="144" t="s">
        <v>13</v>
      </c>
      <c r="H70" s="144" t="s">
        <v>16</v>
      </c>
      <c r="I70" s="146" t="s">
        <v>23</v>
      </c>
      <c r="J70" s="146" t="s">
        <v>24</v>
      </c>
      <c r="K70" s="146" t="s">
        <v>25</v>
      </c>
      <c r="L70" s="146" t="s">
        <v>26</v>
      </c>
      <c r="M70" s="146" t="s">
        <v>27</v>
      </c>
      <c r="N70" s="146" t="s">
        <v>28</v>
      </c>
      <c r="O70" s="144" t="s">
        <v>11</v>
      </c>
    </row>
    <row r="71" spans="1:15" ht="15.75">
      <c r="A71" s="147" t="str">
        <f>B61</f>
        <v>germanium</v>
      </c>
      <c r="B71" s="147">
        <v>1</v>
      </c>
      <c r="C71" s="147"/>
      <c r="D71" s="61" t="s">
        <v>37</v>
      </c>
      <c r="E71" s="61" t="s">
        <v>2</v>
      </c>
      <c r="F71" s="62" t="s">
        <v>718</v>
      </c>
      <c r="G71" s="61" t="s">
        <v>60</v>
      </c>
      <c r="H71" s="61" t="s">
        <v>30</v>
      </c>
      <c r="I71" s="148">
        <v>0</v>
      </c>
      <c r="J71" s="148" t="s">
        <v>31</v>
      </c>
      <c r="K71" s="148" t="s">
        <v>31</v>
      </c>
      <c r="L71" s="148" t="s">
        <v>31</v>
      </c>
      <c r="M71" s="148" t="s">
        <v>31</v>
      </c>
      <c r="N71" s="148" t="s">
        <v>31</v>
      </c>
      <c r="O71" s="61" t="s">
        <v>744</v>
      </c>
    </row>
    <row r="72" spans="1:15" ht="15.75">
      <c r="A72" t="s">
        <v>745</v>
      </c>
      <c r="B72" s="138">
        <f>1/0.0176*4*0.25</f>
        <v>56.818181818181813</v>
      </c>
      <c r="C72" s="24" t="s">
        <v>746</v>
      </c>
      <c r="D72" s="62" t="s">
        <v>37</v>
      </c>
      <c r="E72" s="149" t="s">
        <v>38</v>
      </c>
      <c r="F72" s="62" t="s">
        <v>29</v>
      </c>
      <c r="G72" s="62" t="s">
        <v>60</v>
      </c>
      <c r="H72" s="62" t="s">
        <v>33</v>
      </c>
      <c r="I72" s="140">
        <v>0</v>
      </c>
      <c r="J72" s="148" t="s">
        <v>31</v>
      </c>
      <c r="K72" s="148" t="s">
        <v>31</v>
      </c>
      <c r="L72" s="148" t="s">
        <v>31</v>
      </c>
      <c r="M72" s="148" t="s">
        <v>31</v>
      </c>
      <c r="N72" s="148" t="s">
        <v>31</v>
      </c>
      <c r="O72" s="62" t="s">
        <v>747</v>
      </c>
    </row>
    <row r="73" spans="1:15" ht="15.75">
      <c r="A73" s="24" t="s">
        <v>734</v>
      </c>
      <c r="B73" s="138">
        <f>4*((1)/72.612*1000)*(35.45+1.01)/1000</f>
        <v>2.0084834462623258</v>
      </c>
      <c r="C73" s="24"/>
      <c r="D73" s="62" t="s">
        <v>37</v>
      </c>
      <c r="E73" s="149" t="s">
        <v>38</v>
      </c>
      <c r="F73" s="62" t="s">
        <v>29</v>
      </c>
      <c r="G73" s="62" t="s">
        <v>86</v>
      </c>
      <c r="H73" s="62" t="s">
        <v>33</v>
      </c>
      <c r="I73" s="140">
        <v>0</v>
      </c>
      <c r="J73" s="148" t="s">
        <v>31</v>
      </c>
      <c r="K73" s="148" t="s">
        <v>31</v>
      </c>
      <c r="L73" s="148" t="s">
        <v>31</v>
      </c>
      <c r="M73" s="148" t="s">
        <v>31</v>
      </c>
      <c r="N73" s="148" t="s">
        <v>31</v>
      </c>
      <c r="O73" s="62" t="s">
        <v>748</v>
      </c>
    </row>
    <row r="74" spans="1:15" ht="15.75">
      <c r="A74" s="62" t="s">
        <v>40</v>
      </c>
      <c r="B74" s="138">
        <f>4714*0.25</f>
        <v>1178.5</v>
      </c>
      <c r="D74" s="62" t="s">
        <v>41</v>
      </c>
      <c r="E74" s="149" t="s">
        <v>38</v>
      </c>
      <c r="F74" s="62" t="s">
        <v>29</v>
      </c>
      <c r="G74" s="62" t="s">
        <v>60</v>
      </c>
      <c r="H74" s="62" t="s">
        <v>33</v>
      </c>
      <c r="I74" s="140">
        <v>5</v>
      </c>
      <c r="J74" s="148">
        <f>B74</f>
        <v>1178.5</v>
      </c>
      <c r="K74" s="148" t="s">
        <v>31</v>
      </c>
      <c r="L74" s="148" t="s">
        <v>31</v>
      </c>
      <c r="M74" s="148">
        <v>230</v>
      </c>
      <c r="N74" s="148">
        <v>8038</v>
      </c>
      <c r="O74" s="62" t="s">
        <v>749</v>
      </c>
    </row>
    <row r="75" spans="1:15" s="143" customFormat="1" ht="15.75">
      <c r="A75" s="153" t="s">
        <v>5</v>
      </c>
      <c r="B75" s="154" t="s">
        <v>750</v>
      </c>
      <c r="C75" s="154"/>
      <c r="D75" s="142"/>
      <c r="I75" s="155"/>
      <c r="J75" s="155"/>
      <c r="K75" s="155"/>
      <c r="L75" s="155"/>
      <c r="M75" s="155"/>
      <c r="N75" s="155"/>
    </row>
    <row r="76" spans="1:15">
      <c r="A76" s="62" t="s">
        <v>7</v>
      </c>
      <c r="B76" s="138" t="s">
        <v>718</v>
      </c>
    </row>
    <row r="77" spans="1:15">
      <c r="A77" s="62" t="s">
        <v>9</v>
      </c>
      <c r="B77" s="62" t="str">
        <f ca="1">UPPER(CONCATENATE(DEC2HEX(RANDBETWEEN(0,POWER(16,8)),8),DEC2HEX(RANDBETWEEN(0,POWER(16,4)),4),"4",DEC2HEX(RANDBETWEEN(0,POWER(16,3)),3),DEC2HEX(RANDBETWEEN(8,11)),DEC2HEX(RANDBETWEEN(0,POWER(16,3)),3),DEC2HEX(RANDBETWEEN(0,POWER(16,8)),8),DEC2HEX(RANDBETWEEN(0,POWER(16,4)),4)))</f>
        <v>E82D365802B04077A0CA6E92760B2174</v>
      </c>
    </row>
    <row r="78" spans="1:15">
      <c r="A78" s="62" t="s">
        <v>11</v>
      </c>
      <c r="B78" s="138" t="s">
        <v>719</v>
      </c>
    </row>
    <row r="79" spans="1:15">
      <c r="A79" s="62" t="s">
        <v>13</v>
      </c>
      <c r="B79" s="138" t="s">
        <v>60</v>
      </c>
    </row>
    <row r="80" spans="1:15">
      <c r="A80" s="62" t="s">
        <v>15</v>
      </c>
      <c r="B80" s="138">
        <v>1</v>
      </c>
    </row>
    <row r="81" spans="1:15">
      <c r="A81" s="62" t="s">
        <v>16</v>
      </c>
      <c r="B81" s="138" t="s">
        <v>17</v>
      </c>
    </row>
    <row r="82" spans="1:15">
      <c r="A82" s="62" t="s">
        <v>18</v>
      </c>
      <c r="B82" s="138" t="s">
        <v>18</v>
      </c>
    </row>
    <row r="83" spans="1:15" ht="15.75">
      <c r="A83" s="144" t="s">
        <v>19</v>
      </c>
    </row>
    <row r="84" spans="1:15" ht="15.75">
      <c r="A84" s="144" t="s">
        <v>20</v>
      </c>
      <c r="B84" s="145" t="s">
        <v>21</v>
      </c>
      <c r="C84" s="145" t="s">
        <v>78</v>
      </c>
      <c r="D84" s="144" t="s">
        <v>18</v>
      </c>
      <c r="E84" s="144" t="s">
        <v>22</v>
      </c>
      <c r="F84" s="144" t="s">
        <v>7</v>
      </c>
      <c r="G84" s="144" t="s">
        <v>13</v>
      </c>
      <c r="H84" s="144" t="s">
        <v>16</v>
      </c>
      <c r="I84" s="146" t="s">
        <v>23</v>
      </c>
      <c r="J84" s="146" t="s">
        <v>24</v>
      </c>
      <c r="K84" s="146" t="s">
        <v>25</v>
      </c>
      <c r="L84" s="146" t="s">
        <v>26</v>
      </c>
      <c r="M84" s="146" t="s">
        <v>27</v>
      </c>
      <c r="N84" s="146" t="s">
        <v>28</v>
      </c>
      <c r="O84" s="144" t="s">
        <v>11</v>
      </c>
    </row>
    <row r="85" spans="1:15" ht="15.75">
      <c r="A85" s="61" t="s">
        <v>750</v>
      </c>
      <c r="B85" s="147">
        <v>1</v>
      </c>
      <c r="C85" s="147"/>
      <c r="D85" s="61" t="s">
        <v>18</v>
      </c>
      <c r="E85" s="61" t="s">
        <v>2</v>
      </c>
      <c r="F85" s="62" t="s">
        <v>718</v>
      </c>
      <c r="G85" s="61" t="s">
        <v>60</v>
      </c>
      <c r="H85" s="61" t="s">
        <v>30</v>
      </c>
      <c r="I85" s="148">
        <v>0</v>
      </c>
      <c r="J85" s="148" t="s">
        <v>31</v>
      </c>
      <c r="K85" s="148" t="s">
        <v>31</v>
      </c>
      <c r="L85" s="148" t="s">
        <v>31</v>
      </c>
      <c r="M85" s="148" t="s">
        <v>31</v>
      </c>
      <c r="N85" s="148" t="s">
        <v>31</v>
      </c>
      <c r="O85" s="61" t="s">
        <v>720</v>
      </c>
    </row>
    <row r="86" spans="1:15" ht="15.75">
      <c r="A86" s="24" t="s">
        <v>751</v>
      </c>
      <c r="B86" s="138">
        <f>1420*4*0.0164989</f>
        <v>93.713751999999999</v>
      </c>
      <c r="D86" s="62" t="s">
        <v>37</v>
      </c>
      <c r="E86" s="149" t="s">
        <v>38</v>
      </c>
      <c r="F86" s="62" t="s">
        <v>29</v>
      </c>
      <c r="G86" s="62" t="s">
        <v>60</v>
      </c>
      <c r="H86" s="62" t="s">
        <v>33</v>
      </c>
      <c r="I86" s="140">
        <v>2</v>
      </c>
      <c r="J86" s="140">
        <f t="shared" ref="J86" si="1">LN(B86)</f>
        <v>4.540244944750607</v>
      </c>
      <c r="K86" s="140">
        <v>0.03</v>
      </c>
      <c r="L86" s="148" t="s">
        <v>31</v>
      </c>
      <c r="M86" s="148" t="s">
        <v>31</v>
      </c>
      <c r="N86" s="148" t="s">
        <v>31</v>
      </c>
    </row>
    <row r="87" spans="1:15" s="143" customFormat="1" ht="15.75">
      <c r="A87" s="153" t="s">
        <v>5</v>
      </c>
      <c r="B87" s="154" t="s">
        <v>752</v>
      </c>
      <c r="C87" s="154"/>
      <c r="D87" s="142"/>
      <c r="I87" s="155"/>
      <c r="J87" s="155"/>
      <c r="K87" s="155"/>
      <c r="L87" s="155"/>
      <c r="M87" s="155"/>
      <c r="N87" s="155"/>
    </row>
    <row r="88" spans="1:15">
      <c r="A88" s="62" t="s">
        <v>7</v>
      </c>
      <c r="B88" s="138" t="s">
        <v>718</v>
      </c>
    </row>
    <row r="89" spans="1:15">
      <c r="A89" s="62" t="s">
        <v>9</v>
      </c>
      <c r="B89" s="62" t="str">
        <f ca="1">UPPER(CONCATENATE(DEC2HEX(RANDBETWEEN(0,POWER(16,8)),8),DEC2HEX(RANDBETWEEN(0,POWER(16,4)),4),"4",DEC2HEX(RANDBETWEEN(0,POWER(16,3)),3),DEC2HEX(RANDBETWEEN(8,11)),DEC2HEX(RANDBETWEEN(0,POWER(16,3)),3),DEC2HEX(RANDBETWEEN(0,POWER(16,8)),8),DEC2HEX(RANDBETWEEN(0,POWER(16,4)),4)))</f>
        <v>3772317E0C0F4A11A69875A3E7BA43BF</v>
      </c>
    </row>
    <row r="90" spans="1:15">
      <c r="A90" s="62" t="s">
        <v>11</v>
      </c>
      <c r="B90" s="138" t="s">
        <v>719</v>
      </c>
    </row>
    <row r="91" spans="1:15">
      <c r="A91" s="62" t="s">
        <v>13</v>
      </c>
      <c r="B91" s="138" t="s">
        <v>60</v>
      </c>
    </row>
    <row r="92" spans="1:15">
      <c r="A92" s="62" t="s">
        <v>15</v>
      </c>
      <c r="B92" s="138">
        <v>1</v>
      </c>
    </row>
    <row r="93" spans="1:15">
      <c r="A93" s="62" t="s">
        <v>16</v>
      </c>
      <c r="B93" s="138" t="s">
        <v>17</v>
      </c>
    </row>
    <row r="94" spans="1:15">
      <c r="A94" s="62" t="s">
        <v>18</v>
      </c>
      <c r="B94" s="138" t="s">
        <v>18</v>
      </c>
    </row>
    <row r="95" spans="1:15" ht="15.75">
      <c r="A95" s="144" t="s">
        <v>19</v>
      </c>
    </row>
    <row r="96" spans="1:15" ht="15.75">
      <c r="A96" s="144" t="s">
        <v>20</v>
      </c>
      <c r="B96" s="145" t="s">
        <v>21</v>
      </c>
      <c r="C96" s="145" t="s">
        <v>78</v>
      </c>
      <c r="D96" s="144" t="s">
        <v>18</v>
      </c>
      <c r="E96" s="144" t="s">
        <v>22</v>
      </c>
      <c r="F96" s="144" t="s">
        <v>7</v>
      </c>
      <c r="G96" s="144" t="s">
        <v>13</v>
      </c>
      <c r="H96" s="144" t="s">
        <v>16</v>
      </c>
      <c r="I96" s="146" t="s">
        <v>23</v>
      </c>
      <c r="J96" s="146" t="s">
        <v>24</v>
      </c>
      <c r="K96" s="146" t="s">
        <v>25</v>
      </c>
      <c r="L96" s="146" t="s">
        <v>26</v>
      </c>
      <c r="M96" s="146" t="s">
        <v>27</v>
      </c>
      <c r="N96" s="146" t="s">
        <v>28</v>
      </c>
      <c r="O96" s="144" t="s">
        <v>11</v>
      </c>
    </row>
    <row r="97" spans="1:15" ht="15.75">
      <c r="A97" s="61" t="s">
        <v>752</v>
      </c>
      <c r="B97" s="147">
        <v>1</v>
      </c>
      <c r="C97" s="147"/>
      <c r="D97" s="61" t="s">
        <v>18</v>
      </c>
      <c r="E97" s="61" t="s">
        <v>2</v>
      </c>
      <c r="F97" s="62" t="s">
        <v>718</v>
      </c>
      <c r="G97" s="61" t="s">
        <v>60</v>
      </c>
      <c r="H97" s="61" t="s">
        <v>30</v>
      </c>
      <c r="I97" s="148">
        <v>0</v>
      </c>
      <c r="J97" s="148" t="s">
        <v>31</v>
      </c>
      <c r="K97" s="148" t="s">
        <v>31</v>
      </c>
      <c r="L97" s="148" t="s">
        <v>31</v>
      </c>
      <c r="M97" s="148" t="s">
        <v>31</v>
      </c>
      <c r="N97" s="148" t="s">
        <v>31</v>
      </c>
      <c r="O97" s="61" t="s">
        <v>753</v>
      </c>
    </row>
    <row r="98" spans="1:15" ht="15.75">
      <c r="A98" s="62" t="s">
        <v>97</v>
      </c>
      <c r="B98" s="138">
        <f>1420*4*0.0128525</f>
        <v>73.002200000000002</v>
      </c>
      <c r="D98" s="62" t="s">
        <v>37</v>
      </c>
      <c r="E98" s="149" t="s">
        <v>38</v>
      </c>
      <c r="F98" s="62" t="s">
        <v>29</v>
      </c>
      <c r="G98" s="62" t="s">
        <v>60</v>
      </c>
      <c r="H98" s="62" t="s">
        <v>33</v>
      </c>
      <c r="I98" s="140">
        <v>2</v>
      </c>
      <c r="J98" s="140">
        <f>LN(B98)</f>
        <v>4.2904895776805825</v>
      </c>
      <c r="K98" s="140">
        <v>2.8284271E-2</v>
      </c>
      <c r="L98" s="148" t="s">
        <v>31</v>
      </c>
      <c r="M98" s="148" t="s">
        <v>31</v>
      </c>
      <c r="N98" s="148" t="s">
        <v>31</v>
      </c>
    </row>
    <row r="99" spans="1:15" ht="15.75">
      <c r="A99" s="24" t="s">
        <v>508</v>
      </c>
      <c r="B99" s="138">
        <f>1420*4*0.0020564</f>
        <v>11.680351999999999</v>
      </c>
      <c r="D99" s="62" t="s">
        <v>37</v>
      </c>
      <c r="E99" s="149" t="s">
        <v>38</v>
      </c>
      <c r="F99" s="62" t="s">
        <v>29</v>
      </c>
      <c r="G99" s="62" t="s">
        <v>86</v>
      </c>
      <c r="H99" s="62" t="s">
        <v>33</v>
      </c>
      <c r="I99" s="140">
        <v>2</v>
      </c>
      <c r="J99" s="140">
        <f t="shared" ref="J99:J102" si="2">LN(B99)</f>
        <v>2.4579081139322723</v>
      </c>
      <c r="K99" s="140">
        <v>2.8284271E-2</v>
      </c>
      <c r="L99" s="148" t="s">
        <v>31</v>
      </c>
      <c r="M99" s="148" t="s">
        <v>31</v>
      </c>
      <c r="N99" s="148" t="s">
        <v>31</v>
      </c>
    </row>
    <row r="100" spans="1:15" ht="15.75">
      <c r="A100" s="158" t="s">
        <v>754</v>
      </c>
      <c r="B100" s="138">
        <f>1420*4*0.000642625</f>
        <v>3.6501099999999997</v>
      </c>
      <c r="D100" s="62" t="s">
        <v>37</v>
      </c>
      <c r="E100" s="149" t="s">
        <v>38</v>
      </c>
      <c r="F100" s="62" t="s">
        <v>29</v>
      </c>
      <c r="G100" s="62" t="s">
        <v>60</v>
      </c>
      <c r="H100" s="62" t="s">
        <v>33</v>
      </c>
      <c r="I100" s="140">
        <v>2</v>
      </c>
      <c r="J100" s="140">
        <f t="shared" si="2"/>
        <v>1.2947573041265916</v>
      </c>
      <c r="K100" s="140">
        <v>2.8284271E-2</v>
      </c>
      <c r="L100" s="148" t="s">
        <v>31</v>
      </c>
      <c r="M100" s="148" t="s">
        <v>31</v>
      </c>
      <c r="N100" s="148" t="s">
        <v>31</v>
      </c>
    </row>
    <row r="101" spans="1:15" ht="15.75">
      <c r="A101" s="24" t="s">
        <v>755</v>
      </c>
      <c r="B101" s="138">
        <f>1420*4*0.001927875</f>
        <v>10.950329999999999</v>
      </c>
      <c r="C101" s="24" t="s">
        <v>756</v>
      </c>
      <c r="D101" s="62" t="s">
        <v>37</v>
      </c>
      <c r="E101" s="149" t="s">
        <v>38</v>
      </c>
      <c r="F101" s="62" t="s">
        <v>29</v>
      </c>
      <c r="G101" s="62" t="s">
        <v>60</v>
      </c>
      <c r="H101" s="62" t="s">
        <v>33</v>
      </c>
      <c r="I101" s="140">
        <v>2</v>
      </c>
      <c r="J101" s="140">
        <f t="shared" si="2"/>
        <v>2.3933695927947012</v>
      </c>
      <c r="K101" s="140">
        <v>2.8284271E-2</v>
      </c>
      <c r="L101" s="148" t="s">
        <v>31</v>
      </c>
      <c r="M101" s="148" t="s">
        <v>31</v>
      </c>
      <c r="N101" s="148" t="s">
        <v>31</v>
      </c>
    </row>
    <row r="102" spans="1:15" ht="15.75">
      <c r="A102" t="s">
        <v>451</v>
      </c>
      <c r="B102" s="138">
        <f>1420*4*0.0082256</f>
        <v>46.721407999999997</v>
      </c>
      <c r="D102" s="62" t="s">
        <v>37</v>
      </c>
      <c r="E102" s="149" t="s">
        <v>38</v>
      </c>
      <c r="F102" s="62" t="s">
        <v>29</v>
      </c>
      <c r="G102" s="62" t="s">
        <v>60</v>
      </c>
      <c r="H102" s="62" t="s">
        <v>33</v>
      </c>
      <c r="I102" s="140">
        <v>2</v>
      </c>
      <c r="J102" s="140">
        <f t="shared" si="2"/>
        <v>3.8442024750521631</v>
      </c>
      <c r="K102" s="140">
        <v>2.8284271E-2</v>
      </c>
      <c r="L102" s="148" t="s">
        <v>31</v>
      </c>
      <c r="M102" s="148" t="s">
        <v>31</v>
      </c>
      <c r="N102" s="148" t="s">
        <v>31</v>
      </c>
    </row>
    <row r="103" spans="1:15" s="143" customFormat="1" ht="15.75">
      <c r="A103" s="153" t="s">
        <v>5</v>
      </c>
      <c r="B103" s="154" t="s">
        <v>757</v>
      </c>
      <c r="C103" s="154"/>
      <c r="D103" s="142"/>
      <c r="I103" s="155"/>
      <c r="J103" s="155"/>
      <c r="K103" s="155"/>
      <c r="L103" s="155"/>
      <c r="M103" s="155"/>
      <c r="N103" s="155"/>
    </row>
    <row r="104" spans="1:15">
      <c r="A104" s="62" t="s">
        <v>7</v>
      </c>
      <c r="B104" s="138" t="s">
        <v>718</v>
      </c>
    </row>
    <row r="105" spans="1:15">
      <c r="A105" s="62" t="s">
        <v>9</v>
      </c>
      <c r="B105" s="62" t="str">
        <f ca="1">UPPER(CONCATENATE(DEC2HEX(RANDBETWEEN(0,POWER(16,8)),8),DEC2HEX(RANDBETWEEN(0,POWER(16,4)),4),"4",DEC2HEX(RANDBETWEEN(0,POWER(16,3)),3),DEC2HEX(RANDBETWEEN(8,11)),DEC2HEX(RANDBETWEEN(0,POWER(16,3)),3),DEC2HEX(RANDBETWEEN(0,POWER(16,8)),8),DEC2HEX(RANDBETWEEN(0,POWER(16,4)),4)))</f>
        <v>C1D3CC770042426F80D427BF3AD7ACAD</v>
      </c>
    </row>
    <row r="106" spans="1:15">
      <c r="A106" s="62" t="s">
        <v>11</v>
      </c>
      <c r="B106" s="138" t="s">
        <v>719</v>
      </c>
    </row>
    <row r="107" spans="1:15">
      <c r="A107" s="62" t="s">
        <v>13</v>
      </c>
      <c r="B107" s="138" t="s">
        <v>60</v>
      </c>
    </row>
    <row r="108" spans="1:15">
      <c r="A108" s="62" t="s">
        <v>15</v>
      </c>
      <c r="B108" s="138">
        <v>1</v>
      </c>
    </row>
    <row r="109" spans="1:15">
      <c r="A109" s="62" t="s">
        <v>16</v>
      </c>
      <c r="B109" s="138" t="s">
        <v>17</v>
      </c>
    </row>
    <row r="110" spans="1:15">
      <c r="A110" s="62" t="s">
        <v>18</v>
      </c>
      <c r="B110" s="138" t="s">
        <v>18</v>
      </c>
    </row>
    <row r="111" spans="1:15" ht="15.75">
      <c r="A111" s="144" t="s">
        <v>19</v>
      </c>
    </row>
    <row r="112" spans="1:15" ht="15.75">
      <c r="A112" s="144" t="s">
        <v>20</v>
      </c>
      <c r="B112" s="145" t="s">
        <v>21</v>
      </c>
      <c r="C112" s="145" t="s">
        <v>78</v>
      </c>
      <c r="D112" s="144" t="s">
        <v>18</v>
      </c>
      <c r="E112" s="144" t="s">
        <v>22</v>
      </c>
      <c r="F112" s="144" t="s">
        <v>7</v>
      </c>
      <c r="G112" s="144" t="s">
        <v>13</v>
      </c>
      <c r="H112" s="144" t="s">
        <v>16</v>
      </c>
      <c r="I112" s="146" t="s">
        <v>23</v>
      </c>
      <c r="J112" s="146" t="s">
        <v>24</v>
      </c>
      <c r="K112" s="146" t="s">
        <v>25</v>
      </c>
      <c r="L112" s="146" t="s">
        <v>26</v>
      </c>
      <c r="M112" s="146" t="s">
        <v>27</v>
      </c>
      <c r="N112" s="146" t="s">
        <v>28</v>
      </c>
      <c r="O112" s="144" t="s">
        <v>11</v>
      </c>
    </row>
    <row r="113" spans="1:15" ht="15.75">
      <c r="A113" s="61" t="s">
        <v>757</v>
      </c>
      <c r="B113" s="159">
        <v>1</v>
      </c>
      <c r="C113" s="159"/>
      <c r="D113" s="61" t="s">
        <v>18</v>
      </c>
      <c r="E113" s="61" t="s">
        <v>2</v>
      </c>
      <c r="F113" s="62" t="s">
        <v>718</v>
      </c>
      <c r="G113" s="61" t="s">
        <v>60</v>
      </c>
      <c r="H113" s="61" t="s">
        <v>30</v>
      </c>
      <c r="I113" s="148">
        <v>0</v>
      </c>
      <c r="J113" s="148" t="s">
        <v>31</v>
      </c>
      <c r="K113" s="148" t="s">
        <v>31</v>
      </c>
      <c r="L113" s="148" t="s">
        <v>31</v>
      </c>
      <c r="M113" s="148" t="s">
        <v>31</v>
      </c>
      <c r="N113" s="148" t="s">
        <v>31</v>
      </c>
      <c r="O113" s="61" t="s">
        <v>758</v>
      </c>
    </row>
    <row r="114" spans="1:15" ht="15.75">
      <c r="A114" s="160" t="s">
        <v>717</v>
      </c>
      <c r="B114" s="138">
        <v>1</v>
      </c>
      <c r="D114" s="62" t="s">
        <v>18</v>
      </c>
      <c r="E114" s="62" t="s">
        <v>2</v>
      </c>
      <c r="F114" s="62" t="s">
        <v>718</v>
      </c>
      <c r="G114" s="62" t="s">
        <v>60</v>
      </c>
      <c r="H114" s="62" t="s">
        <v>33</v>
      </c>
      <c r="I114" s="161">
        <v>2</v>
      </c>
      <c r="J114" s="140">
        <f>LN(B114)</f>
        <v>0</v>
      </c>
      <c r="K114" s="148">
        <v>0.03</v>
      </c>
      <c r="L114" s="148" t="s">
        <v>31</v>
      </c>
      <c r="M114" s="148" t="s">
        <v>31</v>
      </c>
      <c r="N114" s="148" t="s">
        <v>31</v>
      </c>
    </row>
    <row r="115" spans="1:15" ht="15.75">
      <c r="A115" s="62" t="s">
        <v>736</v>
      </c>
      <c r="B115" s="138">
        <v>1</v>
      </c>
      <c r="D115" s="62" t="s">
        <v>18</v>
      </c>
      <c r="E115" s="62" t="s">
        <v>2</v>
      </c>
      <c r="F115" s="62" t="s">
        <v>718</v>
      </c>
      <c r="G115" s="62" t="s">
        <v>60</v>
      </c>
      <c r="H115" s="62" t="s">
        <v>33</v>
      </c>
      <c r="I115" s="161">
        <v>2</v>
      </c>
      <c r="J115" s="140">
        <f t="shared" ref="J115:J123" si="3">LN(B115)</f>
        <v>0</v>
      </c>
      <c r="K115" s="148">
        <v>0.03</v>
      </c>
      <c r="L115" s="148" t="s">
        <v>31</v>
      </c>
      <c r="M115" s="148" t="s">
        <v>31</v>
      </c>
      <c r="N115" s="148" t="s">
        <v>31</v>
      </c>
    </row>
    <row r="116" spans="1:15" ht="15.75">
      <c r="A116" s="62" t="s">
        <v>739</v>
      </c>
      <c r="B116" s="147">
        <v>1</v>
      </c>
      <c r="C116" s="147"/>
      <c r="D116" s="62" t="s">
        <v>18</v>
      </c>
      <c r="E116" s="62" t="s">
        <v>2</v>
      </c>
      <c r="F116" s="62" t="s">
        <v>718</v>
      </c>
      <c r="G116" s="62" t="s">
        <v>60</v>
      </c>
      <c r="H116" s="62" t="s">
        <v>33</v>
      </c>
      <c r="I116" s="161">
        <v>2</v>
      </c>
      <c r="J116" s="140">
        <f t="shared" si="3"/>
        <v>0</v>
      </c>
      <c r="K116" s="148">
        <v>0.03</v>
      </c>
      <c r="L116" s="148" t="s">
        <v>31</v>
      </c>
      <c r="M116" s="148" t="s">
        <v>31</v>
      </c>
      <c r="N116" s="148" t="s">
        <v>31</v>
      </c>
    </row>
    <row r="117" spans="1:15" ht="15.75">
      <c r="A117" s="62" t="s">
        <v>750</v>
      </c>
      <c r="B117" s="138">
        <v>1</v>
      </c>
      <c r="D117" s="62" t="s">
        <v>18</v>
      </c>
      <c r="E117" s="62" t="s">
        <v>2</v>
      </c>
      <c r="F117" s="62" t="s">
        <v>718</v>
      </c>
      <c r="G117" s="62" t="s">
        <v>60</v>
      </c>
      <c r="H117" s="62" t="s">
        <v>33</v>
      </c>
      <c r="I117" s="161">
        <v>2</v>
      </c>
      <c r="J117" s="140">
        <f t="shared" si="3"/>
        <v>0</v>
      </c>
      <c r="K117" s="148">
        <v>0.03</v>
      </c>
      <c r="L117" s="148" t="s">
        <v>31</v>
      </c>
      <c r="M117" s="148" t="s">
        <v>31</v>
      </c>
      <c r="N117" s="148" t="s">
        <v>31</v>
      </c>
    </row>
    <row r="118" spans="1:15" ht="15.75">
      <c r="A118" s="62" t="s">
        <v>752</v>
      </c>
      <c r="B118" s="62">
        <v>1</v>
      </c>
      <c r="C118" s="62"/>
      <c r="D118" s="62" t="s">
        <v>18</v>
      </c>
      <c r="E118" s="62" t="s">
        <v>2</v>
      </c>
      <c r="F118" s="62" t="s">
        <v>718</v>
      </c>
      <c r="G118" s="62" t="s">
        <v>60</v>
      </c>
      <c r="H118" s="62" t="s">
        <v>33</v>
      </c>
      <c r="I118" s="161">
        <v>2</v>
      </c>
      <c r="J118" s="140">
        <f t="shared" si="3"/>
        <v>0</v>
      </c>
      <c r="K118" s="148">
        <v>0.03</v>
      </c>
      <c r="L118" s="148" t="s">
        <v>31</v>
      </c>
      <c r="M118" s="148" t="s">
        <v>31</v>
      </c>
      <c r="N118" s="148" t="s">
        <v>31</v>
      </c>
    </row>
    <row r="119" spans="1:15" ht="15.75">
      <c r="A119" s="62" t="s">
        <v>759</v>
      </c>
      <c r="B119" s="138">
        <f>1420*4*0.02571</f>
        <v>146.03280000000001</v>
      </c>
      <c r="D119" s="62" t="s">
        <v>37</v>
      </c>
      <c r="E119" s="149" t="s">
        <v>38</v>
      </c>
      <c r="F119" s="62" t="s">
        <v>29</v>
      </c>
      <c r="G119" s="61" t="s">
        <v>60</v>
      </c>
      <c r="H119" s="62" t="s">
        <v>33</v>
      </c>
      <c r="I119" s="161">
        <v>2</v>
      </c>
      <c r="J119" s="140">
        <f t="shared" si="3"/>
        <v>4.983831254010858</v>
      </c>
      <c r="K119" s="148">
        <v>0.03</v>
      </c>
      <c r="L119" s="148" t="s">
        <v>31</v>
      </c>
      <c r="M119" s="148" t="s">
        <v>31</v>
      </c>
      <c r="N119" s="148" t="s">
        <v>31</v>
      </c>
      <c r="O119" s="62" t="s">
        <v>760</v>
      </c>
    </row>
    <row r="120" spans="1:15" ht="15.75">
      <c r="A120" s="62" t="s">
        <v>761</v>
      </c>
      <c r="B120" s="138">
        <f>1420*4*0.04463</f>
        <v>253.4984</v>
      </c>
      <c r="D120" s="62" t="s">
        <v>37</v>
      </c>
      <c r="E120" s="149" t="s">
        <v>38</v>
      </c>
      <c r="F120" s="62" t="s">
        <v>29</v>
      </c>
      <c r="G120" s="61" t="s">
        <v>60</v>
      </c>
      <c r="H120" s="62" t="s">
        <v>33</v>
      </c>
      <c r="I120" s="161">
        <v>2</v>
      </c>
      <c r="J120" s="140">
        <f t="shared" si="3"/>
        <v>5.5353575113742384</v>
      </c>
      <c r="K120" s="148">
        <v>0.03</v>
      </c>
      <c r="L120" s="148" t="s">
        <v>31</v>
      </c>
      <c r="M120" s="148" t="s">
        <v>31</v>
      </c>
      <c r="N120" s="148" t="s">
        <v>31</v>
      </c>
      <c r="O120" s="62" t="s">
        <v>762</v>
      </c>
    </row>
    <row r="121" spans="1:15" ht="15.75">
      <c r="A121" s="61" t="s">
        <v>97</v>
      </c>
      <c r="B121" s="138">
        <f>1420*4*0.0159</f>
        <v>90.312000000000012</v>
      </c>
      <c r="D121" s="62" t="s">
        <v>37</v>
      </c>
      <c r="E121" s="149" t="s">
        <v>38</v>
      </c>
      <c r="F121" s="62" t="s">
        <v>29</v>
      </c>
      <c r="G121" s="62" t="s">
        <v>60</v>
      </c>
      <c r="H121" s="62" t="s">
        <v>33</v>
      </c>
      <c r="I121" s="161">
        <v>2</v>
      </c>
      <c r="J121" s="140">
        <f t="shared" si="3"/>
        <v>4.5032703419592464</v>
      </c>
      <c r="K121" s="148">
        <v>0.03</v>
      </c>
      <c r="L121" s="148" t="s">
        <v>31</v>
      </c>
      <c r="M121" s="148" t="s">
        <v>31</v>
      </c>
      <c r="N121" s="148" t="s">
        <v>31</v>
      </c>
      <c r="O121" s="61" t="s">
        <v>763</v>
      </c>
    </row>
    <row r="122" spans="1:15" ht="15.75">
      <c r="A122" s="162" t="s">
        <v>450</v>
      </c>
      <c r="B122" s="138">
        <f>1420*4*0.0424</f>
        <v>240.83199999999999</v>
      </c>
      <c r="D122" s="62" t="s">
        <v>37</v>
      </c>
      <c r="E122" s="149" t="s">
        <v>38</v>
      </c>
      <c r="F122" s="62" t="s">
        <v>29</v>
      </c>
      <c r="G122" s="62" t="s">
        <v>60</v>
      </c>
      <c r="H122" s="62" t="s">
        <v>33</v>
      </c>
      <c r="I122" s="161">
        <v>2</v>
      </c>
      <c r="J122" s="140">
        <f t="shared" si="3"/>
        <v>5.4840995949709717</v>
      </c>
      <c r="K122" s="148">
        <v>0.03</v>
      </c>
      <c r="L122" s="148" t="s">
        <v>31</v>
      </c>
      <c r="M122" s="148" t="s">
        <v>31</v>
      </c>
      <c r="N122" s="148" t="s">
        <v>31</v>
      </c>
      <c r="O122" s="61" t="s">
        <v>764</v>
      </c>
    </row>
    <row r="123" spans="1:15" ht="15.75">
      <c r="A123" s="62" t="s">
        <v>40</v>
      </c>
      <c r="B123" s="138">
        <f>1420*4*0.529*7.545657073</f>
        <v>22672.586720384563</v>
      </c>
      <c r="D123" s="62" t="s">
        <v>41</v>
      </c>
      <c r="E123" s="149" t="s">
        <v>38</v>
      </c>
      <c r="F123" s="62" t="s">
        <v>29</v>
      </c>
      <c r="G123" s="62" t="s">
        <v>60</v>
      </c>
      <c r="H123" s="62" t="s">
        <v>33</v>
      </c>
      <c r="I123" s="161">
        <v>2</v>
      </c>
      <c r="J123" s="140">
        <f t="shared" si="3"/>
        <v>10.028911840229373</v>
      </c>
      <c r="K123" s="148">
        <v>0.03</v>
      </c>
      <c r="L123" s="148" t="s">
        <v>31</v>
      </c>
      <c r="M123" s="148" t="s">
        <v>31</v>
      </c>
      <c r="N123" s="148" t="s">
        <v>31</v>
      </c>
      <c r="O123" s="62" t="s">
        <v>765</v>
      </c>
    </row>
    <row r="124" spans="1:15" s="143" customFormat="1" ht="15.75">
      <c r="A124" s="153" t="s">
        <v>5</v>
      </c>
      <c r="B124" s="154" t="s">
        <v>766</v>
      </c>
      <c r="C124" s="154"/>
      <c r="D124" s="142"/>
      <c r="I124" s="155"/>
      <c r="J124" s="155"/>
      <c r="K124" s="155"/>
      <c r="L124" s="155"/>
      <c r="M124" s="155"/>
      <c r="N124" s="155"/>
    </row>
    <row r="125" spans="1:15">
      <c r="A125" s="62" t="s">
        <v>7</v>
      </c>
      <c r="B125" s="138" t="s">
        <v>718</v>
      </c>
    </row>
    <row r="126" spans="1:15">
      <c r="A126" s="62" t="s">
        <v>9</v>
      </c>
      <c r="B126" s="62" t="str">
        <f ca="1">UPPER(CONCATENATE(DEC2HEX(RANDBETWEEN(0,POWER(16,8)),8),DEC2HEX(RANDBETWEEN(0,POWER(16,4)),4),"4",DEC2HEX(RANDBETWEEN(0,POWER(16,3)),3),DEC2HEX(RANDBETWEEN(8,11)),DEC2HEX(RANDBETWEEN(0,POWER(16,3)),3),DEC2HEX(RANDBETWEEN(0,POWER(16,8)),8),DEC2HEX(RANDBETWEEN(0,POWER(16,4)),4)))</f>
        <v>49020320E64C4284B08A2AE7215E9AFF</v>
      </c>
    </row>
    <row r="127" spans="1:15">
      <c r="A127" s="62" t="s">
        <v>11</v>
      </c>
      <c r="B127" s="138" t="s">
        <v>719</v>
      </c>
    </row>
    <row r="128" spans="1:15">
      <c r="A128" s="62" t="s">
        <v>13</v>
      </c>
      <c r="B128" s="138" t="s">
        <v>60</v>
      </c>
    </row>
    <row r="129" spans="1:15">
      <c r="A129" s="62" t="s">
        <v>15</v>
      </c>
      <c r="B129" s="138">
        <v>1</v>
      </c>
    </row>
    <row r="130" spans="1:15">
      <c r="A130" s="62" t="s">
        <v>16</v>
      </c>
      <c r="B130" s="138" t="s">
        <v>17</v>
      </c>
    </row>
    <row r="131" spans="1:15">
      <c r="A131" s="62" t="s">
        <v>18</v>
      </c>
      <c r="B131" s="138" t="s">
        <v>18</v>
      </c>
    </row>
    <row r="132" spans="1:15" ht="15.75">
      <c r="A132" s="144" t="s">
        <v>19</v>
      </c>
    </row>
    <row r="133" spans="1:15" ht="15.75">
      <c r="A133" s="144" t="s">
        <v>20</v>
      </c>
      <c r="B133" s="145" t="s">
        <v>21</v>
      </c>
      <c r="C133" s="145" t="s">
        <v>78</v>
      </c>
      <c r="D133" s="144" t="s">
        <v>18</v>
      </c>
      <c r="E133" s="144" t="s">
        <v>22</v>
      </c>
      <c r="F133" s="144" t="s">
        <v>7</v>
      </c>
      <c r="G133" s="144" t="s">
        <v>13</v>
      </c>
      <c r="H133" s="144" t="s">
        <v>16</v>
      </c>
      <c r="I133" s="146" t="s">
        <v>23</v>
      </c>
      <c r="J133" s="146" t="s">
        <v>24</v>
      </c>
      <c r="K133" s="146" t="s">
        <v>25</v>
      </c>
      <c r="L133" s="146" t="s">
        <v>26</v>
      </c>
      <c r="M133" s="146" t="s">
        <v>27</v>
      </c>
      <c r="N133" s="146" t="s">
        <v>28</v>
      </c>
      <c r="O133" s="144" t="s">
        <v>11</v>
      </c>
    </row>
    <row r="134" spans="1:15" ht="15.75">
      <c r="A134" s="61" t="s">
        <v>766</v>
      </c>
      <c r="B134" s="147">
        <v>1</v>
      </c>
      <c r="C134" s="147"/>
      <c r="D134" s="61" t="s">
        <v>18</v>
      </c>
      <c r="E134" s="61" t="s">
        <v>2</v>
      </c>
      <c r="F134" s="62" t="s">
        <v>718</v>
      </c>
      <c r="G134" s="61" t="s">
        <v>60</v>
      </c>
      <c r="H134" s="61" t="s">
        <v>30</v>
      </c>
      <c r="I134" s="148">
        <v>0</v>
      </c>
      <c r="J134" s="148" t="s">
        <v>31</v>
      </c>
      <c r="K134" s="148" t="s">
        <v>31</v>
      </c>
      <c r="L134" s="148" t="s">
        <v>31</v>
      </c>
      <c r="M134" s="148" t="s">
        <v>31</v>
      </c>
      <c r="N134" s="148" t="s">
        <v>31</v>
      </c>
      <c r="O134" s="61" t="s">
        <v>767</v>
      </c>
    </row>
    <row r="135" spans="1:15" ht="15.75">
      <c r="A135" s="62" t="s">
        <v>97</v>
      </c>
      <c r="B135" s="138">
        <f>4*36.699</f>
        <v>146.79599999999999</v>
      </c>
      <c r="D135" s="62" t="s">
        <v>37</v>
      </c>
      <c r="E135" s="149" t="s">
        <v>38</v>
      </c>
      <c r="F135" s="62" t="s">
        <v>29</v>
      </c>
      <c r="G135" s="62" t="s">
        <v>60</v>
      </c>
      <c r="H135" s="62" t="s">
        <v>33</v>
      </c>
      <c r="I135" s="140">
        <v>2</v>
      </c>
      <c r="J135" s="140">
        <f>LN(B135)</f>
        <v>4.9890438678527795</v>
      </c>
      <c r="K135" s="140">
        <v>3.9051247999999997E-2</v>
      </c>
      <c r="L135" s="148" t="s">
        <v>31</v>
      </c>
      <c r="M135" s="148" t="s">
        <v>31</v>
      </c>
      <c r="N135" s="148" t="s">
        <v>31</v>
      </c>
      <c r="O135" s="61" t="s">
        <v>768</v>
      </c>
    </row>
    <row r="136" spans="1:15" ht="15.75">
      <c r="A136" s="62" t="s">
        <v>769</v>
      </c>
      <c r="B136" s="147">
        <f>4*0.918</f>
        <v>3.6720000000000002</v>
      </c>
      <c r="C136" s="147"/>
      <c r="D136" s="61" t="s">
        <v>37</v>
      </c>
      <c r="E136" s="149" t="s">
        <v>38</v>
      </c>
      <c r="F136" s="62" t="s">
        <v>29</v>
      </c>
      <c r="G136" s="61" t="s">
        <v>60</v>
      </c>
      <c r="H136" s="61" t="s">
        <v>33</v>
      </c>
      <c r="I136" s="140">
        <v>2</v>
      </c>
      <c r="J136" s="140">
        <f t="shared" ref="J136:J138" si="4">LN(B136)</f>
        <v>1.300736472758244</v>
      </c>
      <c r="K136" s="140">
        <v>3.9051247999999997E-2</v>
      </c>
      <c r="L136" s="148" t="s">
        <v>31</v>
      </c>
      <c r="M136" s="148" t="s">
        <v>31</v>
      </c>
      <c r="N136" s="148" t="s">
        <v>31</v>
      </c>
      <c r="O136" s="61" t="s">
        <v>770</v>
      </c>
    </row>
    <row r="137" spans="1:15" ht="15.75">
      <c r="A137" s="62" t="s">
        <v>769</v>
      </c>
      <c r="B137" s="147">
        <f>4*0.579</f>
        <v>2.3159999999999998</v>
      </c>
      <c r="C137" s="147"/>
      <c r="D137" s="61" t="s">
        <v>37</v>
      </c>
      <c r="E137" s="149" t="s">
        <v>38</v>
      </c>
      <c r="F137" s="62" t="s">
        <v>29</v>
      </c>
      <c r="G137" s="61" t="s">
        <v>60</v>
      </c>
      <c r="H137" s="61" t="s">
        <v>33</v>
      </c>
      <c r="I137" s="140">
        <v>2</v>
      </c>
      <c r="J137" s="140">
        <f t="shared" si="4"/>
        <v>0.8398415597107487</v>
      </c>
      <c r="K137" s="140">
        <v>3.9051247999999997E-2</v>
      </c>
      <c r="L137" s="148" t="s">
        <v>31</v>
      </c>
      <c r="M137" s="148" t="s">
        <v>31</v>
      </c>
      <c r="N137" s="148" t="s">
        <v>31</v>
      </c>
      <c r="O137" s="61" t="s">
        <v>771</v>
      </c>
    </row>
    <row r="138" spans="1:15" ht="15.75">
      <c r="A138" s="162" t="s">
        <v>450</v>
      </c>
      <c r="B138" s="138">
        <f>4*2.266</f>
        <v>9.0640000000000001</v>
      </c>
      <c r="D138" s="62" t="s">
        <v>37</v>
      </c>
      <c r="E138" s="149" t="s">
        <v>38</v>
      </c>
      <c r="F138" s="62" t="s">
        <v>29</v>
      </c>
      <c r="G138" s="62" t="s">
        <v>60</v>
      </c>
      <c r="H138" s="62" t="s">
        <v>33</v>
      </c>
      <c r="I138" s="140">
        <v>2</v>
      </c>
      <c r="J138" s="140">
        <f t="shared" si="4"/>
        <v>2.204310523725705</v>
      </c>
      <c r="K138" s="140">
        <v>3.9051247999999997E-2</v>
      </c>
      <c r="L138" s="148" t="s">
        <v>31</v>
      </c>
      <c r="M138" s="148" t="s">
        <v>31</v>
      </c>
      <c r="N138" s="148" t="s">
        <v>31</v>
      </c>
      <c r="O138" s="61" t="s">
        <v>772</v>
      </c>
    </row>
    <row r="139" spans="1:15" s="143" customFormat="1" ht="15.75">
      <c r="A139" s="153" t="s">
        <v>5</v>
      </c>
      <c r="B139" s="154" t="s">
        <v>773</v>
      </c>
      <c r="C139" s="154"/>
      <c r="D139" s="142"/>
      <c r="I139" s="155"/>
      <c r="J139" s="155"/>
      <c r="K139" s="155"/>
      <c r="L139" s="155"/>
      <c r="M139" s="155"/>
      <c r="N139" s="155"/>
    </row>
    <row r="140" spans="1:15">
      <c r="A140" s="62" t="s">
        <v>7</v>
      </c>
      <c r="B140" s="138" t="s">
        <v>718</v>
      </c>
    </row>
    <row r="141" spans="1:15">
      <c r="A141" s="62" t="s">
        <v>9</v>
      </c>
      <c r="B141" s="62" t="str">
        <f ca="1">UPPER(CONCATENATE(DEC2HEX(RANDBETWEEN(0,POWER(16,8)),8),DEC2HEX(RANDBETWEEN(0,POWER(16,4)),4),"4",DEC2HEX(RANDBETWEEN(0,POWER(16,3)),3),DEC2HEX(RANDBETWEEN(8,11)),DEC2HEX(RANDBETWEEN(0,POWER(16,3)),3),DEC2HEX(RANDBETWEEN(0,POWER(16,8)),8),DEC2HEX(RANDBETWEEN(0,POWER(16,4)),4)))</f>
        <v>8284BFD01EFA47159296C83152216522</v>
      </c>
    </row>
    <row r="142" spans="1:15">
      <c r="A142" s="62" t="s">
        <v>11</v>
      </c>
      <c r="B142" s="138" t="s">
        <v>719</v>
      </c>
    </row>
    <row r="143" spans="1:15">
      <c r="A143" s="62" t="s">
        <v>13</v>
      </c>
      <c r="B143" s="138" t="s">
        <v>60</v>
      </c>
    </row>
    <row r="144" spans="1:15">
      <c r="A144" s="62" t="s">
        <v>15</v>
      </c>
      <c r="B144" s="138">
        <v>1</v>
      </c>
    </row>
    <row r="145" spans="1:15">
      <c r="A145" s="62" t="s">
        <v>16</v>
      </c>
      <c r="B145" s="138" t="s">
        <v>17</v>
      </c>
    </row>
    <row r="146" spans="1:15">
      <c r="A146" s="62" t="s">
        <v>18</v>
      </c>
      <c r="B146" s="138" t="s">
        <v>18</v>
      </c>
    </row>
    <row r="147" spans="1:15" ht="15.75">
      <c r="A147" s="144" t="s">
        <v>19</v>
      </c>
    </row>
    <row r="148" spans="1:15" ht="15.75">
      <c r="A148" s="144" t="s">
        <v>20</v>
      </c>
      <c r="B148" s="145" t="s">
        <v>21</v>
      </c>
      <c r="C148" s="145" t="s">
        <v>78</v>
      </c>
      <c r="D148" s="144" t="s">
        <v>18</v>
      </c>
      <c r="E148" s="144" t="s">
        <v>22</v>
      </c>
      <c r="F148" s="144" t="s">
        <v>7</v>
      </c>
      <c r="G148" s="144" t="s">
        <v>13</v>
      </c>
      <c r="H148" s="144" t="s">
        <v>16</v>
      </c>
      <c r="I148" s="146" t="s">
        <v>23</v>
      </c>
      <c r="J148" s="146" t="s">
        <v>24</v>
      </c>
      <c r="K148" s="146" t="s">
        <v>25</v>
      </c>
      <c r="L148" s="146" t="s">
        <v>26</v>
      </c>
      <c r="M148" s="146" t="s">
        <v>27</v>
      </c>
      <c r="N148" s="146" t="s">
        <v>28</v>
      </c>
      <c r="O148" s="144" t="s">
        <v>11</v>
      </c>
    </row>
    <row r="149" spans="1:15" ht="15.75">
      <c r="A149" s="61" t="s">
        <v>773</v>
      </c>
      <c r="B149" s="147">
        <v>1</v>
      </c>
      <c r="C149" s="147"/>
      <c r="D149" s="61" t="s">
        <v>18</v>
      </c>
      <c r="E149" s="61" t="s">
        <v>2</v>
      </c>
      <c r="F149" s="62" t="s">
        <v>718</v>
      </c>
      <c r="G149" s="61" t="s">
        <v>60</v>
      </c>
      <c r="H149" s="61" t="s">
        <v>30</v>
      </c>
      <c r="I149" s="148">
        <v>0</v>
      </c>
      <c r="J149" s="148" t="s">
        <v>31</v>
      </c>
      <c r="K149" s="148" t="s">
        <v>31</v>
      </c>
      <c r="L149" s="148" t="s">
        <v>31</v>
      </c>
      <c r="M149" s="148" t="s">
        <v>31</v>
      </c>
      <c r="N149" s="148" t="s">
        <v>31</v>
      </c>
      <c r="O149" s="61" t="s">
        <v>720</v>
      </c>
    </row>
    <row r="150" spans="1:15" ht="15.75">
      <c r="A150" s="62" t="s">
        <v>757</v>
      </c>
      <c r="B150" s="163">
        <v>1</v>
      </c>
      <c r="C150" s="163"/>
      <c r="D150" s="61" t="s">
        <v>18</v>
      </c>
      <c r="E150" s="61" t="s">
        <v>2</v>
      </c>
      <c r="F150" s="61" t="s">
        <v>718</v>
      </c>
      <c r="G150" s="61" t="s">
        <v>60</v>
      </c>
      <c r="H150" s="62" t="s">
        <v>33</v>
      </c>
      <c r="I150" s="148">
        <v>0</v>
      </c>
      <c r="J150" s="148" t="s">
        <v>31</v>
      </c>
      <c r="K150" s="148" t="s">
        <v>31</v>
      </c>
      <c r="L150" s="148" t="s">
        <v>31</v>
      </c>
      <c r="M150" s="148" t="s">
        <v>31</v>
      </c>
      <c r="N150" s="148" t="s">
        <v>31</v>
      </c>
      <c r="O150" s="61"/>
    </row>
    <row r="151" spans="1:15" ht="15.75">
      <c r="A151" s="61" t="s">
        <v>774</v>
      </c>
      <c r="B151" s="138">
        <v>1</v>
      </c>
      <c r="D151" s="61" t="s">
        <v>18</v>
      </c>
      <c r="E151" s="61" t="s">
        <v>2</v>
      </c>
      <c r="F151" s="61" t="s">
        <v>718</v>
      </c>
      <c r="G151" s="62" t="s">
        <v>60</v>
      </c>
      <c r="H151" s="62" t="s">
        <v>33</v>
      </c>
      <c r="I151" s="140">
        <v>0</v>
      </c>
      <c r="J151" s="148" t="s">
        <v>31</v>
      </c>
      <c r="K151" s="148" t="s">
        <v>31</v>
      </c>
      <c r="L151" s="148" t="s">
        <v>31</v>
      </c>
      <c r="M151" s="148" t="s">
        <v>31</v>
      </c>
      <c r="N151" s="148" t="s">
        <v>31</v>
      </c>
      <c r="O151" s="61" t="s">
        <v>775</v>
      </c>
    </row>
    <row r="152" spans="1:15" ht="15.75">
      <c r="A152" s="62" t="s">
        <v>766</v>
      </c>
      <c r="B152" s="138">
        <v>1</v>
      </c>
      <c r="D152" s="62" t="s">
        <v>18</v>
      </c>
      <c r="E152" s="62" t="s">
        <v>2</v>
      </c>
      <c r="F152" s="62" t="s">
        <v>718</v>
      </c>
      <c r="G152" s="62" t="s">
        <v>60</v>
      </c>
      <c r="H152" s="62" t="s">
        <v>33</v>
      </c>
      <c r="I152" s="140">
        <v>0</v>
      </c>
      <c r="J152" s="148" t="s">
        <v>31</v>
      </c>
      <c r="K152" s="148" t="s">
        <v>31</v>
      </c>
      <c r="L152" s="148" t="s">
        <v>31</v>
      </c>
      <c r="M152" s="148" t="s">
        <v>31</v>
      </c>
      <c r="N152" s="148" t="s">
        <v>31</v>
      </c>
    </row>
    <row r="153" spans="1:15" s="143" customFormat="1" ht="15.75">
      <c r="A153" s="153" t="s">
        <v>5</v>
      </c>
      <c r="B153" s="154" t="s">
        <v>774</v>
      </c>
      <c r="C153" s="154"/>
      <c r="D153" s="142"/>
      <c r="I153" s="155"/>
      <c r="J153" s="155"/>
      <c r="K153" s="155"/>
      <c r="L153" s="155"/>
      <c r="M153" s="155"/>
      <c r="N153" s="155"/>
    </row>
    <row r="154" spans="1:15">
      <c r="A154" s="62" t="s">
        <v>7</v>
      </c>
      <c r="B154" s="138" t="s">
        <v>718</v>
      </c>
    </row>
    <row r="155" spans="1:15">
      <c r="A155" s="62" t="s">
        <v>9</v>
      </c>
      <c r="B155" s="62" t="str">
        <f ca="1">UPPER(CONCATENATE(DEC2HEX(RANDBETWEEN(0,POWER(16,8)),8),DEC2HEX(RANDBETWEEN(0,POWER(16,4)),4),"4",DEC2HEX(RANDBETWEEN(0,POWER(16,3)),3),DEC2HEX(RANDBETWEEN(8,11)),DEC2HEX(RANDBETWEEN(0,POWER(16,3)),3),DEC2HEX(RANDBETWEEN(0,POWER(16,8)),8),DEC2HEX(RANDBETWEEN(0,POWER(16,4)),4)))</f>
        <v>286E4A9AD76D4EE2B8FF35F59F7B92CC</v>
      </c>
    </row>
    <row r="156" spans="1:15">
      <c r="A156" s="62" t="s">
        <v>11</v>
      </c>
      <c r="B156" s="138" t="s">
        <v>719</v>
      </c>
    </row>
    <row r="157" spans="1:15">
      <c r="A157" s="62" t="s">
        <v>13</v>
      </c>
      <c r="B157" s="138" t="s">
        <v>60</v>
      </c>
    </row>
    <row r="158" spans="1:15">
      <c r="A158" s="62" t="s">
        <v>15</v>
      </c>
      <c r="B158" s="138">
        <v>1</v>
      </c>
    </row>
    <row r="159" spans="1:15">
      <c r="A159" s="62" t="s">
        <v>16</v>
      </c>
      <c r="B159" s="138" t="s">
        <v>17</v>
      </c>
    </row>
    <row r="160" spans="1:15">
      <c r="A160" s="62" t="s">
        <v>18</v>
      </c>
      <c r="B160" s="138" t="s">
        <v>18</v>
      </c>
    </row>
    <row r="161" spans="1:15" ht="15.75">
      <c r="A161" s="144" t="s">
        <v>19</v>
      </c>
    </row>
    <row r="162" spans="1:15" ht="15.75">
      <c r="A162" s="144" t="s">
        <v>20</v>
      </c>
      <c r="B162" s="145" t="s">
        <v>21</v>
      </c>
      <c r="C162" s="145" t="s">
        <v>78</v>
      </c>
      <c r="D162" s="144" t="s">
        <v>18</v>
      </c>
      <c r="E162" s="144" t="s">
        <v>22</v>
      </c>
      <c r="F162" s="144" t="s">
        <v>7</v>
      </c>
      <c r="G162" s="144" t="s">
        <v>13</v>
      </c>
      <c r="H162" s="144" t="s">
        <v>16</v>
      </c>
      <c r="I162" s="146" t="s">
        <v>23</v>
      </c>
      <c r="J162" s="146" t="s">
        <v>24</v>
      </c>
      <c r="K162" s="146" t="s">
        <v>25</v>
      </c>
      <c r="L162" s="146" t="s">
        <v>26</v>
      </c>
      <c r="M162" s="146" t="s">
        <v>27</v>
      </c>
      <c r="N162" s="146" t="s">
        <v>28</v>
      </c>
      <c r="O162" s="144" t="s">
        <v>11</v>
      </c>
    </row>
    <row r="163" spans="1:15" ht="15.75">
      <c r="A163" s="61" t="s">
        <v>774</v>
      </c>
      <c r="B163" s="147">
        <v>1</v>
      </c>
      <c r="C163" s="147"/>
      <c r="D163" s="61" t="s">
        <v>18</v>
      </c>
      <c r="E163" s="61" t="s">
        <v>2</v>
      </c>
      <c r="F163" s="62" t="s">
        <v>718</v>
      </c>
      <c r="G163" s="61" t="s">
        <v>60</v>
      </c>
      <c r="H163" s="61" t="s">
        <v>30</v>
      </c>
      <c r="I163" s="148">
        <v>0</v>
      </c>
      <c r="J163" s="148" t="s">
        <v>31</v>
      </c>
      <c r="K163" s="148" t="s">
        <v>31</v>
      </c>
      <c r="L163" s="148" t="s">
        <v>31</v>
      </c>
      <c r="M163" s="148" t="s">
        <v>31</v>
      </c>
      <c r="N163" s="148" t="s">
        <v>31</v>
      </c>
      <c r="O163" s="61" t="s">
        <v>776</v>
      </c>
    </row>
    <row r="164" spans="1:15" ht="15.75">
      <c r="A164" s="149" t="s">
        <v>777</v>
      </c>
      <c r="B164" s="138">
        <f>4*16.185</f>
        <v>64.739999999999995</v>
      </c>
      <c r="D164" s="61" t="s">
        <v>37</v>
      </c>
      <c r="E164" s="149" t="s">
        <v>38</v>
      </c>
      <c r="F164" s="62" t="s">
        <v>29</v>
      </c>
      <c r="G164" s="62" t="s">
        <v>60</v>
      </c>
      <c r="H164" s="62" t="s">
        <v>33</v>
      </c>
      <c r="I164" s="140">
        <v>2</v>
      </c>
      <c r="J164" s="148">
        <f>LN(B164)</f>
        <v>4.1703792484980982</v>
      </c>
      <c r="K164" s="140">
        <v>9.7082439000000006E-2</v>
      </c>
      <c r="L164" s="148" t="s">
        <v>31</v>
      </c>
      <c r="M164" s="148" t="s">
        <v>31</v>
      </c>
      <c r="N164" s="148" t="s">
        <v>31</v>
      </c>
      <c r="O164" s="61" t="s">
        <v>775</v>
      </c>
    </row>
    <row r="165" spans="1:15" s="143" customFormat="1" ht="15.75">
      <c r="A165" s="153" t="s">
        <v>5</v>
      </c>
      <c r="B165" s="154" t="s">
        <v>778</v>
      </c>
      <c r="C165" s="154"/>
      <c r="D165" s="142"/>
      <c r="I165" s="155"/>
      <c r="J165" s="155"/>
      <c r="K165" s="155"/>
      <c r="L165" s="155"/>
      <c r="M165" s="155"/>
      <c r="N165" s="155"/>
    </row>
    <row r="166" spans="1:15">
      <c r="A166" s="62" t="s">
        <v>7</v>
      </c>
      <c r="B166" s="138" t="s">
        <v>718</v>
      </c>
    </row>
    <row r="167" spans="1:15">
      <c r="A167" s="62" t="s">
        <v>9</v>
      </c>
      <c r="B167" s="62" t="str">
        <f ca="1">UPPER(CONCATENATE(DEC2HEX(RANDBETWEEN(0,POWER(16,8)),8),DEC2HEX(RANDBETWEEN(0,POWER(16,4)),4),"4",DEC2HEX(RANDBETWEEN(0,POWER(16,3)),3),DEC2HEX(RANDBETWEEN(8,11)),DEC2HEX(RANDBETWEEN(0,POWER(16,3)),3),DEC2HEX(RANDBETWEEN(0,POWER(16,8)),8),DEC2HEX(RANDBETWEEN(0,POWER(16,4)),4)))</f>
        <v>5CC55A0EB78F4B19A5FF0D9F4C2381F0</v>
      </c>
    </row>
    <row r="168" spans="1:15">
      <c r="A168" s="62" t="s">
        <v>11</v>
      </c>
      <c r="B168" s="138" t="s">
        <v>719</v>
      </c>
    </row>
    <row r="169" spans="1:15">
      <c r="A169" s="62" t="s">
        <v>13</v>
      </c>
      <c r="B169" s="138" t="s">
        <v>60</v>
      </c>
    </row>
    <row r="170" spans="1:15">
      <c r="A170" s="62" t="s">
        <v>15</v>
      </c>
      <c r="B170" s="138">
        <v>1</v>
      </c>
    </row>
    <row r="171" spans="1:15">
      <c r="A171" s="62" t="s">
        <v>16</v>
      </c>
      <c r="B171" s="138" t="s">
        <v>17</v>
      </c>
    </row>
    <row r="172" spans="1:15">
      <c r="A172" s="62" t="s">
        <v>18</v>
      </c>
      <c r="B172" s="138" t="s">
        <v>18</v>
      </c>
    </row>
    <row r="173" spans="1:15" ht="15.75">
      <c r="A173" s="144" t="s">
        <v>19</v>
      </c>
    </row>
    <row r="174" spans="1:15" ht="15.75">
      <c r="A174" s="144" t="s">
        <v>20</v>
      </c>
      <c r="B174" s="145" t="s">
        <v>21</v>
      </c>
      <c r="C174" s="145" t="s">
        <v>78</v>
      </c>
      <c r="D174" s="144" t="s">
        <v>18</v>
      </c>
      <c r="E174" s="144" t="s">
        <v>22</v>
      </c>
      <c r="F174" s="144" t="s">
        <v>7</v>
      </c>
      <c r="G174" s="144" t="s">
        <v>13</v>
      </c>
      <c r="H174" s="144" t="s">
        <v>16</v>
      </c>
      <c r="I174" s="146" t="s">
        <v>23</v>
      </c>
      <c r="J174" s="146" t="s">
        <v>24</v>
      </c>
      <c r="K174" s="146" t="s">
        <v>25</v>
      </c>
      <c r="L174" s="146" t="s">
        <v>26</v>
      </c>
      <c r="M174" s="146" t="s">
        <v>27</v>
      </c>
      <c r="N174" s="146" t="s">
        <v>28</v>
      </c>
      <c r="O174" s="144" t="s">
        <v>11</v>
      </c>
    </row>
    <row r="175" spans="1:15" ht="15.75">
      <c r="A175" s="61" t="s">
        <v>778</v>
      </c>
      <c r="B175" s="147">
        <v>1</v>
      </c>
      <c r="C175" s="147"/>
      <c r="D175" s="61" t="s">
        <v>18</v>
      </c>
      <c r="E175" s="61" t="s">
        <v>2</v>
      </c>
      <c r="F175" s="62" t="s">
        <v>718</v>
      </c>
      <c r="G175" s="61" t="s">
        <v>60</v>
      </c>
      <c r="H175" s="61" t="s">
        <v>30</v>
      </c>
      <c r="I175" s="148">
        <v>0</v>
      </c>
      <c r="J175" s="148" t="s">
        <v>31</v>
      </c>
      <c r="K175" s="148" t="s">
        <v>31</v>
      </c>
      <c r="L175" s="148" t="s">
        <v>31</v>
      </c>
      <c r="M175" s="148" t="s">
        <v>31</v>
      </c>
      <c r="N175" s="148" t="s">
        <v>31</v>
      </c>
      <c r="O175" s="61" t="s">
        <v>720</v>
      </c>
    </row>
    <row r="176" spans="1:15" ht="15.75">
      <c r="A176" s="62" t="s">
        <v>97</v>
      </c>
      <c r="B176" s="138">
        <v>78.573999999999998</v>
      </c>
      <c r="D176" s="62" t="s">
        <v>37</v>
      </c>
      <c r="E176" s="149" t="s">
        <v>38</v>
      </c>
      <c r="F176" s="62" t="s">
        <v>29</v>
      </c>
      <c r="G176" s="62" t="s">
        <v>60</v>
      </c>
      <c r="H176" s="62" t="s">
        <v>33</v>
      </c>
      <c r="I176" s="140">
        <v>2</v>
      </c>
      <c r="J176" s="140">
        <f>LN(B176)</f>
        <v>4.3640408559084047</v>
      </c>
      <c r="K176" s="140">
        <v>3.9051247999999997E-2</v>
      </c>
      <c r="L176" s="148" t="s">
        <v>31</v>
      </c>
      <c r="M176" s="148" t="s">
        <v>31</v>
      </c>
      <c r="N176" s="148" t="s">
        <v>31</v>
      </c>
      <c r="O176" s="61" t="s">
        <v>772</v>
      </c>
    </row>
    <row r="177" spans="1:15" ht="15.75">
      <c r="A177" s="160" t="s">
        <v>464</v>
      </c>
      <c r="B177" s="138">
        <v>0</v>
      </c>
      <c r="D177" s="62" t="s">
        <v>37</v>
      </c>
      <c r="E177" s="149" t="s">
        <v>38</v>
      </c>
      <c r="F177" s="62" t="s">
        <v>29</v>
      </c>
      <c r="G177" s="62" t="s">
        <v>60</v>
      </c>
      <c r="H177" s="62" t="s">
        <v>33</v>
      </c>
      <c r="I177" s="140">
        <v>1</v>
      </c>
      <c r="J177" s="148" t="s">
        <v>31</v>
      </c>
      <c r="K177" s="148" t="s">
        <v>31</v>
      </c>
      <c r="L177" s="148" t="s">
        <v>31</v>
      </c>
      <c r="M177" s="148" t="s">
        <v>31</v>
      </c>
      <c r="N177" s="148" t="s">
        <v>31</v>
      </c>
      <c r="O177" s="61" t="s">
        <v>772</v>
      </c>
    </row>
    <row r="178" spans="1:15" ht="15.75">
      <c r="A178" s="162" t="s">
        <v>450</v>
      </c>
      <c r="B178" s="138">
        <v>8.73</v>
      </c>
      <c r="D178" s="62" t="s">
        <v>37</v>
      </c>
      <c r="E178" s="149" t="s">
        <v>38</v>
      </c>
      <c r="F178" s="62" t="s">
        <v>29</v>
      </c>
      <c r="G178" s="62" t="s">
        <v>60</v>
      </c>
      <c r="H178" s="62" t="s">
        <v>33</v>
      </c>
      <c r="I178" s="140">
        <v>2</v>
      </c>
      <c r="J178" s="140">
        <f>LN(B178)</f>
        <v>2.166765369851511</v>
      </c>
      <c r="K178" s="140">
        <v>3.9051247999999997E-2</v>
      </c>
      <c r="L178" s="148" t="s">
        <v>31</v>
      </c>
      <c r="M178" s="148" t="s">
        <v>31</v>
      </c>
      <c r="N178" s="148" t="s">
        <v>31</v>
      </c>
      <c r="O178" s="61" t="s">
        <v>772</v>
      </c>
    </row>
    <row r="179" spans="1:15" s="143" customFormat="1" ht="15.75">
      <c r="A179" s="153" t="s">
        <v>5</v>
      </c>
      <c r="B179" s="154" t="s">
        <v>779</v>
      </c>
      <c r="C179" s="154"/>
      <c r="D179" s="142"/>
      <c r="I179" s="155"/>
      <c r="J179" s="155"/>
      <c r="K179" s="155"/>
      <c r="L179" s="155"/>
      <c r="M179" s="155"/>
      <c r="N179" s="155"/>
    </row>
    <row r="180" spans="1:15">
      <c r="A180" s="62" t="s">
        <v>7</v>
      </c>
      <c r="B180" s="138" t="s">
        <v>718</v>
      </c>
    </row>
    <row r="181" spans="1:15">
      <c r="A181" s="62" t="s">
        <v>9</v>
      </c>
      <c r="B181" s="62" t="str">
        <f ca="1">UPPER(CONCATENATE(DEC2HEX(RANDBETWEEN(0,POWER(16,8)),8),DEC2HEX(RANDBETWEEN(0,POWER(16,4)),4),"4",DEC2HEX(RANDBETWEEN(0,POWER(16,3)),3),DEC2HEX(RANDBETWEEN(8,11)),DEC2HEX(RANDBETWEEN(0,POWER(16,3)),3),DEC2HEX(RANDBETWEEN(0,POWER(16,8)),8),DEC2HEX(RANDBETWEEN(0,POWER(16,4)),4)))</f>
        <v>70E5E59C0A3A48F6B40E332524A88960</v>
      </c>
    </row>
    <row r="182" spans="1:15">
      <c r="A182" s="62" t="s">
        <v>11</v>
      </c>
      <c r="B182" s="138" t="s">
        <v>719</v>
      </c>
    </row>
    <row r="183" spans="1:15">
      <c r="A183" s="62" t="s">
        <v>13</v>
      </c>
      <c r="B183" s="138" t="s">
        <v>60</v>
      </c>
    </row>
    <row r="184" spans="1:15">
      <c r="A184" s="62" t="s">
        <v>15</v>
      </c>
      <c r="B184" s="138">
        <v>1</v>
      </c>
    </row>
    <row r="185" spans="1:15">
      <c r="A185" s="62" t="s">
        <v>16</v>
      </c>
      <c r="B185" s="138" t="s">
        <v>17</v>
      </c>
    </row>
    <row r="186" spans="1:15">
      <c r="A186" s="62" t="s">
        <v>18</v>
      </c>
      <c r="B186" s="138" t="s">
        <v>18</v>
      </c>
    </row>
    <row r="187" spans="1:15" ht="15.75">
      <c r="A187" s="144" t="s">
        <v>19</v>
      </c>
    </row>
    <row r="188" spans="1:15" ht="15.75">
      <c r="A188" s="144" t="s">
        <v>20</v>
      </c>
      <c r="B188" s="145" t="s">
        <v>21</v>
      </c>
      <c r="C188" s="145" t="s">
        <v>78</v>
      </c>
      <c r="D188" s="144" t="s">
        <v>18</v>
      </c>
      <c r="E188" s="144" t="s">
        <v>22</v>
      </c>
      <c r="F188" s="144" t="s">
        <v>7</v>
      </c>
      <c r="G188" s="144" t="s">
        <v>13</v>
      </c>
      <c r="H188" s="144" t="s">
        <v>16</v>
      </c>
      <c r="I188" s="146" t="s">
        <v>23</v>
      </c>
      <c r="J188" s="146" t="s">
        <v>24</v>
      </c>
      <c r="K188" s="146" t="s">
        <v>25</v>
      </c>
      <c r="L188" s="146" t="s">
        <v>26</v>
      </c>
      <c r="M188" s="146" t="s">
        <v>27</v>
      </c>
      <c r="N188" s="146" t="s">
        <v>28</v>
      </c>
      <c r="O188" s="144" t="s">
        <v>11</v>
      </c>
    </row>
    <row r="189" spans="1:15" ht="15.75">
      <c r="A189" s="61" t="s">
        <v>779</v>
      </c>
      <c r="B189" s="147">
        <v>1</v>
      </c>
      <c r="C189" s="147"/>
      <c r="D189" s="61" t="s">
        <v>18</v>
      </c>
      <c r="E189" s="61" t="s">
        <v>2</v>
      </c>
      <c r="F189" s="62" t="s">
        <v>718</v>
      </c>
      <c r="G189" s="61" t="s">
        <v>60</v>
      </c>
      <c r="H189" s="61" t="s">
        <v>30</v>
      </c>
      <c r="I189" s="148">
        <v>0</v>
      </c>
      <c r="J189" s="148" t="s">
        <v>31</v>
      </c>
      <c r="K189" s="148" t="s">
        <v>31</v>
      </c>
      <c r="L189" s="148" t="s">
        <v>31</v>
      </c>
      <c r="M189" s="148" t="s">
        <v>31</v>
      </c>
      <c r="N189" s="148" t="s">
        <v>31</v>
      </c>
      <c r="O189" s="61" t="s">
        <v>720</v>
      </c>
    </row>
    <row r="190" spans="1:15" ht="15.75">
      <c r="A190" s="149" t="s">
        <v>777</v>
      </c>
      <c r="B190" s="138">
        <v>26.86</v>
      </c>
      <c r="D190" s="61" t="s">
        <v>37</v>
      </c>
      <c r="E190" s="149" t="s">
        <v>38</v>
      </c>
      <c r="F190" s="62" t="s">
        <v>29</v>
      </c>
      <c r="G190" s="62" t="s">
        <v>60</v>
      </c>
      <c r="H190" s="62" t="s">
        <v>33</v>
      </c>
      <c r="I190" s="140">
        <v>2</v>
      </c>
      <c r="J190" s="140">
        <f>LN(B190)</f>
        <v>3.2906381910950917</v>
      </c>
      <c r="K190" s="140">
        <v>3.9051247999999997E-2</v>
      </c>
      <c r="L190" s="148" t="s">
        <v>31</v>
      </c>
      <c r="M190" s="148" t="s">
        <v>31</v>
      </c>
      <c r="N190" s="148" t="s">
        <v>31</v>
      </c>
      <c r="O190" s="61" t="s">
        <v>780</v>
      </c>
    </row>
    <row r="191" spans="1:15" s="143" customFormat="1" ht="15.75">
      <c r="A191" s="153" t="s">
        <v>5</v>
      </c>
      <c r="B191" s="154" t="s">
        <v>572</v>
      </c>
      <c r="C191" s="154"/>
      <c r="D191" s="142" t="s">
        <v>781</v>
      </c>
      <c r="I191" s="155"/>
      <c r="J191" s="155"/>
      <c r="K191" s="155"/>
      <c r="L191" s="155"/>
      <c r="M191" s="155"/>
      <c r="N191" s="155"/>
    </row>
    <row r="192" spans="1:15">
      <c r="A192" s="62" t="s">
        <v>7</v>
      </c>
      <c r="B192" s="138" t="s">
        <v>718</v>
      </c>
    </row>
    <row r="193" spans="1:15">
      <c r="A193" s="62" t="s">
        <v>9</v>
      </c>
      <c r="B193" s="62" t="s">
        <v>782</v>
      </c>
    </row>
    <row r="194" spans="1:15">
      <c r="A194" s="62" t="s">
        <v>11</v>
      </c>
      <c r="B194" s="138" t="s">
        <v>719</v>
      </c>
    </row>
    <row r="195" spans="1:15">
      <c r="A195" s="62" t="s">
        <v>13</v>
      </c>
      <c r="B195" s="138" t="s">
        <v>14</v>
      </c>
    </row>
    <row r="196" spans="1:15">
      <c r="A196" s="62" t="s">
        <v>15</v>
      </c>
      <c r="B196" s="138">
        <v>1</v>
      </c>
    </row>
    <row r="197" spans="1:15">
      <c r="A197" s="62" t="s">
        <v>16</v>
      </c>
      <c r="B197" s="138" t="s">
        <v>17</v>
      </c>
    </row>
    <row r="198" spans="1:15">
      <c r="A198" s="62" t="s">
        <v>18</v>
      </c>
      <c r="B198" s="138" t="s">
        <v>18</v>
      </c>
    </row>
    <row r="199" spans="1:15" ht="15.75">
      <c r="A199" s="144" t="s">
        <v>19</v>
      </c>
    </row>
    <row r="200" spans="1:15" ht="15.75">
      <c r="A200" s="144" t="s">
        <v>20</v>
      </c>
      <c r="B200" s="145" t="s">
        <v>21</v>
      </c>
      <c r="C200" s="145" t="s">
        <v>78</v>
      </c>
      <c r="D200" s="144" t="s">
        <v>18</v>
      </c>
      <c r="E200" s="144" t="s">
        <v>22</v>
      </c>
      <c r="F200" s="144" t="s">
        <v>7</v>
      </c>
      <c r="G200" s="144" t="s">
        <v>13</v>
      </c>
      <c r="H200" s="144" t="s">
        <v>16</v>
      </c>
      <c r="I200" s="146" t="s">
        <v>23</v>
      </c>
      <c r="J200" s="146" t="s">
        <v>24</v>
      </c>
      <c r="K200" s="146" t="s">
        <v>25</v>
      </c>
      <c r="L200" s="146" t="s">
        <v>26</v>
      </c>
      <c r="M200" s="146" t="s">
        <v>27</v>
      </c>
      <c r="N200" s="146" t="s">
        <v>28</v>
      </c>
      <c r="O200" s="144" t="s">
        <v>11</v>
      </c>
    </row>
    <row r="201" spans="1:15" ht="15.75">
      <c r="A201" s="61" t="s">
        <v>572</v>
      </c>
      <c r="B201" s="147">
        <v>1</v>
      </c>
      <c r="C201" s="147"/>
      <c r="D201" s="61" t="s">
        <v>18</v>
      </c>
      <c r="E201" s="61" t="s">
        <v>2</v>
      </c>
      <c r="F201" s="62" t="s">
        <v>718</v>
      </c>
      <c r="G201" s="61" t="s">
        <v>14</v>
      </c>
      <c r="H201" s="61" t="s">
        <v>30</v>
      </c>
      <c r="I201" s="148">
        <v>0</v>
      </c>
      <c r="J201" s="148" t="s">
        <v>31</v>
      </c>
      <c r="K201" s="148" t="s">
        <v>31</v>
      </c>
      <c r="L201" s="148" t="s">
        <v>31</v>
      </c>
      <c r="M201" s="148" t="s">
        <v>31</v>
      </c>
      <c r="N201" s="148" t="s">
        <v>31</v>
      </c>
      <c r="O201" s="61" t="s">
        <v>573</v>
      </c>
    </row>
    <row r="202" spans="1:15" ht="15.75">
      <c r="A202" s="149" t="s">
        <v>773</v>
      </c>
      <c r="B202" s="138">
        <v>1</v>
      </c>
      <c r="D202" s="62" t="s">
        <v>18</v>
      </c>
      <c r="E202" s="62" t="s">
        <v>2</v>
      </c>
      <c r="F202" s="62" t="s">
        <v>718</v>
      </c>
      <c r="G202" s="62" t="s">
        <v>60</v>
      </c>
      <c r="H202" s="62" t="s">
        <v>33</v>
      </c>
      <c r="I202" s="148">
        <v>0</v>
      </c>
      <c r="J202" s="148" t="s">
        <v>31</v>
      </c>
      <c r="K202" s="148" t="s">
        <v>31</v>
      </c>
      <c r="L202" s="148" t="s">
        <v>31</v>
      </c>
      <c r="M202" s="148" t="s">
        <v>31</v>
      </c>
      <c r="N202" s="148" t="s">
        <v>31</v>
      </c>
    </row>
    <row r="203" spans="1:15" ht="15.75">
      <c r="A203" s="61" t="s">
        <v>779</v>
      </c>
      <c r="B203" s="147">
        <v>1</v>
      </c>
      <c r="C203" s="147"/>
      <c r="D203" s="61" t="s">
        <v>18</v>
      </c>
      <c r="E203" s="61" t="s">
        <v>2</v>
      </c>
      <c r="F203" s="62" t="s">
        <v>718</v>
      </c>
      <c r="G203" s="61" t="s">
        <v>60</v>
      </c>
      <c r="H203" s="62" t="s">
        <v>33</v>
      </c>
      <c r="I203" s="148">
        <v>0</v>
      </c>
      <c r="J203" s="148" t="s">
        <v>31</v>
      </c>
      <c r="K203" s="148" t="s">
        <v>31</v>
      </c>
      <c r="L203" s="148" t="s">
        <v>31</v>
      </c>
      <c r="M203" s="148" t="s">
        <v>31</v>
      </c>
      <c r="N203" s="148" t="s">
        <v>31</v>
      </c>
      <c r="O203" s="61"/>
    </row>
    <row r="204" spans="1:15" ht="15.75">
      <c r="A204" s="149" t="s">
        <v>778</v>
      </c>
      <c r="B204" s="138">
        <v>1</v>
      </c>
      <c r="D204" s="61" t="s">
        <v>18</v>
      </c>
      <c r="E204" s="61" t="s">
        <v>2</v>
      </c>
      <c r="F204" s="61" t="s">
        <v>718</v>
      </c>
      <c r="G204" s="61" t="s">
        <v>60</v>
      </c>
      <c r="H204" s="62" t="s">
        <v>33</v>
      </c>
      <c r="I204" s="148">
        <v>0</v>
      </c>
      <c r="J204" s="148" t="s">
        <v>31</v>
      </c>
      <c r="K204" s="148" t="s">
        <v>31</v>
      </c>
      <c r="L204" s="148" t="s">
        <v>31</v>
      </c>
      <c r="M204" s="148" t="s">
        <v>31</v>
      </c>
      <c r="N204" s="148" t="s">
        <v>31</v>
      </c>
    </row>
    <row r="205" spans="1:15" ht="15.75">
      <c r="A205" s="62" t="s">
        <v>769</v>
      </c>
      <c r="B205" s="138">
        <v>6.72</v>
      </c>
      <c r="D205" s="62" t="s">
        <v>37</v>
      </c>
      <c r="E205" s="149" t="s">
        <v>38</v>
      </c>
      <c r="F205" s="62" t="s">
        <v>29</v>
      </c>
      <c r="G205" s="62" t="s">
        <v>60</v>
      </c>
      <c r="H205" s="62" t="s">
        <v>33</v>
      </c>
      <c r="I205" s="140">
        <v>2</v>
      </c>
      <c r="J205" s="148">
        <f>LN(B205)</f>
        <v>1.9050881545350582</v>
      </c>
      <c r="K205" s="140">
        <v>9.1651514000000003E-2</v>
      </c>
      <c r="L205" s="148" t="s">
        <v>31</v>
      </c>
      <c r="M205" s="148" t="s">
        <v>31</v>
      </c>
      <c r="N205" s="148" t="s">
        <v>31</v>
      </c>
      <c r="O205" s="62" t="s">
        <v>783</v>
      </c>
    </row>
    <row r="206" spans="1:15" ht="15.75">
      <c r="A206" s="62" t="s">
        <v>40</v>
      </c>
      <c r="B206" s="138">
        <f>0.03*3357.873</f>
        <v>100.73618999999999</v>
      </c>
      <c r="D206" s="62" t="s">
        <v>41</v>
      </c>
      <c r="E206" s="149" t="s">
        <v>38</v>
      </c>
      <c r="F206" s="62" t="s">
        <v>29</v>
      </c>
      <c r="G206" s="62" t="s">
        <v>14</v>
      </c>
      <c r="H206" s="62" t="s">
        <v>33</v>
      </c>
      <c r="I206" s="140">
        <v>2</v>
      </c>
      <c r="J206" s="148">
        <f>LN(B206)</f>
        <v>4.6125051194712752</v>
      </c>
      <c r="K206" s="140">
        <v>0.03</v>
      </c>
      <c r="L206" s="148" t="s">
        <v>31</v>
      </c>
      <c r="M206" s="148" t="s">
        <v>31</v>
      </c>
      <c r="N206" s="148" t="s">
        <v>31</v>
      </c>
      <c r="O206" s="62" t="s">
        <v>784</v>
      </c>
    </row>
    <row r="207" spans="1:15">
      <c r="E207" s="149"/>
      <c r="O207" s="140"/>
    </row>
    <row r="216" spans="2:5">
      <c r="B216" s="164"/>
    </row>
    <row r="221" spans="2:5">
      <c r="E221" s="138"/>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0446C-41F4-4B16-B8A0-5C058C1461ED}">
  <dimension ref="A1:Q147"/>
  <sheetViews>
    <sheetView tabSelected="1" topLeftCell="A100" zoomScale="70" zoomScaleNormal="70" workbookViewId="0">
      <selection activeCell="A126" sqref="A126"/>
    </sheetView>
  </sheetViews>
  <sheetFormatPr defaultColWidth="8.7109375" defaultRowHeight="15"/>
  <cols>
    <col min="1" max="1" width="54.42578125" style="62" customWidth="1"/>
    <col min="2" max="2" width="13.5703125" style="62" customWidth="1"/>
    <col min="3" max="3" width="19.85546875" style="62" customWidth="1"/>
    <col min="4" max="4" width="10.140625" style="62" customWidth="1"/>
    <col min="5" max="5" width="31" style="62" bestFit="1" customWidth="1"/>
    <col min="6" max="6" width="25.5703125" style="62" customWidth="1"/>
    <col min="7" max="14" width="8.7109375" style="62"/>
    <col min="15" max="15" width="40.140625" style="62" bestFit="1" customWidth="1"/>
    <col min="16" max="16384" width="8.7109375" style="62"/>
  </cols>
  <sheetData>
    <row r="1" spans="1:17">
      <c r="A1" s="62" t="s">
        <v>0</v>
      </c>
      <c r="B1" s="62">
        <v>14</v>
      </c>
      <c r="D1" s="139" t="s">
        <v>537</v>
      </c>
    </row>
    <row r="2" spans="1:17" s="143" customFormat="1" ht="15.75">
      <c r="A2" s="141" t="s">
        <v>5</v>
      </c>
      <c r="B2" s="141" t="s">
        <v>785</v>
      </c>
      <c r="C2" s="141"/>
      <c r="D2" s="142" t="s">
        <v>781</v>
      </c>
    </row>
    <row r="3" spans="1:17">
      <c r="A3" s="62" t="s">
        <v>7</v>
      </c>
      <c r="B3" s="62" t="s">
        <v>718</v>
      </c>
    </row>
    <row r="4" spans="1:17">
      <c r="A4" s="62" t="s">
        <v>9</v>
      </c>
      <c r="B4" s="62" t="s">
        <v>786</v>
      </c>
    </row>
    <row r="5" spans="1:17">
      <c r="A5" s="62" t="s">
        <v>11</v>
      </c>
      <c r="B5" s="62" t="s">
        <v>787</v>
      </c>
    </row>
    <row r="6" spans="1:17">
      <c r="A6" s="62" t="s">
        <v>13</v>
      </c>
      <c r="B6" s="62" t="s">
        <v>35</v>
      </c>
    </row>
    <row r="7" spans="1:17">
      <c r="A7" s="62" t="s">
        <v>15</v>
      </c>
      <c r="B7" s="62">
        <v>1</v>
      </c>
    </row>
    <row r="8" spans="1:17">
      <c r="A8" s="62" t="s">
        <v>16</v>
      </c>
      <c r="B8" s="62" t="s">
        <v>17</v>
      </c>
    </row>
    <row r="9" spans="1:17">
      <c r="A9" s="62" t="s">
        <v>18</v>
      </c>
      <c r="B9" s="62" t="s">
        <v>18</v>
      </c>
      <c r="E9" s="62" t="s">
        <v>77</v>
      </c>
    </row>
    <row r="10" spans="1:17" ht="15.75">
      <c r="A10" s="144" t="s">
        <v>19</v>
      </c>
    </row>
    <row r="11" spans="1:17" ht="15.75">
      <c r="A11" s="144" t="s">
        <v>20</v>
      </c>
      <c r="B11" s="144" t="s">
        <v>21</v>
      </c>
      <c r="C11" s="144" t="s">
        <v>78</v>
      </c>
      <c r="D11" s="144" t="s">
        <v>18</v>
      </c>
      <c r="E11" s="144" t="s">
        <v>22</v>
      </c>
      <c r="F11" s="144" t="s">
        <v>7</v>
      </c>
      <c r="G11" s="144" t="s">
        <v>13</v>
      </c>
      <c r="H11" s="144" t="s">
        <v>16</v>
      </c>
      <c r="I11" s="144" t="s">
        <v>23</v>
      </c>
      <c r="J11" s="144" t="s">
        <v>24</v>
      </c>
      <c r="K11" s="144" t="s">
        <v>25</v>
      </c>
      <c r="L11" s="144" t="s">
        <v>26</v>
      </c>
      <c r="M11" s="144" t="s">
        <v>27</v>
      </c>
      <c r="N11" s="144" t="s">
        <v>28</v>
      </c>
      <c r="O11" s="144" t="s">
        <v>11</v>
      </c>
    </row>
    <row r="12" spans="1:17" ht="15.75">
      <c r="A12" s="62" t="s">
        <v>785</v>
      </c>
      <c r="B12" s="62">
        <v>1</v>
      </c>
      <c r="D12" s="62" t="s">
        <v>18</v>
      </c>
      <c r="E12" s="61" t="s">
        <v>2</v>
      </c>
      <c r="F12" s="62" t="s">
        <v>718</v>
      </c>
      <c r="G12" s="62" t="s">
        <v>35</v>
      </c>
      <c r="H12" s="62" t="s">
        <v>30</v>
      </c>
      <c r="I12" s="62">
        <v>2</v>
      </c>
      <c r="J12" s="61">
        <f>LN(B12)</f>
        <v>0</v>
      </c>
      <c r="K12" s="62">
        <v>0.22051077071199943</v>
      </c>
      <c r="L12" s="61" t="s">
        <v>31</v>
      </c>
      <c r="M12" s="61" t="s">
        <v>31</v>
      </c>
      <c r="N12" s="61" t="s">
        <v>31</v>
      </c>
      <c r="O12" s="61"/>
      <c r="Q12" s="62" t="e">
        <f>N12-M12</f>
        <v>#VALUE!</v>
      </c>
    </row>
    <row r="13" spans="1:17" ht="15.75">
      <c r="A13" s="62" t="s">
        <v>85</v>
      </c>
      <c r="B13" s="62">
        <v>-26.862984000000001</v>
      </c>
      <c r="D13" s="62" t="s">
        <v>37</v>
      </c>
      <c r="E13" s="149" t="s">
        <v>38</v>
      </c>
      <c r="F13" s="62" t="s">
        <v>29</v>
      </c>
      <c r="G13" s="62" t="s">
        <v>35</v>
      </c>
      <c r="H13" s="62" t="s">
        <v>33</v>
      </c>
      <c r="I13" s="62">
        <v>0</v>
      </c>
      <c r="J13" s="61" t="s">
        <v>31</v>
      </c>
      <c r="K13" s="61" t="s">
        <v>31</v>
      </c>
      <c r="L13" s="61" t="s">
        <v>31</v>
      </c>
      <c r="M13" s="61" t="s">
        <v>31</v>
      </c>
      <c r="N13" s="61" t="s">
        <v>31</v>
      </c>
      <c r="O13" s="62" t="s">
        <v>788</v>
      </c>
      <c r="Q13" s="62" t="e">
        <f t="shared" ref="Q13:Q77" si="0">N13-M13</f>
        <v>#VALUE!</v>
      </c>
    </row>
    <row r="14" spans="1:17" s="143" customFormat="1" ht="15.75">
      <c r="A14" s="141" t="s">
        <v>5</v>
      </c>
      <c r="B14" s="141" t="s">
        <v>789</v>
      </c>
      <c r="C14" s="141"/>
      <c r="D14" s="142" t="s">
        <v>781</v>
      </c>
      <c r="Q14" s="62">
        <f t="shared" si="0"/>
        <v>0</v>
      </c>
    </row>
    <row r="15" spans="1:17">
      <c r="A15" s="62" t="s">
        <v>7</v>
      </c>
      <c r="B15" s="62" t="s">
        <v>718</v>
      </c>
      <c r="Q15" s="62">
        <f t="shared" si="0"/>
        <v>0</v>
      </c>
    </row>
    <row r="16" spans="1:17">
      <c r="A16" s="62" t="s">
        <v>9</v>
      </c>
      <c r="B16" s="62" t="s">
        <v>790</v>
      </c>
      <c r="Q16" s="62">
        <f t="shared" si="0"/>
        <v>0</v>
      </c>
    </row>
    <row r="17" spans="1:17">
      <c r="A17" s="62" t="s">
        <v>11</v>
      </c>
      <c r="B17" s="62" t="s">
        <v>787</v>
      </c>
      <c r="Q17" s="62">
        <f t="shared" si="0"/>
        <v>0</v>
      </c>
    </row>
    <row r="18" spans="1:17">
      <c r="A18" s="62" t="s">
        <v>13</v>
      </c>
      <c r="B18" s="62" t="s">
        <v>35</v>
      </c>
      <c r="Q18" s="62">
        <f t="shared" si="0"/>
        <v>0</v>
      </c>
    </row>
    <row r="19" spans="1:17">
      <c r="A19" s="62" t="s">
        <v>15</v>
      </c>
      <c r="B19" s="62">
        <v>1</v>
      </c>
      <c r="Q19" s="62">
        <f t="shared" si="0"/>
        <v>0</v>
      </c>
    </row>
    <row r="20" spans="1:17">
      <c r="A20" s="62" t="s">
        <v>16</v>
      </c>
      <c r="B20" s="62" t="s">
        <v>17</v>
      </c>
      <c r="Q20" s="62">
        <f t="shared" si="0"/>
        <v>0</v>
      </c>
    </row>
    <row r="21" spans="1:17">
      <c r="A21" s="62" t="s">
        <v>18</v>
      </c>
      <c r="B21" s="62" t="s">
        <v>18</v>
      </c>
      <c r="E21" s="62" t="s">
        <v>77</v>
      </c>
      <c r="Q21" s="62">
        <f t="shared" si="0"/>
        <v>0</v>
      </c>
    </row>
    <row r="22" spans="1:17" ht="15.75">
      <c r="A22" s="144" t="s">
        <v>19</v>
      </c>
      <c r="Q22" s="62">
        <f t="shared" si="0"/>
        <v>0</v>
      </c>
    </row>
    <row r="23" spans="1:17" ht="15.75">
      <c r="A23" s="144" t="s">
        <v>20</v>
      </c>
      <c r="B23" s="144" t="s">
        <v>21</v>
      </c>
      <c r="C23" s="144" t="s">
        <v>78</v>
      </c>
      <c r="D23" s="144" t="s">
        <v>18</v>
      </c>
      <c r="E23" s="144" t="s">
        <v>22</v>
      </c>
      <c r="F23" s="144" t="s">
        <v>7</v>
      </c>
      <c r="G23" s="144" t="s">
        <v>13</v>
      </c>
      <c r="H23" s="144" t="s">
        <v>16</v>
      </c>
      <c r="I23" s="144" t="s">
        <v>23</v>
      </c>
      <c r="J23" s="144" t="s">
        <v>24</v>
      </c>
      <c r="K23" s="144" t="s">
        <v>25</v>
      </c>
      <c r="L23" s="144" t="s">
        <v>26</v>
      </c>
      <c r="M23" s="144" t="s">
        <v>27</v>
      </c>
      <c r="N23" s="144" t="s">
        <v>28</v>
      </c>
      <c r="O23" s="144" t="s">
        <v>11</v>
      </c>
      <c r="Q23" s="62" t="e">
        <f t="shared" si="0"/>
        <v>#VALUE!</v>
      </c>
    </row>
    <row r="24" spans="1:17" ht="15.75">
      <c r="A24" s="62" t="s">
        <v>789</v>
      </c>
      <c r="B24" s="62">
        <v>1</v>
      </c>
      <c r="D24" s="62" t="s">
        <v>18</v>
      </c>
      <c r="E24" s="61" t="s">
        <v>2</v>
      </c>
      <c r="F24" s="62" t="s">
        <v>718</v>
      </c>
      <c r="G24" s="62" t="s">
        <v>35</v>
      </c>
      <c r="H24" s="62" t="s">
        <v>30</v>
      </c>
      <c r="I24" s="62">
        <v>0</v>
      </c>
      <c r="J24" s="61">
        <f>LN(B24)</f>
        <v>0</v>
      </c>
      <c r="K24" s="62">
        <v>0.22051077071199943</v>
      </c>
      <c r="L24" s="61" t="s">
        <v>31</v>
      </c>
      <c r="M24" s="61" t="s">
        <v>31</v>
      </c>
      <c r="N24" s="61" t="s">
        <v>31</v>
      </c>
      <c r="O24" s="61" t="s">
        <v>791</v>
      </c>
      <c r="Q24" s="62" t="e">
        <f t="shared" si="0"/>
        <v>#VALUE!</v>
      </c>
    </row>
    <row r="25" spans="1:17" ht="15.75">
      <c r="A25" s="62" t="s">
        <v>85</v>
      </c>
      <c r="B25" s="62">
        <v>-6.7157460000000002</v>
      </c>
      <c r="D25" s="62" t="s">
        <v>37</v>
      </c>
      <c r="E25" s="149" t="s">
        <v>38</v>
      </c>
      <c r="F25" s="62" t="s">
        <v>29</v>
      </c>
      <c r="G25" s="62" t="s">
        <v>35</v>
      </c>
      <c r="H25" s="62" t="s">
        <v>33</v>
      </c>
      <c r="I25" s="62">
        <v>0</v>
      </c>
      <c r="J25" s="61" t="s">
        <v>31</v>
      </c>
      <c r="K25" s="61" t="s">
        <v>31</v>
      </c>
      <c r="L25" s="61" t="s">
        <v>31</v>
      </c>
      <c r="M25" s="61" t="s">
        <v>31</v>
      </c>
      <c r="N25" s="61" t="s">
        <v>31</v>
      </c>
      <c r="O25" s="62" t="s">
        <v>788</v>
      </c>
      <c r="Q25" s="62" t="e">
        <f t="shared" si="0"/>
        <v>#VALUE!</v>
      </c>
    </row>
    <row r="26" spans="1:17" s="143" customFormat="1" ht="15.75">
      <c r="A26" s="141" t="s">
        <v>5</v>
      </c>
      <c r="B26" s="141" t="s">
        <v>792</v>
      </c>
      <c r="C26" s="141"/>
      <c r="D26" s="142" t="s">
        <v>781</v>
      </c>
      <c r="Q26" s="62">
        <f t="shared" si="0"/>
        <v>0</v>
      </c>
    </row>
    <row r="27" spans="1:17">
      <c r="A27" s="62" t="s">
        <v>7</v>
      </c>
      <c r="B27" s="62" t="s">
        <v>718</v>
      </c>
      <c r="Q27" s="62">
        <f t="shared" si="0"/>
        <v>0</v>
      </c>
    </row>
    <row r="28" spans="1:17">
      <c r="A28" s="62" t="s">
        <v>9</v>
      </c>
      <c r="B28" s="62" t="s">
        <v>793</v>
      </c>
      <c r="Q28" s="62">
        <f t="shared" si="0"/>
        <v>0</v>
      </c>
    </row>
    <row r="29" spans="1:17">
      <c r="A29" s="62" t="s">
        <v>11</v>
      </c>
      <c r="B29" s="62" t="s">
        <v>787</v>
      </c>
      <c r="Q29" s="62">
        <f t="shared" si="0"/>
        <v>0</v>
      </c>
    </row>
    <row r="30" spans="1:17">
      <c r="A30" s="62" t="s">
        <v>13</v>
      </c>
      <c r="B30" s="62" t="s">
        <v>60</v>
      </c>
      <c r="Q30" s="62">
        <f t="shared" si="0"/>
        <v>0</v>
      </c>
    </row>
    <row r="31" spans="1:17">
      <c r="A31" s="62" t="s">
        <v>15</v>
      </c>
      <c r="B31" s="62">
        <v>1</v>
      </c>
      <c r="Q31" s="62">
        <f t="shared" si="0"/>
        <v>0</v>
      </c>
    </row>
    <row r="32" spans="1:17">
      <c r="A32" s="62" t="s">
        <v>16</v>
      </c>
      <c r="B32" s="62" t="s">
        <v>17</v>
      </c>
      <c r="Q32" s="62">
        <f t="shared" si="0"/>
        <v>0</v>
      </c>
    </row>
    <row r="33" spans="1:17">
      <c r="A33" s="62" t="s">
        <v>18</v>
      </c>
      <c r="B33" s="62" t="s">
        <v>18</v>
      </c>
      <c r="E33" s="62" t="s">
        <v>77</v>
      </c>
      <c r="Q33" s="62">
        <f t="shared" si="0"/>
        <v>0</v>
      </c>
    </row>
    <row r="34" spans="1:17" ht="15.75">
      <c r="A34" s="144" t="s">
        <v>19</v>
      </c>
      <c r="Q34" s="62">
        <f t="shared" si="0"/>
        <v>0</v>
      </c>
    </row>
    <row r="35" spans="1:17" ht="15.75">
      <c r="A35" s="144" t="s">
        <v>20</v>
      </c>
      <c r="B35" s="144" t="s">
        <v>21</v>
      </c>
      <c r="C35" s="144" t="s">
        <v>78</v>
      </c>
      <c r="D35" s="144" t="s">
        <v>18</v>
      </c>
      <c r="E35" s="144" t="s">
        <v>22</v>
      </c>
      <c r="F35" s="144" t="s">
        <v>7</v>
      </c>
      <c r="G35" s="144" t="s">
        <v>13</v>
      </c>
      <c r="H35" s="144" t="s">
        <v>16</v>
      </c>
      <c r="I35" s="144" t="s">
        <v>23</v>
      </c>
      <c r="J35" s="144" t="s">
        <v>24</v>
      </c>
      <c r="K35" s="144" t="s">
        <v>25</v>
      </c>
      <c r="L35" s="144" t="s">
        <v>26</v>
      </c>
      <c r="M35" s="144" t="s">
        <v>27</v>
      </c>
      <c r="N35" s="144" t="s">
        <v>28</v>
      </c>
      <c r="O35" s="144" t="s">
        <v>11</v>
      </c>
      <c r="Q35" s="62" t="e">
        <f t="shared" si="0"/>
        <v>#VALUE!</v>
      </c>
    </row>
    <row r="36" spans="1:17" ht="15.75">
      <c r="A36" s="62" t="s">
        <v>792</v>
      </c>
      <c r="B36" s="62">
        <v>1</v>
      </c>
      <c r="D36" s="62" t="s">
        <v>18</v>
      </c>
      <c r="E36" s="61" t="s">
        <v>2</v>
      </c>
      <c r="F36" s="62" t="s">
        <v>718</v>
      </c>
      <c r="G36" s="62" t="s">
        <v>60</v>
      </c>
      <c r="H36" s="62" t="s">
        <v>30</v>
      </c>
      <c r="I36" s="62">
        <v>0</v>
      </c>
      <c r="J36" s="61" t="s">
        <v>31</v>
      </c>
      <c r="K36" s="61" t="s">
        <v>31</v>
      </c>
      <c r="L36" s="61" t="s">
        <v>31</v>
      </c>
      <c r="M36" s="61" t="s">
        <v>31</v>
      </c>
      <c r="N36" s="61" t="s">
        <v>31</v>
      </c>
      <c r="O36" s="61" t="s">
        <v>794</v>
      </c>
      <c r="Q36" s="62" t="e">
        <f t="shared" si="0"/>
        <v>#VALUE!</v>
      </c>
    </row>
    <row r="37" spans="1:17" ht="15.75">
      <c r="A37" s="62" t="s">
        <v>93</v>
      </c>
      <c r="B37" s="62">
        <v>78.574228200000007</v>
      </c>
      <c r="D37" s="62" t="s">
        <v>37</v>
      </c>
      <c r="E37" s="149" t="s">
        <v>38</v>
      </c>
      <c r="F37" s="62" t="s">
        <v>29</v>
      </c>
      <c r="G37" s="62" t="s">
        <v>35</v>
      </c>
      <c r="H37" s="62" t="s">
        <v>33</v>
      </c>
      <c r="I37" s="62">
        <v>2</v>
      </c>
      <c r="J37" s="61">
        <f>LN(B37)</f>
        <v>4.3640437601727751</v>
      </c>
      <c r="K37" s="62">
        <v>0.22051077071199943</v>
      </c>
      <c r="L37" s="61" t="s">
        <v>31</v>
      </c>
      <c r="M37" s="61" t="s">
        <v>31</v>
      </c>
      <c r="N37" s="61" t="s">
        <v>31</v>
      </c>
      <c r="O37" s="62" t="s">
        <v>795</v>
      </c>
      <c r="Q37" s="62" t="e">
        <f t="shared" si="0"/>
        <v>#VALUE!</v>
      </c>
    </row>
    <row r="38" spans="1:17" ht="15.75">
      <c r="A38" s="62" t="s">
        <v>94</v>
      </c>
      <c r="B38" s="62">
        <v>78.574228200000007</v>
      </c>
      <c r="C38" s="30" t="s">
        <v>95</v>
      </c>
      <c r="D38" s="62" t="s">
        <v>37</v>
      </c>
      <c r="E38" s="149" t="s">
        <v>38</v>
      </c>
      <c r="F38" s="62" t="s">
        <v>29</v>
      </c>
      <c r="G38" s="62" t="s">
        <v>35</v>
      </c>
      <c r="H38" s="62" t="s">
        <v>33</v>
      </c>
      <c r="I38" s="62">
        <v>2</v>
      </c>
      <c r="J38" s="61">
        <f>LN(B38)</f>
        <v>4.3640437601727751</v>
      </c>
      <c r="K38" s="62">
        <v>0.22051077071199943</v>
      </c>
      <c r="L38" s="61" t="s">
        <v>31</v>
      </c>
      <c r="M38" s="61" t="s">
        <v>31</v>
      </c>
      <c r="N38" s="61" t="s">
        <v>31</v>
      </c>
      <c r="O38" s="62" t="s">
        <v>96</v>
      </c>
      <c r="Q38" s="62" t="e">
        <f t="shared" si="0"/>
        <v>#VALUE!</v>
      </c>
    </row>
    <row r="39" spans="1:17" ht="15.75">
      <c r="A39" s="62" t="s">
        <v>97</v>
      </c>
      <c r="B39" s="62">
        <f>0.95*B38</f>
        <v>74.645516790000002</v>
      </c>
      <c r="D39" s="62" t="s">
        <v>37</v>
      </c>
      <c r="E39" s="149" t="s">
        <v>38</v>
      </c>
      <c r="F39" s="62" t="s">
        <v>29</v>
      </c>
      <c r="G39" s="62" t="s">
        <v>60</v>
      </c>
      <c r="H39" s="62" t="s">
        <v>98</v>
      </c>
      <c r="I39" s="62">
        <v>2</v>
      </c>
      <c r="J39" s="61">
        <f>LN(B39)</f>
        <v>4.3127504657852249</v>
      </c>
      <c r="K39" s="62">
        <v>0.22051077071199943</v>
      </c>
      <c r="L39" s="62" t="s">
        <v>31</v>
      </c>
      <c r="M39" s="62" t="s">
        <v>31</v>
      </c>
      <c r="N39" s="62" t="s">
        <v>31</v>
      </c>
      <c r="O39" s="62" t="s">
        <v>796</v>
      </c>
      <c r="Q39" s="62" t="e">
        <f t="shared" si="0"/>
        <v>#VALUE!</v>
      </c>
    </row>
    <row r="40" spans="1:17">
      <c r="A40" s="62" t="s">
        <v>103</v>
      </c>
      <c r="B40" s="62">
        <f>-(8.73+0.05*B37)</f>
        <v>-12.65871141</v>
      </c>
      <c r="D40" s="62" t="s">
        <v>37</v>
      </c>
      <c r="E40" s="149" t="s">
        <v>38</v>
      </c>
      <c r="F40" s="62" t="s">
        <v>29</v>
      </c>
      <c r="G40" s="62" t="s">
        <v>60</v>
      </c>
      <c r="H40" s="62" t="s">
        <v>33</v>
      </c>
      <c r="I40" s="62">
        <v>0</v>
      </c>
      <c r="J40" s="62" t="s">
        <v>31</v>
      </c>
      <c r="K40" s="62" t="s">
        <v>31</v>
      </c>
      <c r="L40" s="62" t="s">
        <v>31</v>
      </c>
      <c r="M40" s="62" t="s">
        <v>31</v>
      </c>
      <c r="N40" s="62" t="s">
        <v>31</v>
      </c>
      <c r="O40" s="62" t="s">
        <v>797</v>
      </c>
      <c r="Q40" s="62" t="e">
        <f t="shared" si="0"/>
        <v>#VALUE!</v>
      </c>
    </row>
    <row r="41" spans="1:17" s="143" customFormat="1" ht="15.75">
      <c r="A41" s="141" t="s">
        <v>5</v>
      </c>
      <c r="B41" s="141" t="s">
        <v>798</v>
      </c>
      <c r="C41" s="141"/>
      <c r="D41" s="142" t="s">
        <v>781</v>
      </c>
      <c r="Q41" s="62">
        <f t="shared" si="0"/>
        <v>0</v>
      </c>
    </row>
    <row r="42" spans="1:17">
      <c r="A42" s="62" t="s">
        <v>7</v>
      </c>
      <c r="B42" s="62" t="s">
        <v>718</v>
      </c>
      <c r="Q42" s="62">
        <f t="shared" si="0"/>
        <v>0</v>
      </c>
    </row>
    <row r="43" spans="1:17">
      <c r="A43" s="62" t="s">
        <v>9</v>
      </c>
      <c r="B43" s="62" t="s">
        <v>799</v>
      </c>
      <c r="Q43" s="62">
        <f t="shared" si="0"/>
        <v>0</v>
      </c>
    </row>
    <row r="44" spans="1:17">
      <c r="A44" s="62" t="s">
        <v>11</v>
      </c>
      <c r="B44" s="62" t="s">
        <v>800</v>
      </c>
      <c r="Q44" s="62">
        <f t="shared" si="0"/>
        <v>0</v>
      </c>
    </row>
    <row r="45" spans="1:17">
      <c r="A45" s="62" t="s">
        <v>13</v>
      </c>
      <c r="B45" s="62" t="s">
        <v>35</v>
      </c>
      <c r="Q45" s="62">
        <f t="shared" si="0"/>
        <v>0</v>
      </c>
    </row>
    <row r="46" spans="1:17">
      <c r="A46" s="62" t="s">
        <v>15</v>
      </c>
      <c r="B46" s="62">
        <v>1</v>
      </c>
      <c r="Q46" s="62">
        <f t="shared" si="0"/>
        <v>0</v>
      </c>
    </row>
    <row r="47" spans="1:17">
      <c r="A47" s="62" t="s">
        <v>16</v>
      </c>
      <c r="B47" s="62" t="s">
        <v>17</v>
      </c>
      <c r="Q47" s="62">
        <f t="shared" si="0"/>
        <v>0</v>
      </c>
    </row>
    <row r="48" spans="1:17">
      <c r="A48" s="62" t="s">
        <v>18</v>
      </c>
      <c r="B48" s="62" t="s">
        <v>18</v>
      </c>
      <c r="E48" s="62" t="s">
        <v>77</v>
      </c>
      <c r="Q48" s="62">
        <f t="shared" si="0"/>
        <v>0</v>
      </c>
    </row>
    <row r="49" spans="1:17" ht="15.75">
      <c r="A49" s="144" t="s">
        <v>19</v>
      </c>
      <c r="Q49" s="62">
        <f t="shared" si="0"/>
        <v>0</v>
      </c>
    </row>
    <row r="50" spans="1:17" ht="15.75">
      <c r="A50" s="144" t="s">
        <v>20</v>
      </c>
      <c r="B50" s="144" t="s">
        <v>21</v>
      </c>
      <c r="C50" s="144" t="s">
        <v>78</v>
      </c>
      <c r="D50" s="144" t="s">
        <v>18</v>
      </c>
      <c r="E50" s="144" t="s">
        <v>22</v>
      </c>
      <c r="F50" s="144" t="s">
        <v>7</v>
      </c>
      <c r="G50" s="144" t="s">
        <v>13</v>
      </c>
      <c r="H50" s="144" t="s">
        <v>16</v>
      </c>
      <c r="I50" s="144" t="s">
        <v>23</v>
      </c>
      <c r="J50" s="144" t="s">
        <v>24</v>
      </c>
      <c r="K50" s="144" t="s">
        <v>25</v>
      </c>
      <c r="L50" s="144" t="s">
        <v>26</v>
      </c>
      <c r="M50" s="144" t="s">
        <v>27</v>
      </c>
      <c r="N50" s="144" t="s">
        <v>28</v>
      </c>
      <c r="O50" s="144" t="s">
        <v>11</v>
      </c>
      <c r="Q50" s="62" t="e">
        <f>N50-M50</f>
        <v>#VALUE!</v>
      </c>
    </row>
    <row r="51" spans="1:17" ht="15.75">
      <c r="A51" s="62" t="s">
        <v>798</v>
      </c>
      <c r="B51" s="62">
        <v>1</v>
      </c>
      <c r="D51" s="62" t="s">
        <v>18</v>
      </c>
      <c r="E51" s="61" t="s">
        <v>2</v>
      </c>
      <c r="F51" s="62" t="s">
        <v>718</v>
      </c>
      <c r="G51" s="62" t="s">
        <v>35</v>
      </c>
      <c r="H51" s="62" t="s">
        <v>30</v>
      </c>
      <c r="I51" s="62">
        <v>0</v>
      </c>
      <c r="J51" s="61" t="s">
        <v>31</v>
      </c>
      <c r="K51" s="61" t="s">
        <v>31</v>
      </c>
      <c r="L51" s="61" t="s">
        <v>31</v>
      </c>
      <c r="M51" s="61" t="s">
        <v>31</v>
      </c>
      <c r="N51" s="61" t="s">
        <v>31</v>
      </c>
      <c r="O51" s="61" t="s">
        <v>720</v>
      </c>
      <c r="Q51" s="62" t="e">
        <f t="shared" si="0"/>
        <v>#VALUE!</v>
      </c>
    </row>
    <row r="52" spans="1:17">
      <c r="A52" s="62" t="s">
        <v>801</v>
      </c>
      <c r="B52" s="62">
        <v>-50.54</v>
      </c>
      <c r="D52" s="62" t="s">
        <v>37</v>
      </c>
      <c r="E52" s="149" t="s">
        <v>38</v>
      </c>
      <c r="F52" s="62" t="s">
        <v>29</v>
      </c>
      <c r="G52" s="62" t="s">
        <v>256</v>
      </c>
      <c r="H52" s="62" t="s">
        <v>33</v>
      </c>
      <c r="I52" s="62">
        <v>5</v>
      </c>
      <c r="J52" s="62">
        <f>B52</f>
        <v>-50.54</v>
      </c>
      <c r="K52" s="62" t="s">
        <v>31</v>
      </c>
      <c r="L52" s="62" t="s">
        <v>31</v>
      </c>
      <c r="M52" s="62">
        <f>J52*1.05</f>
        <v>-53.067</v>
      </c>
      <c r="N52" s="62">
        <f>J52*0.95</f>
        <v>-48.012999999999998</v>
      </c>
      <c r="O52" s="62" t="s">
        <v>802</v>
      </c>
      <c r="Q52" s="62">
        <f t="shared" si="0"/>
        <v>5.054000000000002</v>
      </c>
    </row>
    <row r="53" spans="1:17">
      <c r="A53" s="62" t="s">
        <v>112</v>
      </c>
      <c r="B53" s="62">
        <f>-2.23*B52/2</f>
        <v>56.3521</v>
      </c>
      <c r="D53" s="62" t="s">
        <v>113</v>
      </c>
      <c r="E53" s="149" t="s">
        <v>38</v>
      </c>
      <c r="F53" s="62" t="s">
        <v>29</v>
      </c>
      <c r="G53" s="62" t="s">
        <v>60</v>
      </c>
      <c r="H53" s="62" t="s">
        <v>98</v>
      </c>
      <c r="I53" s="62">
        <v>5</v>
      </c>
      <c r="J53" s="62">
        <f t="shared" ref="J53:J58" si="1">B53</f>
        <v>56.3521</v>
      </c>
      <c r="K53" s="62" t="s">
        <v>31</v>
      </c>
      <c r="L53" s="62" t="s">
        <v>31</v>
      </c>
      <c r="M53" s="62">
        <f t="shared" ref="M53:M58" si="2">J53*(0.95)</f>
        <v>53.534495</v>
      </c>
      <c r="N53" s="62">
        <f t="shared" ref="N53:N58" si="3">J53*1.05</f>
        <v>59.169705</v>
      </c>
      <c r="O53" s="62" t="s">
        <v>803</v>
      </c>
      <c r="Q53" s="62">
        <f t="shared" si="0"/>
        <v>5.6352100000000007</v>
      </c>
    </row>
    <row r="54" spans="1:17">
      <c r="A54" s="62" t="s">
        <v>40</v>
      </c>
      <c r="B54" s="62">
        <f>-1.55*B52/2</f>
        <v>39.168500000000002</v>
      </c>
      <c r="D54" s="62" t="s">
        <v>41</v>
      </c>
      <c r="E54" s="149" t="s">
        <v>38</v>
      </c>
      <c r="F54" s="62" t="s">
        <v>29</v>
      </c>
      <c r="G54" s="62" t="s">
        <v>14</v>
      </c>
      <c r="H54" s="62" t="s">
        <v>98</v>
      </c>
      <c r="I54" s="62">
        <v>5</v>
      </c>
      <c r="J54" s="62">
        <f t="shared" si="1"/>
        <v>39.168500000000002</v>
      </c>
      <c r="K54" s="62" t="s">
        <v>31</v>
      </c>
      <c r="L54" s="62" t="s">
        <v>31</v>
      </c>
      <c r="M54" s="62">
        <f t="shared" si="2"/>
        <v>37.210075000000003</v>
      </c>
      <c r="N54" s="62">
        <f t="shared" si="3"/>
        <v>41.126925</v>
      </c>
      <c r="O54" s="62" t="s">
        <v>804</v>
      </c>
      <c r="Q54" s="62">
        <f t="shared" si="0"/>
        <v>3.9168499999999966</v>
      </c>
    </row>
    <row r="55" spans="1:17">
      <c r="A55" s="62" t="s">
        <v>805</v>
      </c>
      <c r="B55" s="62">
        <v>-0.435</v>
      </c>
      <c r="D55" s="62" t="s">
        <v>37</v>
      </c>
      <c r="E55" s="149" t="s">
        <v>38</v>
      </c>
      <c r="F55" s="62" t="s">
        <v>29</v>
      </c>
      <c r="G55" s="62" t="s">
        <v>256</v>
      </c>
      <c r="H55" s="62" t="s">
        <v>33</v>
      </c>
      <c r="I55" s="62">
        <v>5</v>
      </c>
      <c r="J55" s="62">
        <f t="shared" si="1"/>
        <v>-0.435</v>
      </c>
      <c r="K55" s="62" t="s">
        <v>31</v>
      </c>
      <c r="L55" s="62" t="s">
        <v>31</v>
      </c>
      <c r="M55" s="62">
        <f t="shared" ref="M55:M56" si="4">J55*1.05</f>
        <v>-0.45674999999999999</v>
      </c>
      <c r="N55" s="62">
        <f t="shared" ref="N55:N56" si="5">J55*0.95</f>
        <v>-0.41325000000000001</v>
      </c>
      <c r="O55" s="62" t="s">
        <v>806</v>
      </c>
      <c r="Q55" s="62">
        <f t="shared" si="0"/>
        <v>4.3499999999999983E-2</v>
      </c>
    </row>
    <row r="56" spans="1:17">
      <c r="A56" s="62" t="s">
        <v>805</v>
      </c>
      <c r="B56" s="62">
        <v>-0.46800000000000003</v>
      </c>
      <c r="D56" s="62" t="s">
        <v>37</v>
      </c>
      <c r="E56" s="149" t="s">
        <v>38</v>
      </c>
      <c r="F56" s="62" t="s">
        <v>29</v>
      </c>
      <c r="G56" s="62" t="s">
        <v>256</v>
      </c>
      <c r="H56" s="62" t="s">
        <v>33</v>
      </c>
      <c r="I56" s="62">
        <v>5</v>
      </c>
      <c r="J56" s="62">
        <f t="shared" si="1"/>
        <v>-0.46800000000000003</v>
      </c>
      <c r="K56" s="62" t="s">
        <v>31</v>
      </c>
      <c r="L56" s="62" t="s">
        <v>31</v>
      </c>
      <c r="M56" s="62">
        <f t="shared" si="4"/>
        <v>-0.49140000000000006</v>
      </c>
      <c r="N56" s="62">
        <f t="shared" si="5"/>
        <v>-0.4446</v>
      </c>
      <c r="O56" s="62" t="s">
        <v>806</v>
      </c>
      <c r="Q56" s="62">
        <f t="shared" si="0"/>
        <v>4.6800000000000064E-2</v>
      </c>
    </row>
    <row r="57" spans="1:17">
      <c r="A57" s="62" t="s">
        <v>40</v>
      </c>
      <c r="B57" s="62">
        <f>-1.54*(B56+B55)/2</f>
        <v>0.69530999999999998</v>
      </c>
      <c r="D57" s="62" t="s">
        <v>41</v>
      </c>
      <c r="E57" s="149" t="s">
        <v>38</v>
      </c>
      <c r="F57" s="62" t="s">
        <v>29</v>
      </c>
      <c r="G57" s="62" t="s">
        <v>14</v>
      </c>
      <c r="H57" s="62" t="s">
        <v>98</v>
      </c>
      <c r="I57" s="62">
        <v>5</v>
      </c>
      <c r="J57" s="62">
        <f t="shared" si="1"/>
        <v>0.69530999999999998</v>
      </c>
      <c r="K57" s="62" t="s">
        <v>31</v>
      </c>
      <c r="L57" s="62" t="s">
        <v>31</v>
      </c>
      <c r="M57" s="62">
        <f>J57*(0.95)</f>
        <v>0.66054449999999998</v>
      </c>
      <c r="N57" s="62">
        <f t="shared" si="3"/>
        <v>0.73007549999999999</v>
      </c>
      <c r="O57" s="62" t="s">
        <v>807</v>
      </c>
      <c r="Q57" s="62">
        <f t="shared" si="0"/>
        <v>6.9531000000000009E-2</v>
      </c>
    </row>
    <row r="58" spans="1:17">
      <c r="A58" s="62" t="s">
        <v>112</v>
      </c>
      <c r="B58" s="62">
        <f>-10.7*(B56+B55)</f>
        <v>9.6620999999999988</v>
      </c>
      <c r="D58" s="62" t="s">
        <v>113</v>
      </c>
      <c r="E58" s="149" t="s">
        <v>38</v>
      </c>
      <c r="F58" s="62" t="s">
        <v>29</v>
      </c>
      <c r="G58" s="62" t="s">
        <v>60</v>
      </c>
      <c r="H58" s="62" t="s">
        <v>98</v>
      </c>
      <c r="I58" s="62">
        <v>5</v>
      </c>
      <c r="J58" s="62">
        <f t="shared" si="1"/>
        <v>9.6620999999999988</v>
      </c>
      <c r="K58" s="62" t="s">
        <v>31</v>
      </c>
      <c r="L58" s="62" t="s">
        <v>31</v>
      </c>
      <c r="M58" s="62">
        <f t="shared" si="2"/>
        <v>9.1789949999999987</v>
      </c>
      <c r="N58" s="62">
        <f t="shared" si="3"/>
        <v>10.145204999999999</v>
      </c>
      <c r="O58" s="62" t="s">
        <v>808</v>
      </c>
      <c r="Q58" s="62">
        <f t="shared" si="0"/>
        <v>0.96621000000000024</v>
      </c>
    </row>
    <row r="59" spans="1:17" s="143" customFormat="1" ht="15.75">
      <c r="A59" s="141" t="s">
        <v>5</v>
      </c>
      <c r="B59" s="141" t="s">
        <v>809</v>
      </c>
      <c r="C59" s="141"/>
      <c r="D59" s="142" t="s">
        <v>781</v>
      </c>
      <c r="Q59" s="62">
        <f t="shared" si="0"/>
        <v>0</v>
      </c>
    </row>
    <row r="60" spans="1:17">
      <c r="A60" s="62" t="s">
        <v>7</v>
      </c>
      <c r="B60" s="62" t="s">
        <v>718</v>
      </c>
      <c r="Q60" s="62">
        <f t="shared" si="0"/>
        <v>0</v>
      </c>
    </row>
    <row r="61" spans="1:17">
      <c r="A61" s="62" t="s">
        <v>9</v>
      </c>
      <c r="B61" s="62" t="s">
        <v>810</v>
      </c>
      <c r="Q61" s="62">
        <f t="shared" si="0"/>
        <v>0</v>
      </c>
    </row>
    <row r="62" spans="1:17">
      <c r="A62" s="62" t="s">
        <v>11</v>
      </c>
      <c r="B62" s="62" t="s">
        <v>787</v>
      </c>
      <c r="Q62" s="62">
        <f t="shared" si="0"/>
        <v>0</v>
      </c>
    </row>
    <row r="63" spans="1:17">
      <c r="A63" s="62" t="s">
        <v>13</v>
      </c>
      <c r="B63" s="62" t="s">
        <v>35</v>
      </c>
      <c r="Q63" s="62">
        <f t="shared" si="0"/>
        <v>0</v>
      </c>
    </row>
    <row r="64" spans="1:17">
      <c r="A64" s="62" t="s">
        <v>15</v>
      </c>
      <c r="B64" s="62">
        <v>1</v>
      </c>
      <c r="Q64" s="62">
        <f t="shared" si="0"/>
        <v>0</v>
      </c>
    </row>
    <row r="65" spans="1:17">
      <c r="A65" s="62" t="s">
        <v>16</v>
      </c>
      <c r="B65" s="62" t="s">
        <v>17</v>
      </c>
      <c r="Q65" s="62">
        <f t="shared" si="0"/>
        <v>0</v>
      </c>
    </row>
    <row r="66" spans="1:17">
      <c r="A66" s="62" t="s">
        <v>18</v>
      </c>
      <c r="B66" s="62" t="s">
        <v>18</v>
      </c>
      <c r="E66" s="62" t="s">
        <v>77</v>
      </c>
      <c r="Q66" s="62">
        <f t="shared" si="0"/>
        <v>0</v>
      </c>
    </row>
    <row r="67" spans="1:17" ht="15.75">
      <c r="A67" s="144" t="s">
        <v>19</v>
      </c>
      <c r="Q67" s="62">
        <f t="shared" si="0"/>
        <v>0</v>
      </c>
    </row>
    <row r="68" spans="1:17" ht="15.75">
      <c r="A68" s="144" t="s">
        <v>20</v>
      </c>
      <c r="B68" s="144" t="s">
        <v>21</v>
      </c>
      <c r="C68" s="144" t="s">
        <v>78</v>
      </c>
      <c r="D68" s="144" t="s">
        <v>18</v>
      </c>
      <c r="E68" s="144" t="s">
        <v>22</v>
      </c>
      <c r="F68" s="144" t="s">
        <v>7</v>
      </c>
      <c r="G68" s="144" t="s">
        <v>13</v>
      </c>
      <c r="H68" s="144" t="s">
        <v>16</v>
      </c>
      <c r="I68" s="144" t="s">
        <v>23</v>
      </c>
      <c r="J68" s="144" t="s">
        <v>24</v>
      </c>
      <c r="K68" s="144" t="s">
        <v>25</v>
      </c>
      <c r="L68" s="144" t="s">
        <v>26</v>
      </c>
      <c r="M68" s="144" t="s">
        <v>27</v>
      </c>
      <c r="N68" s="144" t="s">
        <v>28</v>
      </c>
      <c r="O68" s="144" t="s">
        <v>11</v>
      </c>
      <c r="Q68" s="62" t="e">
        <f t="shared" si="0"/>
        <v>#VALUE!</v>
      </c>
    </row>
    <row r="69" spans="1:17" ht="15.75">
      <c r="A69" s="61" t="s">
        <v>809</v>
      </c>
      <c r="B69" s="61">
        <v>1</v>
      </c>
      <c r="C69" s="61"/>
      <c r="D69" s="61" t="s">
        <v>18</v>
      </c>
      <c r="E69" s="61" t="s">
        <v>2</v>
      </c>
      <c r="F69" s="62" t="s">
        <v>718</v>
      </c>
      <c r="G69" s="62" t="s">
        <v>35</v>
      </c>
      <c r="H69" s="61" t="s">
        <v>30</v>
      </c>
      <c r="I69" s="61">
        <v>0</v>
      </c>
      <c r="J69" s="61" t="s">
        <v>31</v>
      </c>
      <c r="K69" s="61" t="s">
        <v>31</v>
      </c>
      <c r="L69" s="61" t="s">
        <v>31</v>
      </c>
      <c r="M69" s="61" t="s">
        <v>31</v>
      </c>
      <c r="N69" s="61" t="s">
        <v>31</v>
      </c>
      <c r="O69" s="61" t="s">
        <v>811</v>
      </c>
      <c r="Q69" s="62" t="e">
        <f t="shared" si="0"/>
        <v>#VALUE!</v>
      </c>
    </row>
    <row r="70" spans="1:17" ht="15.75">
      <c r="A70" s="158" t="s">
        <v>812</v>
      </c>
      <c r="B70" s="158">
        <v>50.54</v>
      </c>
      <c r="C70" s="158"/>
      <c r="D70" s="158" t="s">
        <v>37</v>
      </c>
      <c r="E70" s="158" t="s">
        <v>38</v>
      </c>
      <c r="F70" s="158" t="s">
        <v>29</v>
      </c>
      <c r="G70" s="158" t="s">
        <v>60</v>
      </c>
      <c r="H70" s="165" t="s">
        <v>33</v>
      </c>
      <c r="I70" s="61">
        <v>5</v>
      </c>
      <c r="J70" s="62">
        <f>B70</f>
        <v>50.54</v>
      </c>
      <c r="K70" s="62" t="s">
        <v>31</v>
      </c>
      <c r="L70" s="62" t="s">
        <v>31</v>
      </c>
      <c r="M70" s="62">
        <f>J70*(0.95)</f>
        <v>48.012999999999998</v>
      </c>
      <c r="N70" s="62">
        <f t="shared" ref="N70" si="6">J70*1.05</f>
        <v>53.067</v>
      </c>
      <c r="O70" s="61" t="s">
        <v>813</v>
      </c>
      <c r="Q70" s="62">
        <f t="shared" si="0"/>
        <v>5.054000000000002</v>
      </c>
    </row>
    <row r="71" spans="1:17" ht="15.75">
      <c r="A71" s="62" t="s">
        <v>769</v>
      </c>
      <c r="B71" s="158">
        <v>0.435</v>
      </c>
      <c r="D71" s="62" t="s">
        <v>37</v>
      </c>
      <c r="E71" s="62" t="s">
        <v>38</v>
      </c>
      <c r="F71" s="62" t="s">
        <v>29</v>
      </c>
      <c r="G71" s="62" t="s">
        <v>60</v>
      </c>
      <c r="H71" s="165" t="s">
        <v>33</v>
      </c>
      <c r="I71" s="61">
        <v>5</v>
      </c>
      <c r="J71" s="62">
        <f>B71</f>
        <v>0.435</v>
      </c>
      <c r="K71" s="62" t="s">
        <v>31</v>
      </c>
      <c r="L71" s="62" t="s">
        <v>31</v>
      </c>
      <c r="M71" s="62">
        <f>J71*(0.98)</f>
        <v>0.42630000000000001</v>
      </c>
      <c r="N71" s="62">
        <f>J71*1.02</f>
        <v>0.44369999999999998</v>
      </c>
      <c r="O71" s="61" t="s">
        <v>814</v>
      </c>
      <c r="Q71" s="62">
        <f t="shared" si="0"/>
        <v>1.7399999999999971E-2</v>
      </c>
    </row>
    <row r="72" spans="1:17" ht="15.75">
      <c r="A72" s="158" t="s">
        <v>754</v>
      </c>
      <c r="B72" s="62">
        <v>0.46800000000000003</v>
      </c>
      <c r="C72" s="158"/>
      <c r="D72" s="158" t="s">
        <v>37</v>
      </c>
      <c r="E72" s="158" t="s">
        <v>38</v>
      </c>
      <c r="F72" s="158" t="s">
        <v>29</v>
      </c>
      <c r="G72" s="158" t="s">
        <v>60</v>
      </c>
      <c r="H72" s="165" t="s">
        <v>33</v>
      </c>
      <c r="I72" s="61">
        <v>5</v>
      </c>
      <c r="J72" s="62">
        <f>B72</f>
        <v>0.46800000000000003</v>
      </c>
      <c r="K72" s="62" t="s">
        <v>31</v>
      </c>
      <c r="L72" s="62" t="s">
        <v>31</v>
      </c>
      <c r="M72" s="62">
        <f>J72*(0.98)</f>
        <v>0.45863999999999999</v>
      </c>
      <c r="N72" s="62">
        <f>J72*1.02</f>
        <v>0.47736000000000006</v>
      </c>
      <c r="O72" s="61" t="s">
        <v>815</v>
      </c>
      <c r="Q72" s="62">
        <f t="shared" si="0"/>
        <v>1.872000000000007E-2</v>
      </c>
    </row>
    <row r="73" spans="1:17" ht="15.75">
      <c r="A73" s="162" t="s">
        <v>168</v>
      </c>
      <c r="B73" s="162">
        <v>7.08</v>
      </c>
      <c r="C73" s="162"/>
      <c r="D73" s="162" t="s">
        <v>41</v>
      </c>
      <c r="E73" s="162" t="s">
        <v>38</v>
      </c>
      <c r="F73" s="162" t="s">
        <v>29</v>
      </c>
      <c r="G73" s="162" t="s">
        <v>14</v>
      </c>
      <c r="H73" s="165" t="s">
        <v>33</v>
      </c>
      <c r="I73" s="61">
        <v>5</v>
      </c>
      <c r="J73" s="62">
        <f>B73</f>
        <v>7.08</v>
      </c>
      <c r="K73" s="62" t="s">
        <v>31</v>
      </c>
      <c r="L73" s="62" t="s">
        <v>31</v>
      </c>
      <c r="M73" s="62">
        <f>J73*(0.95)</f>
        <v>6.726</v>
      </c>
      <c r="N73" s="62">
        <f t="shared" ref="N73" si="7">J73*1.05</f>
        <v>7.4340000000000002</v>
      </c>
      <c r="O73" s="61" t="s">
        <v>816</v>
      </c>
      <c r="Q73" s="62">
        <f t="shared" si="0"/>
        <v>0.70800000000000018</v>
      </c>
    </row>
    <row r="74" spans="1:17">
      <c r="A74" s="149" t="s">
        <v>168</v>
      </c>
      <c r="B74" s="62">
        <v>0.26600000000000001</v>
      </c>
      <c r="D74" s="62" t="s">
        <v>41</v>
      </c>
      <c r="E74" s="149" t="s">
        <v>38</v>
      </c>
      <c r="F74" s="62" t="s">
        <v>29</v>
      </c>
      <c r="G74" s="62" t="s">
        <v>14</v>
      </c>
      <c r="H74" s="62" t="s">
        <v>33</v>
      </c>
      <c r="I74" s="62">
        <v>5</v>
      </c>
      <c r="J74" s="62">
        <f>B74</f>
        <v>0.26600000000000001</v>
      </c>
      <c r="K74" s="62" t="s">
        <v>31</v>
      </c>
      <c r="L74" s="62" t="s">
        <v>31</v>
      </c>
      <c r="M74" s="62">
        <f>J74*(0.97)</f>
        <v>0.25802000000000003</v>
      </c>
      <c r="N74" s="62">
        <f>J74*1.03</f>
        <v>0.27398</v>
      </c>
      <c r="O74" s="62" t="s">
        <v>817</v>
      </c>
      <c r="Q74" s="62">
        <f t="shared" si="0"/>
        <v>1.5959999999999974E-2</v>
      </c>
    </row>
    <row r="75" spans="1:17">
      <c r="A75" s="149" t="s">
        <v>785</v>
      </c>
      <c r="B75" s="62">
        <v>1</v>
      </c>
      <c r="D75" s="62" t="s">
        <v>18</v>
      </c>
      <c r="E75" s="149" t="s">
        <v>2</v>
      </c>
      <c r="F75" s="62" t="s">
        <v>718</v>
      </c>
      <c r="G75" s="62" t="s">
        <v>35</v>
      </c>
      <c r="H75" s="62" t="s">
        <v>33</v>
      </c>
      <c r="I75" s="62">
        <v>1</v>
      </c>
      <c r="J75" s="62" t="s">
        <v>31</v>
      </c>
      <c r="K75" s="62" t="s">
        <v>31</v>
      </c>
      <c r="L75" s="62" t="s">
        <v>31</v>
      </c>
      <c r="M75" s="62" t="s">
        <v>31</v>
      </c>
      <c r="N75" s="62" t="s">
        <v>31</v>
      </c>
      <c r="Q75" s="62" t="e">
        <f t="shared" si="0"/>
        <v>#VALUE!</v>
      </c>
    </row>
    <row r="76" spans="1:17">
      <c r="A76" s="149" t="s">
        <v>789</v>
      </c>
      <c r="B76" s="62">
        <v>1</v>
      </c>
      <c r="D76" s="62" t="s">
        <v>18</v>
      </c>
      <c r="E76" s="149" t="s">
        <v>2</v>
      </c>
      <c r="F76" s="62" t="s">
        <v>718</v>
      </c>
      <c r="G76" s="62" t="s">
        <v>35</v>
      </c>
      <c r="H76" s="62" t="s">
        <v>33</v>
      </c>
      <c r="I76" s="62">
        <v>1</v>
      </c>
      <c r="J76" s="62" t="s">
        <v>31</v>
      </c>
      <c r="K76" s="62" t="s">
        <v>31</v>
      </c>
      <c r="L76" s="62" t="s">
        <v>31</v>
      </c>
      <c r="M76" s="62" t="s">
        <v>31</v>
      </c>
      <c r="N76" s="62" t="s">
        <v>31</v>
      </c>
      <c r="Q76" s="62" t="e">
        <f t="shared" si="0"/>
        <v>#VALUE!</v>
      </c>
    </row>
    <row r="77" spans="1:17">
      <c r="A77" s="162" t="s">
        <v>792</v>
      </c>
      <c r="B77" s="62">
        <v>1</v>
      </c>
      <c r="D77" s="162" t="s">
        <v>18</v>
      </c>
      <c r="E77" s="162" t="s">
        <v>2</v>
      </c>
      <c r="F77" s="62" t="s">
        <v>718</v>
      </c>
      <c r="G77" s="162" t="s">
        <v>60</v>
      </c>
      <c r="H77" s="62" t="s">
        <v>33</v>
      </c>
      <c r="I77" s="62">
        <v>1</v>
      </c>
      <c r="J77" s="62" t="s">
        <v>31</v>
      </c>
      <c r="K77" s="62" t="s">
        <v>31</v>
      </c>
      <c r="L77" s="62" t="s">
        <v>31</v>
      </c>
      <c r="M77" s="62" t="s">
        <v>31</v>
      </c>
      <c r="N77" s="62" t="s">
        <v>31</v>
      </c>
      <c r="Q77" s="62" t="e">
        <f t="shared" si="0"/>
        <v>#VALUE!</v>
      </c>
    </row>
    <row r="78" spans="1:17">
      <c r="A78" s="162" t="s">
        <v>798</v>
      </c>
      <c r="B78" s="62">
        <v>1</v>
      </c>
      <c r="D78" s="162" t="s">
        <v>18</v>
      </c>
      <c r="E78" s="162" t="s">
        <v>2</v>
      </c>
      <c r="F78" s="62" t="s">
        <v>718</v>
      </c>
      <c r="G78" s="162" t="s">
        <v>35</v>
      </c>
      <c r="H78" s="62" t="s">
        <v>33</v>
      </c>
      <c r="I78" s="62">
        <v>1</v>
      </c>
      <c r="J78" s="62" t="s">
        <v>31</v>
      </c>
      <c r="K78" s="62" t="s">
        <v>31</v>
      </c>
      <c r="L78" s="62" t="s">
        <v>31</v>
      </c>
      <c r="M78" s="62" t="s">
        <v>31</v>
      </c>
      <c r="N78" s="62" t="s">
        <v>31</v>
      </c>
      <c r="Q78" s="62" t="e">
        <f t="shared" ref="Q78:Q141" si="8">N78-M78</f>
        <v>#VALUE!</v>
      </c>
    </row>
    <row r="79" spans="1:17" s="143" customFormat="1" ht="15.75">
      <c r="A79" s="141" t="s">
        <v>5</v>
      </c>
      <c r="B79" s="141" t="s">
        <v>818</v>
      </c>
      <c r="C79" s="141"/>
      <c r="D79" s="142"/>
      <c r="Q79" s="62">
        <f t="shared" si="8"/>
        <v>0</v>
      </c>
    </row>
    <row r="80" spans="1:17">
      <c r="A80" s="62" t="s">
        <v>7</v>
      </c>
      <c r="B80" s="62" t="s">
        <v>718</v>
      </c>
      <c r="Q80" s="62">
        <f t="shared" si="8"/>
        <v>0</v>
      </c>
    </row>
    <row r="81" spans="1:17">
      <c r="A81" s="62" t="s">
        <v>9</v>
      </c>
      <c r="B81" s="62" t="s">
        <v>819</v>
      </c>
      <c r="Q81" s="62">
        <f t="shared" si="8"/>
        <v>0</v>
      </c>
    </row>
    <row r="82" spans="1:17" ht="15.75" customHeight="1">
      <c r="A82" s="62" t="s">
        <v>11</v>
      </c>
      <c r="B82" s="62" t="s">
        <v>787</v>
      </c>
      <c r="Q82" s="62">
        <f t="shared" si="8"/>
        <v>0</v>
      </c>
    </row>
    <row r="83" spans="1:17">
      <c r="A83" s="62" t="s">
        <v>13</v>
      </c>
      <c r="B83" s="62" t="s">
        <v>35</v>
      </c>
      <c r="Q83" s="62">
        <f t="shared" si="8"/>
        <v>0</v>
      </c>
    </row>
    <row r="84" spans="1:17">
      <c r="A84" s="62" t="s">
        <v>15</v>
      </c>
      <c r="B84" s="62">
        <v>1</v>
      </c>
      <c r="Q84" s="62">
        <f t="shared" si="8"/>
        <v>0</v>
      </c>
    </row>
    <row r="85" spans="1:17">
      <c r="A85" s="62" t="s">
        <v>16</v>
      </c>
      <c r="B85" s="62" t="s">
        <v>17</v>
      </c>
      <c r="Q85" s="62">
        <f t="shared" si="8"/>
        <v>0</v>
      </c>
    </row>
    <row r="86" spans="1:17">
      <c r="A86" s="62" t="s">
        <v>18</v>
      </c>
      <c r="B86" s="62" t="s">
        <v>18</v>
      </c>
      <c r="E86" s="62" t="s">
        <v>77</v>
      </c>
      <c r="Q86" s="62">
        <f t="shared" si="8"/>
        <v>0</v>
      </c>
    </row>
    <row r="87" spans="1:17" ht="15.75">
      <c r="A87" s="144" t="s">
        <v>19</v>
      </c>
      <c r="Q87" s="62">
        <f t="shared" si="8"/>
        <v>0</v>
      </c>
    </row>
    <row r="88" spans="1:17" ht="15.75">
      <c r="A88" s="144" t="s">
        <v>20</v>
      </c>
      <c r="B88" s="144" t="s">
        <v>21</v>
      </c>
      <c r="C88" s="144" t="s">
        <v>78</v>
      </c>
      <c r="D88" s="144" t="s">
        <v>18</v>
      </c>
      <c r="E88" s="144" t="s">
        <v>22</v>
      </c>
      <c r="F88" s="144" t="s">
        <v>7</v>
      </c>
      <c r="G88" s="144" t="s">
        <v>13</v>
      </c>
      <c r="H88" s="144" t="s">
        <v>16</v>
      </c>
      <c r="I88" s="144" t="s">
        <v>23</v>
      </c>
      <c r="J88" s="144" t="s">
        <v>24</v>
      </c>
      <c r="K88" s="144" t="s">
        <v>25</v>
      </c>
      <c r="L88" s="144" t="s">
        <v>26</v>
      </c>
      <c r="M88" s="144" t="s">
        <v>27</v>
      </c>
      <c r="N88" s="144" t="s">
        <v>28</v>
      </c>
      <c r="O88" s="144" t="s">
        <v>11</v>
      </c>
      <c r="Q88" s="62" t="e">
        <f t="shared" si="8"/>
        <v>#VALUE!</v>
      </c>
    </row>
    <row r="89" spans="1:17" ht="15.75">
      <c r="A89" s="62" t="s">
        <v>818</v>
      </c>
      <c r="B89" s="62">
        <v>1</v>
      </c>
      <c r="D89" s="62" t="s">
        <v>18</v>
      </c>
      <c r="E89" s="62" t="s">
        <v>2</v>
      </c>
      <c r="F89" s="62" t="s">
        <v>718</v>
      </c>
      <c r="G89" s="62" t="s">
        <v>35</v>
      </c>
      <c r="H89" s="62" t="s">
        <v>30</v>
      </c>
      <c r="I89" s="62">
        <v>0</v>
      </c>
      <c r="J89" s="61" t="s">
        <v>31</v>
      </c>
      <c r="K89" s="61" t="s">
        <v>31</v>
      </c>
      <c r="L89" s="61" t="s">
        <v>31</v>
      </c>
      <c r="M89" s="61" t="s">
        <v>31</v>
      </c>
      <c r="N89" s="61" t="s">
        <v>31</v>
      </c>
      <c r="O89" s="62" t="s">
        <v>820</v>
      </c>
      <c r="Q89" s="62" t="e">
        <f t="shared" si="8"/>
        <v>#VALUE!</v>
      </c>
    </row>
    <row r="90" spans="1:17" ht="15.75">
      <c r="A90" s="24" t="s">
        <v>821</v>
      </c>
      <c r="B90" s="62">
        <v>1565.72</v>
      </c>
      <c r="C90" s="24" t="s">
        <v>822</v>
      </c>
      <c r="D90" s="62" t="s">
        <v>37</v>
      </c>
      <c r="E90" s="162" t="s">
        <v>38</v>
      </c>
      <c r="F90" s="62" t="s">
        <v>29</v>
      </c>
      <c r="G90" s="62" t="s">
        <v>35</v>
      </c>
      <c r="H90" s="62" t="s">
        <v>33</v>
      </c>
      <c r="I90" s="62">
        <v>2</v>
      </c>
      <c r="J90" s="62">
        <f>LN(B90)</f>
        <v>7.3561010610750701</v>
      </c>
      <c r="K90" s="62">
        <v>0.22051077071199943</v>
      </c>
      <c r="L90" s="61" t="s">
        <v>31</v>
      </c>
      <c r="M90" s="61" t="s">
        <v>31</v>
      </c>
      <c r="N90" s="61" t="s">
        <v>31</v>
      </c>
      <c r="Q90" s="62" t="e">
        <f t="shared" si="8"/>
        <v>#VALUE!</v>
      </c>
    </row>
    <row r="91" spans="1:17">
      <c r="A91" s="162" t="s">
        <v>168</v>
      </c>
      <c r="B91" s="62">
        <v>130.82</v>
      </c>
      <c r="D91" s="162" t="s">
        <v>41</v>
      </c>
      <c r="E91" s="162" t="s">
        <v>38</v>
      </c>
      <c r="F91" s="62" t="s">
        <v>29</v>
      </c>
      <c r="G91" s="162" t="s">
        <v>14</v>
      </c>
      <c r="H91" s="62" t="s">
        <v>33</v>
      </c>
      <c r="I91" s="62">
        <v>2</v>
      </c>
      <c r="J91" s="62">
        <f>LN(B91)</f>
        <v>4.8738223325330665</v>
      </c>
      <c r="K91" s="62">
        <v>0.22051077071199943</v>
      </c>
      <c r="L91" s="62" t="s">
        <v>31</v>
      </c>
      <c r="M91" s="62" t="s">
        <v>31</v>
      </c>
      <c r="N91" s="62" t="s">
        <v>31</v>
      </c>
      <c r="O91" s="62" t="s">
        <v>823</v>
      </c>
      <c r="Q91" s="62" t="e">
        <f t="shared" si="8"/>
        <v>#VALUE!</v>
      </c>
    </row>
    <row r="92" spans="1:17" ht="15.75">
      <c r="A92" s="62" t="s">
        <v>172</v>
      </c>
      <c r="B92" s="62">
        <v>0</v>
      </c>
      <c r="D92" s="62" t="s">
        <v>37</v>
      </c>
      <c r="E92" s="162" t="s">
        <v>38</v>
      </c>
      <c r="F92" s="62" t="s">
        <v>29</v>
      </c>
      <c r="G92" s="162" t="s">
        <v>60</v>
      </c>
      <c r="H92" s="62" t="s">
        <v>33</v>
      </c>
      <c r="I92" s="62">
        <v>1</v>
      </c>
      <c r="J92" s="61" t="s">
        <v>31</v>
      </c>
      <c r="K92" s="61" t="s">
        <v>31</v>
      </c>
      <c r="L92" s="61" t="s">
        <v>31</v>
      </c>
      <c r="M92" s="61" t="s">
        <v>31</v>
      </c>
      <c r="N92" s="61" t="s">
        <v>31</v>
      </c>
      <c r="O92" s="62" t="s">
        <v>824</v>
      </c>
      <c r="Q92" s="62" t="e">
        <f t="shared" si="8"/>
        <v>#VALUE!</v>
      </c>
    </row>
    <row r="93" spans="1:17" ht="15.75">
      <c r="A93" s="162" t="s">
        <v>168</v>
      </c>
      <c r="B93" s="62">
        <v>0</v>
      </c>
      <c r="D93" s="162" t="s">
        <v>41</v>
      </c>
      <c r="E93" s="162" t="s">
        <v>38</v>
      </c>
      <c r="F93" s="62" t="s">
        <v>29</v>
      </c>
      <c r="G93" s="162" t="s">
        <v>14</v>
      </c>
      <c r="H93" s="62" t="s">
        <v>98</v>
      </c>
      <c r="I93" s="62">
        <v>1</v>
      </c>
      <c r="J93" s="61" t="s">
        <v>31</v>
      </c>
      <c r="K93" s="61" t="s">
        <v>31</v>
      </c>
      <c r="L93" s="61" t="s">
        <v>31</v>
      </c>
      <c r="M93" s="61" t="s">
        <v>31</v>
      </c>
      <c r="N93" s="61" t="s">
        <v>31</v>
      </c>
      <c r="O93" s="62" t="s">
        <v>825</v>
      </c>
      <c r="Q93" s="62" t="e">
        <f t="shared" si="8"/>
        <v>#VALUE!</v>
      </c>
    </row>
    <row r="94" spans="1:17">
      <c r="A94" s="62" t="s">
        <v>48</v>
      </c>
      <c r="B94" s="62">
        <v>1531.41</v>
      </c>
      <c r="D94" s="62" t="s">
        <v>37</v>
      </c>
      <c r="E94" s="162" t="s">
        <v>43</v>
      </c>
      <c r="F94" s="62" t="s">
        <v>44</v>
      </c>
      <c r="G94" s="162" t="s">
        <v>31</v>
      </c>
      <c r="H94" s="62" t="s">
        <v>45</v>
      </c>
      <c r="I94" s="62">
        <v>2</v>
      </c>
      <c r="J94" s="62">
        <f>LN(B94)</f>
        <v>7.3339441586302767</v>
      </c>
      <c r="K94" s="62">
        <v>0.22051077071199943</v>
      </c>
      <c r="L94" s="62" t="s">
        <v>31</v>
      </c>
      <c r="M94" s="62" t="s">
        <v>31</v>
      </c>
      <c r="N94" s="62" t="s">
        <v>31</v>
      </c>
      <c r="O94" s="62" t="s">
        <v>826</v>
      </c>
      <c r="Q94" s="62" t="e">
        <f t="shared" si="8"/>
        <v>#VALUE!</v>
      </c>
    </row>
    <row r="95" spans="1:17">
      <c r="A95" s="62" t="s">
        <v>827</v>
      </c>
      <c r="B95" s="62">
        <v>778.46</v>
      </c>
      <c r="D95" s="62" t="s">
        <v>37</v>
      </c>
      <c r="E95" s="162" t="s">
        <v>43</v>
      </c>
      <c r="F95" s="62" t="s">
        <v>44</v>
      </c>
      <c r="G95" s="162" t="s">
        <v>31</v>
      </c>
      <c r="H95" s="62" t="s">
        <v>45</v>
      </c>
      <c r="I95" s="62">
        <v>2</v>
      </c>
      <c r="J95" s="62">
        <f>LN(B95)</f>
        <v>6.6573176090933819</v>
      </c>
      <c r="K95" s="62">
        <v>0.22051077071199943</v>
      </c>
      <c r="L95" s="62" t="s">
        <v>31</v>
      </c>
      <c r="M95" s="62" t="s">
        <v>31</v>
      </c>
      <c r="N95" s="62" t="s">
        <v>31</v>
      </c>
      <c r="O95" s="62" t="s">
        <v>826</v>
      </c>
      <c r="Q95" s="62" t="e">
        <f t="shared" si="8"/>
        <v>#VALUE!</v>
      </c>
    </row>
    <row r="96" spans="1:17" s="143" customFormat="1" ht="15.75">
      <c r="A96" s="141" t="s">
        <v>5</v>
      </c>
      <c r="B96" s="141" t="s">
        <v>828</v>
      </c>
      <c r="C96" s="141"/>
      <c r="D96" s="142"/>
      <c r="Q96" s="62">
        <f t="shared" si="8"/>
        <v>0</v>
      </c>
    </row>
    <row r="97" spans="1:17">
      <c r="A97" s="62" t="s">
        <v>7</v>
      </c>
      <c r="B97" s="62" t="s">
        <v>718</v>
      </c>
      <c r="Q97" s="62">
        <f t="shared" si="8"/>
        <v>0</v>
      </c>
    </row>
    <row r="98" spans="1:17">
      <c r="A98" s="62" t="s">
        <v>9</v>
      </c>
      <c r="B98" s="62" t="s">
        <v>829</v>
      </c>
      <c r="Q98" s="62">
        <f t="shared" si="8"/>
        <v>0</v>
      </c>
    </row>
    <row r="99" spans="1:17" ht="15.75" customHeight="1">
      <c r="A99" s="62" t="s">
        <v>11</v>
      </c>
      <c r="B99" s="62" t="s">
        <v>787</v>
      </c>
      <c r="Q99" s="62">
        <f t="shared" si="8"/>
        <v>0</v>
      </c>
    </row>
    <row r="100" spans="1:17">
      <c r="A100" s="62" t="s">
        <v>13</v>
      </c>
      <c r="B100" s="62" t="s">
        <v>35</v>
      </c>
      <c r="Q100" s="62">
        <f t="shared" si="8"/>
        <v>0</v>
      </c>
    </row>
    <row r="101" spans="1:17">
      <c r="A101" s="62" t="s">
        <v>15</v>
      </c>
      <c r="B101" s="62">
        <v>1</v>
      </c>
      <c r="Q101" s="62">
        <f t="shared" si="8"/>
        <v>0</v>
      </c>
    </row>
    <row r="102" spans="1:17">
      <c r="A102" s="62" t="s">
        <v>16</v>
      </c>
      <c r="B102" s="62" t="s">
        <v>17</v>
      </c>
      <c r="Q102" s="62">
        <f t="shared" si="8"/>
        <v>0</v>
      </c>
    </row>
    <row r="103" spans="1:17">
      <c r="A103" s="62" t="s">
        <v>18</v>
      </c>
      <c r="B103" s="62" t="s">
        <v>18</v>
      </c>
      <c r="E103" s="62" t="s">
        <v>77</v>
      </c>
      <c r="Q103" s="62">
        <f t="shared" si="8"/>
        <v>0</v>
      </c>
    </row>
    <row r="104" spans="1:17" ht="15.75">
      <c r="A104" s="144" t="s">
        <v>19</v>
      </c>
      <c r="Q104" s="62">
        <f t="shared" si="8"/>
        <v>0</v>
      </c>
    </row>
    <row r="105" spans="1:17" ht="15.75">
      <c r="A105" s="144" t="s">
        <v>20</v>
      </c>
      <c r="B105" s="144" t="s">
        <v>21</v>
      </c>
      <c r="C105" s="144" t="s">
        <v>78</v>
      </c>
      <c r="D105" s="144" t="s">
        <v>18</v>
      </c>
      <c r="E105" s="144" t="s">
        <v>22</v>
      </c>
      <c r="F105" s="144" t="s">
        <v>7</v>
      </c>
      <c r="G105" s="144" t="s">
        <v>13</v>
      </c>
      <c r="H105" s="144" t="s">
        <v>16</v>
      </c>
      <c r="I105" s="144" t="s">
        <v>23</v>
      </c>
      <c r="J105" s="144" t="s">
        <v>24</v>
      </c>
      <c r="K105" s="144" t="s">
        <v>25</v>
      </c>
      <c r="L105" s="144" t="s">
        <v>26</v>
      </c>
      <c r="M105" s="144" t="s">
        <v>27</v>
      </c>
      <c r="N105" s="144" t="s">
        <v>28</v>
      </c>
      <c r="O105" s="144" t="s">
        <v>11</v>
      </c>
      <c r="Q105" s="62" t="e">
        <f t="shared" si="8"/>
        <v>#VALUE!</v>
      </c>
    </row>
    <row r="106" spans="1:17" ht="15.75">
      <c r="A106" s="61" t="s">
        <v>828</v>
      </c>
      <c r="B106" s="61">
        <v>1</v>
      </c>
      <c r="C106" s="61"/>
      <c r="D106" s="61" t="s">
        <v>18</v>
      </c>
      <c r="E106" s="62" t="s">
        <v>2</v>
      </c>
      <c r="F106" s="62" t="s">
        <v>718</v>
      </c>
      <c r="G106" s="62" t="s">
        <v>35</v>
      </c>
      <c r="H106" s="62" t="s">
        <v>30</v>
      </c>
      <c r="I106" s="62">
        <v>0</v>
      </c>
      <c r="J106" s="61" t="s">
        <v>31</v>
      </c>
      <c r="K106" s="61" t="s">
        <v>31</v>
      </c>
      <c r="L106" s="61" t="s">
        <v>31</v>
      </c>
      <c r="M106" s="61" t="s">
        <v>31</v>
      </c>
      <c r="N106" s="61" t="s">
        <v>31</v>
      </c>
      <c r="O106" s="62" t="s">
        <v>830</v>
      </c>
      <c r="Q106" s="62" t="e">
        <f t="shared" si="8"/>
        <v>#VALUE!</v>
      </c>
    </row>
    <row r="107" spans="1:17" ht="15.75">
      <c r="A107" s="166" t="s">
        <v>168</v>
      </c>
      <c r="B107" s="62">
        <v>1.3</v>
      </c>
      <c r="D107" s="166" t="s">
        <v>41</v>
      </c>
      <c r="E107" s="166" t="s">
        <v>38</v>
      </c>
      <c r="F107" s="62" t="s">
        <v>29</v>
      </c>
      <c r="G107" s="166" t="s">
        <v>14</v>
      </c>
      <c r="H107" s="62" t="s">
        <v>33</v>
      </c>
      <c r="I107" s="61">
        <v>5</v>
      </c>
      <c r="J107" s="62">
        <f>B107</f>
        <v>1.3</v>
      </c>
      <c r="K107" s="62" t="s">
        <v>31</v>
      </c>
      <c r="L107" s="62" t="s">
        <v>31</v>
      </c>
      <c r="M107" s="62">
        <f>J107*(0.97)</f>
        <v>1.2609999999999999</v>
      </c>
      <c r="N107" s="62">
        <f>J107*1.03</f>
        <v>1.3390000000000002</v>
      </c>
      <c r="O107" s="62" t="s">
        <v>817</v>
      </c>
      <c r="Q107" s="62">
        <f t="shared" si="8"/>
        <v>7.8000000000000291E-2</v>
      </c>
    </row>
    <row r="108" spans="1:17" ht="15.75">
      <c r="A108" s="162" t="s">
        <v>168</v>
      </c>
      <c r="B108" s="62">
        <v>70.686000000000007</v>
      </c>
      <c r="D108" s="162" t="s">
        <v>41</v>
      </c>
      <c r="E108" s="162" t="s">
        <v>38</v>
      </c>
      <c r="F108" s="62" t="s">
        <v>29</v>
      </c>
      <c r="G108" s="162" t="s">
        <v>14</v>
      </c>
      <c r="H108" s="62" t="s">
        <v>33</v>
      </c>
      <c r="I108" s="61">
        <v>5</v>
      </c>
      <c r="J108" s="62">
        <f>B108</f>
        <v>70.686000000000007</v>
      </c>
      <c r="K108" s="62" t="s">
        <v>31</v>
      </c>
      <c r="L108" s="62" t="s">
        <v>31</v>
      </c>
      <c r="M108" s="62">
        <f>J108*(0.95)</f>
        <v>67.151700000000005</v>
      </c>
      <c r="N108" s="62">
        <f t="shared" ref="N108" si="9">J108*1.05</f>
        <v>74.220300000000009</v>
      </c>
      <c r="O108" s="62" t="s">
        <v>831</v>
      </c>
      <c r="Q108" s="62">
        <f t="shared" si="8"/>
        <v>7.0686000000000035</v>
      </c>
    </row>
    <row r="109" spans="1:17">
      <c r="A109" s="62" t="s">
        <v>49</v>
      </c>
      <c r="B109" s="62">
        <v>0</v>
      </c>
      <c r="D109" s="62" t="s">
        <v>50</v>
      </c>
      <c r="E109" s="162" t="s">
        <v>43</v>
      </c>
      <c r="F109" s="62" t="s">
        <v>44</v>
      </c>
      <c r="G109" s="162" t="s">
        <v>31</v>
      </c>
      <c r="H109" s="62" t="s">
        <v>45</v>
      </c>
      <c r="I109" s="62">
        <v>1</v>
      </c>
      <c r="J109" s="62" t="s">
        <v>31</v>
      </c>
      <c r="K109" s="62" t="s">
        <v>31</v>
      </c>
      <c r="L109" s="62" t="s">
        <v>31</v>
      </c>
      <c r="M109" s="62" t="s">
        <v>31</v>
      </c>
      <c r="N109" s="62" t="s">
        <v>31</v>
      </c>
      <c r="O109" s="62" t="s">
        <v>832</v>
      </c>
      <c r="Q109" s="62" t="e">
        <f t="shared" si="8"/>
        <v>#VALUE!</v>
      </c>
    </row>
    <row r="110" spans="1:17" s="143" customFormat="1" ht="15.75">
      <c r="A110" s="141" t="s">
        <v>5</v>
      </c>
      <c r="B110" s="167" t="s">
        <v>833</v>
      </c>
      <c r="C110" s="141"/>
      <c r="D110" s="142"/>
      <c r="Q110" s="62">
        <f t="shared" si="8"/>
        <v>0</v>
      </c>
    </row>
    <row r="111" spans="1:17">
      <c r="A111" s="62" t="s">
        <v>7</v>
      </c>
      <c r="B111" s="62" t="s">
        <v>718</v>
      </c>
      <c r="Q111" s="62">
        <f t="shared" si="8"/>
        <v>0</v>
      </c>
    </row>
    <row r="112" spans="1:17">
      <c r="A112" s="62" t="s">
        <v>9</v>
      </c>
      <c r="B112" s="62" t="s">
        <v>834</v>
      </c>
      <c r="Q112" s="62">
        <f t="shared" si="8"/>
        <v>0</v>
      </c>
    </row>
    <row r="113" spans="1:17" ht="15.75" customHeight="1">
      <c r="A113" s="62" t="s">
        <v>11</v>
      </c>
      <c r="B113" s="62" t="s">
        <v>787</v>
      </c>
      <c r="Q113" s="62">
        <f t="shared" si="8"/>
        <v>0</v>
      </c>
    </row>
    <row r="114" spans="1:17">
      <c r="A114" s="62" t="s">
        <v>13</v>
      </c>
      <c r="B114" s="62" t="s">
        <v>60</v>
      </c>
      <c r="Q114" s="62">
        <f t="shared" si="8"/>
        <v>0</v>
      </c>
    </row>
    <row r="115" spans="1:17">
      <c r="A115" s="62" t="s">
        <v>15</v>
      </c>
      <c r="B115" s="62">
        <v>1</v>
      </c>
      <c r="Q115" s="62">
        <f t="shared" si="8"/>
        <v>0</v>
      </c>
    </row>
    <row r="116" spans="1:17">
      <c r="A116" s="62" t="s">
        <v>16</v>
      </c>
      <c r="B116" s="62" t="s">
        <v>17</v>
      </c>
      <c r="Q116" s="62">
        <f t="shared" si="8"/>
        <v>0</v>
      </c>
    </row>
    <row r="117" spans="1:17">
      <c r="A117" s="62" t="s">
        <v>18</v>
      </c>
      <c r="B117" s="62" t="s">
        <v>18</v>
      </c>
      <c r="E117" s="62" t="s">
        <v>77</v>
      </c>
      <c r="Q117" s="62">
        <f t="shared" si="8"/>
        <v>0</v>
      </c>
    </row>
    <row r="118" spans="1:17" ht="15.75">
      <c r="A118" s="144" t="s">
        <v>19</v>
      </c>
      <c r="Q118" s="62">
        <f t="shared" si="8"/>
        <v>0</v>
      </c>
    </row>
    <row r="119" spans="1:17" ht="15.75">
      <c r="A119" s="144" t="s">
        <v>20</v>
      </c>
      <c r="B119" s="144" t="s">
        <v>21</v>
      </c>
      <c r="C119" s="144" t="s">
        <v>78</v>
      </c>
      <c r="D119" s="144" t="s">
        <v>18</v>
      </c>
      <c r="E119" s="144" t="s">
        <v>22</v>
      </c>
      <c r="F119" s="144" t="s">
        <v>7</v>
      </c>
      <c r="G119" s="144" t="s">
        <v>13</v>
      </c>
      <c r="H119" s="144" t="s">
        <v>16</v>
      </c>
      <c r="I119" s="144" t="s">
        <v>23</v>
      </c>
      <c r="J119" s="144" t="s">
        <v>24</v>
      </c>
      <c r="K119" s="144" t="s">
        <v>25</v>
      </c>
      <c r="L119" s="144" t="s">
        <v>26</v>
      </c>
      <c r="M119" s="144" t="s">
        <v>27</v>
      </c>
      <c r="N119" s="144" t="s">
        <v>28</v>
      </c>
      <c r="O119" s="144" t="s">
        <v>11</v>
      </c>
      <c r="Q119" s="62" t="e">
        <f t="shared" si="8"/>
        <v>#VALUE!</v>
      </c>
    </row>
    <row r="120" spans="1:17" ht="15.75">
      <c r="A120" s="61" t="s">
        <v>833</v>
      </c>
      <c r="B120" s="61">
        <v>1</v>
      </c>
      <c r="C120" s="61"/>
      <c r="D120" s="61" t="s">
        <v>18</v>
      </c>
      <c r="E120" s="62" t="s">
        <v>2</v>
      </c>
      <c r="F120" s="62" t="s">
        <v>718</v>
      </c>
      <c r="G120" s="61" t="s">
        <v>60</v>
      </c>
      <c r="H120" s="62" t="s">
        <v>30</v>
      </c>
      <c r="I120" s="62">
        <v>0</v>
      </c>
      <c r="J120" s="61" t="s">
        <v>31</v>
      </c>
      <c r="K120" s="61" t="s">
        <v>31</v>
      </c>
      <c r="L120" s="61" t="s">
        <v>31</v>
      </c>
      <c r="M120" s="61" t="s">
        <v>31</v>
      </c>
      <c r="N120" s="61" t="s">
        <v>31</v>
      </c>
      <c r="O120" s="62" t="s">
        <v>835</v>
      </c>
      <c r="Q120" s="62" t="e">
        <f t="shared" si="8"/>
        <v>#VALUE!</v>
      </c>
    </row>
    <row r="121" spans="1:17" ht="15.75">
      <c r="A121" s="61" t="s">
        <v>836</v>
      </c>
      <c r="B121" s="61">
        <f>-1465.44*(6.75*0.198/(6.75*0.198+0.34*26.517))</f>
        <v>-189.1912274397524</v>
      </c>
      <c r="C121" s="151" t="s">
        <v>837</v>
      </c>
      <c r="D121" s="62" t="s">
        <v>37</v>
      </c>
      <c r="E121" s="162" t="s">
        <v>38</v>
      </c>
      <c r="F121" s="62" t="s">
        <v>29</v>
      </c>
      <c r="G121" s="61" t="s">
        <v>60</v>
      </c>
      <c r="H121" s="62" t="s">
        <v>33</v>
      </c>
      <c r="I121" s="62">
        <v>5</v>
      </c>
      <c r="J121" s="62">
        <f>B121</f>
        <v>-189.1912274397524</v>
      </c>
      <c r="K121" s="62" t="s">
        <v>31</v>
      </c>
      <c r="L121" s="62" t="s">
        <v>31</v>
      </c>
      <c r="M121" s="62">
        <f>J121*1.05</f>
        <v>-198.65078881174003</v>
      </c>
      <c r="N121" s="62">
        <f>J121*0.95</f>
        <v>-179.73166606776476</v>
      </c>
      <c r="O121" s="62" t="s">
        <v>838</v>
      </c>
      <c r="Q121" s="62">
        <f t="shared" si="8"/>
        <v>18.919122743975265</v>
      </c>
    </row>
    <row r="122" spans="1:17">
      <c r="A122" t="s">
        <v>737</v>
      </c>
      <c r="B122" s="62">
        <f>0.9*249.12</f>
        <v>224.208</v>
      </c>
      <c r="D122" s="62" t="s">
        <v>37</v>
      </c>
      <c r="E122" s="162" t="s">
        <v>38</v>
      </c>
      <c r="F122" s="62" t="s">
        <v>29</v>
      </c>
      <c r="G122" s="162" t="s">
        <v>60</v>
      </c>
      <c r="H122" s="62" t="s">
        <v>98</v>
      </c>
      <c r="I122" s="62">
        <v>5</v>
      </c>
      <c r="J122" s="62">
        <f>B122</f>
        <v>224.208</v>
      </c>
      <c r="K122" s="62" t="s">
        <v>31</v>
      </c>
      <c r="L122" s="62" t="s">
        <v>31</v>
      </c>
      <c r="M122" s="62">
        <f>J122*(0.95)</f>
        <v>212.99759999999998</v>
      </c>
      <c r="N122" s="62">
        <f>J122*1.05</f>
        <v>235.41840000000002</v>
      </c>
      <c r="O122" s="62" t="s">
        <v>839</v>
      </c>
      <c r="Q122" s="62">
        <f t="shared" si="8"/>
        <v>22.420800000000042</v>
      </c>
    </row>
    <row r="123" spans="1:17" ht="30">
      <c r="A123" s="168" t="s">
        <v>100</v>
      </c>
      <c r="B123" s="62">
        <v>1027.4000000000001</v>
      </c>
      <c r="C123" s="151" t="s">
        <v>101</v>
      </c>
      <c r="D123" s="62" t="s">
        <v>37</v>
      </c>
      <c r="E123" s="162" t="s">
        <v>38</v>
      </c>
      <c r="F123" s="62" t="s">
        <v>29</v>
      </c>
      <c r="G123" s="162" t="s">
        <v>86</v>
      </c>
      <c r="H123" s="62" t="s">
        <v>33</v>
      </c>
      <c r="I123" s="61">
        <v>5</v>
      </c>
      <c r="J123" s="62">
        <f>B123</f>
        <v>1027.4000000000001</v>
      </c>
      <c r="K123" s="62" t="s">
        <v>31</v>
      </c>
      <c r="L123" s="62" t="s">
        <v>31</v>
      </c>
      <c r="M123" s="62">
        <f>J123*(0.95)</f>
        <v>976.03000000000009</v>
      </c>
      <c r="N123" s="62">
        <f>J123*1.05</f>
        <v>1078.7700000000002</v>
      </c>
      <c r="O123" s="62" t="s">
        <v>840</v>
      </c>
      <c r="Q123" s="62">
        <f t="shared" si="8"/>
        <v>102.74000000000012</v>
      </c>
    </row>
    <row r="124" spans="1:17">
      <c r="A124" s="162" t="s">
        <v>97</v>
      </c>
      <c r="B124" s="62">
        <f>308.22*0.5</f>
        <v>154.11000000000001</v>
      </c>
      <c r="C124" s="151" t="s">
        <v>95</v>
      </c>
      <c r="D124" s="62" t="s">
        <v>37</v>
      </c>
      <c r="E124" s="162" t="s">
        <v>38</v>
      </c>
      <c r="F124" s="62" t="s">
        <v>29</v>
      </c>
      <c r="G124" s="162" t="s">
        <v>60</v>
      </c>
      <c r="H124" s="62" t="s">
        <v>98</v>
      </c>
      <c r="I124" s="62">
        <v>5</v>
      </c>
      <c r="J124" s="62">
        <v>21.584</v>
      </c>
      <c r="K124" s="62" t="s">
        <v>31</v>
      </c>
      <c r="L124" s="62" t="s">
        <v>31</v>
      </c>
      <c r="M124" s="62">
        <v>20.504799999999999</v>
      </c>
      <c r="N124" s="62">
        <v>22.6632</v>
      </c>
      <c r="O124" s="62" t="s">
        <v>841</v>
      </c>
      <c r="Q124" s="62">
        <f t="shared" si="8"/>
        <v>2.1584000000000003</v>
      </c>
    </row>
    <row r="125" spans="1:17">
      <c r="A125" s="162" t="s">
        <v>450</v>
      </c>
      <c r="B125" s="169">
        <f>493.152*0.98</f>
        <v>483.28895999999997</v>
      </c>
      <c r="C125" s="151" t="s">
        <v>842</v>
      </c>
      <c r="D125" s="62" t="s">
        <v>37</v>
      </c>
      <c r="E125" s="162" t="s">
        <v>38</v>
      </c>
      <c r="F125" s="62" t="s">
        <v>29</v>
      </c>
      <c r="G125" s="162" t="s">
        <v>60</v>
      </c>
      <c r="H125" s="62" t="s">
        <v>98</v>
      </c>
      <c r="I125" s="62">
        <v>5</v>
      </c>
      <c r="J125" s="62">
        <v>250.81139999999999</v>
      </c>
      <c r="K125" s="62" t="s">
        <v>31</v>
      </c>
      <c r="L125" s="62" t="s">
        <v>31</v>
      </c>
      <c r="M125" s="62">
        <v>238.27082999999999</v>
      </c>
      <c r="N125" s="62">
        <v>263.35196999999999</v>
      </c>
      <c r="O125" s="62" t="s">
        <v>843</v>
      </c>
      <c r="Q125" s="62">
        <f t="shared" si="8"/>
        <v>25.081140000000005</v>
      </c>
    </row>
    <row r="126" spans="1:17">
      <c r="A126" s="162" t="s">
        <v>844</v>
      </c>
      <c r="B126" s="169">
        <f>-(226.028+0.02*493.152+0.5*308.22)</f>
        <v>-390.00103999999999</v>
      </c>
      <c r="C126" s="151" t="s">
        <v>845</v>
      </c>
      <c r="D126" s="62" t="s">
        <v>37</v>
      </c>
      <c r="E126" s="162" t="s">
        <v>38</v>
      </c>
      <c r="F126" s="62" t="s">
        <v>29</v>
      </c>
      <c r="G126" s="162" t="s">
        <v>86</v>
      </c>
      <c r="H126" s="62" t="s">
        <v>33</v>
      </c>
      <c r="I126" s="62">
        <v>5</v>
      </c>
      <c r="J126" s="169">
        <v>-252.98399999999998</v>
      </c>
      <c r="K126" s="62" t="s">
        <v>31</v>
      </c>
      <c r="L126" s="62" t="s">
        <v>31</v>
      </c>
      <c r="M126" s="62">
        <v>-265.63319999999999</v>
      </c>
      <c r="N126" s="62">
        <v>-240.33479999999997</v>
      </c>
      <c r="O126" s="62" t="s">
        <v>846</v>
      </c>
      <c r="Q126" s="62">
        <f>M126-N126</f>
        <v>-25.298400000000015</v>
      </c>
    </row>
    <row r="127" spans="1:17" s="143" customFormat="1" ht="15.75">
      <c r="A127" s="141" t="s">
        <v>5</v>
      </c>
      <c r="B127" s="141" t="s">
        <v>847</v>
      </c>
      <c r="C127" s="141"/>
      <c r="D127" s="142"/>
      <c r="Q127" s="62">
        <f t="shared" si="8"/>
        <v>0</v>
      </c>
    </row>
    <row r="128" spans="1:17">
      <c r="A128" s="62" t="s">
        <v>7</v>
      </c>
      <c r="B128" s="62" t="s">
        <v>718</v>
      </c>
      <c r="Q128" s="62" t="e">
        <f>N128-#REF!</f>
        <v>#REF!</v>
      </c>
    </row>
    <row r="129" spans="1:17">
      <c r="A129" s="62" t="s">
        <v>9</v>
      </c>
      <c r="B129" s="62" t="s">
        <v>848</v>
      </c>
      <c r="Q129" s="62">
        <f t="shared" si="8"/>
        <v>0</v>
      </c>
    </row>
    <row r="130" spans="1:17" ht="15.75" customHeight="1">
      <c r="A130" s="62" t="s">
        <v>11</v>
      </c>
      <c r="B130" s="62" t="s">
        <v>787</v>
      </c>
      <c r="Q130" s="62">
        <f t="shared" si="8"/>
        <v>0</v>
      </c>
    </row>
    <row r="131" spans="1:17">
      <c r="A131" s="62" t="s">
        <v>13</v>
      </c>
      <c r="B131" s="62" t="s">
        <v>60</v>
      </c>
      <c r="Q131" s="62">
        <f t="shared" si="8"/>
        <v>0</v>
      </c>
    </row>
    <row r="132" spans="1:17">
      <c r="A132" s="62" t="s">
        <v>15</v>
      </c>
      <c r="B132" s="62">
        <v>1</v>
      </c>
      <c r="Q132" s="62">
        <f t="shared" si="8"/>
        <v>0</v>
      </c>
    </row>
    <row r="133" spans="1:17">
      <c r="A133" s="62" t="s">
        <v>16</v>
      </c>
      <c r="B133" s="62" t="s">
        <v>17</v>
      </c>
      <c r="Q133" s="62">
        <f t="shared" si="8"/>
        <v>0</v>
      </c>
    </row>
    <row r="134" spans="1:17">
      <c r="A134" s="62" t="s">
        <v>18</v>
      </c>
      <c r="B134" s="62" t="s">
        <v>18</v>
      </c>
      <c r="E134" s="62" t="s">
        <v>77</v>
      </c>
      <c r="Q134" s="62">
        <f t="shared" si="8"/>
        <v>0</v>
      </c>
    </row>
    <row r="135" spans="1:17" ht="15.75">
      <c r="A135" s="144" t="s">
        <v>19</v>
      </c>
      <c r="Q135" s="62">
        <f t="shared" si="8"/>
        <v>0</v>
      </c>
    </row>
    <row r="136" spans="1:17" ht="15.75">
      <c r="A136" s="144" t="s">
        <v>20</v>
      </c>
      <c r="B136" s="144" t="s">
        <v>21</v>
      </c>
      <c r="C136" s="144" t="s">
        <v>78</v>
      </c>
      <c r="D136" s="144" t="s">
        <v>18</v>
      </c>
      <c r="E136" s="144" t="s">
        <v>22</v>
      </c>
      <c r="F136" s="144" t="s">
        <v>7</v>
      </c>
      <c r="G136" s="144" t="s">
        <v>13</v>
      </c>
      <c r="H136" s="144" t="s">
        <v>16</v>
      </c>
      <c r="I136" s="144" t="s">
        <v>23</v>
      </c>
      <c r="J136" s="144" t="s">
        <v>24</v>
      </c>
      <c r="K136" s="144" t="s">
        <v>25</v>
      </c>
      <c r="L136" s="144" t="s">
        <v>26</v>
      </c>
      <c r="M136" s="144" t="s">
        <v>27</v>
      </c>
      <c r="N136" s="144" t="s">
        <v>28</v>
      </c>
      <c r="O136" s="144" t="s">
        <v>11</v>
      </c>
      <c r="Q136" s="62" t="e">
        <f t="shared" si="8"/>
        <v>#VALUE!</v>
      </c>
    </row>
    <row r="137" spans="1:17" ht="15.75">
      <c r="A137" s="61" t="s">
        <v>847</v>
      </c>
      <c r="B137" s="61">
        <v>1</v>
      </c>
      <c r="C137" s="61"/>
      <c r="D137" s="61" t="s">
        <v>18</v>
      </c>
      <c r="E137" s="62" t="s">
        <v>2</v>
      </c>
      <c r="F137" s="62" t="s">
        <v>718</v>
      </c>
      <c r="G137" s="61" t="s">
        <v>60</v>
      </c>
      <c r="H137" s="62" t="s">
        <v>30</v>
      </c>
      <c r="I137" s="62">
        <v>0</v>
      </c>
      <c r="J137" s="61" t="s">
        <v>31</v>
      </c>
      <c r="K137" s="61" t="s">
        <v>31</v>
      </c>
      <c r="L137" s="61" t="s">
        <v>31</v>
      </c>
      <c r="M137" s="61" t="s">
        <v>31</v>
      </c>
      <c r="N137" s="61" t="s">
        <v>31</v>
      </c>
      <c r="O137" s="62" t="s">
        <v>849</v>
      </c>
      <c r="Q137" s="62" t="e">
        <f t="shared" si="8"/>
        <v>#VALUE!</v>
      </c>
    </row>
    <row r="138" spans="1:17" ht="15.75">
      <c r="A138" s="61" t="s">
        <v>809</v>
      </c>
      <c r="B138" s="61">
        <v>1</v>
      </c>
      <c r="C138" s="61"/>
      <c r="D138" s="61" t="s">
        <v>18</v>
      </c>
      <c r="E138" s="61" t="s">
        <v>2</v>
      </c>
      <c r="F138" s="62" t="s">
        <v>718</v>
      </c>
      <c r="G138" s="61" t="s">
        <v>35</v>
      </c>
      <c r="H138" s="62" t="s">
        <v>33</v>
      </c>
      <c r="I138" s="62">
        <v>1</v>
      </c>
      <c r="J138" s="61" t="s">
        <v>31</v>
      </c>
      <c r="K138" s="61" t="s">
        <v>31</v>
      </c>
      <c r="L138" s="61" t="s">
        <v>31</v>
      </c>
      <c r="M138" s="61" t="s">
        <v>31</v>
      </c>
      <c r="N138" s="61" t="s">
        <v>31</v>
      </c>
      <c r="O138" s="62" t="s">
        <v>850</v>
      </c>
      <c r="Q138" s="62" t="e">
        <f t="shared" si="8"/>
        <v>#VALUE!</v>
      </c>
    </row>
    <row r="139" spans="1:17" ht="15.75">
      <c r="A139" s="62" t="s">
        <v>818</v>
      </c>
      <c r="B139" s="62">
        <v>1</v>
      </c>
      <c r="D139" s="62" t="s">
        <v>18</v>
      </c>
      <c r="E139" s="62" t="s">
        <v>2</v>
      </c>
      <c r="F139" s="62" t="s">
        <v>718</v>
      </c>
      <c r="G139" s="62" t="s">
        <v>35</v>
      </c>
      <c r="H139" s="62" t="s">
        <v>33</v>
      </c>
      <c r="I139" s="62">
        <v>1</v>
      </c>
      <c r="J139" s="61" t="s">
        <v>31</v>
      </c>
      <c r="K139" s="61" t="s">
        <v>31</v>
      </c>
      <c r="L139" s="61" t="s">
        <v>31</v>
      </c>
      <c r="M139" s="61" t="s">
        <v>31</v>
      </c>
      <c r="N139" s="61" t="s">
        <v>31</v>
      </c>
      <c r="O139" s="61"/>
      <c r="Q139" s="62" t="e">
        <f t="shared" si="8"/>
        <v>#VALUE!</v>
      </c>
    </row>
    <row r="140" spans="1:17" ht="15.75">
      <c r="A140" s="61" t="s">
        <v>828</v>
      </c>
      <c r="B140" s="61">
        <v>1</v>
      </c>
      <c r="C140" s="61"/>
      <c r="D140" s="61" t="s">
        <v>18</v>
      </c>
      <c r="E140" s="62" t="s">
        <v>2</v>
      </c>
      <c r="F140" s="62" t="s">
        <v>718</v>
      </c>
      <c r="G140" s="61" t="s">
        <v>35</v>
      </c>
      <c r="H140" s="62" t="s">
        <v>33</v>
      </c>
      <c r="I140" s="62">
        <v>1</v>
      </c>
      <c r="J140" s="61" t="s">
        <v>31</v>
      </c>
      <c r="K140" s="61" t="s">
        <v>31</v>
      </c>
      <c r="L140" s="61" t="s">
        <v>31</v>
      </c>
      <c r="M140" s="61" t="s">
        <v>31</v>
      </c>
      <c r="N140" s="61" t="s">
        <v>31</v>
      </c>
      <c r="Q140" s="62" t="e">
        <f t="shared" si="8"/>
        <v>#VALUE!</v>
      </c>
    </row>
    <row r="141" spans="1:17" s="165" customFormat="1" ht="15.75">
      <c r="A141" s="61" t="s">
        <v>833</v>
      </c>
      <c r="B141" s="61">
        <v>1</v>
      </c>
      <c r="C141" s="61"/>
      <c r="D141" s="61" t="s">
        <v>18</v>
      </c>
      <c r="E141" s="61" t="s">
        <v>2</v>
      </c>
      <c r="F141" s="61" t="s">
        <v>718</v>
      </c>
      <c r="G141" s="61" t="s">
        <v>60</v>
      </c>
      <c r="H141" s="62" t="s">
        <v>33</v>
      </c>
      <c r="I141" s="62">
        <v>1</v>
      </c>
      <c r="J141" s="61" t="s">
        <v>31</v>
      </c>
      <c r="K141" s="61" t="s">
        <v>31</v>
      </c>
      <c r="L141" s="61" t="s">
        <v>31</v>
      </c>
      <c r="M141" s="61" t="s">
        <v>31</v>
      </c>
      <c r="N141" s="61" t="s">
        <v>31</v>
      </c>
      <c r="O141" s="165" t="s">
        <v>851</v>
      </c>
      <c r="Q141" s="62" t="e">
        <f t="shared" si="8"/>
        <v>#VALUE!</v>
      </c>
    </row>
    <row r="142" spans="1:17" ht="15.75">
      <c r="B142" s="158"/>
      <c r="C142" s="158"/>
      <c r="D142" s="158"/>
      <c r="E142" s="158"/>
      <c r="F142" s="158"/>
      <c r="G142" s="158"/>
      <c r="H142" s="165"/>
      <c r="I142" s="170"/>
      <c r="J142" s="170"/>
      <c r="K142" s="170"/>
      <c r="L142" s="170"/>
      <c r="M142" s="165"/>
      <c r="N142" s="165"/>
      <c r="Q142" s="62">
        <f t="shared" ref="Q142" si="10">N142-M142</f>
        <v>0</v>
      </c>
    </row>
    <row r="143" spans="1:17">
      <c r="H143" s="165"/>
    </row>
    <row r="144" spans="1:17">
      <c r="B144" s="162"/>
      <c r="C144" s="162"/>
      <c r="D144" s="162"/>
      <c r="E144" s="162"/>
      <c r="F144" s="162"/>
      <c r="G144" s="162"/>
      <c r="H144" s="165"/>
    </row>
    <row r="145" spans="7:9">
      <c r="G145" s="171"/>
    </row>
    <row r="146" spans="7:9">
      <c r="G146" s="171"/>
    </row>
    <row r="147" spans="7:9">
      <c r="G147" s="172"/>
      <c r="H147" s="172"/>
      <c r="I147" s="172"/>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F2C0-51B7-4DC5-9A0F-D03B50906140}">
  <dimension ref="A1:P120"/>
  <sheetViews>
    <sheetView zoomScale="70" zoomScaleNormal="70" workbookViewId="0">
      <selection activeCell="E23" sqref="E23"/>
    </sheetView>
  </sheetViews>
  <sheetFormatPr defaultColWidth="8.7109375" defaultRowHeight="15"/>
  <cols>
    <col min="1" max="1" width="53.42578125" style="62" customWidth="1"/>
    <col min="2" max="3" width="25.85546875" style="62" customWidth="1"/>
    <col min="4" max="4" width="10.140625" style="62" customWidth="1"/>
    <col min="5" max="5" width="47" style="62" customWidth="1"/>
    <col min="6" max="6" width="11" style="62" customWidth="1"/>
    <col min="7" max="14" width="8.7109375" style="62"/>
    <col min="15" max="15" width="47.85546875" style="62" customWidth="1"/>
    <col min="16" max="16" width="40.140625" style="62" bestFit="1" customWidth="1"/>
    <col min="17" max="16384" width="8.7109375" style="62"/>
  </cols>
  <sheetData>
    <row r="1" spans="1:16">
      <c r="A1" s="62" t="s">
        <v>0</v>
      </c>
      <c r="B1" s="62">
        <v>15</v>
      </c>
      <c r="D1" s="139" t="s">
        <v>537</v>
      </c>
    </row>
    <row r="2" spans="1:16" s="143" customFormat="1" ht="15.75">
      <c r="A2" s="141" t="s">
        <v>5</v>
      </c>
      <c r="B2" s="141" t="s">
        <v>852</v>
      </c>
      <c r="C2" s="141"/>
      <c r="D2" s="142"/>
    </row>
    <row r="3" spans="1:16">
      <c r="A3" s="62" t="s">
        <v>7</v>
      </c>
      <c r="B3" s="62" t="s">
        <v>853</v>
      </c>
    </row>
    <row r="4" spans="1:16">
      <c r="A4" s="62" t="s">
        <v>9</v>
      </c>
      <c r="B4" s="62" t="s">
        <v>854</v>
      </c>
    </row>
    <row r="5" spans="1:16">
      <c r="A5" s="62" t="s">
        <v>11</v>
      </c>
      <c r="B5" s="62" t="s">
        <v>329</v>
      </c>
    </row>
    <row r="6" spans="1:16">
      <c r="A6" s="62" t="s">
        <v>13</v>
      </c>
      <c r="B6" s="62" t="s">
        <v>60</v>
      </c>
    </row>
    <row r="7" spans="1:16">
      <c r="A7" s="62" t="s">
        <v>15</v>
      </c>
      <c r="B7" s="62">
        <v>1</v>
      </c>
    </row>
    <row r="8" spans="1:16">
      <c r="A8" s="62" t="s">
        <v>16</v>
      </c>
      <c r="B8" s="62" t="s">
        <v>17</v>
      </c>
    </row>
    <row r="9" spans="1:16">
      <c r="A9" s="62" t="s">
        <v>18</v>
      </c>
      <c r="B9" s="62" t="s">
        <v>18</v>
      </c>
    </row>
    <row r="10" spans="1:16" ht="15.75">
      <c r="A10" s="144" t="s">
        <v>19</v>
      </c>
    </row>
    <row r="11" spans="1:16" ht="15.75">
      <c r="A11" s="144" t="s">
        <v>20</v>
      </c>
      <c r="B11" s="144" t="s">
        <v>21</v>
      </c>
      <c r="C11" s="144" t="s">
        <v>78</v>
      </c>
      <c r="D11" s="144" t="s">
        <v>18</v>
      </c>
      <c r="E11" s="144" t="s">
        <v>22</v>
      </c>
      <c r="F11" s="144" t="s">
        <v>7</v>
      </c>
      <c r="G11" s="144" t="s">
        <v>13</v>
      </c>
      <c r="H11" s="144" t="s">
        <v>16</v>
      </c>
      <c r="I11" s="144" t="s">
        <v>23</v>
      </c>
      <c r="J11" s="144" t="s">
        <v>24</v>
      </c>
      <c r="K11" s="144" t="s">
        <v>25</v>
      </c>
      <c r="L11" s="144" t="s">
        <v>26</v>
      </c>
      <c r="M11" s="144" t="s">
        <v>27</v>
      </c>
      <c r="N11" s="144" t="s">
        <v>28</v>
      </c>
      <c r="O11" s="144" t="s">
        <v>9</v>
      </c>
      <c r="P11" s="144" t="s">
        <v>11</v>
      </c>
    </row>
    <row r="12" spans="1:16" ht="15.75">
      <c r="A12" s="62" t="str">
        <f>B2</f>
        <v>production of casing</v>
      </c>
      <c r="B12" s="62">
        <f>B7</f>
        <v>1</v>
      </c>
      <c r="D12" s="62" t="str">
        <f>B9</f>
        <v>unit</v>
      </c>
      <c r="E12" s="61" t="s">
        <v>2</v>
      </c>
      <c r="F12" s="62" t="str">
        <f>B3</f>
        <v>airport</v>
      </c>
      <c r="G12" s="62" t="s">
        <v>60</v>
      </c>
      <c r="H12" s="62" t="s">
        <v>30</v>
      </c>
      <c r="I12" s="62">
        <v>0</v>
      </c>
      <c r="J12" s="61" t="s">
        <v>31</v>
      </c>
      <c r="K12" s="61" t="s">
        <v>31</v>
      </c>
      <c r="L12" s="61" t="s">
        <v>31</v>
      </c>
      <c r="M12" s="61" t="s">
        <v>31</v>
      </c>
      <c r="N12" s="61" t="s">
        <v>31</v>
      </c>
      <c r="O12" s="62" t="str">
        <f>B4</f>
        <v>7973BE31C4BF4485AEDFFDAAEC40A2F4</v>
      </c>
      <c r="P12" s="61" t="s">
        <v>855</v>
      </c>
    </row>
    <row r="13" spans="1:16" ht="15.75">
      <c r="A13" s="62" t="s">
        <v>137</v>
      </c>
      <c r="B13" s="62">
        <v>2494.8229080000001</v>
      </c>
      <c r="D13" s="62" t="s">
        <v>37</v>
      </c>
      <c r="E13" s="149" t="s">
        <v>38</v>
      </c>
      <c r="F13" s="62" t="s">
        <v>29</v>
      </c>
      <c r="G13" s="62" t="s">
        <v>60</v>
      </c>
      <c r="H13" s="62" t="s">
        <v>33</v>
      </c>
      <c r="I13" s="62">
        <v>2</v>
      </c>
      <c r="J13" s="61">
        <f>LN(B13)</f>
        <v>7.8219730269089931</v>
      </c>
      <c r="K13" s="61">
        <v>0.36083237099999999</v>
      </c>
      <c r="L13" s="61" t="s">
        <v>31</v>
      </c>
      <c r="M13" s="61" t="s">
        <v>31</v>
      </c>
      <c r="N13" s="61" t="s">
        <v>31</v>
      </c>
      <c r="O13" s="62" t="s">
        <v>856</v>
      </c>
      <c r="P13" s="62" t="s">
        <v>857</v>
      </c>
    </row>
    <row r="14" spans="1:16" s="143" customFormat="1" ht="15.75">
      <c r="A14" s="141" t="s">
        <v>5</v>
      </c>
      <c r="B14" s="141" t="s">
        <v>858</v>
      </c>
      <c r="C14" s="141"/>
      <c r="D14" s="142" t="s">
        <v>781</v>
      </c>
    </row>
    <row r="15" spans="1:16">
      <c r="A15" s="62" t="s">
        <v>7</v>
      </c>
      <c r="B15" s="62" t="s">
        <v>853</v>
      </c>
    </row>
    <row r="16" spans="1:16">
      <c r="A16" s="62" t="s">
        <v>9</v>
      </c>
      <c r="B16" s="62" t="s">
        <v>859</v>
      </c>
    </row>
    <row r="17" spans="1:16">
      <c r="A17" s="62" t="s">
        <v>11</v>
      </c>
      <c r="B17" s="62" t="s">
        <v>329</v>
      </c>
    </row>
    <row r="18" spans="1:16">
      <c r="A18" s="62" t="s">
        <v>13</v>
      </c>
      <c r="B18" s="62" t="s">
        <v>60</v>
      </c>
    </row>
    <row r="19" spans="1:16">
      <c r="A19" s="62" t="s">
        <v>15</v>
      </c>
      <c r="B19" s="62">
        <v>1</v>
      </c>
    </row>
    <row r="20" spans="1:16">
      <c r="A20" s="62" t="s">
        <v>16</v>
      </c>
      <c r="B20" s="62" t="s">
        <v>17</v>
      </c>
    </row>
    <row r="21" spans="1:16">
      <c r="A21" s="62" t="s">
        <v>18</v>
      </c>
      <c r="B21" s="62" t="s">
        <v>18</v>
      </c>
      <c r="E21" s="62" t="s">
        <v>77</v>
      </c>
    </row>
    <row r="22" spans="1:16" ht="15.75">
      <c r="A22" s="144" t="s">
        <v>19</v>
      </c>
    </row>
    <row r="23" spans="1:16" ht="15.75">
      <c r="A23" s="144" t="s">
        <v>20</v>
      </c>
      <c r="B23" s="144" t="s">
        <v>21</v>
      </c>
      <c r="C23" s="144" t="s">
        <v>78</v>
      </c>
      <c r="D23" s="144" t="s">
        <v>18</v>
      </c>
      <c r="E23" s="144" t="s">
        <v>22</v>
      </c>
      <c r="F23" s="144" t="s">
        <v>7</v>
      </c>
      <c r="G23" s="144" t="s">
        <v>13</v>
      </c>
      <c r="H23" s="144" t="s">
        <v>16</v>
      </c>
      <c r="I23" s="144" t="s">
        <v>23</v>
      </c>
      <c r="J23" s="144" t="s">
        <v>24</v>
      </c>
      <c r="K23" s="144" t="s">
        <v>25</v>
      </c>
      <c r="L23" s="144" t="s">
        <v>26</v>
      </c>
      <c r="M23" s="144" t="s">
        <v>27</v>
      </c>
      <c r="N23" s="144" t="s">
        <v>28</v>
      </c>
      <c r="O23" s="144" t="s">
        <v>9</v>
      </c>
      <c r="P23" s="144" t="s">
        <v>11</v>
      </c>
    </row>
    <row r="24" spans="1:16" ht="15.75">
      <c r="A24" s="62" t="str">
        <f>B14</f>
        <v>production of display unit</v>
      </c>
      <c r="B24" s="62">
        <f>B19</f>
        <v>1</v>
      </c>
      <c r="D24" s="62" t="str">
        <f>B21</f>
        <v>unit</v>
      </c>
      <c r="E24" s="61" t="s">
        <v>2</v>
      </c>
      <c r="F24" s="62" t="str">
        <f>B15</f>
        <v>airport</v>
      </c>
      <c r="G24" s="62" t="s">
        <v>60</v>
      </c>
      <c r="H24" s="62" t="s">
        <v>30</v>
      </c>
      <c r="I24" s="62">
        <v>0</v>
      </c>
      <c r="J24" s="61" t="s">
        <v>31</v>
      </c>
      <c r="K24" s="61" t="s">
        <v>31</v>
      </c>
      <c r="L24" s="61" t="s">
        <v>31</v>
      </c>
      <c r="M24" s="61" t="s">
        <v>31</v>
      </c>
      <c r="N24" s="61" t="s">
        <v>31</v>
      </c>
      <c r="O24" s="62" t="str">
        <f>B16</f>
        <v>34291682699047F69508C77059B21350</v>
      </c>
      <c r="P24" s="61" t="s">
        <v>860</v>
      </c>
    </row>
    <row r="25" spans="1:16" ht="15.75">
      <c r="A25" s="62" t="s">
        <v>861</v>
      </c>
      <c r="B25" s="62">
        <v>30</v>
      </c>
      <c r="D25" s="62" t="s">
        <v>37</v>
      </c>
      <c r="E25" s="149" t="s">
        <v>2</v>
      </c>
      <c r="F25" s="62" t="s">
        <v>853</v>
      </c>
      <c r="G25" s="62" t="s">
        <v>60</v>
      </c>
      <c r="H25" s="62" t="s">
        <v>33</v>
      </c>
      <c r="I25" s="62">
        <v>2</v>
      </c>
      <c r="J25" s="61">
        <f>LN(B25)</f>
        <v>3.4011973816621555</v>
      </c>
      <c r="K25" s="61">
        <v>0.36083237099999999</v>
      </c>
      <c r="L25" s="61" t="s">
        <v>31</v>
      </c>
      <c r="M25" s="61" t="s">
        <v>31</v>
      </c>
      <c r="N25" s="61" t="s">
        <v>31</v>
      </c>
      <c r="O25" s="24" t="s">
        <v>862</v>
      </c>
    </row>
    <row r="26" spans="1:16" ht="15.75">
      <c r="A26" s="62" t="s">
        <v>464</v>
      </c>
      <c r="B26" s="62">
        <v>227.44785999999999</v>
      </c>
      <c r="D26" s="62" t="s">
        <v>37</v>
      </c>
      <c r="E26" s="149" t="s">
        <v>2</v>
      </c>
      <c r="F26" s="62" t="s">
        <v>853</v>
      </c>
      <c r="G26" s="62" t="s">
        <v>60</v>
      </c>
      <c r="H26" s="62" t="s">
        <v>33</v>
      </c>
      <c r="I26" s="62">
        <v>2</v>
      </c>
      <c r="J26" s="61">
        <f>LN(B26)</f>
        <v>5.4269210253105067</v>
      </c>
      <c r="K26" s="61">
        <v>0.36083237099999999</v>
      </c>
      <c r="L26" s="61" t="s">
        <v>31</v>
      </c>
      <c r="M26" s="61" t="s">
        <v>31</v>
      </c>
      <c r="N26" s="61" t="s">
        <v>31</v>
      </c>
      <c r="O26" s="61" t="s">
        <v>863</v>
      </c>
    </row>
    <row r="27" spans="1:16" s="143" customFormat="1" ht="15.75">
      <c r="A27" s="141" t="s">
        <v>5</v>
      </c>
      <c r="B27" s="141" t="s">
        <v>864</v>
      </c>
      <c r="C27" s="141"/>
      <c r="D27" s="142" t="s">
        <v>781</v>
      </c>
    </row>
    <row r="28" spans="1:16">
      <c r="A28" s="62" t="s">
        <v>7</v>
      </c>
      <c r="B28" s="62" t="s">
        <v>853</v>
      </c>
    </row>
    <row r="29" spans="1:16">
      <c r="A29" s="62" t="s">
        <v>9</v>
      </c>
      <c r="B29" s="62" t="s">
        <v>865</v>
      </c>
    </row>
    <row r="30" spans="1:16">
      <c r="A30" s="62" t="s">
        <v>11</v>
      </c>
      <c r="B30" s="62" t="s">
        <v>329</v>
      </c>
    </row>
    <row r="31" spans="1:16">
      <c r="A31" s="62" t="s">
        <v>13</v>
      </c>
      <c r="B31" s="62" t="s">
        <v>60</v>
      </c>
    </row>
    <row r="32" spans="1:16">
      <c r="A32" s="62" t="s">
        <v>15</v>
      </c>
      <c r="B32" s="62">
        <v>1</v>
      </c>
    </row>
    <row r="33" spans="1:16">
      <c r="A33" s="62" t="s">
        <v>16</v>
      </c>
      <c r="B33" s="62" t="s">
        <v>17</v>
      </c>
    </row>
    <row r="34" spans="1:16">
      <c r="A34" s="62" t="s">
        <v>18</v>
      </c>
      <c r="B34" s="62" t="s">
        <v>18</v>
      </c>
      <c r="E34" s="62" t="s">
        <v>77</v>
      </c>
    </row>
    <row r="35" spans="1:16" ht="15.75">
      <c r="A35" s="144" t="s">
        <v>19</v>
      </c>
    </row>
    <row r="36" spans="1:16" ht="15.75">
      <c r="A36" s="144" t="s">
        <v>20</v>
      </c>
      <c r="B36" s="144" t="s">
        <v>21</v>
      </c>
      <c r="C36" s="144" t="s">
        <v>78</v>
      </c>
      <c r="D36" s="144" t="s">
        <v>18</v>
      </c>
      <c r="E36" s="144" t="s">
        <v>22</v>
      </c>
      <c r="F36" s="144" t="s">
        <v>7</v>
      </c>
      <c r="G36" s="144" t="s">
        <v>13</v>
      </c>
      <c r="H36" s="144" t="s">
        <v>16</v>
      </c>
      <c r="I36" s="144" t="s">
        <v>23</v>
      </c>
      <c r="J36" s="144" t="s">
        <v>24</v>
      </c>
      <c r="K36" s="144" t="s">
        <v>25</v>
      </c>
      <c r="L36" s="144" t="s">
        <v>26</v>
      </c>
      <c r="M36" s="144" t="s">
        <v>27</v>
      </c>
      <c r="N36" s="144" t="s">
        <v>28</v>
      </c>
      <c r="O36" s="144" t="s">
        <v>9</v>
      </c>
      <c r="P36" s="144" t="s">
        <v>11</v>
      </c>
    </row>
    <row r="37" spans="1:16" ht="15.75">
      <c r="A37" s="62" t="s">
        <v>864</v>
      </c>
      <c r="B37" s="62">
        <f>B32</f>
        <v>1</v>
      </c>
      <c r="D37" s="62" t="str">
        <f>B34</f>
        <v>unit</v>
      </c>
      <c r="E37" s="61" t="s">
        <v>2</v>
      </c>
      <c r="F37" s="62" t="str">
        <f>B28</f>
        <v>airport</v>
      </c>
      <c r="G37" s="62" t="str">
        <f>B31</f>
        <v>GLO</v>
      </c>
      <c r="H37" s="62" t="s">
        <v>30</v>
      </c>
      <c r="I37" s="62">
        <v>0</v>
      </c>
      <c r="J37" s="61" t="s">
        <v>31</v>
      </c>
      <c r="K37" s="61" t="s">
        <v>31</v>
      </c>
      <c r="L37" s="61" t="s">
        <v>31</v>
      </c>
      <c r="M37" s="61" t="s">
        <v>31</v>
      </c>
      <c r="N37" s="61" t="s">
        <v>31</v>
      </c>
      <c r="O37" s="62" t="str">
        <f>B29</f>
        <v>ECA7B740F26344F0A234B5C1E2F2CD8E</v>
      </c>
      <c r="P37" s="61" t="s">
        <v>866</v>
      </c>
    </row>
    <row r="38" spans="1:16" ht="15.75">
      <c r="A38" s="62" t="s">
        <v>867</v>
      </c>
      <c r="B38" s="62">
        <v>0.03</v>
      </c>
      <c r="D38" s="62" t="s">
        <v>37</v>
      </c>
      <c r="E38" s="62" t="s">
        <v>38</v>
      </c>
      <c r="F38" s="62" t="s">
        <v>853</v>
      </c>
      <c r="G38" s="62" t="s">
        <v>60</v>
      </c>
      <c r="H38" s="62" t="s">
        <v>33</v>
      </c>
      <c r="I38" s="62">
        <v>2</v>
      </c>
      <c r="J38" s="62">
        <f>LN(B38)</f>
        <v>-3.5065578973199818</v>
      </c>
      <c r="K38" s="62">
        <v>0.35860842199999998</v>
      </c>
      <c r="L38" s="61" t="s">
        <v>31</v>
      </c>
      <c r="M38" s="61" t="s">
        <v>31</v>
      </c>
      <c r="N38" s="61" t="s">
        <v>31</v>
      </c>
      <c r="O38" s="24" t="s">
        <v>868</v>
      </c>
    </row>
    <row r="39" spans="1:16" ht="15.75">
      <c r="A39" s="62" t="s">
        <v>497</v>
      </c>
      <c r="B39" s="62">
        <v>0.94500000000000006</v>
      </c>
      <c r="D39" s="62" t="s">
        <v>37</v>
      </c>
      <c r="E39" s="62" t="s">
        <v>38</v>
      </c>
      <c r="F39" s="62" t="s">
        <v>853</v>
      </c>
      <c r="G39" s="62" t="s">
        <v>60</v>
      </c>
      <c r="H39" s="62" t="s">
        <v>33</v>
      </c>
      <c r="I39" s="62">
        <v>2</v>
      </c>
      <c r="J39" s="62">
        <f t="shared" ref="J39:J44" si="0">LN(B39)</f>
        <v>-5.6570351488394233E-2</v>
      </c>
      <c r="K39" s="62">
        <v>0.35860842199999998</v>
      </c>
      <c r="L39" s="61" t="s">
        <v>31</v>
      </c>
      <c r="M39" s="61" t="s">
        <v>31</v>
      </c>
      <c r="N39" s="61" t="s">
        <v>31</v>
      </c>
      <c r="O39" s="24" t="s">
        <v>869</v>
      </c>
    </row>
    <row r="40" spans="1:16" ht="15.75">
      <c r="A40" s="24" t="s">
        <v>497</v>
      </c>
      <c r="B40" s="62">
        <v>0.54500000000000004</v>
      </c>
      <c r="D40" s="62" t="s">
        <v>37</v>
      </c>
      <c r="E40" s="62" t="s">
        <v>38</v>
      </c>
      <c r="F40" s="62" t="s">
        <v>853</v>
      </c>
      <c r="G40" s="62" t="s">
        <v>60</v>
      </c>
      <c r="H40" s="62" t="s">
        <v>33</v>
      </c>
      <c r="I40" s="62">
        <v>2</v>
      </c>
      <c r="J40" s="62">
        <f t="shared" si="0"/>
        <v>-0.60696948431889286</v>
      </c>
      <c r="K40" s="62">
        <v>0.35860842199999998</v>
      </c>
      <c r="L40" s="61" t="s">
        <v>31</v>
      </c>
      <c r="M40" s="61" t="s">
        <v>31</v>
      </c>
      <c r="N40" s="61" t="s">
        <v>31</v>
      </c>
      <c r="O40" s="24" t="s">
        <v>869</v>
      </c>
    </row>
    <row r="41" spans="1:16" ht="15.75">
      <c r="A41" s="24" t="s">
        <v>497</v>
      </c>
      <c r="B41" s="62">
        <v>5.2500000000000005E-2</v>
      </c>
      <c r="D41" s="62" t="s">
        <v>37</v>
      </c>
      <c r="E41" s="62" t="s">
        <v>38</v>
      </c>
      <c r="F41" s="62" t="s">
        <v>853</v>
      </c>
      <c r="G41" s="62" t="s">
        <v>60</v>
      </c>
      <c r="H41" s="62" t="s">
        <v>33</v>
      </c>
      <c r="I41" s="62">
        <v>2</v>
      </c>
      <c r="J41" s="62">
        <f t="shared" si="0"/>
        <v>-2.9469421093845587</v>
      </c>
      <c r="K41" s="62">
        <v>0.35860842199999998</v>
      </c>
      <c r="L41" s="61" t="s">
        <v>31</v>
      </c>
      <c r="M41" s="61" t="s">
        <v>31</v>
      </c>
      <c r="N41" s="61" t="s">
        <v>31</v>
      </c>
      <c r="O41" s="24" t="s">
        <v>869</v>
      </c>
    </row>
    <row r="42" spans="1:16" ht="15.75">
      <c r="A42" s="30" t="s">
        <v>97</v>
      </c>
      <c r="B42" s="62">
        <v>0.35000000000000003</v>
      </c>
      <c r="D42" s="62" t="s">
        <v>37</v>
      </c>
      <c r="E42" s="62" t="s">
        <v>38</v>
      </c>
      <c r="F42" s="62" t="s">
        <v>853</v>
      </c>
      <c r="G42" s="62" t="s">
        <v>60</v>
      </c>
      <c r="H42" s="62" t="s">
        <v>33</v>
      </c>
      <c r="I42" s="62">
        <v>2</v>
      </c>
      <c r="J42" s="62">
        <f t="shared" si="0"/>
        <v>-1.0498221244986776</v>
      </c>
      <c r="K42" s="62">
        <v>0.35860842199999998</v>
      </c>
      <c r="L42" s="61" t="s">
        <v>31</v>
      </c>
      <c r="M42" s="61" t="s">
        <v>31</v>
      </c>
      <c r="N42" s="61" t="s">
        <v>31</v>
      </c>
      <c r="O42" s="62" t="s">
        <v>870</v>
      </c>
    </row>
    <row r="43" spans="1:16" ht="15.75">
      <c r="A43" s="429" t="s">
        <v>678</v>
      </c>
      <c r="B43" s="62">
        <v>0.16500000000000001</v>
      </c>
      <c r="D43" s="62" t="s">
        <v>37</v>
      </c>
      <c r="E43" s="62" t="s">
        <v>38</v>
      </c>
      <c r="F43" s="62" t="s">
        <v>853</v>
      </c>
      <c r="G43" s="62" t="s">
        <v>60</v>
      </c>
      <c r="H43" s="62" t="s">
        <v>33</v>
      </c>
      <c r="I43" s="62">
        <v>2</v>
      </c>
      <c r="J43" s="62">
        <f t="shared" si="0"/>
        <v>-1.8018098050815563</v>
      </c>
      <c r="K43" s="62">
        <v>0.35860842199999998</v>
      </c>
      <c r="L43" s="61" t="s">
        <v>31</v>
      </c>
      <c r="M43" s="61" t="s">
        <v>31</v>
      </c>
      <c r="N43" s="61" t="s">
        <v>31</v>
      </c>
      <c r="O43" s="24" t="s">
        <v>871</v>
      </c>
    </row>
    <row r="44" spans="1:16" ht="15.75">
      <c r="A44" s="24" t="s">
        <v>497</v>
      </c>
      <c r="B44" s="62">
        <v>7.4999999999999997E-2</v>
      </c>
      <c r="D44" s="62" t="s">
        <v>37</v>
      </c>
      <c r="E44" s="62" t="s">
        <v>38</v>
      </c>
      <c r="F44" s="62" t="s">
        <v>853</v>
      </c>
      <c r="G44" s="62" t="s">
        <v>60</v>
      </c>
      <c r="H44" s="62" t="s">
        <v>33</v>
      </c>
      <c r="I44" s="62">
        <v>2</v>
      </c>
      <c r="J44" s="62">
        <f t="shared" si="0"/>
        <v>-2.5902671654458267</v>
      </c>
      <c r="K44" s="62">
        <v>0.35860842199999998</v>
      </c>
      <c r="L44" s="61" t="s">
        <v>31</v>
      </c>
      <c r="M44" s="61" t="s">
        <v>31</v>
      </c>
      <c r="N44" s="61" t="s">
        <v>31</v>
      </c>
      <c r="O44" s="24" t="s">
        <v>869</v>
      </c>
    </row>
    <row r="45" spans="1:16" s="143" customFormat="1" ht="15.75">
      <c r="A45" s="141" t="s">
        <v>5</v>
      </c>
      <c r="B45" s="141" t="s">
        <v>872</v>
      </c>
      <c r="C45" s="141"/>
      <c r="D45" s="142" t="s">
        <v>781</v>
      </c>
    </row>
    <row r="46" spans="1:16">
      <c r="A46" s="62" t="s">
        <v>7</v>
      </c>
      <c r="B46" s="62" t="s">
        <v>853</v>
      </c>
    </row>
    <row r="47" spans="1:16">
      <c r="A47" s="62" t="s">
        <v>9</v>
      </c>
      <c r="B47" s="62" t="s">
        <v>873</v>
      </c>
    </row>
    <row r="48" spans="1:16">
      <c r="A48" s="62" t="s">
        <v>11</v>
      </c>
      <c r="B48" s="62" t="s">
        <v>329</v>
      </c>
    </row>
    <row r="49" spans="1:16">
      <c r="A49" s="62" t="s">
        <v>13</v>
      </c>
      <c r="B49" s="62" t="s">
        <v>60</v>
      </c>
    </row>
    <row r="50" spans="1:16">
      <c r="A50" s="62" t="s">
        <v>15</v>
      </c>
      <c r="B50" s="62">
        <v>1</v>
      </c>
    </row>
    <row r="51" spans="1:16">
      <c r="A51" s="62" t="s">
        <v>16</v>
      </c>
      <c r="B51" s="62" t="s">
        <v>17</v>
      </c>
    </row>
    <row r="52" spans="1:16">
      <c r="A52" s="62" t="s">
        <v>18</v>
      </c>
      <c r="B52" s="62" t="s">
        <v>18</v>
      </c>
    </row>
    <row r="53" spans="1:16" ht="15.75">
      <c r="A53" s="144" t="s">
        <v>19</v>
      </c>
    </row>
    <row r="54" spans="1:16" ht="15.75">
      <c r="A54" s="144" t="s">
        <v>20</v>
      </c>
      <c r="B54" s="144" t="s">
        <v>21</v>
      </c>
      <c r="C54" s="144" t="s">
        <v>78</v>
      </c>
      <c r="D54" s="144" t="s">
        <v>18</v>
      </c>
      <c r="E54" s="144" t="s">
        <v>22</v>
      </c>
      <c r="F54" s="144" t="s">
        <v>7</v>
      </c>
      <c r="G54" s="144" t="s">
        <v>13</v>
      </c>
      <c r="H54" s="144" t="s">
        <v>16</v>
      </c>
      <c r="I54" s="144" t="s">
        <v>23</v>
      </c>
      <c r="J54" s="144" t="s">
        <v>24</v>
      </c>
      <c r="K54" s="144" t="s">
        <v>25</v>
      </c>
      <c r="L54" s="144" t="s">
        <v>26</v>
      </c>
      <c r="M54" s="144" t="s">
        <v>27</v>
      </c>
      <c r="N54" s="144" t="s">
        <v>28</v>
      </c>
      <c r="O54" s="144" t="s">
        <v>9</v>
      </c>
      <c r="P54" s="144" t="s">
        <v>11</v>
      </c>
    </row>
    <row r="55" spans="1:16" ht="15.75">
      <c r="A55" s="62" t="str">
        <f>B45</f>
        <v>production of transformer</v>
      </c>
      <c r="B55" s="62">
        <f>B50</f>
        <v>1</v>
      </c>
      <c r="D55" s="62" t="str">
        <f>B52</f>
        <v>unit</v>
      </c>
      <c r="E55" s="61" t="s">
        <v>2</v>
      </c>
      <c r="F55" s="62" t="str">
        <f>B46</f>
        <v>airport</v>
      </c>
      <c r="G55" s="62" t="str">
        <f>B49</f>
        <v>GLO</v>
      </c>
      <c r="H55" s="62" t="s">
        <v>30</v>
      </c>
      <c r="I55" s="62">
        <v>0</v>
      </c>
      <c r="J55" s="61" t="s">
        <v>31</v>
      </c>
      <c r="K55" s="61" t="s">
        <v>31</v>
      </c>
      <c r="L55" s="61" t="s">
        <v>31</v>
      </c>
      <c r="M55" s="61" t="s">
        <v>31</v>
      </c>
      <c r="N55" s="61" t="s">
        <v>31</v>
      </c>
      <c r="O55" s="62" t="str">
        <f>B47</f>
        <v>A838D77AFB304C2382F68188BB083898</v>
      </c>
      <c r="P55" s="61" t="s">
        <v>874</v>
      </c>
    </row>
    <row r="56" spans="1:16" ht="15.75">
      <c r="A56" s="430" t="s">
        <v>142</v>
      </c>
      <c r="B56" s="62">
        <v>1512.75</v>
      </c>
      <c r="D56" s="62" t="s">
        <v>37</v>
      </c>
      <c r="E56" s="62" t="s">
        <v>38</v>
      </c>
      <c r="F56" s="62" t="s">
        <v>853</v>
      </c>
      <c r="G56" s="62" t="s">
        <v>60</v>
      </c>
      <c r="H56" s="62" t="s">
        <v>33</v>
      </c>
      <c r="I56" s="62">
        <v>2</v>
      </c>
      <c r="J56" s="62">
        <f>LN(B56)</f>
        <v>7.3216844655024307</v>
      </c>
      <c r="K56" s="62">
        <v>0.35860842199999998</v>
      </c>
      <c r="L56" s="61" t="s">
        <v>31</v>
      </c>
      <c r="M56" s="61" t="s">
        <v>31</v>
      </c>
      <c r="N56" s="61" t="s">
        <v>31</v>
      </c>
      <c r="O56" s="24" t="s">
        <v>875</v>
      </c>
      <c r="P56" s="62" t="s">
        <v>876</v>
      </c>
    </row>
    <row r="57" spans="1:16" ht="15.75">
      <c r="A57" s="430" t="s">
        <v>467</v>
      </c>
      <c r="B57" s="62">
        <v>9.5</v>
      </c>
      <c r="D57" s="62" t="s">
        <v>37</v>
      </c>
      <c r="E57" s="62" t="s">
        <v>38</v>
      </c>
      <c r="F57" s="62" t="s">
        <v>853</v>
      </c>
      <c r="G57" s="62" t="s">
        <v>86</v>
      </c>
      <c r="H57" s="62" t="s">
        <v>33</v>
      </c>
      <c r="I57" s="62">
        <v>2</v>
      </c>
      <c r="J57" s="62">
        <f>LN(B57)</f>
        <v>2.2512917986064953</v>
      </c>
      <c r="K57" s="62">
        <v>0.35860842199999998</v>
      </c>
      <c r="L57" s="61" t="s">
        <v>31</v>
      </c>
      <c r="M57" s="61" t="s">
        <v>31</v>
      </c>
      <c r="N57" s="61" t="s">
        <v>31</v>
      </c>
      <c r="O57" s="24" t="s">
        <v>877</v>
      </c>
      <c r="P57" s="62" t="s">
        <v>878</v>
      </c>
    </row>
    <row r="58" spans="1:16" ht="15.75">
      <c r="A58" s="429" t="s">
        <v>146</v>
      </c>
      <c r="B58" s="62">
        <v>1250.45</v>
      </c>
      <c r="D58" s="62" t="s">
        <v>37</v>
      </c>
      <c r="E58" s="62" t="s">
        <v>38</v>
      </c>
      <c r="F58" s="62" t="s">
        <v>853</v>
      </c>
      <c r="G58" s="62" t="s">
        <v>60</v>
      </c>
      <c r="H58" s="62" t="s">
        <v>33</v>
      </c>
      <c r="I58" s="62">
        <v>2</v>
      </c>
      <c r="J58" s="62">
        <f>LN(B58)</f>
        <v>7.1312587655118946</v>
      </c>
      <c r="K58" s="62">
        <v>0.35860842199999998</v>
      </c>
      <c r="L58" s="61" t="s">
        <v>31</v>
      </c>
      <c r="M58" s="61" t="s">
        <v>31</v>
      </c>
      <c r="N58" s="61" t="s">
        <v>31</v>
      </c>
      <c r="O58" s="24" t="s">
        <v>879</v>
      </c>
      <c r="P58" s="62" t="s">
        <v>880</v>
      </c>
    </row>
    <row r="59" spans="1:16" ht="15.75">
      <c r="A59" s="431" t="s">
        <v>467</v>
      </c>
      <c r="B59" s="62">
        <v>7.8579999999999997</v>
      </c>
      <c r="D59" s="62" t="s">
        <v>37</v>
      </c>
      <c r="E59" s="62" t="s">
        <v>38</v>
      </c>
      <c r="F59" s="62" t="s">
        <v>853</v>
      </c>
      <c r="G59" s="62" t="s">
        <v>86</v>
      </c>
      <c r="H59" s="62" t="s">
        <v>33</v>
      </c>
      <c r="I59" s="62">
        <v>2</v>
      </c>
      <c r="J59" s="62">
        <f>LN(B59)</f>
        <v>2.0615321211362678</v>
      </c>
      <c r="K59" s="62">
        <v>0.35860842199999998</v>
      </c>
      <c r="L59" s="61" t="s">
        <v>31</v>
      </c>
      <c r="M59" s="61" t="s">
        <v>31</v>
      </c>
      <c r="N59" s="61" t="s">
        <v>31</v>
      </c>
      <c r="O59" s="24" t="s">
        <v>877</v>
      </c>
      <c r="P59" s="62" t="s">
        <v>881</v>
      </c>
    </row>
    <row r="60" spans="1:16" s="143" customFormat="1" ht="15.75">
      <c r="A60" s="141" t="s">
        <v>5</v>
      </c>
      <c r="B60" s="141" t="s">
        <v>882</v>
      </c>
      <c r="C60" s="141"/>
      <c r="D60" s="142" t="s">
        <v>781</v>
      </c>
    </row>
    <row r="61" spans="1:16">
      <c r="A61" s="62" t="s">
        <v>7</v>
      </c>
      <c r="B61" s="62" t="s">
        <v>853</v>
      </c>
    </row>
    <row r="62" spans="1:16">
      <c r="A62" s="62" t="s">
        <v>9</v>
      </c>
      <c r="B62" s="62" t="s">
        <v>883</v>
      </c>
    </row>
    <row r="63" spans="1:16">
      <c r="A63" s="62" t="s">
        <v>11</v>
      </c>
      <c r="B63" s="62" t="s">
        <v>329</v>
      </c>
    </row>
    <row r="64" spans="1:16">
      <c r="A64" s="62" t="s">
        <v>13</v>
      </c>
      <c r="B64" s="62" t="s">
        <v>60</v>
      </c>
    </row>
    <row r="65" spans="1:16">
      <c r="A65" s="62" t="s">
        <v>15</v>
      </c>
      <c r="B65" s="62">
        <v>1</v>
      </c>
    </row>
    <row r="66" spans="1:16">
      <c r="A66" s="62" t="s">
        <v>16</v>
      </c>
      <c r="B66" s="62" t="s">
        <v>17</v>
      </c>
    </row>
    <row r="67" spans="1:16">
      <c r="A67" s="62" t="s">
        <v>18</v>
      </c>
      <c r="B67" s="62" t="s">
        <v>18</v>
      </c>
    </row>
    <row r="68" spans="1:16" ht="15.75">
      <c r="A68" s="144" t="s">
        <v>19</v>
      </c>
    </row>
    <row r="69" spans="1:16" ht="15.75">
      <c r="A69" s="144" t="s">
        <v>20</v>
      </c>
      <c r="B69" s="144" t="s">
        <v>21</v>
      </c>
      <c r="C69" s="144" t="s">
        <v>78</v>
      </c>
      <c r="D69" s="144" t="s">
        <v>18</v>
      </c>
      <c r="E69" s="144" t="s">
        <v>22</v>
      </c>
      <c r="F69" s="144" t="s">
        <v>7</v>
      </c>
      <c r="G69" s="144" t="s">
        <v>13</v>
      </c>
      <c r="H69" s="144" t="s">
        <v>16</v>
      </c>
      <c r="I69" s="144" t="s">
        <v>23</v>
      </c>
      <c r="J69" s="144" t="s">
        <v>24</v>
      </c>
      <c r="K69" s="144" t="s">
        <v>25</v>
      </c>
      <c r="L69" s="144" t="s">
        <v>26</v>
      </c>
      <c r="M69" s="144" t="s">
        <v>27</v>
      </c>
      <c r="N69" s="144" t="s">
        <v>28</v>
      </c>
      <c r="O69" s="144" t="s">
        <v>9</v>
      </c>
      <c r="P69" s="144" t="s">
        <v>11</v>
      </c>
    </row>
    <row r="70" spans="1:16" ht="15.75">
      <c r="A70" s="62" t="str">
        <f>B60</f>
        <v>production of charging cable</v>
      </c>
      <c r="B70" s="62">
        <f>B65</f>
        <v>1</v>
      </c>
      <c r="D70" s="62" t="str">
        <f>B67</f>
        <v>unit</v>
      </c>
      <c r="E70" s="61" t="s">
        <v>2</v>
      </c>
      <c r="F70" s="62" t="str">
        <f>B61</f>
        <v>airport</v>
      </c>
      <c r="G70" s="62" t="str">
        <f>B64</f>
        <v>GLO</v>
      </c>
      <c r="H70" s="62" t="s">
        <v>30</v>
      </c>
      <c r="I70" s="62">
        <v>0</v>
      </c>
      <c r="J70" s="61" t="s">
        <v>31</v>
      </c>
      <c r="K70" s="61" t="s">
        <v>31</v>
      </c>
      <c r="L70" s="61" t="s">
        <v>31</v>
      </c>
      <c r="M70" s="61" t="s">
        <v>31</v>
      </c>
      <c r="N70" s="61" t="s">
        <v>31</v>
      </c>
      <c r="O70" s="62" t="str">
        <f>B62</f>
        <v>D62B3CC5360949A3AD8278945B4E7494</v>
      </c>
      <c r="P70" s="61" t="s">
        <v>884</v>
      </c>
    </row>
    <row r="71" spans="1:16" ht="15.75">
      <c r="A71" s="430" t="s">
        <v>678</v>
      </c>
      <c r="B71" s="62">
        <v>0.8</v>
      </c>
      <c r="D71" s="62" t="s">
        <v>37</v>
      </c>
      <c r="E71" s="62" t="s">
        <v>38</v>
      </c>
      <c r="F71" s="62" t="s">
        <v>853</v>
      </c>
      <c r="G71" s="62" t="s">
        <v>60</v>
      </c>
      <c r="H71" s="62" t="s">
        <v>33</v>
      </c>
      <c r="I71" s="62">
        <v>2</v>
      </c>
      <c r="J71" s="62">
        <f>LN(B71)</f>
        <v>-0.22314355131420971</v>
      </c>
      <c r="K71" s="62">
        <v>0.35860842199999998</v>
      </c>
      <c r="L71" s="61" t="s">
        <v>31</v>
      </c>
      <c r="M71" s="61" t="s">
        <v>31</v>
      </c>
      <c r="N71" s="61" t="s">
        <v>31</v>
      </c>
      <c r="O71" s="24" t="s">
        <v>885</v>
      </c>
    </row>
    <row r="72" spans="1:16" ht="15.75">
      <c r="A72" s="62" t="s">
        <v>886</v>
      </c>
      <c r="B72" s="62">
        <v>2.0499999999999998</v>
      </c>
      <c r="D72" s="62" t="s">
        <v>37</v>
      </c>
      <c r="E72" s="62" t="s">
        <v>38</v>
      </c>
      <c r="F72" s="62" t="s">
        <v>853</v>
      </c>
      <c r="G72" s="62" t="s">
        <v>86</v>
      </c>
      <c r="H72" s="62" t="s">
        <v>33</v>
      </c>
      <c r="I72" s="62">
        <v>2</v>
      </c>
      <c r="J72" s="62">
        <f>LN(B72)</f>
        <v>0.71783979315031676</v>
      </c>
      <c r="K72" s="62">
        <v>0.35860842199999998</v>
      </c>
      <c r="L72" s="61" t="s">
        <v>31</v>
      </c>
      <c r="M72" s="61" t="s">
        <v>31</v>
      </c>
      <c r="N72" s="61" t="s">
        <v>31</v>
      </c>
      <c r="O72" s="24" t="s">
        <v>887</v>
      </c>
    </row>
    <row r="73" spans="1:16" ht="15.75">
      <c r="A73" s="432" t="s">
        <v>146</v>
      </c>
      <c r="B73" s="62">
        <v>36.153930729999999</v>
      </c>
      <c r="D73" s="62" t="s">
        <v>37</v>
      </c>
      <c r="E73" s="62" t="s">
        <v>38</v>
      </c>
      <c r="F73" s="62" t="s">
        <v>853</v>
      </c>
      <c r="G73" s="62" t="s">
        <v>60</v>
      </c>
      <c r="H73" s="62" t="s">
        <v>33</v>
      </c>
      <c r="I73" s="62">
        <v>2</v>
      </c>
      <c r="J73" s="62">
        <f>LN(B73)</f>
        <v>3.5877856765802569</v>
      </c>
      <c r="K73" s="62">
        <v>0.35860842199999998</v>
      </c>
      <c r="L73" s="61" t="s">
        <v>31</v>
      </c>
      <c r="M73" s="61" t="s">
        <v>31</v>
      </c>
      <c r="N73" s="61" t="s">
        <v>31</v>
      </c>
      <c r="O73" s="24" t="s">
        <v>879</v>
      </c>
      <c r="P73" s="62" t="s">
        <v>888</v>
      </c>
    </row>
    <row r="74" spans="1:16" ht="15.75">
      <c r="A74" s="429" t="s">
        <v>510</v>
      </c>
      <c r="B74" s="62">
        <v>32.5013468</v>
      </c>
      <c r="D74" s="62" t="s">
        <v>37</v>
      </c>
      <c r="E74" s="62" t="s">
        <v>38</v>
      </c>
      <c r="F74" s="62" t="s">
        <v>853</v>
      </c>
      <c r="G74" s="62" t="s">
        <v>60</v>
      </c>
      <c r="H74" s="62" t="s">
        <v>33</v>
      </c>
      <c r="I74" s="62">
        <v>2</v>
      </c>
      <c r="J74" s="62">
        <f>LN(B74)</f>
        <v>3.4812815284770786</v>
      </c>
      <c r="K74" s="62">
        <v>0.35860842199999998</v>
      </c>
      <c r="L74" s="61" t="s">
        <v>31</v>
      </c>
      <c r="M74" s="61" t="s">
        <v>31</v>
      </c>
      <c r="N74" s="61" t="s">
        <v>31</v>
      </c>
      <c r="O74" s="24" t="s">
        <v>889</v>
      </c>
    </row>
    <row r="75" spans="1:16" ht="15.75">
      <c r="A75" s="429" t="s">
        <v>769</v>
      </c>
      <c r="B75" s="62">
        <v>14.116389270000001</v>
      </c>
      <c r="D75" s="62" t="s">
        <v>37</v>
      </c>
      <c r="E75" s="62" t="s">
        <v>38</v>
      </c>
      <c r="F75" s="62" t="s">
        <v>853</v>
      </c>
      <c r="G75" s="62" t="s">
        <v>60</v>
      </c>
      <c r="H75" s="62" t="s">
        <v>33</v>
      </c>
      <c r="I75" s="62">
        <v>2</v>
      </c>
      <c r="J75" s="62">
        <f>LN(B75)</f>
        <v>2.6473364819417249</v>
      </c>
      <c r="K75" s="62">
        <v>0.35860842199999998</v>
      </c>
      <c r="L75" s="61" t="s">
        <v>31</v>
      </c>
      <c r="M75" s="61" t="s">
        <v>31</v>
      </c>
      <c r="N75" s="61" t="s">
        <v>31</v>
      </c>
      <c r="O75" s="24" t="s">
        <v>890</v>
      </c>
      <c r="P75" s="62" t="s">
        <v>891</v>
      </c>
    </row>
    <row r="76" spans="1:16" s="143" customFormat="1" ht="15.75">
      <c r="A76" s="141" t="s">
        <v>5</v>
      </c>
      <c r="B76" s="141" t="s">
        <v>892</v>
      </c>
      <c r="C76" s="141"/>
      <c r="D76" s="142" t="s">
        <v>781</v>
      </c>
    </row>
    <row r="77" spans="1:16">
      <c r="A77" s="62" t="s">
        <v>7</v>
      </c>
      <c r="B77" s="62" t="s">
        <v>853</v>
      </c>
    </row>
    <row r="78" spans="1:16">
      <c r="A78" s="62" t="s">
        <v>9</v>
      </c>
      <c r="B78" s="62" t="s">
        <v>893</v>
      </c>
    </row>
    <row r="79" spans="1:16">
      <c r="A79" s="62" t="s">
        <v>11</v>
      </c>
      <c r="B79" s="62" t="s">
        <v>329</v>
      </c>
    </row>
    <row r="80" spans="1:16">
      <c r="A80" s="62" t="s">
        <v>13</v>
      </c>
      <c r="B80" s="62" t="s">
        <v>60</v>
      </c>
    </row>
    <row r="81" spans="1:16">
      <c r="A81" s="62" t="s">
        <v>15</v>
      </c>
      <c r="B81" s="62">
        <v>1</v>
      </c>
    </row>
    <row r="82" spans="1:16">
      <c r="A82" s="62" t="s">
        <v>16</v>
      </c>
      <c r="B82" s="62" t="s">
        <v>17</v>
      </c>
    </row>
    <row r="83" spans="1:16">
      <c r="A83" s="62" t="s">
        <v>18</v>
      </c>
      <c r="B83" s="62" t="s">
        <v>18</v>
      </c>
    </row>
    <row r="84" spans="1:16" ht="15.75">
      <c r="A84" s="144" t="s">
        <v>19</v>
      </c>
    </row>
    <row r="85" spans="1:16" ht="15.75">
      <c r="A85" s="144" t="s">
        <v>20</v>
      </c>
      <c r="B85" s="144" t="s">
        <v>21</v>
      </c>
      <c r="C85" s="144" t="s">
        <v>78</v>
      </c>
      <c r="D85" s="144" t="s">
        <v>18</v>
      </c>
      <c r="E85" s="144" t="s">
        <v>22</v>
      </c>
      <c r="F85" s="144" t="s">
        <v>7</v>
      </c>
      <c r="G85" s="144" t="s">
        <v>13</v>
      </c>
      <c r="H85" s="144" t="s">
        <v>16</v>
      </c>
      <c r="I85" s="144" t="s">
        <v>23</v>
      </c>
      <c r="J85" s="144" t="s">
        <v>24</v>
      </c>
      <c r="K85" s="144" t="s">
        <v>25</v>
      </c>
      <c r="L85" s="144" t="s">
        <v>26</v>
      </c>
      <c r="M85" s="144" t="s">
        <v>27</v>
      </c>
      <c r="N85" s="144" t="s">
        <v>28</v>
      </c>
      <c r="O85" s="144" t="s">
        <v>9</v>
      </c>
      <c r="P85" s="144" t="s">
        <v>11</v>
      </c>
    </row>
    <row r="86" spans="1:16" ht="15.75">
      <c r="A86" s="62" t="str">
        <f>B76</f>
        <v>produciton of control cabinet, fuses, signal cables</v>
      </c>
      <c r="B86" s="62">
        <f>B81</f>
        <v>1</v>
      </c>
      <c r="D86" s="62" t="str">
        <f>B83</f>
        <v>unit</v>
      </c>
      <c r="E86" s="61" t="s">
        <v>2</v>
      </c>
      <c r="F86" s="62" t="str">
        <f>B77</f>
        <v>airport</v>
      </c>
      <c r="G86" s="62" t="str">
        <f>B80</f>
        <v>GLO</v>
      </c>
      <c r="H86" s="62" t="s">
        <v>30</v>
      </c>
      <c r="I86" s="62">
        <v>0</v>
      </c>
      <c r="J86" s="61" t="s">
        <v>31</v>
      </c>
      <c r="K86" s="61" t="s">
        <v>31</v>
      </c>
      <c r="L86" s="61" t="s">
        <v>31</v>
      </c>
      <c r="M86" s="61" t="s">
        <v>31</v>
      </c>
      <c r="N86" s="61" t="s">
        <v>31</v>
      </c>
      <c r="O86" s="62" t="str">
        <f>B78</f>
        <v>3694FE4A1D7A44618FD5A5A7AE3F2355</v>
      </c>
      <c r="P86" s="61" t="s">
        <v>894</v>
      </c>
    </row>
    <row r="87" spans="1:16" ht="15.75">
      <c r="A87" s="62" t="s">
        <v>895</v>
      </c>
      <c r="B87" s="62">
        <v>20</v>
      </c>
      <c r="D87" s="62" t="s">
        <v>37</v>
      </c>
      <c r="E87" s="62" t="s">
        <v>38</v>
      </c>
      <c r="F87" s="62" t="s">
        <v>853</v>
      </c>
      <c r="G87" s="62" t="s">
        <v>60</v>
      </c>
      <c r="H87" s="62" t="s">
        <v>33</v>
      </c>
      <c r="I87" s="62">
        <v>2</v>
      </c>
      <c r="J87" s="62">
        <f>LN(B87)</f>
        <v>2.9957322735539909</v>
      </c>
      <c r="K87" s="62">
        <v>0.35860842199999998</v>
      </c>
      <c r="L87" s="61" t="s">
        <v>31</v>
      </c>
      <c r="M87" s="61" t="s">
        <v>31</v>
      </c>
      <c r="N87" s="61" t="s">
        <v>31</v>
      </c>
      <c r="O87" s="24" t="s">
        <v>896</v>
      </c>
    </row>
    <row r="88" spans="1:16" s="143" customFormat="1" ht="15.75">
      <c r="A88" s="141" t="s">
        <v>5</v>
      </c>
      <c r="B88" s="141" t="s">
        <v>897</v>
      </c>
      <c r="C88" s="141"/>
      <c r="D88" s="142" t="s">
        <v>781</v>
      </c>
    </row>
    <row r="89" spans="1:16">
      <c r="A89" s="62" t="s">
        <v>7</v>
      </c>
      <c r="B89" s="62" t="s">
        <v>853</v>
      </c>
    </row>
    <row r="90" spans="1:16">
      <c r="A90" s="62" t="s">
        <v>9</v>
      </c>
      <c r="B90" s="62" t="s">
        <v>898</v>
      </c>
    </row>
    <row r="91" spans="1:16">
      <c r="A91" s="62" t="s">
        <v>11</v>
      </c>
      <c r="B91" s="62" t="s">
        <v>329</v>
      </c>
    </row>
    <row r="92" spans="1:16">
      <c r="A92" s="62" t="s">
        <v>13</v>
      </c>
      <c r="B92" s="62" t="s">
        <v>60</v>
      </c>
    </row>
    <row r="93" spans="1:16">
      <c r="A93" s="62" t="s">
        <v>15</v>
      </c>
      <c r="B93" s="62">
        <v>1</v>
      </c>
    </row>
    <row r="94" spans="1:16">
      <c r="A94" s="62" t="s">
        <v>16</v>
      </c>
      <c r="B94" s="62" t="s">
        <v>17</v>
      </c>
    </row>
    <row r="95" spans="1:16">
      <c r="A95" s="62" t="s">
        <v>18</v>
      </c>
      <c r="B95" s="62" t="s">
        <v>18</v>
      </c>
    </row>
    <row r="96" spans="1:16" ht="15.75">
      <c r="A96" s="144" t="s">
        <v>19</v>
      </c>
    </row>
    <row r="97" spans="1:16" ht="15.75">
      <c r="A97" s="144" t="s">
        <v>20</v>
      </c>
      <c r="B97" s="144" t="s">
        <v>21</v>
      </c>
      <c r="C97" s="144" t="s">
        <v>78</v>
      </c>
      <c r="D97" s="144" t="s">
        <v>18</v>
      </c>
      <c r="E97" s="144" t="s">
        <v>22</v>
      </c>
      <c r="F97" s="144" t="s">
        <v>7</v>
      </c>
      <c r="G97" s="144" t="s">
        <v>13</v>
      </c>
      <c r="H97" s="144" t="s">
        <v>16</v>
      </c>
      <c r="I97" s="144" t="s">
        <v>23</v>
      </c>
      <c r="J97" s="144" t="s">
        <v>24</v>
      </c>
      <c r="K97" s="144" t="s">
        <v>25</v>
      </c>
      <c r="L97" s="144" t="s">
        <v>26</v>
      </c>
      <c r="M97" s="144" t="s">
        <v>27</v>
      </c>
      <c r="N97" s="144" t="s">
        <v>28</v>
      </c>
      <c r="O97" s="144" t="s">
        <v>9</v>
      </c>
      <c r="P97" s="144" t="s">
        <v>11</v>
      </c>
    </row>
    <row r="98" spans="1:16" ht="15.75">
      <c r="A98" s="62" t="str">
        <f>B88</f>
        <v>produciton of fans</v>
      </c>
      <c r="B98" s="62">
        <f>B93</f>
        <v>1</v>
      </c>
      <c r="D98" s="62" t="str">
        <f>B95</f>
        <v>unit</v>
      </c>
      <c r="E98" s="61" t="s">
        <v>2</v>
      </c>
      <c r="F98" s="62" t="str">
        <f>B89</f>
        <v>airport</v>
      </c>
      <c r="G98" s="62" t="str">
        <f>B92</f>
        <v>GLO</v>
      </c>
      <c r="H98" s="62" t="s">
        <v>30</v>
      </c>
      <c r="I98" s="62">
        <v>0</v>
      </c>
      <c r="J98" s="61" t="s">
        <v>31</v>
      </c>
      <c r="K98" s="61" t="s">
        <v>31</v>
      </c>
      <c r="L98" s="61" t="s">
        <v>31</v>
      </c>
      <c r="M98" s="61" t="s">
        <v>31</v>
      </c>
      <c r="N98" s="61" t="s">
        <v>31</v>
      </c>
      <c r="O98" s="62" t="str">
        <f>B90</f>
        <v>DDAB2684BD164E5296FDF98BD9933314</v>
      </c>
      <c r="P98" s="61" t="s">
        <v>899</v>
      </c>
    </row>
    <row r="99" spans="1:16" ht="15.75">
      <c r="A99" s="30" t="s">
        <v>97</v>
      </c>
      <c r="B99" s="62">
        <v>33</v>
      </c>
      <c r="D99" s="62" t="s">
        <v>37</v>
      </c>
      <c r="E99" s="62" t="s">
        <v>38</v>
      </c>
      <c r="F99" s="62" t="s">
        <v>853</v>
      </c>
      <c r="G99" s="62" t="s">
        <v>60</v>
      </c>
      <c r="H99" s="62" t="s">
        <v>33</v>
      </c>
      <c r="I99" s="62">
        <v>2</v>
      </c>
      <c r="J99" s="62">
        <f>LN(B99)</f>
        <v>3.4965075614664802</v>
      </c>
      <c r="K99" s="62">
        <v>0.35860842199999998</v>
      </c>
      <c r="L99" s="61" t="s">
        <v>31</v>
      </c>
      <c r="M99" s="61" t="s">
        <v>31</v>
      </c>
      <c r="N99" s="61" t="s">
        <v>31</v>
      </c>
      <c r="O99" s="24" t="s">
        <v>896</v>
      </c>
    </row>
    <row r="100" spans="1:16" s="143" customFormat="1" ht="15.75">
      <c r="A100" s="141" t="s">
        <v>5</v>
      </c>
      <c r="B100" s="141" t="s">
        <v>180</v>
      </c>
      <c r="C100" s="141"/>
      <c r="D100" s="142" t="s">
        <v>781</v>
      </c>
    </row>
    <row r="101" spans="1:16">
      <c r="A101" s="62" t="s">
        <v>7</v>
      </c>
      <c r="B101" s="62" t="s">
        <v>853</v>
      </c>
    </row>
    <row r="102" spans="1:16">
      <c r="A102" s="62" t="s">
        <v>9</v>
      </c>
      <c r="B102" s="62" t="s">
        <v>900</v>
      </c>
    </row>
    <row r="103" spans="1:16">
      <c r="A103" s="62" t="s">
        <v>11</v>
      </c>
      <c r="B103" s="62" t="s">
        <v>329</v>
      </c>
    </row>
    <row r="104" spans="1:16">
      <c r="A104" s="62" t="s">
        <v>13</v>
      </c>
      <c r="B104" s="62" t="s">
        <v>60</v>
      </c>
    </row>
    <row r="105" spans="1:16">
      <c r="A105" s="62" t="s">
        <v>15</v>
      </c>
      <c r="B105" s="62">
        <v>1</v>
      </c>
    </row>
    <row r="106" spans="1:16">
      <c r="A106" s="62" t="s">
        <v>16</v>
      </c>
      <c r="B106" s="62" t="s">
        <v>17</v>
      </c>
    </row>
    <row r="107" spans="1:16">
      <c r="A107" s="62" t="s">
        <v>18</v>
      </c>
      <c r="B107" s="62" t="s">
        <v>18</v>
      </c>
      <c r="E107" s="62" t="s">
        <v>77</v>
      </c>
    </row>
    <row r="108" spans="1:16" ht="15.75">
      <c r="A108" s="144" t="s">
        <v>19</v>
      </c>
    </row>
    <row r="109" spans="1:16" ht="15.75">
      <c r="A109" s="144" t="s">
        <v>20</v>
      </c>
      <c r="B109" s="144" t="s">
        <v>21</v>
      </c>
      <c r="C109" s="144" t="s">
        <v>78</v>
      </c>
      <c r="D109" s="144" t="s">
        <v>18</v>
      </c>
      <c r="E109" s="144" t="s">
        <v>22</v>
      </c>
      <c r="F109" s="144" t="s">
        <v>7</v>
      </c>
      <c r="G109" s="144" t="s">
        <v>13</v>
      </c>
      <c r="H109" s="144" t="s">
        <v>16</v>
      </c>
      <c r="I109" s="144" t="s">
        <v>23</v>
      </c>
      <c r="J109" s="144" t="s">
        <v>24</v>
      </c>
      <c r="K109" s="144" t="s">
        <v>25</v>
      </c>
      <c r="L109" s="144" t="s">
        <v>26</v>
      </c>
      <c r="M109" s="144" t="s">
        <v>27</v>
      </c>
      <c r="N109" s="144" t="s">
        <v>28</v>
      </c>
      <c r="O109" s="144" t="s">
        <v>9</v>
      </c>
      <c r="P109" s="144" t="s">
        <v>11</v>
      </c>
    </row>
    <row r="110" spans="1:16" ht="15.75">
      <c r="A110" s="62" t="str">
        <f>B100</f>
        <v>production of charging station, medium-term</v>
      </c>
      <c r="B110" s="62">
        <f>B105</f>
        <v>1</v>
      </c>
      <c r="D110" s="62" t="str">
        <f>B107</f>
        <v>unit</v>
      </c>
      <c r="E110" s="61" t="s">
        <v>2</v>
      </c>
      <c r="F110" s="62" t="str">
        <f>B101</f>
        <v>airport</v>
      </c>
      <c r="G110" s="62" t="s">
        <v>60</v>
      </c>
      <c r="H110" s="62" t="s">
        <v>30</v>
      </c>
      <c r="I110" s="62">
        <v>0</v>
      </c>
      <c r="J110" s="61" t="s">
        <v>31</v>
      </c>
      <c r="K110" s="61" t="s">
        <v>31</v>
      </c>
      <c r="L110" s="61" t="s">
        <v>31</v>
      </c>
      <c r="M110" s="61" t="s">
        <v>31</v>
      </c>
      <c r="N110" s="61" t="s">
        <v>31</v>
      </c>
      <c r="O110" s="62" t="str">
        <f>B102</f>
        <v>E42C38D1C5274D05AFC4835D87E12958</v>
      </c>
      <c r="P110" s="61" t="s">
        <v>901</v>
      </c>
    </row>
    <row r="111" spans="1:16" ht="15.75">
      <c r="A111" s="62" t="str">
        <f>A12</f>
        <v>production of casing</v>
      </c>
      <c r="B111" s="62">
        <v>16</v>
      </c>
      <c r="D111" s="62" t="str">
        <f>D12</f>
        <v>unit</v>
      </c>
      <c r="E111" s="62" t="str">
        <f>E12</f>
        <v>GENESIS_2040_GT-bat_NDC</v>
      </c>
      <c r="F111" s="62" t="str">
        <f>F12</f>
        <v>airport</v>
      </c>
      <c r="G111" s="62" t="str">
        <f>G12</f>
        <v>GLO</v>
      </c>
      <c r="H111" s="62" t="s">
        <v>33</v>
      </c>
      <c r="I111" s="62">
        <v>0</v>
      </c>
      <c r="J111" s="61" t="s">
        <v>31</v>
      </c>
      <c r="K111" s="61" t="s">
        <v>31</v>
      </c>
      <c r="L111" s="61" t="s">
        <v>31</v>
      </c>
      <c r="M111" s="61" t="s">
        <v>31</v>
      </c>
      <c r="N111" s="61" t="s">
        <v>31</v>
      </c>
      <c r="O111" s="62" t="str">
        <f>O12</f>
        <v>7973BE31C4BF4485AEDFFDAAEC40A2F4</v>
      </c>
      <c r="P111" s="61"/>
    </row>
    <row r="112" spans="1:16" ht="15.75">
      <c r="A112" s="62" t="str">
        <f>B14</f>
        <v>production of display unit</v>
      </c>
      <c r="B112" s="62">
        <v>4</v>
      </c>
      <c r="D112" s="62" t="str">
        <f>D24</f>
        <v>unit</v>
      </c>
      <c r="E112" s="62" t="str">
        <f>E24</f>
        <v>GENESIS_2040_GT-bat_NDC</v>
      </c>
      <c r="F112" s="62" t="str">
        <f>F24</f>
        <v>airport</v>
      </c>
      <c r="G112" s="62" t="str">
        <f>G24</f>
        <v>GLO</v>
      </c>
      <c r="H112" s="62" t="s">
        <v>33</v>
      </c>
      <c r="I112" s="62">
        <v>0</v>
      </c>
      <c r="J112" s="61" t="s">
        <v>31</v>
      </c>
      <c r="K112" s="61" t="s">
        <v>31</v>
      </c>
      <c r="L112" s="61" t="s">
        <v>31</v>
      </c>
      <c r="M112" s="61" t="s">
        <v>31</v>
      </c>
      <c r="N112" s="61" t="s">
        <v>31</v>
      </c>
      <c r="O112" s="62" t="str">
        <f>O24</f>
        <v>34291682699047F69508C77059B21350</v>
      </c>
      <c r="P112" s="61"/>
    </row>
    <row r="113" spans="1:16" ht="15.75">
      <c r="A113" s="62" t="str">
        <f>'A. ACDC POWER MODULE '!B2</f>
        <v>production of ACDC power module, battery charging, medium-term</v>
      </c>
      <c r="B113" s="62">
        <v>48</v>
      </c>
      <c r="D113" s="62" t="s">
        <v>18</v>
      </c>
      <c r="E113" s="62" t="str">
        <f t="shared" ref="E113:E114" si="1">E25</f>
        <v>GENESIS_2040_GT-bat_NDC</v>
      </c>
      <c r="F113" t="s">
        <v>902</v>
      </c>
      <c r="G113" s="62" t="s">
        <v>14</v>
      </c>
      <c r="H113" s="62" t="s">
        <v>33</v>
      </c>
      <c r="I113" s="62">
        <v>0</v>
      </c>
      <c r="J113" s="61" t="s">
        <v>31</v>
      </c>
      <c r="K113" s="61" t="s">
        <v>31</v>
      </c>
      <c r="L113" s="61" t="s">
        <v>31</v>
      </c>
      <c r="M113" s="61" t="s">
        <v>31</v>
      </c>
      <c r="N113" s="61" t="s">
        <v>31</v>
      </c>
      <c r="O113" t="str">
        <f>'A. ACDC POWER MODULE '!B4</f>
        <v>F5EEF73B89C948DC9C8FA9CA6469F21F</v>
      </c>
      <c r="P113" s="61"/>
    </row>
    <row r="114" spans="1:16" ht="15.75">
      <c r="A114" s="62" t="str">
        <f>'B. DCDC POWER MODULE '!B2</f>
        <v>production of DCDC power module, battery charging, medium-term</v>
      </c>
      <c r="B114" s="62">
        <v>48</v>
      </c>
      <c r="D114" s="62" t="s">
        <v>18</v>
      </c>
      <c r="E114" s="62" t="str">
        <f t="shared" si="1"/>
        <v>GENESIS_2040_GT-bat_NDC</v>
      </c>
      <c r="F114" t="s">
        <v>902</v>
      </c>
      <c r="G114" s="62" t="s">
        <v>14</v>
      </c>
      <c r="H114" s="62" t="s">
        <v>33</v>
      </c>
      <c r="I114" s="62">
        <v>0</v>
      </c>
      <c r="J114" s="61" t="s">
        <v>31</v>
      </c>
      <c r="K114" s="61" t="s">
        <v>31</v>
      </c>
      <c r="L114" s="61" t="s">
        <v>31</v>
      </c>
      <c r="M114" s="61" t="s">
        <v>31</v>
      </c>
      <c r="N114" s="61" t="s">
        <v>31</v>
      </c>
      <c r="O114" t="str">
        <f>'B. DCDC POWER MODULE '!B4</f>
        <v>E1BEB9AFA9134BEAA4FD2DEFCE863217</v>
      </c>
      <c r="P114" s="61"/>
    </row>
    <row r="115" spans="1:16" ht="15.75">
      <c r="A115" s="62" t="str">
        <f>A37</f>
        <v>production of plug</v>
      </c>
      <c r="B115" s="62">
        <v>4</v>
      </c>
      <c r="D115" s="62" t="str">
        <f>D37</f>
        <v>unit</v>
      </c>
      <c r="E115" s="62" t="str">
        <f>E37</f>
        <v>GENESIS_2040_GT-bat_NDC</v>
      </c>
      <c r="F115" s="62" t="str">
        <f>F37</f>
        <v>airport</v>
      </c>
      <c r="G115" s="62" t="str">
        <f>G37</f>
        <v>GLO</v>
      </c>
      <c r="H115" s="62" t="s">
        <v>33</v>
      </c>
      <c r="I115" s="62">
        <v>0</v>
      </c>
      <c r="J115" s="61" t="s">
        <v>31</v>
      </c>
      <c r="K115" s="61" t="s">
        <v>31</v>
      </c>
      <c r="L115" s="61" t="s">
        <v>31</v>
      </c>
      <c r="M115" s="61" t="s">
        <v>31</v>
      </c>
      <c r="N115" s="61" t="s">
        <v>31</v>
      </c>
      <c r="O115" s="62" t="str">
        <f>O37</f>
        <v>ECA7B740F26344F0A234B5C1E2F2CD8E</v>
      </c>
      <c r="P115" s="61"/>
    </row>
    <row r="116" spans="1:16" ht="15.75">
      <c r="A116" s="62" t="str">
        <f>A55</f>
        <v>production of transformer</v>
      </c>
      <c r="B116" s="62">
        <v>48</v>
      </c>
      <c r="D116" s="62" t="str">
        <f>D55</f>
        <v>unit</v>
      </c>
      <c r="E116" s="62" t="str">
        <f t="shared" ref="E116:G116" si="2">E55</f>
        <v>GENESIS_2040_GT-bat_NDC</v>
      </c>
      <c r="F116" s="62" t="str">
        <f t="shared" si="2"/>
        <v>airport</v>
      </c>
      <c r="G116" s="62" t="str">
        <f t="shared" si="2"/>
        <v>GLO</v>
      </c>
      <c r="H116" s="62" t="s">
        <v>33</v>
      </c>
      <c r="I116" s="62">
        <v>0</v>
      </c>
      <c r="J116" s="61" t="s">
        <v>31</v>
      </c>
      <c r="K116" s="61" t="s">
        <v>31</v>
      </c>
      <c r="L116" s="61" t="s">
        <v>31</v>
      </c>
      <c r="M116" s="61" t="s">
        <v>31</v>
      </c>
      <c r="N116" s="61" t="s">
        <v>31</v>
      </c>
      <c r="O116" s="62" t="str">
        <f>O55</f>
        <v>A838D77AFB304C2382F68188BB083898</v>
      </c>
      <c r="P116" s="61"/>
    </row>
    <row r="117" spans="1:16" ht="15.75">
      <c r="A117" s="62" t="str">
        <f>A70</f>
        <v>production of charging cable</v>
      </c>
      <c r="B117" s="62">
        <v>4</v>
      </c>
      <c r="D117" s="62" t="str">
        <f>D70</f>
        <v>unit</v>
      </c>
      <c r="E117" s="62" t="str">
        <f t="shared" ref="E117:G117" si="3">E70</f>
        <v>GENESIS_2040_GT-bat_NDC</v>
      </c>
      <c r="F117" s="62" t="str">
        <f t="shared" si="3"/>
        <v>airport</v>
      </c>
      <c r="G117" s="62" t="str">
        <f t="shared" si="3"/>
        <v>GLO</v>
      </c>
      <c r="H117" s="62" t="s">
        <v>33</v>
      </c>
      <c r="I117" s="62">
        <v>0</v>
      </c>
      <c r="J117" s="61" t="s">
        <v>31</v>
      </c>
      <c r="K117" s="61" t="s">
        <v>31</v>
      </c>
      <c r="L117" s="61" t="s">
        <v>31</v>
      </c>
      <c r="M117" s="61" t="s">
        <v>31</v>
      </c>
      <c r="N117" s="61" t="s">
        <v>31</v>
      </c>
      <c r="O117" s="62" t="str">
        <f>O70</f>
        <v>D62B3CC5360949A3AD8278945B4E7494</v>
      </c>
      <c r="P117" s="61"/>
    </row>
    <row r="118" spans="1:16" ht="15.75">
      <c r="A118" s="62" t="str">
        <f>A86</f>
        <v>produciton of control cabinet, fuses, signal cables</v>
      </c>
      <c r="B118" s="62">
        <v>16</v>
      </c>
      <c r="D118" s="62" t="str">
        <f>D86</f>
        <v>unit</v>
      </c>
      <c r="E118" s="62" t="str">
        <f t="shared" ref="E118:G118" si="4">E86</f>
        <v>GENESIS_2040_GT-bat_NDC</v>
      </c>
      <c r="F118" s="62" t="str">
        <f t="shared" si="4"/>
        <v>airport</v>
      </c>
      <c r="G118" s="62" t="str">
        <f t="shared" si="4"/>
        <v>GLO</v>
      </c>
      <c r="H118" s="62" t="s">
        <v>33</v>
      </c>
      <c r="I118" s="62">
        <v>0</v>
      </c>
      <c r="J118" s="61" t="s">
        <v>31</v>
      </c>
      <c r="K118" s="61" t="s">
        <v>31</v>
      </c>
      <c r="L118" s="61" t="s">
        <v>31</v>
      </c>
      <c r="M118" s="61" t="s">
        <v>31</v>
      </c>
      <c r="N118" s="61" t="s">
        <v>31</v>
      </c>
      <c r="O118" s="62" t="str">
        <f>O86</f>
        <v>3694FE4A1D7A44618FD5A5A7AE3F2355</v>
      </c>
      <c r="P118" s="61"/>
    </row>
    <row r="119" spans="1:16" ht="15.75">
      <c r="A119" s="62" t="str">
        <f>A98</f>
        <v>produciton of fans</v>
      </c>
      <c r="B119" s="62">
        <v>48</v>
      </c>
      <c r="D119" s="62" t="str">
        <f>D98</f>
        <v>unit</v>
      </c>
      <c r="E119" s="62" t="str">
        <f t="shared" ref="E119:G120" si="5">E98</f>
        <v>GENESIS_2040_GT-bat_NDC</v>
      </c>
      <c r="F119" s="62" t="str">
        <f t="shared" si="5"/>
        <v>airport</v>
      </c>
      <c r="G119" s="62" t="str">
        <f t="shared" si="5"/>
        <v>GLO</v>
      </c>
      <c r="H119" s="62" t="s">
        <v>33</v>
      </c>
      <c r="I119" s="62">
        <v>0</v>
      </c>
      <c r="J119" s="61" t="s">
        <v>31</v>
      </c>
      <c r="K119" s="61" t="s">
        <v>31</v>
      </c>
      <c r="L119" s="61" t="s">
        <v>31</v>
      </c>
      <c r="M119" s="61" t="s">
        <v>31</v>
      </c>
      <c r="N119" s="61" t="s">
        <v>31</v>
      </c>
      <c r="O119" s="62" t="str">
        <f>O98</f>
        <v>DDAB2684BD164E5296FDF98BD9933314</v>
      </c>
      <c r="P119" s="61"/>
    </row>
    <row r="120" spans="1:16" ht="15.75">
      <c r="A120" s="62" t="s">
        <v>73</v>
      </c>
      <c r="B120" s="62">
        <v>1</v>
      </c>
      <c r="D120" s="62" t="s">
        <v>18</v>
      </c>
      <c r="E120" s="62" t="s">
        <v>2</v>
      </c>
      <c r="F120" s="62" t="s">
        <v>74</v>
      </c>
      <c r="G120" s="62" t="str">
        <f t="shared" si="5"/>
        <v>GLO</v>
      </c>
      <c r="H120" s="62" t="s">
        <v>33</v>
      </c>
      <c r="I120" s="62">
        <v>0</v>
      </c>
      <c r="J120" s="61" t="s">
        <v>31</v>
      </c>
      <c r="K120" s="61" t="s">
        <v>31</v>
      </c>
      <c r="L120" s="61" t="s">
        <v>31</v>
      </c>
      <c r="M120" s="61" t="s">
        <v>31</v>
      </c>
      <c r="N120" s="61" t="s">
        <v>31</v>
      </c>
      <c r="P120" s="61"/>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835C6-D98B-4DF2-A945-C28D96DE10D3}">
  <dimension ref="A1:S67"/>
  <sheetViews>
    <sheetView topLeftCell="A18" zoomScale="82" workbookViewId="0">
      <selection activeCell="G113" sqref="G113"/>
    </sheetView>
  </sheetViews>
  <sheetFormatPr defaultRowHeight="15"/>
  <cols>
    <col min="1" max="1" width="43.140625" bestFit="1" customWidth="1"/>
    <col min="4" max="4" width="34.42578125" bestFit="1" customWidth="1"/>
  </cols>
  <sheetData>
    <row r="1" spans="1:17">
      <c r="A1" t="s">
        <v>0</v>
      </c>
      <c r="B1">
        <v>14</v>
      </c>
    </row>
    <row r="2" spans="1:17" ht="15.75">
      <c r="A2" s="245" t="s">
        <v>5</v>
      </c>
      <c r="B2" s="246" t="s">
        <v>903</v>
      </c>
      <c r="C2" s="120"/>
      <c r="D2" s="42"/>
      <c r="E2" s="42"/>
      <c r="F2" s="42"/>
      <c r="G2" s="42"/>
      <c r="H2" s="42"/>
      <c r="I2" s="42"/>
      <c r="J2" s="42"/>
      <c r="K2" s="42"/>
      <c r="L2" s="42"/>
      <c r="M2" s="42"/>
      <c r="Q2" t="s">
        <v>904</v>
      </c>
    </row>
    <row r="3" spans="1:17">
      <c r="A3" s="247" t="s">
        <v>7</v>
      </c>
      <c r="B3" t="s">
        <v>902</v>
      </c>
      <c r="C3" s="23"/>
    </row>
    <row r="4" spans="1:17">
      <c r="A4" s="247" t="s">
        <v>9</v>
      </c>
      <c r="B4" t="s">
        <v>905</v>
      </c>
      <c r="C4" s="23"/>
    </row>
    <row r="5" spans="1:17">
      <c r="A5" s="247" t="s">
        <v>11</v>
      </c>
      <c r="B5" s="249" t="s">
        <v>906</v>
      </c>
    </row>
    <row r="6" spans="1:17">
      <c r="A6" s="247" t="s">
        <v>13</v>
      </c>
      <c r="B6" s="251" t="s">
        <v>39</v>
      </c>
    </row>
    <row r="7" spans="1:17">
      <c r="A7" s="247" t="s">
        <v>15</v>
      </c>
      <c r="B7">
        <v>1</v>
      </c>
    </row>
    <row r="8" spans="1:17">
      <c r="A8" s="247" t="s">
        <v>16</v>
      </c>
      <c r="B8" t="s">
        <v>17</v>
      </c>
    </row>
    <row r="9" spans="1:17">
      <c r="A9" s="247" t="s">
        <v>18</v>
      </c>
      <c r="B9" t="s">
        <v>37</v>
      </c>
    </row>
    <row r="10" spans="1:17" ht="15.75">
      <c r="A10" s="252" t="s">
        <v>19</v>
      </c>
    </row>
    <row r="11" spans="1:17" ht="15.75">
      <c r="A11" s="252"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7" ht="15.75">
      <c r="A12" s="17" t="s">
        <v>903</v>
      </c>
      <c r="B12">
        <v>1</v>
      </c>
      <c r="C12" t="s">
        <v>37</v>
      </c>
      <c r="D12" s="17" t="s">
        <v>2</v>
      </c>
      <c r="E12" t="s">
        <v>29</v>
      </c>
      <c r="F12" s="251" t="s">
        <v>39</v>
      </c>
      <c r="G12" t="s">
        <v>30</v>
      </c>
      <c r="H12">
        <v>1</v>
      </c>
      <c r="I12">
        <v>1</v>
      </c>
      <c r="J12" t="s">
        <v>31</v>
      </c>
      <c r="K12" t="s">
        <v>31</v>
      </c>
      <c r="L12" t="s">
        <v>31</v>
      </c>
      <c r="M12" t="s">
        <v>31</v>
      </c>
    </row>
    <row r="13" spans="1:17" ht="15.75">
      <c r="A13" s="253" t="s">
        <v>907</v>
      </c>
      <c r="B13">
        <v>-1</v>
      </c>
      <c r="C13" t="s">
        <v>37</v>
      </c>
      <c r="D13" s="17" t="s">
        <v>38</v>
      </c>
      <c r="E13" t="s">
        <v>29</v>
      </c>
      <c r="F13" s="251" t="s">
        <v>39</v>
      </c>
      <c r="G13" t="s">
        <v>33</v>
      </c>
      <c r="H13">
        <v>1</v>
      </c>
      <c r="I13">
        <v>1</v>
      </c>
      <c r="J13" t="s">
        <v>31</v>
      </c>
      <c r="K13" t="s">
        <v>31</v>
      </c>
      <c r="L13" t="s">
        <v>31</v>
      </c>
      <c r="M13" t="s">
        <v>31</v>
      </c>
    </row>
    <row r="14" spans="1:17" ht="15.75">
      <c r="A14" s="245" t="s">
        <v>5</v>
      </c>
      <c r="B14" s="246" t="s">
        <v>908</v>
      </c>
      <c r="C14" s="120"/>
      <c r="D14" s="42"/>
      <c r="E14" s="42"/>
      <c r="F14" s="42"/>
      <c r="G14" s="42"/>
      <c r="H14" s="42"/>
      <c r="I14" s="42"/>
      <c r="J14" s="42"/>
      <c r="K14" s="42"/>
      <c r="L14" s="42"/>
      <c r="M14" s="42"/>
    </row>
    <row r="15" spans="1:17">
      <c r="A15" s="247" t="s">
        <v>7</v>
      </c>
      <c r="B15" t="s">
        <v>902</v>
      </c>
      <c r="C15" s="23"/>
    </row>
    <row r="16" spans="1:17">
      <c r="A16" s="247" t="s">
        <v>9</v>
      </c>
      <c r="B16" s="31" t="s">
        <v>909</v>
      </c>
      <c r="C16" s="23"/>
    </row>
    <row r="17" spans="1:18">
      <c r="A17" s="247" t="s">
        <v>11</v>
      </c>
      <c r="B17" s="249" t="s">
        <v>906</v>
      </c>
    </row>
    <row r="18" spans="1:18">
      <c r="A18" s="247" t="s">
        <v>13</v>
      </c>
      <c r="B18" s="251" t="s">
        <v>39</v>
      </c>
    </row>
    <row r="19" spans="1:18">
      <c r="A19" s="247" t="s">
        <v>15</v>
      </c>
      <c r="B19">
        <v>1</v>
      </c>
    </row>
    <row r="20" spans="1:18">
      <c r="A20" s="247" t="s">
        <v>16</v>
      </c>
      <c r="B20" t="s">
        <v>17</v>
      </c>
    </row>
    <row r="21" spans="1:18">
      <c r="A21" s="247" t="s">
        <v>18</v>
      </c>
      <c r="B21" t="s">
        <v>37</v>
      </c>
    </row>
    <row r="22" spans="1:18" ht="15.75">
      <c r="A22" s="252" t="s">
        <v>19</v>
      </c>
    </row>
    <row r="23" spans="1:18" ht="15.75">
      <c r="A23" s="252" t="s">
        <v>20</v>
      </c>
      <c r="B23" s="16" t="s">
        <v>21</v>
      </c>
      <c r="C23" s="16" t="s">
        <v>18</v>
      </c>
      <c r="D23" s="16" t="s">
        <v>22</v>
      </c>
      <c r="E23" s="16" t="s">
        <v>7</v>
      </c>
      <c r="F23" s="16" t="s">
        <v>13</v>
      </c>
      <c r="G23" s="16" t="s">
        <v>16</v>
      </c>
      <c r="H23" s="16" t="s">
        <v>23</v>
      </c>
      <c r="I23" s="16" t="s">
        <v>24</v>
      </c>
      <c r="J23" s="16" t="s">
        <v>25</v>
      </c>
      <c r="K23" s="16" t="s">
        <v>26</v>
      </c>
      <c r="L23" s="16" t="s">
        <v>27</v>
      </c>
      <c r="M23" s="16" t="s">
        <v>28</v>
      </c>
      <c r="N23" s="16" t="s">
        <v>11</v>
      </c>
    </row>
    <row r="24" spans="1:18" ht="15.75">
      <c r="A24" s="17" t="s">
        <v>908</v>
      </c>
      <c r="B24">
        <v>1</v>
      </c>
      <c r="C24" t="s">
        <v>37</v>
      </c>
      <c r="D24" s="17" t="s">
        <v>2</v>
      </c>
      <c r="E24" t="s">
        <v>29</v>
      </c>
      <c r="F24" s="251" t="s">
        <v>39</v>
      </c>
      <c r="G24" t="s">
        <v>30</v>
      </c>
      <c r="H24">
        <v>1</v>
      </c>
      <c r="I24">
        <v>1</v>
      </c>
      <c r="J24" t="s">
        <v>31</v>
      </c>
      <c r="K24" t="s">
        <v>31</v>
      </c>
      <c r="L24" t="s">
        <v>31</v>
      </c>
      <c r="M24" t="s">
        <v>31</v>
      </c>
    </row>
    <row r="25" spans="1:18" ht="15.75">
      <c r="A25" s="253" t="s">
        <v>118</v>
      </c>
      <c r="B25">
        <v>-1</v>
      </c>
      <c r="C25" t="s">
        <v>37</v>
      </c>
      <c r="D25" s="17" t="s">
        <v>38</v>
      </c>
      <c r="E25" t="s">
        <v>29</v>
      </c>
      <c r="F25" t="s">
        <v>39</v>
      </c>
      <c r="G25" t="s">
        <v>33</v>
      </c>
      <c r="H25">
        <v>1</v>
      </c>
      <c r="I25">
        <v>1</v>
      </c>
      <c r="J25" t="s">
        <v>31</v>
      </c>
      <c r="K25" t="s">
        <v>31</v>
      </c>
      <c r="L25" t="s">
        <v>31</v>
      </c>
      <c r="M25" t="s">
        <v>31</v>
      </c>
    </row>
    <row r="26" spans="1:18" ht="15.75">
      <c r="A26" s="322" t="s">
        <v>5</v>
      </c>
      <c r="B26" s="337" t="s">
        <v>910</v>
      </c>
      <c r="C26" s="120"/>
      <c r="D26" s="42"/>
      <c r="E26" s="42"/>
      <c r="F26" s="42"/>
      <c r="G26" s="42"/>
      <c r="H26" s="42"/>
      <c r="I26" s="42"/>
      <c r="J26" s="42"/>
      <c r="K26" s="42"/>
      <c r="L26" s="42"/>
      <c r="M26" s="42"/>
      <c r="N26" s="42"/>
      <c r="O26" s="42"/>
      <c r="P26" s="42"/>
      <c r="Q26" s="42"/>
      <c r="R26" s="42"/>
    </row>
    <row r="27" spans="1:18">
      <c r="A27" s="324" t="s">
        <v>7</v>
      </c>
      <c r="B27" t="s">
        <v>902</v>
      </c>
      <c r="C27" s="23"/>
      <c r="O27" s="402" t="s">
        <v>911</v>
      </c>
    </row>
    <row r="28" spans="1:18">
      <c r="A28" s="324" t="s">
        <v>9</v>
      </c>
      <c r="B28" t="s">
        <v>912</v>
      </c>
      <c r="C28" s="23"/>
    </row>
    <row r="29" spans="1:18" ht="10.5" customHeight="1">
      <c r="A29" s="324" t="s">
        <v>11</v>
      </c>
      <c r="B29" s="249" t="s">
        <v>913</v>
      </c>
    </row>
    <row r="30" spans="1:18">
      <c r="A30" s="324" t="s">
        <v>13</v>
      </c>
      <c r="B30" t="s">
        <v>14</v>
      </c>
    </row>
    <row r="31" spans="1:18">
      <c r="A31" s="324" t="s">
        <v>15</v>
      </c>
      <c r="B31" s="22">
        <v>0.16</v>
      </c>
    </row>
    <row r="32" spans="1:18">
      <c r="A32" s="324" t="s">
        <v>16</v>
      </c>
      <c r="B32" t="s">
        <v>17</v>
      </c>
    </row>
    <row r="33" spans="1:19">
      <c r="A33" s="324" t="s">
        <v>18</v>
      </c>
      <c r="B33" t="s">
        <v>37</v>
      </c>
    </row>
    <row r="34" spans="1:19" ht="15.75">
      <c r="A34" s="325" t="s">
        <v>19</v>
      </c>
    </row>
    <row r="35" spans="1:19" ht="15.75">
      <c r="A35" s="325" t="s">
        <v>20</v>
      </c>
      <c r="B35" s="16" t="s">
        <v>21</v>
      </c>
      <c r="C35" s="16" t="s">
        <v>18</v>
      </c>
      <c r="D35" s="16" t="s">
        <v>22</v>
      </c>
      <c r="E35" s="16" t="s">
        <v>7</v>
      </c>
      <c r="F35" s="16" t="s">
        <v>13</v>
      </c>
      <c r="G35" s="16" t="s">
        <v>16</v>
      </c>
      <c r="H35" s="16" t="s">
        <v>23</v>
      </c>
      <c r="I35" s="16" t="s">
        <v>24</v>
      </c>
      <c r="J35" s="16" t="s">
        <v>25</v>
      </c>
      <c r="K35" s="16" t="s">
        <v>26</v>
      </c>
      <c r="L35" s="16" t="s">
        <v>27</v>
      </c>
      <c r="M35" s="16" t="s">
        <v>28</v>
      </c>
      <c r="N35" s="16" t="s">
        <v>11</v>
      </c>
    </row>
    <row r="36" spans="1:19" ht="15.75">
      <c r="A36" s="31" t="s">
        <v>910</v>
      </c>
      <c r="B36" s="22">
        <v>0.16</v>
      </c>
      <c r="C36" t="s">
        <v>37</v>
      </c>
      <c r="D36" s="326" t="s">
        <v>2</v>
      </c>
      <c r="E36" t="s">
        <v>29</v>
      </c>
      <c r="F36" s="251" t="s">
        <v>14</v>
      </c>
      <c r="G36" t="s">
        <v>30</v>
      </c>
      <c r="H36">
        <v>1</v>
      </c>
      <c r="I36" s="22">
        <f>B36</f>
        <v>0.16</v>
      </c>
      <c r="J36" t="s">
        <v>31</v>
      </c>
      <c r="K36" t="s">
        <v>31</v>
      </c>
      <c r="L36" t="s">
        <v>31</v>
      </c>
      <c r="M36" t="s">
        <v>31</v>
      </c>
      <c r="O36" s="30"/>
      <c r="P36" s="338"/>
    </row>
    <row r="37" spans="1:19" ht="15.75">
      <c r="A37" s="83" t="s">
        <v>137</v>
      </c>
      <c r="B37" s="336">
        <f>B36</f>
        <v>0.16</v>
      </c>
      <c r="C37" t="s">
        <v>37</v>
      </c>
      <c r="D37" s="17" t="s">
        <v>38</v>
      </c>
      <c r="E37" t="s">
        <v>29</v>
      </c>
      <c r="F37" s="251" t="s">
        <v>60</v>
      </c>
      <c r="G37" t="s">
        <v>33</v>
      </c>
      <c r="H37">
        <v>1</v>
      </c>
      <c r="I37" s="22">
        <f t="shared" ref="I37:I38" si="0">B37</f>
        <v>0.16</v>
      </c>
      <c r="J37" t="s">
        <v>31</v>
      </c>
      <c r="K37" t="s">
        <v>31</v>
      </c>
      <c r="L37" t="s">
        <v>31</v>
      </c>
      <c r="M37" t="s">
        <v>31</v>
      </c>
      <c r="O37" s="30"/>
      <c r="P37" s="338"/>
    </row>
    <row r="38" spans="1:19" ht="15.75">
      <c r="A38" s="83" t="s">
        <v>914</v>
      </c>
      <c r="B38" s="336">
        <f>B37</f>
        <v>0.16</v>
      </c>
      <c r="C38" t="s">
        <v>37</v>
      </c>
      <c r="D38" s="17" t="s">
        <v>38</v>
      </c>
      <c r="E38" t="s">
        <v>29</v>
      </c>
      <c r="F38" s="251" t="s">
        <v>60</v>
      </c>
      <c r="G38" t="s">
        <v>33</v>
      </c>
      <c r="H38">
        <v>1</v>
      </c>
      <c r="I38" s="22">
        <f t="shared" si="0"/>
        <v>0.16</v>
      </c>
      <c r="J38" t="s">
        <v>31</v>
      </c>
      <c r="K38" t="s">
        <v>31</v>
      </c>
      <c r="L38" t="s">
        <v>31</v>
      </c>
      <c r="M38" t="s">
        <v>31</v>
      </c>
      <c r="O38" s="30"/>
      <c r="P38" s="338"/>
    </row>
    <row r="39" spans="1:19" s="42" customFormat="1" ht="15.75">
      <c r="A39" s="245" t="s">
        <v>5</v>
      </c>
      <c r="B39" s="337" t="s">
        <v>915</v>
      </c>
      <c r="C39" s="120"/>
    </row>
    <row r="40" spans="1:19">
      <c r="A40" s="247" t="s">
        <v>7</v>
      </c>
      <c r="B40" t="s">
        <v>902</v>
      </c>
      <c r="C40" s="23"/>
    </row>
    <row r="41" spans="1:19">
      <c r="A41" s="433" t="s">
        <v>9</v>
      </c>
      <c r="B41" t="s">
        <v>916</v>
      </c>
      <c r="C41" s="23"/>
    </row>
    <row r="42" spans="1:19" ht="15.75" customHeight="1">
      <c r="A42" s="247" t="s">
        <v>11</v>
      </c>
      <c r="B42" s="249" t="s">
        <v>913</v>
      </c>
      <c r="O42" s="402" t="s">
        <v>911</v>
      </c>
    </row>
    <row r="43" spans="1:19">
      <c r="A43" s="247" t="s">
        <v>13</v>
      </c>
      <c r="B43" t="s">
        <v>14</v>
      </c>
    </row>
    <row r="44" spans="1:19">
      <c r="A44" s="247" t="s">
        <v>15</v>
      </c>
      <c r="B44" s="434">
        <v>0.25</v>
      </c>
    </row>
    <row r="45" spans="1:19">
      <c r="A45" s="247" t="s">
        <v>16</v>
      </c>
      <c r="B45" t="s">
        <v>17</v>
      </c>
    </row>
    <row r="46" spans="1:19">
      <c r="A46" s="247" t="s">
        <v>18</v>
      </c>
      <c r="B46" t="s">
        <v>37</v>
      </c>
      <c r="S46" s="283"/>
    </row>
    <row r="47" spans="1:19" ht="15.75">
      <c r="A47" s="252" t="s">
        <v>19</v>
      </c>
    </row>
    <row r="48" spans="1:19" ht="15.75">
      <c r="A48" s="16" t="s">
        <v>20</v>
      </c>
      <c r="B48" s="16" t="s">
        <v>21</v>
      </c>
      <c r="C48" s="16" t="s">
        <v>18</v>
      </c>
      <c r="D48" s="16" t="s">
        <v>22</v>
      </c>
      <c r="E48" s="16" t="s">
        <v>7</v>
      </c>
      <c r="F48" s="16" t="s">
        <v>13</v>
      </c>
      <c r="G48" s="16" t="s">
        <v>16</v>
      </c>
      <c r="H48" s="16" t="s">
        <v>23</v>
      </c>
      <c r="I48" s="16" t="s">
        <v>24</v>
      </c>
      <c r="J48" s="16" t="s">
        <v>25</v>
      </c>
      <c r="K48" s="16" t="s">
        <v>26</v>
      </c>
      <c r="L48" s="16" t="s">
        <v>27</v>
      </c>
      <c r="M48" s="16" t="s">
        <v>28</v>
      </c>
      <c r="N48" s="16" t="s">
        <v>11</v>
      </c>
    </row>
    <row r="49" spans="1:16" ht="15.75">
      <c r="A49" t="s">
        <v>915</v>
      </c>
      <c r="B49" s="22">
        <v>0.25</v>
      </c>
      <c r="C49" t="s">
        <v>37</v>
      </c>
      <c r="D49" s="326" t="s">
        <v>2</v>
      </c>
      <c r="E49" t="s">
        <v>29</v>
      </c>
      <c r="F49" t="s">
        <v>14</v>
      </c>
      <c r="G49" t="s">
        <v>917</v>
      </c>
      <c r="H49">
        <v>1</v>
      </c>
      <c r="I49" s="22">
        <f>B49</f>
        <v>0.25</v>
      </c>
      <c r="J49" t="s">
        <v>31</v>
      </c>
      <c r="K49" t="s">
        <v>31</v>
      </c>
      <c r="L49" t="s">
        <v>31</v>
      </c>
      <c r="M49" t="s">
        <v>31</v>
      </c>
      <c r="O49" s="435"/>
      <c r="P49" s="436"/>
    </row>
    <row r="50" spans="1:16" ht="15.75">
      <c r="A50" s="232" t="s">
        <v>918</v>
      </c>
      <c r="B50" s="22">
        <v>0.25</v>
      </c>
      <c r="C50" t="s">
        <v>37</v>
      </c>
      <c r="D50" s="17" t="s">
        <v>38</v>
      </c>
      <c r="E50" t="s">
        <v>29</v>
      </c>
      <c r="F50" s="251" t="s">
        <v>60</v>
      </c>
      <c r="G50" t="s">
        <v>33</v>
      </c>
      <c r="H50">
        <v>1</v>
      </c>
      <c r="I50" s="22">
        <f t="shared" ref="I50:I52" si="1">B50</f>
        <v>0.25</v>
      </c>
      <c r="J50" t="s">
        <v>31</v>
      </c>
      <c r="K50" t="s">
        <v>31</v>
      </c>
      <c r="L50" t="s">
        <v>31</v>
      </c>
      <c r="M50" t="s">
        <v>31</v>
      </c>
      <c r="O50" s="331"/>
      <c r="P50" s="296"/>
    </row>
    <row r="51" spans="1:16" ht="15.75">
      <c r="A51" s="232" t="s">
        <v>919</v>
      </c>
      <c r="B51" s="22">
        <v>0.25</v>
      </c>
      <c r="C51" t="s">
        <v>37</v>
      </c>
      <c r="D51" s="17" t="s">
        <v>38</v>
      </c>
      <c r="E51" t="s">
        <v>29</v>
      </c>
      <c r="F51" s="251" t="s">
        <v>60</v>
      </c>
      <c r="G51" t="s">
        <v>33</v>
      </c>
      <c r="H51">
        <v>1</v>
      </c>
      <c r="I51" s="22">
        <f t="shared" si="1"/>
        <v>0.25</v>
      </c>
      <c r="J51" t="s">
        <v>31</v>
      </c>
      <c r="K51" t="s">
        <v>31</v>
      </c>
      <c r="L51" t="s">
        <v>31</v>
      </c>
      <c r="M51" t="s">
        <v>31</v>
      </c>
      <c r="O51" s="331"/>
      <c r="P51" s="296"/>
    </row>
    <row r="52" spans="1:16" ht="15.75">
      <c r="A52" s="232" t="s">
        <v>920</v>
      </c>
      <c r="B52" s="22">
        <v>0.25</v>
      </c>
      <c r="C52" t="s">
        <v>37</v>
      </c>
      <c r="D52" s="17" t="s">
        <v>38</v>
      </c>
      <c r="E52" t="s">
        <v>29</v>
      </c>
      <c r="F52" s="251" t="s">
        <v>35</v>
      </c>
      <c r="G52" t="s">
        <v>33</v>
      </c>
      <c r="H52">
        <v>1</v>
      </c>
      <c r="I52" s="22">
        <f t="shared" si="1"/>
        <v>0.25</v>
      </c>
      <c r="J52" t="s">
        <v>31</v>
      </c>
      <c r="K52" t="s">
        <v>31</v>
      </c>
      <c r="L52" t="s">
        <v>31</v>
      </c>
      <c r="M52" t="s">
        <v>31</v>
      </c>
      <c r="O52" s="331"/>
      <c r="P52" s="296"/>
    </row>
    <row r="53" spans="1:16" ht="15.75">
      <c r="A53" s="245" t="s">
        <v>5</v>
      </c>
      <c r="B53" s="337" t="s">
        <v>921</v>
      </c>
      <c r="C53" s="120"/>
      <c r="D53" s="42"/>
      <c r="E53" s="42"/>
      <c r="F53" s="42"/>
      <c r="G53" s="42"/>
      <c r="H53" s="42"/>
      <c r="I53" s="42"/>
      <c r="J53" s="42"/>
      <c r="K53" s="42"/>
      <c r="L53" s="42"/>
      <c r="M53" s="42"/>
    </row>
    <row r="54" spans="1:16">
      <c r="A54" s="247" t="s">
        <v>7</v>
      </c>
      <c r="B54" t="s">
        <v>902</v>
      </c>
      <c r="C54" s="23"/>
    </row>
    <row r="55" spans="1:16">
      <c r="A55" s="247" t="s">
        <v>9</v>
      </c>
      <c r="B55" s="31" t="s">
        <v>922</v>
      </c>
      <c r="C55" s="23"/>
    </row>
    <row r="56" spans="1:16">
      <c r="A56" s="247" t="s">
        <v>11</v>
      </c>
      <c r="B56" s="249" t="s">
        <v>906</v>
      </c>
    </row>
    <row r="57" spans="1:16">
      <c r="A57" s="247" t="s">
        <v>13</v>
      </c>
      <c r="B57" s="251" t="s">
        <v>14</v>
      </c>
      <c r="O57" s="402" t="s">
        <v>923</v>
      </c>
    </row>
    <row r="58" spans="1:16">
      <c r="A58" s="247" t="s">
        <v>15</v>
      </c>
      <c r="B58">
        <v>0.25</v>
      </c>
    </row>
    <row r="59" spans="1:16">
      <c r="A59" s="247" t="s">
        <v>16</v>
      </c>
      <c r="B59" t="s">
        <v>17</v>
      </c>
    </row>
    <row r="60" spans="1:16">
      <c r="A60" s="247" t="s">
        <v>18</v>
      </c>
      <c r="B60" t="s">
        <v>37</v>
      </c>
    </row>
    <row r="61" spans="1:16" ht="15.75">
      <c r="A61" s="252" t="s">
        <v>19</v>
      </c>
    </row>
    <row r="62" spans="1:16" ht="15.75">
      <c r="A62" s="252" t="s">
        <v>20</v>
      </c>
      <c r="B62" s="16" t="s">
        <v>21</v>
      </c>
      <c r="C62" s="16" t="s">
        <v>18</v>
      </c>
      <c r="D62" s="16" t="s">
        <v>22</v>
      </c>
      <c r="E62" s="16" t="s">
        <v>7</v>
      </c>
      <c r="F62" s="16" t="s">
        <v>13</v>
      </c>
      <c r="G62" s="16" t="s">
        <v>16</v>
      </c>
      <c r="H62" s="16" t="s">
        <v>23</v>
      </c>
      <c r="I62" s="16" t="s">
        <v>24</v>
      </c>
      <c r="J62" s="16" t="s">
        <v>25</v>
      </c>
      <c r="K62" s="16" t="s">
        <v>26</v>
      </c>
      <c r="L62" s="16" t="s">
        <v>27</v>
      </c>
      <c r="M62" s="16" t="s">
        <v>28</v>
      </c>
      <c r="N62" s="16" t="s">
        <v>11</v>
      </c>
    </row>
    <row r="63" spans="1:16" ht="15.75">
      <c r="A63" s="30" t="s">
        <v>921</v>
      </c>
      <c r="B63" s="30">
        <v>0.25</v>
      </c>
      <c r="C63" t="s">
        <v>37</v>
      </c>
      <c r="D63" s="17" t="s">
        <v>2</v>
      </c>
      <c r="E63" t="s">
        <v>29</v>
      </c>
      <c r="F63" s="251" t="s">
        <v>14</v>
      </c>
      <c r="G63" t="s">
        <v>30</v>
      </c>
      <c r="H63">
        <v>1</v>
      </c>
      <c r="I63">
        <f>B63</f>
        <v>0.25</v>
      </c>
      <c r="J63" t="s">
        <v>31</v>
      </c>
      <c r="K63" t="s">
        <v>31</v>
      </c>
      <c r="L63" t="s">
        <v>31</v>
      </c>
      <c r="M63" t="s">
        <v>31</v>
      </c>
    </row>
    <row r="64" spans="1:16" ht="15.75">
      <c r="A64" s="30" t="s">
        <v>915</v>
      </c>
      <c r="B64" s="30">
        <v>0.25</v>
      </c>
      <c r="C64" t="s">
        <v>37</v>
      </c>
      <c r="D64" s="17" t="s">
        <v>2</v>
      </c>
      <c r="E64" t="s">
        <v>29</v>
      </c>
      <c r="F64" s="251" t="s">
        <v>14</v>
      </c>
      <c r="G64" t="s">
        <v>33</v>
      </c>
      <c r="H64">
        <v>1</v>
      </c>
      <c r="I64">
        <f>B64</f>
        <v>0.25</v>
      </c>
      <c r="J64" t="s">
        <v>31</v>
      </c>
      <c r="K64" t="s">
        <v>31</v>
      </c>
      <c r="L64" t="s">
        <v>31</v>
      </c>
      <c r="M64" t="s">
        <v>31</v>
      </c>
    </row>
    <row r="65" spans="1:13" ht="15.75">
      <c r="A65" s="279" t="s">
        <v>924</v>
      </c>
      <c r="B65">
        <v>2.4E-2</v>
      </c>
      <c r="C65" t="s">
        <v>37</v>
      </c>
      <c r="D65" s="17" t="s">
        <v>38</v>
      </c>
      <c r="E65" t="s">
        <v>29</v>
      </c>
      <c r="F65" s="251" t="s">
        <v>86</v>
      </c>
      <c r="G65" t="s">
        <v>33</v>
      </c>
      <c r="H65">
        <v>1</v>
      </c>
      <c r="I65">
        <f t="shared" ref="I65:I67" si="2">B65</f>
        <v>2.4E-2</v>
      </c>
      <c r="J65" t="s">
        <v>31</v>
      </c>
      <c r="K65" t="s">
        <v>31</v>
      </c>
      <c r="L65" t="s">
        <v>31</v>
      </c>
      <c r="M65" t="s">
        <v>31</v>
      </c>
    </row>
    <row r="66" spans="1:13" ht="15.75">
      <c r="A66" s="279" t="s">
        <v>925</v>
      </c>
      <c r="B66">
        <v>0.55000000000000004</v>
      </c>
      <c r="C66" t="s">
        <v>206</v>
      </c>
      <c r="D66" s="17" t="s">
        <v>38</v>
      </c>
      <c r="E66" t="s">
        <v>29</v>
      </c>
      <c r="F66" s="251" t="s">
        <v>60</v>
      </c>
      <c r="G66" t="s">
        <v>33</v>
      </c>
      <c r="H66">
        <v>1</v>
      </c>
      <c r="I66">
        <f t="shared" si="2"/>
        <v>0.55000000000000004</v>
      </c>
      <c r="J66" t="s">
        <v>31</v>
      </c>
      <c r="K66" t="s">
        <v>31</v>
      </c>
      <c r="L66" t="s">
        <v>31</v>
      </c>
      <c r="M66" t="s">
        <v>31</v>
      </c>
    </row>
    <row r="67" spans="1:13" ht="15.75">
      <c r="A67" s="279" t="s">
        <v>926</v>
      </c>
      <c r="B67">
        <v>2.4E-2</v>
      </c>
      <c r="C67" t="s">
        <v>37</v>
      </c>
      <c r="D67" s="17" t="s">
        <v>38</v>
      </c>
      <c r="E67" t="s">
        <v>29</v>
      </c>
      <c r="F67" s="251" t="s">
        <v>60</v>
      </c>
      <c r="G67" t="s">
        <v>33</v>
      </c>
      <c r="H67">
        <v>1</v>
      </c>
      <c r="I67">
        <f t="shared" si="2"/>
        <v>2.4E-2</v>
      </c>
      <c r="J67" t="s">
        <v>31</v>
      </c>
      <c r="K67" t="s">
        <v>31</v>
      </c>
      <c r="L67" t="s">
        <v>31</v>
      </c>
      <c r="M67" t="s">
        <v>31</v>
      </c>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276E-F89E-4FA9-ADF5-F5E818BE1E20}">
  <dimension ref="A1:T53"/>
  <sheetViews>
    <sheetView zoomScale="85" zoomScaleNormal="85" workbookViewId="0">
      <selection activeCell="A14" sqref="A14"/>
    </sheetView>
  </sheetViews>
  <sheetFormatPr defaultRowHeight="1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75">
      <c r="A2" s="245" t="s">
        <v>5</v>
      </c>
      <c r="B2" s="246" t="s">
        <v>927</v>
      </c>
      <c r="C2" s="246"/>
      <c r="D2" s="120"/>
      <c r="E2" s="42"/>
      <c r="F2" s="42"/>
      <c r="G2" s="42"/>
      <c r="H2" s="42"/>
      <c r="I2" s="42"/>
      <c r="J2" s="42"/>
      <c r="K2" s="42"/>
      <c r="L2" s="42"/>
      <c r="M2" s="42"/>
      <c r="N2" s="42"/>
    </row>
    <row r="3" spans="1:17">
      <c r="A3" s="247" t="s">
        <v>7</v>
      </c>
      <c r="B3" t="s">
        <v>902</v>
      </c>
      <c r="D3" s="23"/>
    </row>
    <row r="4" spans="1:17">
      <c r="A4" s="247" t="s">
        <v>9</v>
      </c>
      <c r="B4" t="s">
        <v>928</v>
      </c>
      <c r="D4" s="23"/>
    </row>
    <row r="5" spans="1:17" ht="15" customHeight="1">
      <c r="A5" s="247" t="s">
        <v>11</v>
      </c>
      <c r="B5" s="249" t="s">
        <v>913</v>
      </c>
      <c r="C5" s="249"/>
    </row>
    <row r="6" spans="1:17">
      <c r="A6" s="247" t="s">
        <v>13</v>
      </c>
      <c r="B6" t="s">
        <v>14</v>
      </c>
      <c r="Q6" t="s">
        <v>929</v>
      </c>
    </row>
    <row r="7" spans="1:17">
      <c r="A7" s="247" t="s">
        <v>15</v>
      </c>
      <c r="B7">
        <v>7.7843999999999997E-2</v>
      </c>
    </row>
    <row r="8" spans="1:17">
      <c r="A8" s="247" t="s">
        <v>16</v>
      </c>
      <c r="B8" t="s">
        <v>17</v>
      </c>
    </row>
    <row r="9" spans="1:17">
      <c r="A9" s="247" t="s">
        <v>18</v>
      </c>
      <c r="B9" t="s">
        <v>37</v>
      </c>
    </row>
    <row r="10" spans="1:17" ht="15.75">
      <c r="A10" s="252" t="s">
        <v>19</v>
      </c>
    </row>
    <row r="11" spans="1:17" ht="15.75">
      <c r="A11" s="252" t="s">
        <v>20</v>
      </c>
      <c r="B11" s="16" t="s">
        <v>21</v>
      </c>
      <c r="C11" s="180" t="s">
        <v>78</v>
      </c>
      <c r="D11" s="16" t="s">
        <v>18</v>
      </c>
      <c r="E11" s="16" t="s">
        <v>22</v>
      </c>
      <c r="F11" s="16" t="s">
        <v>7</v>
      </c>
      <c r="G11" s="16" t="s">
        <v>13</v>
      </c>
      <c r="H11" s="16" t="s">
        <v>16</v>
      </c>
      <c r="I11" s="16" t="s">
        <v>23</v>
      </c>
      <c r="J11" s="16" t="s">
        <v>24</v>
      </c>
      <c r="K11" s="16" t="s">
        <v>25</v>
      </c>
      <c r="L11" s="16" t="s">
        <v>26</v>
      </c>
      <c r="M11" s="16" t="s">
        <v>27</v>
      </c>
      <c r="N11" s="16" t="s">
        <v>28</v>
      </c>
      <c r="O11" s="16" t="s">
        <v>11</v>
      </c>
    </row>
    <row r="12" spans="1:17" ht="15.75">
      <c r="A12" s="253" t="s">
        <v>927</v>
      </c>
      <c r="B12">
        <v>7.7843999999999997E-2</v>
      </c>
      <c r="D12" t="s">
        <v>37</v>
      </c>
      <c r="E12" s="17" t="s">
        <v>2</v>
      </c>
      <c r="F12" t="s">
        <v>29</v>
      </c>
      <c r="G12" s="251" t="s">
        <v>14</v>
      </c>
      <c r="H12" t="s">
        <v>30</v>
      </c>
      <c r="I12">
        <v>1</v>
      </c>
      <c r="J12">
        <f>B12</f>
        <v>7.7843999999999997E-2</v>
      </c>
      <c r="K12" t="s">
        <v>31</v>
      </c>
      <c r="L12" t="s">
        <v>31</v>
      </c>
      <c r="M12" t="s">
        <v>31</v>
      </c>
      <c r="N12" t="s">
        <v>31</v>
      </c>
    </row>
    <row r="13" spans="1:17" ht="15.75">
      <c r="A13" s="253" t="s">
        <v>930</v>
      </c>
      <c r="B13">
        <v>1</v>
      </c>
      <c r="D13" t="s">
        <v>18</v>
      </c>
      <c r="E13" s="17" t="s">
        <v>2</v>
      </c>
      <c r="F13" t="s">
        <v>29</v>
      </c>
      <c r="G13" s="251" t="s">
        <v>14</v>
      </c>
      <c r="H13" t="s">
        <v>33</v>
      </c>
      <c r="I13">
        <v>1</v>
      </c>
      <c r="J13">
        <f>B13</f>
        <v>1</v>
      </c>
      <c r="K13" t="s">
        <v>31</v>
      </c>
      <c r="L13" t="s">
        <v>31</v>
      </c>
      <c r="M13" t="s">
        <v>31</v>
      </c>
      <c r="N13" t="s">
        <v>31</v>
      </c>
    </row>
    <row r="14" spans="1:17" ht="15.75">
      <c r="A14" s="253" t="s">
        <v>40</v>
      </c>
      <c r="B14">
        <v>1.02</v>
      </c>
      <c r="D14" t="s">
        <v>41</v>
      </c>
      <c r="E14" s="17" t="s">
        <v>38</v>
      </c>
      <c r="F14" t="s">
        <v>29</v>
      </c>
      <c r="G14" s="251" t="s">
        <v>14</v>
      </c>
      <c r="H14" t="s">
        <v>33</v>
      </c>
      <c r="I14">
        <v>2</v>
      </c>
      <c r="J14">
        <f>LN(B14)</f>
        <v>1.980262729617973E-2</v>
      </c>
      <c r="K14">
        <v>3.7749171999999998E-2</v>
      </c>
      <c r="L14" t="s">
        <v>31</v>
      </c>
      <c r="M14" t="s">
        <v>31</v>
      </c>
      <c r="N14" t="s">
        <v>31</v>
      </c>
    </row>
    <row r="15" spans="1:17" ht="15.75">
      <c r="A15" s="253" t="s">
        <v>931</v>
      </c>
      <c r="B15">
        <f>1.4/1000</f>
        <v>1.4E-3</v>
      </c>
      <c r="D15" t="s">
        <v>37</v>
      </c>
      <c r="E15" s="17" t="s">
        <v>38</v>
      </c>
      <c r="F15" t="s">
        <v>29</v>
      </c>
      <c r="G15" s="251" t="s">
        <v>35</v>
      </c>
      <c r="H15" t="s">
        <v>33</v>
      </c>
      <c r="I15">
        <v>2</v>
      </c>
      <c r="J15">
        <f t="shared" ref="J15:J27" si="0">LN(B15)</f>
        <v>-6.5712830423609239</v>
      </c>
      <c r="K15">
        <v>3.7749171999999998E-2</v>
      </c>
      <c r="L15" t="s">
        <v>31</v>
      </c>
      <c r="M15" t="s">
        <v>31</v>
      </c>
      <c r="N15" t="s">
        <v>31</v>
      </c>
    </row>
    <row r="16" spans="1:17" ht="15.75">
      <c r="A16" s="253" t="s">
        <v>932</v>
      </c>
      <c r="B16">
        <f>0.2/1000</f>
        <v>2.0000000000000001E-4</v>
      </c>
      <c r="D16" t="s">
        <v>37</v>
      </c>
      <c r="E16" s="17" t="s">
        <v>38</v>
      </c>
      <c r="F16" t="s">
        <v>29</v>
      </c>
      <c r="G16" s="251" t="s">
        <v>60</v>
      </c>
      <c r="H16" t="s">
        <v>33</v>
      </c>
      <c r="I16">
        <v>2</v>
      </c>
      <c r="J16">
        <f t="shared" si="0"/>
        <v>-8.5171931914162382</v>
      </c>
      <c r="K16">
        <v>3.7749171999999998E-2</v>
      </c>
      <c r="L16" t="s">
        <v>31</v>
      </c>
      <c r="M16" t="s">
        <v>31</v>
      </c>
      <c r="N16" t="s">
        <v>31</v>
      </c>
    </row>
    <row r="17" spans="1:17" ht="15.75">
      <c r="A17" s="253" t="s">
        <v>933</v>
      </c>
      <c r="B17">
        <f>7.1/1000</f>
        <v>7.0999999999999995E-3</v>
      </c>
      <c r="D17" t="s">
        <v>37</v>
      </c>
      <c r="E17" s="17" t="s">
        <v>38</v>
      </c>
      <c r="F17" t="s">
        <v>29</v>
      </c>
      <c r="G17" s="251" t="s">
        <v>39</v>
      </c>
      <c r="H17" t="s">
        <v>33</v>
      </c>
      <c r="I17">
        <v>2</v>
      </c>
      <c r="J17">
        <f t="shared" si="0"/>
        <v>-4.9476604949348673</v>
      </c>
      <c r="K17">
        <v>3.7749171999999998E-2</v>
      </c>
      <c r="L17" t="s">
        <v>31</v>
      </c>
      <c r="M17" t="s">
        <v>31</v>
      </c>
      <c r="N17" t="s">
        <v>31</v>
      </c>
    </row>
    <row r="18" spans="1:17" ht="15.75">
      <c r="A18" s="253" t="s">
        <v>934</v>
      </c>
      <c r="B18">
        <v>1.4</v>
      </c>
      <c r="D18" t="s">
        <v>37</v>
      </c>
      <c r="E18" s="17" t="s">
        <v>38</v>
      </c>
      <c r="F18" t="s">
        <v>29</v>
      </c>
      <c r="G18" s="251" t="s">
        <v>35</v>
      </c>
      <c r="H18" t="s">
        <v>33</v>
      </c>
      <c r="I18">
        <v>2</v>
      </c>
      <c r="J18">
        <f t="shared" si="0"/>
        <v>0.33647223662121289</v>
      </c>
      <c r="K18">
        <v>3.7749171999999998E-2</v>
      </c>
      <c r="L18" t="s">
        <v>31</v>
      </c>
      <c r="M18" t="s">
        <v>31</v>
      </c>
      <c r="N18" t="s">
        <v>31</v>
      </c>
    </row>
    <row r="19" spans="1:17" ht="15.75">
      <c r="A19" s="253" t="s">
        <v>935</v>
      </c>
      <c r="B19">
        <v>2E-3</v>
      </c>
      <c r="D19" t="s">
        <v>37</v>
      </c>
      <c r="E19" s="17" t="s">
        <v>38</v>
      </c>
      <c r="F19" t="s">
        <v>29</v>
      </c>
      <c r="G19" s="251" t="s">
        <v>60</v>
      </c>
      <c r="H19" t="s">
        <v>33</v>
      </c>
      <c r="I19">
        <v>2</v>
      </c>
      <c r="J19">
        <f t="shared" si="0"/>
        <v>-6.2146080984221914</v>
      </c>
      <c r="K19">
        <v>3.7749171999999998E-2</v>
      </c>
      <c r="L19" t="s">
        <v>31</v>
      </c>
      <c r="M19" t="s">
        <v>31</v>
      </c>
      <c r="N19" t="s">
        <v>31</v>
      </c>
    </row>
    <row r="20" spans="1:17" ht="15.75">
      <c r="A20" s="253" t="s">
        <v>936</v>
      </c>
      <c r="B20">
        <v>3.0000000000000001E-3</v>
      </c>
      <c r="D20" t="s">
        <v>37</v>
      </c>
      <c r="E20" s="17" t="s">
        <v>38</v>
      </c>
      <c r="F20" t="s">
        <v>29</v>
      </c>
      <c r="G20" s="251" t="s">
        <v>60</v>
      </c>
      <c r="H20" t="s">
        <v>33</v>
      </c>
      <c r="I20">
        <v>2</v>
      </c>
      <c r="J20">
        <f t="shared" si="0"/>
        <v>-5.8091429903140277</v>
      </c>
      <c r="K20">
        <v>3.7749171999999998E-2</v>
      </c>
      <c r="L20" t="s">
        <v>31</v>
      </c>
      <c r="M20" t="s">
        <v>31</v>
      </c>
      <c r="N20" t="s">
        <v>31</v>
      </c>
    </row>
    <row r="21" spans="1:17" ht="15.75">
      <c r="A21" s="253" t="s">
        <v>937</v>
      </c>
      <c r="B21">
        <v>2.9999999999999997E-4</v>
      </c>
      <c r="D21" t="s">
        <v>37</v>
      </c>
      <c r="E21" s="17" t="s">
        <v>38</v>
      </c>
      <c r="F21" t="s">
        <v>29</v>
      </c>
      <c r="G21" s="251" t="s">
        <v>35</v>
      </c>
      <c r="H21" t="s">
        <v>33</v>
      </c>
      <c r="I21">
        <v>2</v>
      </c>
      <c r="J21">
        <f t="shared" si="0"/>
        <v>-8.1117280833080727</v>
      </c>
      <c r="K21">
        <v>3.7749171999999998E-2</v>
      </c>
      <c r="L21" t="s">
        <v>31</v>
      </c>
      <c r="M21" t="s">
        <v>31</v>
      </c>
      <c r="N21" t="s">
        <v>31</v>
      </c>
    </row>
    <row r="22" spans="1:17" ht="15.75">
      <c r="A22" s="253" t="s">
        <v>938</v>
      </c>
      <c r="B22">
        <v>1.5E-3</v>
      </c>
      <c r="D22" t="s">
        <v>37</v>
      </c>
      <c r="E22" s="17" t="s">
        <v>38</v>
      </c>
      <c r="F22" t="s">
        <v>29</v>
      </c>
      <c r="G22" s="251" t="s">
        <v>60</v>
      </c>
      <c r="H22" t="s">
        <v>33</v>
      </c>
      <c r="I22">
        <v>2</v>
      </c>
      <c r="J22">
        <f t="shared" si="0"/>
        <v>-6.5022901708739722</v>
      </c>
      <c r="K22">
        <v>3.7749171999999998E-2</v>
      </c>
      <c r="L22" t="s">
        <v>31</v>
      </c>
      <c r="M22" t="s">
        <v>31</v>
      </c>
      <c r="N22" t="s">
        <v>31</v>
      </c>
    </row>
    <row r="23" spans="1:17" ht="15.75">
      <c r="A23" s="253" t="s">
        <v>939</v>
      </c>
      <c r="B23">
        <v>5.0000000000000001E-4</v>
      </c>
      <c r="D23" t="s">
        <v>37</v>
      </c>
      <c r="E23" s="17" t="s">
        <v>38</v>
      </c>
      <c r="F23" t="s">
        <v>29</v>
      </c>
      <c r="G23" s="251" t="s">
        <v>35</v>
      </c>
      <c r="H23" t="s">
        <v>33</v>
      </c>
      <c r="I23">
        <v>2</v>
      </c>
      <c r="J23">
        <f t="shared" si="0"/>
        <v>-7.6009024595420822</v>
      </c>
      <c r="K23">
        <v>3.7749171999999998E-2</v>
      </c>
      <c r="L23" t="s">
        <v>31</v>
      </c>
      <c r="M23" t="s">
        <v>31</v>
      </c>
      <c r="N23" t="s">
        <v>31</v>
      </c>
    </row>
    <row r="24" spans="1:17" ht="15.75">
      <c r="A24" s="253" t="s">
        <v>940</v>
      </c>
      <c r="B24">
        <v>8.9999999999999992E-5</v>
      </c>
      <c r="D24" t="s">
        <v>37</v>
      </c>
      <c r="E24" s="17" t="s">
        <v>43</v>
      </c>
      <c r="F24" t="s">
        <v>44</v>
      </c>
      <c r="G24" s="251" t="s">
        <v>29</v>
      </c>
      <c r="H24" t="s">
        <v>45</v>
      </c>
      <c r="I24">
        <v>2</v>
      </c>
      <c r="J24">
        <f t="shared" si="0"/>
        <v>-9.3157008876340086</v>
      </c>
      <c r="K24">
        <v>3.7749171999999998E-2</v>
      </c>
      <c r="L24" t="s">
        <v>31</v>
      </c>
      <c r="M24" t="s">
        <v>31</v>
      </c>
      <c r="N24" t="s">
        <v>31</v>
      </c>
    </row>
    <row r="25" spans="1:17" ht="15.75">
      <c r="A25" s="253" t="s">
        <v>941</v>
      </c>
      <c r="B25">
        <v>3.3999999999999998E-3</v>
      </c>
      <c r="D25" t="s">
        <v>37</v>
      </c>
      <c r="E25" s="17" t="s">
        <v>43</v>
      </c>
      <c r="F25" t="s">
        <v>44</v>
      </c>
      <c r="G25" s="251" t="s">
        <v>29</v>
      </c>
      <c r="H25" t="s">
        <v>45</v>
      </c>
      <c r="I25">
        <v>2</v>
      </c>
      <c r="J25">
        <f t="shared" si="0"/>
        <v>-5.6839798473600212</v>
      </c>
      <c r="K25">
        <v>3.7749171999999998E-2</v>
      </c>
      <c r="L25" t="s">
        <v>31</v>
      </c>
      <c r="M25" t="s">
        <v>31</v>
      </c>
      <c r="N25" t="s">
        <v>31</v>
      </c>
    </row>
    <row r="26" spans="1:17" ht="15.75">
      <c r="A26" s="17" t="s">
        <v>903</v>
      </c>
      <c r="B26">
        <v>1.4E-3</v>
      </c>
      <c r="D26" t="s">
        <v>37</v>
      </c>
      <c r="E26" s="17" t="s">
        <v>2</v>
      </c>
      <c r="F26" t="s">
        <v>29</v>
      </c>
      <c r="G26" s="251" t="s">
        <v>39</v>
      </c>
      <c r="H26" t="s">
        <v>33</v>
      </c>
      <c r="I26">
        <v>2</v>
      </c>
      <c r="J26">
        <f t="shared" si="0"/>
        <v>-6.5712830423609239</v>
      </c>
      <c r="K26">
        <v>3.7749171999999998E-2</v>
      </c>
      <c r="L26" t="s">
        <v>31</v>
      </c>
      <c r="M26" t="s">
        <v>31</v>
      </c>
      <c r="N26" t="s">
        <v>31</v>
      </c>
    </row>
    <row r="27" spans="1:17" ht="15.75">
      <c r="A27" s="17" t="s">
        <v>908</v>
      </c>
      <c r="B27">
        <v>6.0000000000000002E-5</v>
      </c>
      <c r="D27" t="s">
        <v>37</v>
      </c>
      <c r="E27" s="17" t="s">
        <v>2</v>
      </c>
      <c r="F27" t="s">
        <v>29</v>
      </c>
      <c r="G27" t="s">
        <v>39</v>
      </c>
      <c r="H27" t="s">
        <v>33</v>
      </c>
      <c r="I27">
        <v>2</v>
      </c>
      <c r="J27">
        <f t="shared" si="0"/>
        <v>-9.7211659957421741</v>
      </c>
      <c r="K27">
        <v>3.7749171999999998E-2</v>
      </c>
      <c r="L27" t="s">
        <v>31</v>
      </c>
      <c r="M27" t="s">
        <v>31</v>
      </c>
      <c r="N27" t="s">
        <v>31</v>
      </c>
    </row>
    <row r="28" spans="1:17" ht="15.75">
      <c r="A28" s="245" t="s">
        <v>5</v>
      </c>
      <c r="B28" s="246" t="s">
        <v>930</v>
      </c>
      <c r="C28" s="246"/>
      <c r="D28" s="120"/>
      <c r="E28" s="42"/>
      <c r="F28" s="42"/>
      <c r="G28" s="42"/>
      <c r="H28" s="42"/>
      <c r="I28" s="42"/>
      <c r="J28" s="42"/>
      <c r="K28" s="42"/>
      <c r="L28" s="42"/>
      <c r="M28" s="42"/>
      <c r="N28" s="42"/>
    </row>
    <row r="29" spans="1:17">
      <c r="A29" s="247" t="s">
        <v>7</v>
      </c>
      <c r="B29" t="s">
        <v>902</v>
      </c>
      <c r="D29" s="23"/>
      <c r="Q29" t="s">
        <v>929</v>
      </c>
    </row>
    <row r="30" spans="1:17">
      <c r="A30" s="247" t="s">
        <v>9</v>
      </c>
      <c r="B30" t="s">
        <v>942</v>
      </c>
      <c r="D30" s="23"/>
    </row>
    <row r="31" spans="1:17" ht="15.75" customHeight="1">
      <c r="A31" s="247" t="s">
        <v>11</v>
      </c>
      <c r="B31" s="249" t="s">
        <v>913</v>
      </c>
      <c r="C31" s="249"/>
    </row>
    <row r="32" spans="1:17">
      <c r="A32" s="247" t="s">
        <v>13</v>
      </c>
      <c r="B32" t="s">
        <v>14</v>
      </c>
    </row>
    <row r="33" spans="1:20">
      <c r="A33" s="247" t="s">
        <v>15</v>
      </c>
      <c r="B33">
        <v>1</v>
      </c>
    </row>
    <row r="34" spans="1:20">
      <c r="A34" s="247" t="s">
        <v>16</v>
      </c>
      <c r="B34" t="s">
        <v>17</v>
      </c>
    </row>
    <row r="35" spans="1:20">
      <c r="A35" s="247" t="s">
        <v>18</v>
      </c>
      <c r="B35" t="s">
        <v>18</v>
      </c>
    </row>
    <row r="36" spans="1:20" ht="15.75">
      <c r="A36" s="252" t="s">
        <v>19</v>
      </c>
    </row>
    <row r="37" spans="1:20" ht="15.75">
      <c r="A37" s="252" t="s">
        <v>20</v>
      </c>
      <c r="B37" s="16" t="s">
        <v>21</v>
      </c>
      <c r="C37" s="180" t="s">
        <v>78</v>
      </c>
      <c r="D37" s="16" t="s">
        <v>18</v>
      </c>
      <c r="E37" s="16" t="s">
        <v>22</v>
      </c>
      <c r="F37" s="16" t="s">
        <v>7</v>
      </c>
      <c r="G37" s="16" t="s">
        <v>13</v>
      </c>
      <c r="H37" s="16" t="s">
        <v>16</v>
      </c>
      <c r="I37" s="16" t="s">
        <v>23</v>
      </c>
      <c r="J37" s="16" t="s">
        <v>24</v>
      </c>
      <c r="K37" s="16" t="s">
        <v>25</v>
      </c>
      <c r="L37" s="16" t="s">
        <v>26</v>
      </c>
      <c r="M37" s="16" t="s">
        <v>27</v>
      </c>
      <c r="N37" s="16" t="s">
        <v>28</v>
      </c>
      <c r="O37" s="16" t="s">
        <v>11</v>
      </c>
    </row>
    <row r="38" spans="1:20" ht="15.75">
      <c r="A38" s="253" t="s">
        <v>930</v>
      </c>
      <c r="B38">
        <v>1</v>
      </c>
      <c r="D38" t="s">
        <v>18</v>
      </c>
      <c r="E38" s="17" t="s">
        <v>2</v>
      </c>
      <c r="F38" t="s">
        <v>29</v>
      </c>
      <c r="G38" s="251" t="s">
        <v>14</v>
      </c>
      <c r="H38" t="s">
        <v>30</v>
      </c>
      <c r="I38">
        <v>1</v>
      </c>
      <c r="J38">
        <f>B38</f>
        <v>1</v>
      </c>
      <c r="K38" t="s">
        <v>31</v>
      </c>
      <c r="L38" t="s">
        <v>31</v>
      </c>
      <c r="M38" t="s">
        <v>31</v>
      </c>
      <c r="N38" t="s">
        <v>31</v>
      </c>
    </row>
    <row r="39" spans="1:20" ht="15.75">
      <c r="A39" s="253" t="s">
        <v>943</v>
      </c>
      <c r="B39">
        <f>T39</f>
        <v>1.4999999999999999E-2</v>
      </c>
      <c r="D39" t="s">
        <v>206</v>
      </c>
      <c r="E39" s="17" t="s">
        <v>38</v>
      </c>
      <c r="F39" t="s">
        <v>29</v>
      </c>
      <c r="G39" s="251" t="s">
        <v>60</v>
      </c>
      <c r="H39" t="s">
        <v>33</v>
      </c>
      <c r="I39">
        <v>2</v>
      </c>
      <c r="J39">
        <f>LN(B39)</f>
        <v>-4.1997050778799272</v>
      </c>
      <c r="K39">
        <v>2.8722813232690055E-2</v>
      </c>
      <c r="L39" t="s">
        <v>31</v>
      </c>
      <c r="M39" t="s">
        <v>31</v>
      </c>
      <c r="N39" t="s">
        <v>31</v>
      </c>
      <c r="Q39" s="437" t="s">
        <v>944</v>
      </c>
      <c r="R39" s="438">
        <v>1.5</v>
      </c>
      <c r="S39" t="s">
        <v>945</v>
      </c>
      <c r="T39">
        <f>R39*0.01</f>
        <v>1.4999999999999999E-2</v>
      </c>
    </row>
    <row r="40" spans="1:20" ht="15.75">
      <c r="A40" s="253" t="s">
        <v>946</v>
      </c>
      <c r="B40">
        <f>T40</f>
        <v>2.8E-3</v>
      </c>
      <c r="D40" t="s">
        <v>37</v>
      </c>
      <c r="E40" s="17" t="s">
        <v>38</v>
      </c>
      <c r="F40" t="s">
        <v>29</v>
      </c>
      <c r="G40" s="251" t="s">
        <v>60</v>
      </c>
      <c r="H40" t="s">
        <v>33</v>
      </c>
      <c r="I40">
        <v>2</v>
      </c>
      <c r="J40">
        <f t="shared" ref="J40:J50" si="1">LN(B40)</f>
        <v>-5.8781358618009785</v>
      </c>
      <c r="K40">
        <v>2.8722813232690055E-2</v>
      </c>
      <c r="L40" t="s">
        <v>31</v>
      </c>
      <c r="M40" t="s">
        <v>31</v>
      </c>
      <c r="N40" t="s">
        <v>31</v>
      </c>
      <c r="Q40" s="439" t="s">
        <v>947</v>
      </c>
      <c r="R40" s="440">
        <v>2.8</v>
      </c>
      <c r="S40" t="s">
        <v>337</v>
      </c>
      <c r="T40">
        <f>R40*0.001</f>
        <v>2.8E-3</v>
      </c>
    </row>
    <row r="41" spans="1:20" ht="15.75">
      <c r="A41" s="253" t="s">
        <v>948</v>
      </c>
      <c r="B41">
        <f t="shared" ref="B41:B50" si="2">T41</f>
        <v>2.2000000000000001E-3</v>
      </c>
      <c r="D41" t="s">
        <v>37</v>
      </c>
      <c r="E41" s="17" t="s">
        <v>38</v>
      </c>
      <c r="F41" t="s">
        <v>29</v>
      </c>
      <c r="G41" s="251" t="s">
        <v>60</v>
      </c>
      <c r="H41" t="s">
        <v>33</v>
      </c>
      <c r="I41">
        <v>2</v>
      </c>
      <c r="J41">
        <f t="shared" si="1"/>
        <v>-6.1192979186178666</v>
      </c>
      <c r="K41">
        <v>2.8722813232690055E-2</v>
      </c>
      <c r="L41" t="s">
        <v>31</v>
      </c>
      <c r="M41" t="s">
        <v>31</v>
      </c>
      <c r="N41" t="s">
        <v>31</v>
      </c>
      <c r="Q41" s="437" t="s">
        <v>947</v>
      </c>
      <c r="R41" s="438">
        <v>2.2000000000000002</v>
      </c>
      <c r="S41" t="s">
        <v>337</v>
      </c>
      <c r="T41">
        <f t="shared" ref="T41:T50" si="3">R41*0.001</f>
        <v>2.2000000000000001E-3</v>
      </c>
    </row>
    <row r="42" spans="1:20" ht="15.75">
      <c r="A42" s="253" t="s">
        <v>949</v>
      </c>
      <c r="B42">
        <f t="shared" si="2"/>
        <v>2.2000000000000001E-3</v>
      </c>
      <c r="D42" t="s">
        <v>37</v>
      </c>
      <c r="E42" s="17" t="s">
        <v>38</v>
      </c>
      <c r="F42" t="s">
        <v>29</v>
      </c>
      <c r="G42" s="251" t="s">
        <v>60</v>
      </c>
      <c r="H42" t="s">
        <v>33</v>
      </c>
      <c r="I42">
        <v>2</v>
      </c>
      <c r="J42">
        <f t="shared" si="1"/>
        <v>-6.1192979186178666</v>
      </c>
      <c r="K42">
        <v>2.8722813232690055E-2</v>
      </c>
      <c r="L42" t="s">
        <v>31</v>
      </c>
      <c r="M42" t="s">
        <v>31</v>
      </c>
      <c r="N42" t="s">
        <v>31</v>
      </c>
      <c r="Q42" s="439" t="s">
        <v>947</v>
      </c>
      <c r="R42" s="440">
        <v>2.2000000000000002</v>
      </c>
      <c r="S42" t="s">
        <v>337</v>
      </c>
      <c r="T42">
        <f t="shared" si="3"/>
        <v>2.2000000000000001E-3</v>
      </c>
    </row>
    <row r="43" spans="1:20" ht="15.75">
      <c r="A43" s="253" t="s">
        <v>950</v>
      </c>
      <c r="B43">
        <f t="shared" si="2"/>
        <v>1.8000000000000002E-2</v>
      </c>
      <c r="D43" t="s">
        <v>37</v>
      </c>
      <c r="E43" s="17" t="s">
        <v>38</v>
      </c>
      <c r="F43" t="s">
        <v>29</v>
      </c>
      <c r="G43" s="251" t="s">
        <v>60</v>
      </c>
      <c r="H43" t="s">
        <v>33</v>
      </c>
      <c r="I43">
        <v>2</v>
      </c>
      <c r="J43">
        <f t="shared" si="1"/>
        <v>-4.0173835210859723</v>
      </c>
      <c r="K43">
        <v>2.8722813232690055E-2</v>
      </c>
      <c r="L43" t="s">
        <v>31</v>
      </c>
      <c r="M43" t="s">
        <v>31</v>
      </c>
      <c r="N43" t="s">
        <v>31</v>
      </c>
      <c r="Q43" s="437" t="s">
        <v>947</v>
      </c>
      <c r="R43" s="441">
        <v>18</v>
      </c>
      <c r="S43" t="s">
        <v>337</v>
      </c>
      <c r="T43">
        <f t="shared" si="3"/>
        <v>1.8000000000000002E-2</v>
      </c>
    </row>
    <row r="44" spans="1:20" ht="15.75">
      <c r="A44" s="253" t="s">
        <v>951</v>
      </c>
      <c r="B44">
        <f t="shared" si="2"/>
        <v>9.0000000000000002E-6</v>
      </c>
      <c r="D44" t="s">
        <v>37</v>
      </c>
      <c r="E44" s="17" t="s">
        <v>38</v>
      </c>
      <c r="F44" t="s">
        <v>29</v>
      </c>
      <c r="G44" s="251" t="s">
        <v>60</v>
      </c>
      <c r="H44" t="s">
        <v>33</v>
      </c>
      <c r="I44">
        <v>2</v>
      </c>
      <c r="J44">
        <f t="shared" si="1"/>
        <v>-11.618285980628055</v>
      </c>
      <c r="K44">
        <v>2.8722813232690055E-2</v>
      </c>
      <c r="L44" t="s">
        <v>31</v>
      </c>
      <c r="M44" t="s">
        <v>31</v>
      </c>
      <c r="N44" t="s">
        <v>31</v>
      </c>
      <c r="Q44" s="439" t="s">
        <v>952</v>
      </c>
      <c r="R44" s="440">
        <v>9</v>
      </c>
      <c r="S44" t="s">
        <v>337</v>
      </c>
      <c r="T44">
        <f>R44*0.000001</f>
        <v>9.0000000000000002E-6</v>
      </c>
    </row>
    <row r="45" spans="1:20" ht="15.75">
      <c r="A45" s="253" t="s">
        <v>953</v>
      </c>
      <c r="B45">
        <f t="shared" si="2"/>
        <v>3.8E-3</v>
      </c>
      <c r="D45" t="s">
        <v>37</v>
      </c>
      <c r="E45" s="17" t="s">
        <v>38</v>
      </c>
      <c r="F45" t="s">
        <v>29</v>
      </c>
      <c r="G45" s="251" t="s">
        <v>60</v>
      </c>
      <c r="H45" t="s">
        <v>33</v>
      </c>
      <c r="I45">
        <v>2</v>
      </c>
      <c r="J45">
        <f t="shared" si="1"/>
        <v>-5.5727542122497971</v>
      </c>
      <c r="K45">
        <v>2.8722813232690055E-2</v>
      </c>
      <c r="L45" t="s">
        <v>31</v>
      </c>
      <c r="M45" t="s">
        <v>31</v>
      </c>
      <c r="N45" t="s">
        <v>31</v>
      </c>
      <c r="Q45" s="437" t="s">
        <v>947</v>
      </c>
      <c r="R45" s="438">
        <v>3.8</v>
      </c>
      <c r="S45" t="s">
        <v>337</v>
      </c>
      <c r="T45">
        <f t="shared" si="3"/>
        <v>3.8E-3</v>
      </c>
    </row>
    <row r="46" spans="1:20" ht="15.75">
      <c r="A46" s="253" t="s">
        <v>954</v>
      </c>
      <c r="B46">
        <f t="shared" si="2"/>
        <v>3.7000000000000002E-3</v>
      </c>
      <c r="D46" t="s">
        <v>37</v>
      </c>
      <c r="E46" s="17" t="s">
        <v>38</v>
      </c>
      <c r="F46" t="s">
        <v>29</v>
      </c>
      <c r="G46" s="251" t="s">
        <v>60</v>
      </c>
      <c r="H46" t="s">
        <v>33</v>
      </c>
      <c r="I46">
        <v>2</v>
      </c>
      <c r="J46">
        <f t="shared" si="1"/>
        <v>-5.5994224593319579</v>
      </c>
      <c r="K46">
        <v>2.8722813232690055E-2</v>
      </c>
      <c r="L46" t="s">
        <v>31</v>
      </c>
      <c r="M46" t="s">
        <v>31</v>
      </c>
      <c r="N46" t="s">
        <v>31</v>
      </c>
      <c r="Q46" s="439" t="s">
        <v>947</v>
      </c>
      <c r="R46" s="440">
        <v>3.7</v>
      </c>
      <c r="S46" t="s">
        <v>337</v>
      </c>
      <c r="T46">
        <f t="shared" si="3"/>
        <v>3.7000000000000002E-3</v>
      </c>
    </row>
    <row r="47" spans="1:20" ht="15.75">
      <c r="A47" s="253" t="s">
        <v>955</v>
      </c>
      <c r="B47">
        <f t="shared" si="2"/>
        <v>3.4999999999999997E-5</v>
      </c>
      <c r="D47" t="s">
        <v>37</v>
      </c>
      <c r="E47" s="17" t="s">
        <v>38</v>
      </c>
      <c r="F47" t="s">
        <v>29</v>
      </c>
      <c r="G47" s="251" t="s">
        <v>60</v>
      </c>
      <c r="H47" t="s">
        <v>33</v>
      </c>
      <c r="I47">
        <v>2</v>
      </c>
      <c r="J47">
        <f t="shared" si="1"/>
        <v>-10.260162496474861</v>
      </c>
      <c r="K47">
        <v>2.8722813232690055E-2</v>
      </c>
      <c r="L47" t="s">
        <v>31</v>
      </c>
      <c r="M47" t="s">
        <v>31</v>
      </c>
      <c r="N47" t="s">
        <v>31</v>
      </c>
      <c r="Q47" s="437" t="s">
        <v>952</v>
      </c>
      <c r="R47" s="442">
        <v>35</v>
      </c>
      <c r="S47" t="s">
        <v>337</v>
      </c>
      <c r="T47">
        <f>R47*0.000001</f>
        <v>3.4999999999999997E-5</v>
      </c>
    </row>
    <row r="48" spans="1:20" ht="15.75">
      <c r="A48" s="253" t="s">
        <v>956</v>
      </c>
      <c r="B48">
        <f t="shared" si="2"/>
        <v>1E-3</v>
      </c>
      <c r="D48" t="s">
        <v>37</v>
      </c>
      <c r="E48" s="17" t="s">
        <v>38</v>
      </c>
      <c r="F48" t="s">
        <v>29</v>
      </c>
      <c r="G48" s="251" t="s">
        <v>60</v>
      </c>
      <c r="H48" t="s">
        <v>33</v>
      </c>
      <c r="I48">
        <v>2</v>
      </c>
      <c r="J48">
        <f t="shared" si="1"/>
        <v>-6.9077552789821368</v>
      </c>
      <c r="K48">
        <v>2.8722813232690055E-2</v>
      </c>
      <c r="L48" t="s">
        <v>31</v>
      </c>
      <c r="M48" t="s">
        <v>31</v>
      </c>
      <c r="N48" t="s">
        <v>31</v>
      </c>
      <c r="Q48" s="439" t="s">
        <v>947</v>
      </c>
      <c r="R48" s="440">
        <v>1</v>
      </c>
      <c r="S48" t="s">
        <v>337</v>
      </c>
      <c r="T48">
        <f t="shared" si="3"/>
        <v>1E-3</v>
      </c>
    </row>
    <row r="49" spans="1:20" ht="15.75">
      <c r="A49" s="253" t="s">
        <v>957</v>
      </c>
      <c r="B49">
        <f t="shared" si="2"/>
        <v>0.03</v>
      </c>
      <c r="D49" t="s">
        <v>37</v>
      </c>
      <c r="E49" s="17" t="s">
        <v>38</v>
      </c>
      <c r="F49" t="s">
        <v>29</v>
      </c>
      <c r="G49" s="251" t="s">
        <v>60</v>
      </c>
      <c r="H49" t="s">
        <v>33</v>
      </c>
      <c r="I49">
        <v>2</v>
      </c>
      <c r="J49">
        <f t="shared" si="1"/>
        <v>-3.5065578973199818</v>
      </c>
      <c r="K49">
        <v>2.8722813232690055E-2</v>
      </c>
      <c r="L49" t="s">
        <v>31</v>
      </c>
      <c r="M49" t="s">
        <v>31</v>
      </c>
      <c r="N49" t="s">
        <v>31</v>
      </c>
      <c r="Q49" s="437" t="s">
        <v>947</v>
      </c>
      <c r="R49" s="442">
        <v>30</v>
      </c>
      <c r="S49" t="s">
        <v>337</v>
      </c>
      <c r="T49">
        <f t="shared" si="3"/>
        <v>0.03</v>
      </c>
    </row>
    <row r="50" spans="1:20" ht="15.75">
      <c r="A50" s="253" t="s">
        <v>958</v>
      </c>
      <c r="B50">
        <f t="shared" si="2"/>
        <v>1.3000000000000002E-3</v>
      </c>
      <c r="D50" t="s">
        <v>37</v>
      </c>
      <c r="E50" s="17" t="s">
        <v>38</v>
      </c>
      <c r="F50" t="s">
        <v>29</v>
      </c>
      <c r="G50" s="251" t="s">
        <v>60</v>
      </c>
      <c r="H50" t="s">
        <v>33</v>
      </c>
      <c r="I50">
        <v>2</v>
      </c>
      <c r="J50">
        <f t="shared" si="1"/>
        <v>-6.6453910145146455</v>
      </c>
      <c r="K50">
        <v>2.8722813232690055E-2</v>
      </c>
      <c r="L50" t="s">
        <v>31</v>
      </c>
      <c r="M50" t="s">
        <v>31</v>
      </c>
      <c r="N50" t="s">
        <v>31</v>
      </c>
      <c r="Q50" s="439" t="s">
        <v>947</v>
      </c>
      <c r="R50" s="440">
        <v>1.3</v>
      </c>
      <c r="S50" t="s">
        <v>337</v>
      </c>
      <c r="T50">
        <f t="shared" si="3"/>
        <v>1.3000000000000002E-3</v>
      </c>
    </row>
    <row r="51" spans="1:20" ht="15.75">
      <c r="A51" s="253"/>
      <c r="E51" s="17"/>
      <c r="G51" s="251"/>
    </row>
    <row r="52" spans="1:20" ht="15.75">
      <c r="A52" s="17"/>
      <c r="E52" s="17"/>
      <c r="G52" s="251"/>
    </row>
    <row r="53" spans="1:20" ht="15.75">
      <c r="A53" s="17"/>
      <c r="E53" s="1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18B5-0645-4730-8DA4-B113A9CE2E51}">
  <sheetPr>
    <tabColor theme="6" tint="0.79998168889431442"/>
  </sheetPr>
  <dimension ref="A1:T75"/>
  <sheetViews>
    <sheetView topLeftCell="A7" zoomScale="85" zoomScaleNormal="85" workbookViewId="0">
      <selection activeCell="A16" sqref="A16"/>
    </sheetView>
  </sheetViews>
  <sheetFormatPr defaultRowHeight="1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75">
      <c r="A2" s="245" t="s">
        <v>5</v>
      </c>
      <c r="B2" s="246" t="s">
        <v>959</v>
      </c>
      <c r="C2" s="246"/>
      <c r="D2" s="120"/>
      <c r="E2" s="42"/>
      <c r="F2" s="42"/>
      <c r="G2" s="42"/>
      <c r="H2" s="42"/>
      <c r="I2" s="42"/>
      <c r="J2" s="42"/>
      <c r="K2" s="42"/>
      <c r="L2" s="42"/>
      <c r="M2" s="42"/>
      <c r="N2" s="42"/>
    </row>
    <row r="3" spans="1:20">
      <c r="A3" s="247" t="s">
        <v>7</v>
      </c>
      <c r="B3" t="s">
        <v>902</v>
      </c>
      <c r="D3" s="23"/>
      <c r="Q3" t="s">
        <v>929</v>
      </c>
    </row>
    <row r="4" spans="1:20">
      <c r="A4" s="247" t="s">
        <v>9</v>
      </c>
      <c r="B4" s="31" t="s">
        <v>960</v>
      </c>
      <c r="C4" s="31"/>
      <c r="D4" s="23"/>
    </row>
    <row r="5" spans="1:20" ht="16.5" customHeight="1">
      <c r="A5" s="247" t="s">
        <v>11</v>
      </c>
      <c r="B5" s="249" t="s">
        <v>913</v>
      </c>
      <c r="C5" s="249"/>
    </row>
    <row r="6" spans="1:20">
      <c r="A6" s="247" t="s">
        <v>13</v>
      </c>
      <c r="B6" t="s">
        <v>14</v>
      </c>
    </row>
    <row r="7" spans="1:20">
      <c r="A7" s="247" t="s">
        <v>15</v>
      </c>
      <c r="B7">
        <v>9.8095000000000002E-2</v>
      </c>
    </row>
    <row r="8" spans="1:20">
      <c r="A8" s="247" t="s">
        <v>16</v>
      </c>
      <c r="B8" t="s">
        <v>17</v>
      </c>
    </row>
    <row r="9" spans="1:20">
      <c r="A9" s="247" t="s">
        <v>18</v>
      </c>
      <c r="B9" t="s">
        <v>37</v>
      </c>
    </row>
    <row r="10" spans="1:20" ht="15.75">
      <c r="A10" s="252" t="s">
        <v>19</v>
      </c>
    </row>
    <row r="11" spans="1:20" ht="15.75">
      <c r="A11" s="252" t="s">
        <v>20</v>
      </c>
      <c r="B11" s="16" t="s">
        <v>21</v>
      </c>
      <c r="C11" s="180" t="s">
        <v>78</v>
      </c>
      <c r="D11" s="16" t="s">
        <v>18</v>
      </c>
      <c r="E11" s="16" t="s">
        <v>22</v>
      </c>
      <c r="F11" s="16" t="s">
        <v>7</v>
      </c>
      <c r="G11" s="16" t="s">
        <v>13</v>
      </c>
      <c r="H11" s="16" t="s">
        <v>16</v>
      </c>
      <c r="I11" s="16" t="s">
        <v>23</v>
      </c>
      <c r="J11" s="16" t="s">
        <v>24</v>
      </c>
      <c r="K11" s="16" t="s">
        <v>25</v>
      </c>
      <c r="L11" s="16" t="s">
        <v>26</v>
      </c>
      <c r="M11" s="16" t="s">
        <v>27</v>
      </c>
      <c r="N11" s="16" t="s">
        <v>28</v>
      </c>
      <c r="O11" s="16" t="s">
        <v>11</v>
      </c>
    </row>
    <row r="12" spans="1:20" ht="15.75">
      <c r="A12" s="253" t="s">
        <v>959</v>
      </c>
      <c r="B12">
        <v>9.8095000000000002E-2</v>
      </c>
      <c r="D12" t="s">
        <v>37</v>
      </c>
      <c r="E12" s="17" t="s">
        <v>2</v>
      </c>
      <c r="F12" t="s">
        <v>29</v>
      </c>
      <c r="G12" s="251" t="s">
        <v>14</v>
      </c>
      <c r="H12" t="s">
        <v>30</v>
      </c>
      <c r="I12">
        <v>1</v>
      </c>
      <c r="J12">
        <f>B12</f>
        <v>9.8095000000000002E-2</v>
      </c>
      <c r="K12" t="s">
        <v>31</v>
      </c>
      <c r="L12" t="s">
        <v>31</v>
      </c>
      <c r="M12" t="s">
        <v>31</v>
      </c>
      <c r="N12" t="s">
        <v>31</v>
      </c>
      <c r="Q12" s="65" t="s">
        <v>961</v>
      </c>
    </row>
    <row r="13" spans="1:20" ht="15.75">
      <c r="A13" s="253" t="s">
        <v>962</v>
      </c>
      <c r="B13">
        <f>S13</f>
        <v>6.9999999999999999E-4</v>
      </c>
      <c r="D13" t="s">
        <v>206</v>
      </c>
      <c r="E13" s="17" t="s">
        <v>2</v>
      </c>
      <c r="F13" t="s">
        <v>29</v>
      </c>
      <c r="G13" s="251" t="s">
        <v>14</v>
      </c>
      <c r="H13" t="s">
        <v>33</v>
      </c>
      <c r="I13">
        <v>2</v>
      </c>
      <c r="J13">
        <f>LN(B13)</f>
        <v>-7.2644302229208693</v>
      </c>
      <c r="K13">
        <v>2.8722813232690055E-2</v>
      </c>
      <c r="L13" t="s">
        <v>31</v>
      </c>
      <c r="M13" t="s">
        <v>31</v>
      </c>
      <c r="N13" t="s">
        <v>31</v>
      </c>
      <c r="Q13" s="443" t="s">
        <v>963</v>
      </c>
      <c r="R13" s="444">
        <v>6.9999999999999999E-4</v>
      </c>
      <c r="S13" s="445">
        <f>R13</f>
        <v>6.9999999999999999E-4</v>
      </c>
      <c r="T13" t="s">
        <v>945</v>
      </c>
    </row>
    <row r="14" spans="1:20" ht="15.75">
      <c r="A14" s="232" t="s">
        <v>964</v>
      </c>
      <c r="B14">
        <f t="shared" ref="B14:B19" si="0">S14</f>
        <v>4.9000000000000002E-2</v>
      </c>
      <c r="D14" t="s">
        <v>37</v>
      </c>
      <c r="E14" s="17" t="s">
        <v>38</v>
      </c>
      <c r="F14" t="s">
        <v>29</v>
      </c>
      <c r="G14" s="251" t="s">
        <v>60</v>
      </c>
      <c r="H14" t="s">
        <v>33</v>
      </c>
      <c r="I14">
        <v>2</v>
      </c>
      <c r="J14">
        <f>LN(B14)</f>
        <v>-3.0159349808715104</v>
      </c>
      <c r="K14">
        <v>5.8523499553598146E-2</v>
      </c>
      <c r="L14" t="s">
        <v>31</v>
      </c>
      <c r="M14" t="s">
        <v>31</v>
      </c>
      <c r="N14" t="s">
        <v>31</v>
      </c>
      <c r="Q14" s="437" t="s">
        <v>947</v>
      </c>
      <c r="R14" s="442">
        <v>49</v>
      </c>
      <c r="S14">
        <f>R14*0.001</f>
        <v>4.9000000000000002E-2</v>
      </c>
      <c r="T14" t="s">
        <v>337</v>
      </c>
    </row>
    <row r="15" spans="1:20" ht="15.75">
      <c r="A15" s="232" t="s">
        <v>935</v>
      </c>
      <c r="B15">
        <f t="shared" si="0"/>
        <v>3.1E-4</v>
      </c>
      <c r="D15" t="s">
        <v>37</v>
      </c>
      <c r="E15" s="17" t="s">
        <v>38</v>
      </c>
      <c r="F15" t="s">
        <v>29</v>
      </c>
      <c r="G15" s="251" t="s">
        <v>60</v>
      </c>
      <c r="H15" t="s">
        <v>33</v>
      </c>
      <c r="I15">
        <v>2</v>
      </c>
      <c r="J15">
        <f t="shared" ref="J15:J19" si="1">LN(B15)</f>
        <v>-8.0789382604850815</v>
      </c>
      <c r="K15">
        <v>5.8523499553598146E-2</v>
      </c>
      <c r="L15" t="s">
        <v>31</v>
      </c>
      <c r="M15" t="s">
        <v>31</v>
      </c>
      <c r="N15" t="s">
        <v>31</v>
      </c>
      <c r="Q15" s="437" t="s">
        <v>947</v>
      </c>
      <c r="R15" s="446">
        <v>0.31</v>
      </c>
      <c r="S15">
        <f>R15*0.001</f>
        <v>3.1E-4</v>
      </c>
      <c r="T15" t="s">
        <v>337</v>
      </c>
    </row>
    <row r="16" spans="1:20" ht="15.75">
      <c r="A16" s="253" t="s">
        <v>40</v>
      </c>
      <c r="B16">
        <f t="shared" si="0"/>
        <v>0.05</v>
      </c>
      <c r="D16" t="s">
        <v>41</v>
      </c>
      <c r="E16" s="17" t="s">
        <v>38</v>
      </c>
      <c r="F16" t="s">
        <v>29</v>
      </c>
      <c r="G16" s="251" t="s">
        <v>35</v>
      </c>
      <c r="H16" t="s">
        <v>33</v>
      </c>
      <c r="I16">
        <v>2</v>
      </c>
      <c r="J16">
        <f t="shared" si="1"/>
        <v>-2.9957322735539909</v>
      </c>
      <c r="K16">
        <v>3.7749172176353707E-2</v>
      </c>
      <c r="L16" t="s">
        <v>31</v>
      </c>
      <c r="M16" t="s">
        <v>31</v>
      </c>
      <c r="N16" t="s">
        <v>31</v>
      </c>
      <c r="Q16" s="437" t="s">
        <v>332</v>
      </c>
      <c r="R16" s="446">
        <v>0.05</v>
      </c>
      <c r="S16" s="22">
        <f>R16</f>
        <v>0.05</v>
      </c>
      <c r="T16" t="s">
        <v>332</v>
      </c>
    </row>
    <row r="17" spans="1:20" ht="15.75">
      <c r="A17" s="232" t="s">
        <v>965</v>
      </c>
      <c r="B17">
        <f t="shared" si="0"/>
        <v>6.9999999999999999E-6</v>
      </c>
      <c r="D17" t="s">
        <v>37</v>
      </c>
      <c r="E17" s="17" t="s">
        <v>38</v>
      </c>
      <c r="F17" t="s">
        <v>29</v>
      </c>
      <c r="G17" s="251" t="s">
        <v>60</v>
      </c>
      <c r="H17" t="s">
        <v>33</v>
      </c>
      <c r="I17">
        <v>2</v>
      </c>
      <c r="J17">
        <f t="shared" si="1"/>
        <v>-11.86960040890896</v>
      </c>
      <c r="K17">
        <v>3.7749172176353707E-2</v>
      </c>
      <c r="L17" t="s">
        <v>31</v>
      </c>
      <c r="M17" t="s">
        <v>31</v>
      </c>
      <c r="N17" t="s">
        <v>31</v>
      </c>
      <c r="Q17" s="437" t="s">
        <v>947</v>
      </c>
      <c r="R17" s="447">
        <v>7.0000000000000001E-3</v>
      </c>
      <c r="S17">
        <f>R17*0.001</f>
        <v>6.9999999999999999E-6</v>
      </c>
      <c r="T17" t="s">
        <v>337</v>
      </c>
    </row>
    <row r="18" spans="1:20" ht="15.75">
      <c r="A18" s="232" t="s">
        <v>933</v>
      </c>
      <c r="B18">
        <f t="shared" si="0"/>
        <v>1.26E-4</v>
      </c>
      <c r="D18" t="s">
        <v>37</v>
      </c>
      <c r="E18" s="17" t="s">
        <v>38</v>
      </c>
      <c r="F18" t="s">
        <v>29</v>
      </c>
      <c r="G18" s="251" t="s">
        <v>39</v>
      </c>
      <c r="H18" t="s">
        <v>33</v>
      </c>
      <c r="I18">
        <v>2</v>
      </c>
      <c r="J18">
        <f t="shared" si="1"/>
        <v>-8.9792286510127965</v>
      </c>
      <c r="K18">
        <v>3.7749172176353707E-2</v>
      </c>
      <c r="L18" t="s">
        <v>31</v>
      </c>
      <c r="M18" t="s">
        <v>31</v>
      </c>
      <c r="N18" t="s">
        <v>31</v>
      </c>
      <c r="Q18" s="437" t="s">
        <v>947</v>
      </c>
      <c r="R18" s="447">
        <v>0.126</v>
      </c>
      <c r="S18">
        <f>R18*0.001</f>
        <v>1.26E-4</v>
      </c>
      <c r="T18" t="s">
        <v>337</v>
      </c>
    </row>
    <row r="19" spans="1:20" ht="15.75">
      <c r="A19" s="232" t="s">
        <v>934</v>
      </c>
      <c r="B19">
        <f t="shared" si="0"/>
        <v>1.4999999999999999E-2</v>
      </c>
      <c r="D19" t="s">
        <v>37</v>
      </c>
      <c r="E19" s="17" t="s">
        <v>38</v>
      </c>
      <c r="F19" t="s">
        <v>29</v>
      </c>
      <c r="G19" s="251" t="s">
        <v>35</v>
      </c>
      <c r="H19" t="s">
        <v>33</v>
      </c>
      <c r="I19">
        <v>2</v>
      </c>
      <c r="J19">
        <f t="shared" si="1"/>
        <v>-4.1997050778799272</v>
      </c>
      <c r="K19">
        <v>3.7749172176353707E-2</v>
      </c>
      <c r="L19" t="s">
        <v>31</v>
      </c>
      <c r="M19" t="s">
        <v>31</v>
      </c>
      <c r="N19" t="s">
        <v>31</v>
      </c>
      <c r="Q19" s="437" t="s">
        <v>337</v>
      </c>
      <c r="R19" s="447">
        <v>1.4999999999999999E-2</v>
      </c>
      <c r="S19" s="445">
        <f>R19</f>
        <v>1.4999999999999999E-2</v>
      </c>
      <c r="T19" t="s">
        <v>337</v>
      </c>
    </row>
    <row r="20" spans="1:20" ht="15.75">
      <c r="A20" s="245" t="s">
        <v>5</v>
      </c>
      <c r="B20" s="246" t="s">
        <v>962</v>
      </c>
      <c r="C20" s="246"/>
      <c r="D20" s="120"/>
      <c r="E20" s="42"/>
      <c r="F20" s="42"/>
      <c r="G20" s="42"/>
      <c r="H20" s="42"/>
      <c r="I20" s="42"/>
      <c r="J20" s="42"/>
      <c r="K20" s="42"/>
      <c r="L20" s="42"/>
      <c r="M20" s="42"/>
      <c r="N20" s="42"/>
    </row>
    <row r="21" spans="1:20">
      <c r="A21" s="247" t="s">
        <v>7</v>
      </c>
      <c r="B21" t="s">
        <v>902</v>
      </c>
      <c r="D21" s="23"/>
    </row>
    <row r="22" spans="1:20">
      <c r="A22" s="247" t="s">
        <v>9</v>
      </c>
      <c r="B22" s="31" t="s">
        <v>966</v>
      </c>
      <c r="C22" s="31"/>
      <c r="D22" s="23"/>
      <c r="Q22" t="s">
        <v>929</v>
      </c>
    </row>
    <row r="23" spans="1:20" ht="14.25" customHeight="1">
      <c r="A23" s="247" t="s">
        <v>11</v>
      </c>
      <c r="B23" s="249" t="s">
        <v>913</v>
      </c>
      <c r="C23" s="249"/>
    </row>
    <row r="24" spans="1:20">
      <c r="A24" s="247" t="s">
        <v>13</v>
      </c>
      <c r="B24" t="s">
        <v>14</v>
      </c>
    </row>
    <row r="25" spans="1:20">
      <c r="A25" s="247" t="s">
        <v>15</v>
      </c>
      <c r="B25">
        <v>7.0000000000000001E-3</v>
      </c>
    </row>
    <row r="26" spans="1:20">
      <c r="A26" s="247" t="s">
        <v>16</v>
      </c>
      <c r="B26" t="s">
        <v>17</v>
      </c>
    </row>
    <row r="27" spans="1:20">
      <c r="A27" s="247" t="s">
        <v>18</v>
      </c>
      <c r="B27" t="s">
        <v>206</v>
      </c>
    </row>
    <row r="28" spans="1:20" ht="15.75">
      <c r="A28" s="252" t="s">
        <v>19</v>
      </c>
    </row>
    <row r="29" spans="1:20" ht="15.75">
      <c r="A29" s="252" t="s">
        <v>20</v>
      </c>
      <c r="B29" s="16" t="s">
        <v>21</v>
      </c>
      <c r="C29" s="180" t="s">
        <v>78</v>
      </c>
      <c r="D29" s="16" t="s">
        <v>18</v>
      </c>
      <c r="E29" s="16" t="s">
        <v>22</v>
      </c>
      <c r="F29" s="16" t="s">
        <v>7</v>
      </c>
      <c r="G29" s="16" t="s">
        <v>13</v>
      </c>
      <c r="H29" s="16" t="s">
        <v>16</v>
      </c>
      <c r="I29" s="16" t="s">
        <v>23</v>
      </c>
      <c r="J29" s="16" t="s">
        <v>24</v>
      </c>
      <c r="K29" s="16" t="s">
        <v>25</v>
      </c>
      <c r="L29" s="16" t="s">
        <v>26</v>
      </c>
      <c r="M29" s="16" t="s">
        <v>27</v>
      </c>
      <c r="N29" s="16" t="s">
        <v>28</v>
      </c>
      <c r="O29" s="16" t="s">
        <v>11</v>
      </c>
    </row>
    <row r="30" spans="1:20" ht="15.75">
      <c r="A30" s="253" t="s">
        <v>962</v>
      </c>
      <c r="B30">
        <v>7.0000000000000001E-3</v>
      </c>
      <c r="D30" t="s">
        <v>206</v>
      </c>
      <c r="E30" s="17" t="s">
        <v>2</v>
      </c>
      <c r="F30" t="s">
        <v>29</v>
      </c>
      <c r="G30" s="251" t="s">
        <v>14</v>
      </c>
      <c r="H30" t="s">
        <v>30</v>
      </c>
      <c r="I30">
        <v>1</v>
      </c>
      <c r="J30">
        <f>B30</f>
        <v>7.0000000000000001E-3</v>
      </c>
      <c r="K30" t="s">
        <v>31</v>
      </c>
      <c r="L30" t="s">
        <v>31</v>
      </c>
      <c r="M30" t="s">
        <v>31</v>
      </c>
      <c r="N30" t="s">
        <v>31</v>
      </c>
    </row>
    <row r="31" spans="1:20" ht="15.75">
      <c r="A31" s="253" t="s">
        <v>967</v>
      </c>
      <c r="B31">
        <v>1</v>
      </c>
      <c r="D31" t="s">
        <v>18</v>
      </c>
      <c r="E31" s="17" t="s">
        <v>2</v>
      </c>
      <c r="F31" t="s">
        <v>29</v>
      </c>
      <c r="G31" s="251" t="s">
        <v>14</v>
      </c>
      <c r="H31" t="s">
        <v>33</v>
      </c>
      <c r="I31">
        <v>1</v>
      </c>
      <c r="J31">
        <f>B31</f>
        <v>1</v>
      </c>
      <c r="K31" t="s">
        <v>31</v>
      </c>
      <c r="L31" t="s">
        <v>31</v>
      </c>
      <c r="M31" t="s">
        <v>31</v>
      </c>
      <c r="N31" t="s">
        <v>31</v>
      </c>
    </row>
    <row r="32" spans="1:20" ht="15.75">
      <c r="A32" s="253" t="s">
        <v>40</v>
      </c>
      <c r="B32">
        <v>1.02</v>
      </c>
      <c r="D32" t="s">
        <v>41</v>
      </c>
      <c r="E32" s="17" t="s">
        <v>38</v>
      </c>
      <c r="F32" t="s">
        <v>29</v>
      </c>
      <c r="G32" s="251" t="s">
        <v>14</v>
      </c>
      <c r="H32" t="s">
        <v>33</v>
      </c>
      <c r="I32">
        <v>2</v>
      </c>
      <c r="J32">
        <f>LN(B32)</f>
        <v>1.980262729617973E-2</v>
      </c>
      <c r="K32">
        <v>3.7749171999999998E-2</v>
      </c>
      <c r="L32" t="s">
        <v>31</v>
      </c>
      <c r="M32" t="s">
        <v>31</v>
      </c>
      <c r="N32" t="s">
        <v>31</v>
      </c>
    </row>
    <row r="33" spans="1:17" ht="15.75">
      <c r="A33" s="253" t="s">
        <v>931</v>
      </c>
      <c r="B33">
        <f>1.4/1000</f>
        <v>1.4E-3</v>
      </c>
      <c r="D33" t="s">
        <v>37</v>
      </c>
      <c r="E33" s="17" t="s">
        <v>38</v>
      </c>
      <c r="F33" t="s">
        <v>29</v>
      </c>
      <c r="G33" s="251" t="s">
        <v>35</v>
      </c>
      <c r="H33" t="s">
        <v>33</v>
      </c>
      <c r="I33">
        <v>2</v>
      </c>
      <c r="J33">
        <f t="shared" ref="J33:J45" si="2">LN(B33)</f>
        <v>-6.5712830423609239</v>
      </c>
      <c r="K33">
        <v>3.7749171999999998E-2</v>
      </c>
      <c r="L33" t="s">
        <v>31</v>
      </c>
      <c r="M33" t="s">
        <v>31</v>
      </c>
      <c r="N33" t="s">
        <v>31</v>
      </c>
    </row>
    <row r="34" spans="1:17" ht="15.75">
      <c r="A34" s="253" t="s">
        <v>932</v>
      </c>
      <c r="B34">
        <f>0.2/1000</f>
        <v>2.0000000000000001E-4</v>
      </c>
      <c r="D34" t="s">
        <v>37</v>
      </c>
      <c r="E34" s="17" t="s">
        <v>38</v>
      </c>
      <c r="F34" t="s">
        <v>29</v>
      </c>
      <c r="G34" s="251" t="s">
        <v>60</v>
      </c>
      <c r="H34" t="s">
        <v>33</v>
      </c>
      <c r="I34">
        <v>2</v>
      </c>
      <c r="J34">
        <f t="shared" si="2"/>
        <v>-8.5171931914162382</v>
      </c>
      <c r="K34">
        <v>3.7749171999999998E-2</v>
      </c>
      <c r="L34" t="s">
        <v>31</v>
      </c>
      <c r="M34" t="s">
        <v>31</v>
      </c>
      <c r="N34" t="s">
        <v>31</v>
      </c>
    </row>
    <row r="35" spans="1:17" ht="15.75">
      <c r="A35" s="253" t="s">
        <v>933</v>
      </c>
      <c r="B35">
        <f>7.1/1000</f>
        <v>7.0999999999999995E-3</v>
      </c>
      <c r="D35" t="s">
        <v>37</v>
      </c>
      <c r="E35" s="17" t="s">
        <v>38</v>
      </c>
      <c r="F35" t="s">
        <v>29</v>
      </c>
      <c r="G35" s="251" t="s">
        <v>39</v>
      </c>
      <c r="H35" t="s">
        <v>33</v>
      </c>
      <c r="I35">
        <v>2</v>
      </c>
      <c r="J35">
        <f t="shared" si="2"/>
        <v>-4.9476604949348673</v>
      </c>
      <c r="K35">
        <v>3.7749171999999998E-2</v>
      </c>
      <c r="L35" t="s">
        <v>31</v>
      </c>
      <c r="M35" t="s">
        <v>31</v>
      </c>
      <c r="N35" t="s">
        <v>31</v>
      </c>
    </row>
    <row r="36" spans="1:17" ht="15.75">
      <c r="A36" s="253" t="s">
        <v>934</v>
      </c>
      <c r="B36">
        <v>1.4</v>
      </c>
      <c r="D36" t="s">
        <v>37</v>
      </c>
      <c r="E36" s="17" t="s">
        <v>38</v>
      </c>
      <c r="F36" t="s">
        <v>29</v>
      </c>
      <c r="G36" s="251" t="s">
        <v>35</v>
      </c>
      <c r="H36" t="s">
        <v>33</v>
      </c>
      <c r="I36">
        <v>2</v>
      </c>
      <c r="J36">
        <f t="shared" si="2"/>
        <v>0.33647223662121289</v>
      </c>
      <c r="K36">
        <v>3.7749171999999998E-2</v>
      </c>
      <c r="L36" t="s">
        <v>31</v>
      </c>
      <c r="M36" t="s">
        <v>31</v>
      </c>
      <c r="N36" t="s">
        <v>31</v>
      </c>
    </row>
    <row r="37" spans="1:17" ht="15.75">
      <c r="A37" s="253" t="s">
        <v>935</v>
      </c>
      <c r="B37">
        <v>2E-3</v>
      </c>
      <c r="D37" t="s">
        <v>37</v>
      </c>
      <c r="E37" s="17" t="s">
        <v>38</v>
      </c>
      <c r="F37" t="s">
        <v>29</v>
      </c>
      <c r="G37" s="251" t="s">
        <v>60</v>
      </c>
      <c r="H37" t="s">
        <v>33</v>
      </c>
      <c r="I37">
        <v>2</v>
      </c>
      <c r="J37">
        <f t="shared" si="2"/>
        <v>-6.2146080984221914</v>
      </c>
      <c r="K37">
        <v>3.7749171999999998E-2</v>
      </c>
      <c r="L37" t="s">
        <v>31</v>
      </c>
      <c r="M37" t="s">
        <v>31</v>
      </c>
      <c r="N37" t="s">
        <v>31</v>
      </c>
    </row>
    <row r="38" spans="1:17" ht="15.75">
      <c r="A38" s="253" t="s">
        <v>936</v>
      </c>
      <c r="B38">
        <v>3.0000000000000001E-3</v>
      </c>
      <c r="D38" t="s">
        <v>37</v>
      </c>
      <c r="E38" s="17" t="s">
        <v>38</v>
      </c>
      <c r="F38" t="s">
        <v>29</v>
      </c>
      <c r="G38" s="251" t="s">
        <v>60</v>
      </c>
      <c r="H38" t="s">
        <v>33</v>
      </c>
      <c r="I38">
        <v>2</v>
      </c>
      <c r="J38">
        <f t="shared" si="2"/>
        <v>-5.8091429903140277</v>
      </c>
      <c r="K38">
        <v>3.7749171999999998E-2</v>
      </c>
      <c r="L38" t="s">
        <v>31</v>
      </c>
      <c r="M38" t="s">
        <v>31</v>
      </c>
      <c r="N38" t="s">
        <v>31</v>
      </c>
    </row>
    <row r="39" spans="1:17" ht="15.75">
      <c r="A39" s="253" t="s">
        <v>937</v>
      </c>
      <c r="B39">
        <v>2.9999999999999997E-4</v>
      </c>
      <c r="D39" t="s">
        <v>37</v>
      </c>
      <c r="E39" s="17" t="s">
        <v>38</v>
      </c>
      <c r="F39" t="s">
        <v>29</v>
      </c>
      <c r="G39" s="251" t="s">
        <v>35</v>
      </c>
      <c r="H39" t="s">
        <v>33</v>
      </c>
      <c r="I39">
        <v>2</v>
      </c>
      <c r="J39">
        <f t="shared" si="2"/>
        <v>-8.1117280833080727</v>
      </c>
      <c r="K39">
        <v>3.7749171999999998E-2</v>
      </c>
      <c r="L39" t="s">
        <v>31</v>
      </c>
      <c r="M39" t="s">
        <v>31</v>
      </c>
      <c r="N39" t="s">
        <v>31</v>
      </c>
    </row>
    <row r="40" spans="1:17" ht="15.75">
      <c r="A40" s="253" t="s">
        <v>938</v>
      </c>
      <c r="B40">
        <v>1.5E-3</v>
      </c>
      <c r="D40" t="s">
        <v>37</v>
      </c>
      <c r="E40" s="17" t="s">
        <v>38</v>
      </c>
      <c r="F40" t="s">
        <v>29</v>
      </c>
      <c r="G40" s="251" t="s">
        <v>60</v>
      </c>
      <c r="H40" t="s">
        <v>33</v>
      </c>
      <c r="I40">
        <v>2</v>
      </c>
      <c r="J40">
        <f t="shared" si="2"/>
        <v>-6.5022901708739722</v>
      </c>
      <c r="K40">
        <v>3.7749171999999998E-2</v>
      </c>
      <c r="L40" t="s">
        <v>31</v>
      </c>
      <c r="M40" t="s">
        <v>31</v>
      </c>
      <c r="N40" t="s">
        <v>31</v>
      </c>
    </row>
    <row r="41" spans="1:17" ht="15.75">
      <c r="A41" s="253" t="s">
        <v>939</v>
      </c>
      <c r="B41">
        <v>5.0000000000000001E-4</v>
      </c>
      <c r="D41" t="s">
        <v>37</v>
      </c>
      <c r="E41" s="17" t="s">
        <v>38</v>
      </c>
      <c r="F41" t="s">
        <v>29</v>
      </c>
      <c r="G41" s="251" t="s">
        <v>35</v>
      </c>
      <c r="H41" t="s">
        <v>33</v>
      </c>
      <c r="I41">
        <v>2</v>
      </c>
      <c r="J41">
        <f t="shared" si="2"/>
        <v>-7.6009024595420822</v>
      </c>
      <c r="K41">
        <v>3.7749171999999998E-2</v>
      </c>
      <c r="L41" t="s">
        <v>31</v>
      </c>
      <c r="M41" t="s">
        <v>31</v>
      </c>
      <c r="N41" t="s">
        <v>31</v>
      </c>
    </row>
    <row r="42" spans="1:17" ht="15.75">
      <c r="A42" s="253" t="s">
        <v>940</v>
      </c>
      <c r="B42">
        <v>8.9999999999999992E-5</v>
      </c>
      <c r="D42" t="s">
        <v>37</v>
      </c>
      <c r="E42" s="17" t="s">
        <v>43</v>
      </c>
      <c r="F42" t="s">
        <v>44</v>
      </c>
      <c r="G42" s="251" t="s">
        <v>29</v>
      </c>
      <c r="H42" t="s">
        <v>45</v>
      </c>
      <c r="I42">
        <v>2</v>
      </c>
      <c r="J42">
        <f t="shared" si="2"/>
        <v>-9.3157008876340086</v>
      </c>
      <c r="K42">
        <v>3.7749171999999998E-2</v>
      </c>
      <c r="L42" t="s">
        <v>31</v>
      </c>
      <c r="M42" t="s">
        <v>31</v>
      </c>
      <c r="N42" t="s">
        <v>31</v>
      </c>
    </row>
    <row r="43" spans="1:17" ht="15.75">
      <c r="A43" s="253" t="s">
        <v>941</v>
      </c>
      <c r="B43">
        <v>3.3999999999999998E-3</v>
      </c>
      <c r="D43" t="s">
        <v>37</v>
      </c>
      <c r="E43" s="17" t="s">
        <v>43</v>
      </c>
      <c r="F43" t="s">
        <v>44</v>
      </c>
      <c r="G43" s="251" t="s">
        <v>29</v>
      </c>
      <c r="H43" t="s">
        <v>45</v>
      </c>
      <c r="I43">
        <v>2</v>
      </c>
      <c r="J43">
        <f t="shared" si="2"/>
        <v>-5.6839798473600212</v>
      </c>
      <c r="K43">
        <v>3.7749171999999998E-2</v>
      </c>
      <c r="L43" t="s">
        <v>31</v>
      </c>
      <c r="M43" t="s">
        <v>31</v>
      </c>
      <c r="N43" t="s">
        <v>31</v>
      </c>
    </row>
    <row r="44" spans="1:17" ht="15.75">
      <c r="A44" s="17" t="s">
        <v>903</v>
      </c>
      <c r="B44">
        <v>1.4E-3</v>
      </c>
      <c r="D44" t="s">
        <v>37</v>
      </c>
      <c r="E44" s="17" t="s">
        <v>2</v>
      </c>
      <c r="F44" t="s">
        <v>29</v>
      </c>
      <c r="G44" s="251" t="s">
        <v>39</v>
      </c>
      <c r="H44" t="s">
        <v>33</v>
      </c>
      <c r="I44">
        <v>2</v>
      </c>
      <c r="J44">
        <f t="shared" si="2"/>
        <v>-6.5712830423609239</v>
      </c>
      <c r="K44">
        <v>3.7749171999999998E-2</v>
      </c>
      <c r="L44" t="s">
        <v>31</v>
      </c>
      <c r="M44" t="s">
        <v>31</v>
      </c>
      <c r="N44" t="s">
        <v>31</v>
      </c>
    </row>
    <row r="45" spans="1:17" ht="15.75">
      <c r="A45" s="17" t="s">
        <v>908</v>
      </c>
      <c r="B45">
        <v>6.0000000000000002E-5</v>
      </c>
      <c r="D45" t="s">
        <v>37</v>
      </c>
      <c r="E45" s="17" t="s">
        <v>2</v>
      </c>
      <c r="F45" t="s">
        <v>29</v>
      </c>
      <c r="G45" t="s">
        <v>39</v>
      </c>
      <c r="H45" t="s">
        <v>33</v>
      </c>
      <c r="I45">
        <v>2</v>
      </c>
      <c r="J45">
        <f t="shared" si="2"/>
        <v>-9.7211659957421741</v>
      </c>
      <c r="K45">
        <v>3.7749171999999998E-2</v>
      </c>
      <c r="L45" t="s">
        <v>31</v>
      </c>
      <c r="M45" t="s">
        <v>31</v>
      </c>
      <c r="N45" t="s">
        <v>31</v>
      </c>
    </row>
    <row r="46" spans="1:17" ht="15.75">
      <c r="A46" s="245" t="s">
        <v>5</v>
      </c>
      <c r="B46" s="246" t="s">
        <v>967</v>
      </c>
      <c r="C46" s="246"/>
      <c r="D46" s="120"/>
      <c r="E46" s="42"/>
      <c r="F46" s="42"/>
      <c r="G46" s="42"/>
      <c r="H46" s="42"/>
      <c r="I46" s="42"/>
      <c r="J46" s="42"/>
      <c r="K46" s="42"/>
      <c r="L46" s="42"/>
      <c r="M46" s="42"/>
      <c r="N46" s="42"/>
    </row>
    <row r="47" spans="1:17">
      <c r="A47" s="247" t="s">
        <v>7</v>
      </c>
      <c r="B47" t="s">
        <v>902</v>
      </c>
      <c r="D47" s="23"/>
      <c r="Q47" t="s">
        <v>929</v>
      </c>
    </row>
    <row r="48" spans="1:17">
      <c r="A48" s="247" t="s">
        <v>9</v>
      </c>
      <c r="B48" t="s">
        <v>968</v>
      </c>
      <c r="D48" s="23"/>
    </row>
    <row r="49" spans="1:20" ht="14.25" customHeight="1">
      <c r="A49" s="247" t="s">
        <v>11</v>
      </c>
      <c r="B49" s="249" t="s">
        <v>913</v>
      </c>
      <c r="C49" s="249"/>
    </row>
    <row r="50" spans="1:20">
      <c r="A50" s="247" t="s">
        <v>13</v>
      </c>
      <c r="B50" t="s">
        <v>14</v>
      </c>
    </row>
    <row r="51" spans="1:20">
      <c r="A51" s="247" t="s">
        <v>15</v>
      </c>
      <c r="B51">
        <v>1</v>
      </c>
    </row>
    <row r="52" spans="1:20">
      <c r="A52" s="247" t="s">
        <v>16</v>
      </c>
      <c r="B52" t="s">
        <v>17</v>
      </c>
    </row>
    <row r="53" spans="1:20">
      <c r="A53" s="247" t="s">
        <v>18</v>
      </c>
      <c r="B53" t="s">
        <v>18</v>
      </c>
    </row>
    <row r="54" spans="1:20" ht="15.75">
      <c r="A54" s="252" t="s">
        <v>19</v>
      </c>
    </row>
    <row r="55" spans="1:20" ht="15.75">
      <c r="A55" s="252" t="s">
        <v>20</v>
      </c>
      <c r="B55" s="16" t="s">
        <v>21</v>
      </c>
      <c r="C55" s="180" t="s">
        <v>78</v>
      </c>
      <c r="D55" s="16" t="s">
        <v>18</v>
      </c>
      <c r="E55" s="16" t="s">
        <v>22</v>
      </c>
      <c r="F55" s="16" t="s">
        <v>7</v>
      </c>
      <c r="G55" s="16" t="s">
        <v>13</v>
      </c>
      <c r="H55" s="16" t="s">
        <v>16</v>
      </c>
      <c r="I55" s="16" t="s">
        <v>23</v>
      </c>
      <c r="J55" s="16" t="s">
        <v>24</v>
      </c>
      <c r="K55" s="16" t="s">
        <v>25</v>
      </c>
      <c r="L55" s="16" t="s">
        <v>26</v>
      </c>
      <c r="M55" s="16" t="s">
        <v>27</v>
      </c>
      <c r="N55" s="16" t="s">
        <v>28</v>
      </c>
      <c r="O55" s="16" t="s">
        <v>11</v>
      </c>
    </row>
    <row r="56" spans="1:20" ht="15.75">
      <c r="A56" s="253" t="s">
        <v>967</v>
      </c>
      <c r="B56">
        <v>1</v>
      </c>
      <c r="D56" t="s">
        <v>18</v>
      </c>
      <c r="E56" s="17" t="s">
        <v>2</v>
      </c>
      <c r="F56" t="s">
        <v>29</v>
      </c>
      <c r="G56" s="251" t="s">
        <v>14</v>
      </c>
      <c r="H56" t="s">
        <v>30</v>
      </c>
      <c r="I56">
        <v>1</v>
      </c>
      <c r="J56">
        <f>B56</f>
        <v>1</v>
      </c>
      <c r="K56" t="s">
        <v>31</v>
      </c>
      <c r="L56" t="s">
        <v>31</v>
      </c>
      <c r="M56" t="s">
        <v>31</v>
      </c>
      <c r="N56" t="s">
        <v>31</v>
      </c>
    </row>
    <row r="57" spans="1:20" ht="15.75">
      <c r="A57" s="253" t="s">
        <v>943</v>
      </c>
      <c r="B57">
        <f>T57</f>
        <v>6.9999999999999993E-3</v>
      </c>
      <c r="D57" t="s">
        <v>206</v>
      </c>
      <c r="E57" s="17" t="s">
        <v>38</v>
      </c>
      <c r="F57" t="s">
        <v>29</v>
      </c>
      <c r="G57" s="251" t="s">
        <v>60</v>
      </c>
      <c r="H57" t="s">
        <v>33</v>
      </c>
      <c r="I57">
        <v>2</v>
      </c>
      <c r="J57">
        <f>LN(B57)</f>
        <v>-4.9618451299268242</v>
      </c>
      <c r="K57">
        <v>2.8722813232690055E-2</v>
      </c>
      <c r="L57" t="s">
        <v>31</v>
      </c>
      <c r="M57" t="s">
        <v>31</v>
      </c>
      <c r="N57" t="s">
        <v>31</v>
      </c>
      <c r="Q57" s="437" t="s">
        <v>944</v>
      </c>
      <c r="R57" s="438">
        <v>0.7</v>
      </c>
      <c r="S57" t="s">
        <v>945</v>
      </c>
      <c r="T57">
        <f>R57*0.01</f>
        <v>6.9999999999999993E-3</v>
      </c>
    </row>
    <row r="58" spans="1:20" ht="15.75">
      <c r="A58" s="253" t="s">
        <v>946</v>
      </c>
      <c r="B58">
        <f t="shared" ref="B58:B70" si="3">T58</f>
        <v>3.7000000000000002E-3</v>
      </c>
      <c r="D58" t="s">
        <v>37</v>
      </c>
      <c r="E58" s="17" t="s">
        <v>38</v>
      </c>
      <c r="F58" t="s">
        <v>29</v>
      </c>
      <c r="G58" s="251" t="s">
        <v>60</v>
      </c>
      <c r="H58" t="s">
        <v>33</v>
      </c>
      <c r="I58">
        <v>2</v>
      </c>
      <c r="J58">
        <f t="shared" ref="J58:J70" si="4">LN(B58)</f>
        <v>-5.5994224593319579</v>
      </c>
      <c r="K58">
        <v>2.8722813232690055E-2</v>
      </c>
      <c r="L58" t="s">
        <v>31</v>
      </c>
      <c r="M58" t="s">
        <v>31</v>
      </c>
      <c r="N58" t="s">
        <v>31</v>
      </c>
      <c r="Q58" s="439" t="s">
        <v>947</v>
      </c>
      <c r="R58" s="440">
        <v>3.7</v>
      </c>
      <c r="S58" t="s">
        <v>337</v>
      </c>
      <c r="T58">
        <f>R58*0.001</f>
        <v>3.7000000000000002E-3</v>
      </c>
    </row>
    <row r="59" spans="1:20" ht="15.75">
      <c r="A59" s="253" t="s">
        <v>948</v>
      </c>
      <c r="B59">
        <f t="shared" si="3"/>
        <v>1.9E-3</v>
      </c>
      <c r="D59" t="s">
        <v>37</v>
      </c>
      <c r="E59" s="17" t="s">
        <v>38</v>
      </c>
      <c r="F59" t="s">
        <v>29</v>
      </c>
      <c r="G59" s="251" t="s">
        <v>60</v>
      </c>
      <c r="H59" t="s">
        <v>33</v>
      </c>
      <c r="I59">
        <v>2</v>
      </c>
      <c r="J59">
        <f t="shared" si="4"/>
        <v>-6.2659013928097425</v>
      </c>
      <c r="K59">
        <v>2.8722813232690055E-2</v>
      </c>
      <c r="L59" t="s">
        <v>31</v>
      </c>
      <c r="M59" t="s">
        <v>31</v>
      </c>
      <c r="N59" t="s">
        <v>31</v>
      </c>
      <c r="Q59" s="437" t="s">
        <v>947</v>
      </c>
      <c r="R59" s="438">
        <v>1.9</v>
      </c>
      <c r="S59" t="s">
        <v>337</v>
      </c>
      <c r="T59">
        <f t="shared" ref="T59:T60" si="5">R59*0.001</f>
        <v>1.9E-3</v>
      </c>
    </row>
    <row r="60" spans="1:20" ht="15.75">
      <c r="A60" s="253" t="s">
        <v>950</v>
      </c>
      <c r="B60">
        <f t="shared" si="3"/>
        <v>4.7999999999999996E-3</v>
      </c>
      <c r="D60" t="s">
        <v>37</v>
      </c>
      <c r="E60" s="17" t="s">
        <v>38</v>
      </c>
      <c r="F60" t="s">
        <v>29</v>
      </c>
      <c r="G60" s="251" t="s">
        <v>60</v>
      </c>
      <c r="H60" t="s">
        <v>33</v>
      </c>
      <c r="I60">
        <v>2</v>
      </c>
      <c r="J60">
        <f t="shared" si="4"/>
        <v>-5.339139361068292</v>
      </c>
      <c r="K60">
        <v>2.8722813232690055E-2</v>
      </c>
      <c r="L60" t="s">
        <v>31</v>
      </c>
      <c r="M60" t="s">
        <v>31</v>
      </c>
      <c r="N60" t="s">
        <v>31</v>
      </c>
      <c r="Q60" s="437" t="s">
        <v>947</v>
      </c>
      <c r="R60" s="440">
        <v>4.8</v>
      </c>
      <c r="S60" t="s">
        <v>337</v>
      </c>
      <c r="T60">
        <f t="shared" si="5"/>
        <v>4.7999999999999996E-3</v>
      </c>
    </row>
    <row r="61" spans="1:20" ht="15.75">
      <c r="A61" t="s">
        <v>969</v>
      </c>
      <c r="B61">
        <f t="shared" si="3"/>
        <v>2.9999999999999997E-4</v>
      </c>
      <c r="D61" t="s">
        <v>37</v>
      </c>
      <c r="E61" s="17" t="s">
        <v>38</v>
      </c>
      <c r="F61" t="s">
        <v>29</v>
      </c>
      <c r="G61" s="251" t="s">
        <v>60</v>
      </c>
      <c r="H61" t="s">
        <v>33</v>
      </c>
      <c r="I61">
        <v>2</v>
      </c>
      <c r="J61">
        <f t="shared" si="4"/>
        <v>-8.1117280833080727</v>
      </c>
      <c r="K61">
        <v>2.8722813232690055E-2</v>
      </c>
      <c r="L61" t="s">
        <v>31</v>
      </c>
      <c r="M61" t="s">
        <v>31</v>
      </c>
      <c r="N61" t="s">
        <v>31</v>
      </c>
      <c r="Q61" s="439" t="s">
        <v>952</v>
      </c>
      <c r="R61" s="441">
        <v>300</v>
      </c>
      <c r="S61" t="s">
        <v>337</v>
      </c>
      <c r="T61">
        <f>R61*0.000001</f>
        <v>2.9999999999999997E-4</v>
      </c>
    </row>
    <row r="62" spans="1:20" ht="15.75">
      <c r="A62" s="253" t="s">
        <v>951</v>
      </c>
      <c r="B62">
        <f t="shared" si="3"/>
        <v>1.1E-5</v>
      </c>
      <c r="D62" t="s">
        <v>37</v>
      </c>
      <c r="E62" s="17" t="s">
        <v>38</v>
      </c>
      <c r="F62" t="s">
        <v>29</v>
      </c>
      <c r="G62" s="251" t="s">
        <v>60</v>
      </c>
      <c r="H62" t="s">
        <v>33</v>
      </c>
      <c r="I62">
        <v>2</v>
      </c>
      <c r="J62">
        <f t="shared" si="4"/>
        <v>-11.417615285165903</v>
      </c>
      <c r="K62">
        <v>2.8722813232690055E-2</v>
      </c>
      <c r="L62" t="s">
        <v>31</v>
      </c>
      <c r="M62" t="s">
        <v>31</v>
      </c>
      <c r="N62" t="s">
        <v>31</v>
      </c>
      <c r="Q62" s="439" t="s">
        <v>952</v>
      </c>
      <c r="R62" s="441">
        <v>11</v>
      </c>
      <c r="S62" t="s">
        <v>337</v>
      </c>
      <c r="T62">
        <f>R62*0.000001</f>
        <v>1.1E-5</v>
      </c>
    </row>
    <row r="63" spans="1:20" ht="15.75">
      <c r="A63" s="253" t="s">
        <v>953</v>
      </c>
      <c r="B63">
        <f t="shared" si="3"/>
        <v>5.4000000000000001E-4</v>
      </c>
      <c r="D63" t="s">
        <v>37</v>
      </c>
      <c r="E63" s="17" t="s">
        <v>38</v>
      </c>
      <c r="F63" t="s">
        <v>29</v>
      </c>
      <c r="G63" s="251" t="s">
        <v>60</v>
      </c>
      <c r="H63" t="s">
        <v>33</v>
      </c>
      <c r="I63">
        <v>2</v>
      </c>
      <c r="J63">
        <f t="shared" si="4"/>
        <v>-7.5239414184059541</v>
      </c>
      <c r="K63">
        <v>2.8722813232690055E-2</v>
      </c>
      <c r="L63" t="s">
        <v>31</v>
      </c>
      <c r="M63" t="s">
        <v>31</v>
      </c>
      <c r="N63" t="s">
        <v>31</v>
      </c>
      <c r="Q63" s="439" t="s">
        <v>952</v>
      </c>
      <c r="R63" s="441">
        <v>540</v>
      </c>
      <c r="S63" t="s">
        <v>337</v>
      </c>
      <c r="T63">
        <f>R63*0.000001</f>
        <v>5.4000000000000001E-4</v>
      </c>
    </row>
    <row r="64" spans="1:20" ht="15.75">
      <c r="A64" s="253" t="s">
        <v>954</v>
      </c>
      <c r="B64">
        <f t="shared" si="3"/>
        <v>6.5000000000000006E-3</v>
      </c>
      <c r="D64" t="s">
        <v>37</v>
      </c>
      <c r="E64" s="17" t="s">
        <v>38</v>
      </c>
      <c r="F64" t="s">
        <v>29</v>
      </c>
      <c r="G64" s="251" t="s">
        <v>60</v>
      </c>
      <c r="H64" t="s">
        <v>33</v>
      </c>
      <c r="I64">
        <v>2</v>
      </c>
      <c r="J64">
        <f t="shared" si="4"/>
        <v>-5.0359531020805459</v>
      </c>
      <c r="K64">
        <v>2.8722813232690055E-2</v>
      </c>
      <c r="L64" t="s">
        <v>31</v>
      </c>
      <c r="M64" t="s">
        <v>31</v>
      </c>
      <c r="N64" t="s">
        <v>31</v>
      </c>
      <c r="Q64" s="439" t="s">
        <v>947</v>
      </c>
      <c r="R64" s="440">
        <v>6.5</v>
      </c>
      <c r="S64" t="s">
        <v>337</v>
      </c>
      <c r="T64">
        <f t="shared" ref="T64" si="6">R64*0.001</f>
        <v>6.5000000000000006E-3</v>
      </c>
    </row>
    <row r="65" spans="1:20" ht="15.75">
      <c r="A65" s="232" t="s">
        <v>970</v>
      </c>
      <c r="B65">
        <f t="shared" si="3"/>
        <v>3.6000000000000001E-5</v>
      </c>
      <c r="D65" t="s">
        <v>37</v>
      </c>
      <c r="E65" s="17" t="s">
        <v>38</v>
      </c>
      <c r="F65" t="s">
        <v>29</v>
      </c>
      <c r="G65" s="251" t="s">
        <v>60</v>
      </c>
      <c r="H65" t="s">
        <v>33</v>
      </c>
      <c r="I65">
        <v>2</v>
      </c>
      <c r="J65">
        <f t="shared" si="4"/>
        <v>-10.231991619508165</v>
      </c>
      <c r="K65">
        <v>2.8722813232690055E-2</v>
      </c>
      <c r="L65" t="s">
        <v>31</v>
      </c>
      <c r="M65" t="s">
        <v>31</v>
      </c>
      <c r="N65" t="s">
        <v>31</v>
      </c>
      <c r="Q65" s="437" t="s">
        <v>952</v>
      </c>
      <c r="R65" s="442">
        <v>36</v>
      </c>
      <c r="S65" t="s">
        <v>337</v>
      </c>
      <c r="T65">
        <f>R65*0.000001</f>
        <v>3.6000000000000001E-5</v>
      </c>
    </row>
    <row r="66" spans="1:20" ht="15.75">
      <c r="A66" s="253" t="s">
        <v>955</v>
      </c>
      <c r="B66">
        <f t="shared" si="3"/>
        <v>3.5E-4</v>
      </c>
      <c r="D66" t="s">
        <v>37</v>
      </c>
      <c r="E66" s="17" t="s">
        <v>38</v>
      </c>
      <c r="F66" t="s">
        <v>29</v>
      </c>
      <c r="G66" s="251" t="s">
        <v>60</v>
      </c>
      <c r="H66" t="s">
        <v>33</v>
      </c>
      <c r="I66">
        <v>2</v>
      </c>
      <c r="J66">
        <f t="shared" si="4"/>
        <v>-7.9575774034808147</v>
      </c>
      <c r="K66">
        <v>2.8722813232690055E-2</v>
      </c>
      <c r="L66" t="s">
        <v>31</v>
      </c>
      <c r="M66" t="s">
        <v>31</v>
      </c>
      <c r="N66" t="s">
        <v>31</v>
      </c>
      <c r="Q66" s="439" t="s">
        <v>952</v>
      </c>
      <c r="R66" s="441">
        <v>350</v>
      </c>
      <c r="S66" t="s">
        <v>337</v>
      </c>
      <c r="T66">
        <f>R66*0.000001</f>
        <v>3.5E-4</v>
      </c>
    </row>
    <row r="67" spans="1:20" ht="15.75">
      <c r="A67" s="232" t="s">
        <v>971</v>
      </c>
      <c r="B67">
        <f t="shared" si="3"/>
        <v>1.8E-5</v>
      </c>
      <c r="D67" t="s">
        <v>37</v>
      </c>
      <c r="E67" s="17" t="s">
        <v>38</v>
      </c>
      <c r="F67" t="s">
        <v>29</v>
      </c>
      <c r="G67" s="251" t="s">
        <v>60</v>
      </c>
      <c r="H67" t="s">
        <v>33</v>
      </c>
      <c r="I67">
        <v>2</v>
      </c>
      <c r="J67">
        <f t="shared" si="4"/>
        <v>-10.92513880006811</v>
      </c>
      <c r="K67">
        <v>2.8722813232690055E-2</v>
      </c>
      <c r="L67" t="s">
        <v>31</v>
      </c>
      <c r="M67" t="s">
        <v>31</v>
      </c>
      <c r="N67" t="s">
        <v>31</v>
      </c>
      <c r="Q67" s="437" t="s">
        <v>952</v>
      </c>
      <c r="R67" s="442">
        <v>18</v>
      </c>
      <c r="S67" t="s">
        <v>337</v>
      </c>
      <c r="T67">
        <f>R67*0.000001</f>
        <v>1.8E-5</v>
      </c>
    </row>
    <row r="68" spans="1:20" ht="15.75">
      <c r="A68" s="232" t="s">
        <v>972</v>
      </c>
      <c r="B68">
        <f t="shared" si="3"/>
        <v>5.7000000000000002E-3</v>
      </c>
      <c r="D68" t="s">
        <v>37</v>
      </c>
      <c r="E68" s="17" t="s">
        <v>38</v>
      </c>
      <c r="F68" t="s">
        <v>29</v>
      </c>
      <c r="G68" s="251" t="s">
        <v>60</v>
      </c>
      <c r="H68" t="s">
        <v>33</v>
      </c>
      <c r="I68">
        <v>2</v>
      </c>
      <c r="J68">
        <f t="shared" si="4"/>
        <v>-5.1672891041416324</v>
      </c>
      <c r="K68">
        <v>2.8722813232690055E-2</v>
      </c>
      <c r="L68" t="s">
        <v>31</v>
      </c>
      <c r="M68" t="s">
        <v>31</v>
      </c>
      <c r="N68" t="s">
        <v>31</v>
      </c>
      <c r="Q68" s="439" t="s">
        <v>947</v>
      </c>
      <c r="R68" s="440">
        <v>5.7</v>
      </c>
      <c r="S68" t="s">
        <v>337</v>
      </c>
      <c r="T68">
        <f>R68*0.001</f>
        <v>5.7000000000000002E-3</v>
      </c>
    </row>
    <row r="69" spans="1:20" ht="15.75">
      <c r="A69" s="253" t="s">
        <v>956</v>
      </c>
      <c r="B69">
        <f t="shared" si="3"/>
        <v>2.9999999999999997E-4</v>
      </c>
      <c r="D69" t="s">
        <v>37</v>
      </c>
      <c r="E69" s="17" t="s">
        <v>38</v>
      </c>
      <c r="F69" t="s">
        <v>29</v>
      </c>
      <c r="G69" s="251" t="s">
        <v>60</v>
      </c>
      <c r="H69" t="s">
        <v>33</v>
      </c>
      <c r="I69">
        <v>2</v>
      </c>
      <c r="J69">
        <f t="shared" si="4"/>
        <v>-8.1117280833080727</v>
      </c>
      <c r="K69">
        <v>2.8722813232690055E-2</v>
      </c>
      <c r="L69" t="s">
        <v>31</v>
      </c>
      <c r="M69" t="s">
        <v>31</v>
      </c>
      <c r="N69" t="s">
        <v>31</v>
      </c>
      <c r="Q69" s="437" t="s">
        <v>952</v>
      </c>
      <c r="R69" s="442">
        <v>300</v>
      </c>
      <c r="S69" t="s">
        <v>337</v>
      </c>
      <c r="T69">
        <f>R69*0.000001</f>
        <v>2.9999999999999997E-4</v>
      </c>
    </row>
    <row r="70" spans="1:20" ht="15.75">
      <c r="A70" s="253" t="s">
        <v>958</v>
      </c>
      <c r="B70">
        <f t="shared" si="3"/>
        <v>5.4000000000000001E-4</v>
      </c>
      <c r="D70" t="s">
        <v>37</v>
      </c>
      <c r="E70" s="17" t="s">
        <v>38</v>
      </c>
      <c r="F70" t="s">
        <v>29</v>
      </c>
      <c r="G70" s="251" t="s">
        <v>60</v>
      </c>
      <c r="H70" t="s">
        <v>33</v>
      </c>
      <c r="I70">
        <v>2</v>
      </c>
      <c r="J70">
        <f t="shared" si="4"/>
        <v>-7.5239414184059541</v>
      </c>
      <c r="K70">
        <v>2.8722813232690055E-2</v>
      </c>
      <c r="L70" t="s">
        <v>31</v>
      </c>
      <c r="M70" t="s">
        <v>31</v>
      </c>
      <c r="N70" t="s">
        <v>31</v>
      </c>
      <c r="Q70" s="439" t="s">
        <v>952</v>
      </c>
      <c r="R70" s="441">
        <v>540</v>
      </c>
      <c r="S70" t="s">
        <v>337</v>
      </c>
      <c r="T70">
        <f>R70*0.000001</f>
        <v>5.4000000000000001E-4</v>
      </c>
    </row>
    <row r="75" spans="1:20">
      <c r="B75" s="31"/>
      <c r="C75" s="31"/>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75E5-C861-436A-810A-5E0748677DBE}">
  <sheetPr>
    <tabColor theme="5" tint="0.79998168889431442"/>
  </sheetPr>
  <dimension ref="A1:AC41"/>
  <sheetViews>
    <sheetView topLeftCell="A3"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9A9946A4781343F6A90AFA3A1B018879</v>
      </c>
    </row>
    <row r="2" spans="1:26" ht="15.75">
      <c r="A2" s="245" t="s">
        <v>5</v>
      </c>
      <c r="B2" s="246" t="s">
        <v>973</v>
      </c>
      <c r="C2" s="120"/>
      <c r="D2" s="42"/>
      <c r="E2" s="42"/>
      <c r="F2" s="42"/>
      <c r="G2" s="42"/>
      <c r="H2" s="42"/>
      <c r="I2" s="42"/>
      <c r="J2" s="42"/>
      <c r="K2" s="42"/>
      <c r="L2" s="42"/>
      <c r="M2" s="42"/>
    </row>
    <row r="3" spans="1:26">
      <c r="A3" s="247" t="s">
        <v>7</v>
      </c>
      <c r="B3" t="s">
        <v>902</v>
      </c>
      <c r="C3" s="23"/>
    </row>
    <row r="4" spans="1:26">
      <c r="A4" s="247" t="s">
        <v>9</v>
      </c>
      <c r="B4" t="s">
        <v>974</v>
      </c>
      <c r="C4" s="23"/>
    </row>
    <row r="5" spans="1:26" ht="30">
      <c r="A5" s="247" t="s">
        <v>11</v>
      </c>
      <c r="B5" s="249" t="s">
        <v>975</v>
      </c>
    </row>
    <row r="6" spans="1:26">
      <c r="A6" s="247" t="s">
        <v>13</v>
      </c>
      <c r="B6" t="s">
        <v>14</v>
      </c>
    </row>
    <row r="7" spans="1:26">
      <c r="A7" s="247" t="s">
        <v>15</v>
      </c>
      <c r="B7">
        <v>1</v>
      </c>
    </row>
    <row r="8" spans="1:26">
      <c r="A8" s="247" t="s">
        <v>16</v>
      </c>
      <c r="B8" t="s">
        <v>17</v>
      </c>
    </row>
    <row r="9" spans="1:26">
      <c r="A9" s="247" t="s">
        <v>18</v>
      </c>
      <c r="B9" t="s">
        <v>18</v>
      </c>
    </row>
    <row r="10" spans="1:26" ht="15.75">
      <c r="A10" s="252" t="s">
        <v>19</v>
      </c>
    </row>
    <row r="11" spans="1:26" ht="15.75">
      <c r="A11" s="252"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75">
      <c r="A12" s="246" t="s">
        <v>973</v>
      </c>
      <c r="B12">
        <v>1</v>
      </c>
      <c r="C12" t="s">
        <v>18</v>
      </c>
      <c r="D12" s="17" t="s">
        <v>2</v>
      </c>
      <c r="E12" t="s">
        <v>29</v>
      </c>
      <c r="F12" s="251" t="s">
        <v>14</v>
      </c>
      <c r="G12" t="s">
        <v>30</v>
      </c>
      <c r="H12">
        <v>1</v>
      </c>
      <c r="I12">
        <v>1</v>
      </c>
      <c r="J12" t="s">
        <v>31</v>
      </c>
      <c r="K12" t="s">
        <v>31</v>
      </c>
      <c r="L12" t="s">
        <v>31</v>
      </c>
      <c r="M12" t="s">
        <v>31</v>
      </c>
    </row>
    <row r="13" spans="1:26" ht="15.75">
      <c r="A13" s="448" t="s">
        <v>927</v>
      </c>
      <c r="B13">
        <f>Z13</f>
        <v>7.8E-2</v>
      </c>
      <c r="C13" t="s">
        <v>37</v>
      </c>
      <c r="D13" s="17" t="s">
        <v>2</v>
      </c>
      <c r="E13" t="s">
        <v>29</v>
      </c>
      <c r="F13" s="251" t="s">
        <v>14</v>
      </c>
      <c r="G13" t="s">
        <v>33</v>
      </c>
      <c r="H13">
        <v>1</v>
      </c>
      <c r="I13">
        <f>B13</f>
        <v>7.8E-2</v>
      </c>
      <c r="J13" t="s">
        <v>31</v>
      </c>
      <c r="K13" t="s">
        <v>31</v>
      </c>
      <c r="L13" t="s">
        <v>31</v>
      </c>
      <c r="M13" t="s">
        <v>31</v>
      </c>
      <c r="U13" s="449" t="s">
        <v>976</v>
      </c>
      <c r="V13" s="449" t="s">
        <v>947</v>
      </c>
      <c r="W13" s="359">
        <v>78</v>
      </c>
      <c r="Y13" t="s">
        <v>337</v>
      </c>
      <c r="Z13">
        <f>0.001*W13</f>
        <v>7.8E-2</v>
      </c>
    </row>
    <row r="14" spans="1:26" ht="15.75">
      <c r="A14" s="448" t="s">
        <v>959</v>
      </c>
      <c r="B14">
        <f t="shared" ref="B14:B21" si="0">Z14</f>
        <v>9.8000000000000004E-2</v>
      </c>
      <c r="C14" t="s">
        <v>37</v>
      </c>
      <c r="D14" s="17" t="s">
        <v>2</v>
      </c>
      <c r="E14" t="s">
        <v>29</v>
      </c>
      <c r="F14" s="251" t="s">
        <v>14</v>
      </c>
      <c r="G14" t="s">
        <v>33</v>
      </c>
      <c r="H14">
        <v>1</v>
      </c>
      <c r="I14">
        <f t="shared" ref="I14:I30" si="1">B14</f>
        <v>9.8000000000000004E-2</v>
      </c>
      <c r="J14" t="s">
        <v>31</v>
      </c>
      <c r="K14" t="s">
        <v>31</v>
      </c>
      <c r="L14" t="s">
        <v>31</v>
      </c>
      <c r="M14" t="s">
        <v>31</v>
      </c>
      <c r="U14" s="449" t="s">
        <v>977</v>
      </c>
      <c r="V14" s="449" t="s">
        <v>947</v>
      </c>
      <c r="W14" s="359">
        <v>98</v>
      </c>
      <c r="Y14" t="s">
        <v>337</v>
      </c>
      <c r="Z14">
        <f>0.001*W14</f>
        <v>9.8000000000000004E-2</v>
      </c>
    </row>
    <row r="15" spans="1:26" ht="15.75">
      <c r="A15" s="360" t="s">
        <v>978</v>
      </c>
      <c r="B15">
        <f t="shared" si="0"/>
        <v>3.44</v>
      </c>
      <c r="C15" t="s">
        <v>37</v>
      </c>
      <c r="D15" s="17" t="s">
        <v>38</v>
      </c>
      <c r="E15" t="s">
        <v>29</v>
      </c>
      <c r="F15" s="251" t="s">
        <v>60</v>
      </c>
      <c r="G15" t="s">
        <v>33</v>
      </c>
      <c r="H15">
        <v>1</v>
      </c>
      <c r="I15">
        <f t="shared" si="1"/>
        <v>3.44</v>
      </c>
      <c r="J15" t="s">
        <v>31</v>
      </c>
      <c r="K15" t="s">
        <v>31</v>
      </c>
      <c r="L15" t="s">
        <v>31</v>
      </c>
      <c r="M15" t="s">
        <v>31</v>
      </c>
      <c r="U15" s="449" t="s">
        <v>979</v>
      </c>
      <c r="V15" s="449" t="s">
        <v>337</v>
      </c>
      <c r="W15" s="359">
        <v>3.44</v>
      </c>
      <c r="Y15" t="s">
        <v>337</v>
      </c>
      <c r="Z15">
        <f>W15</f>
        <v>3.44</v>
      </c>
    </row>
    <row r="16" spans="1:26" ht="15.75">
      <c r="A16" s="448" t="s">
        <v>980</v>
      </c>
      <c r="B16">
        <f t="shared" si="0"/>
        <v>3.6</v>
      </c>
      <c r="C16" t="s">
        <v>37</v>
      </c>
      <c r="D16" s="17" t="s">
        <v>2</v>
      </c>
      <c r="E16" t="s">
        <v>29</v>
      </c>
      <c r="F16" s="251" t="s">
        <v>14</v>
      </c>
      <c r="G16" t="s">
        <v>33</v>
      </c>
      <c r="H16">
        <v>1</v>
      </c>
      <c r="I16">
        <f t="shared" si="1"/>
        <v>3.6</v>
      </c>
      <c r="J16" t="s">
        <v>31</v>
      </c>
      <c r="K16" t="s">
        <v>31</v>
      </c>
      <c r="L16" t="s">
        <v>31</v>
      </c>
      <c r="M16" t="s">
        <v>31</v>
      </c>
      <c r="U16" s="449" t="s">
        <v>981</v>
      </c>
      <c r="V16" s="449" t="s">
        <v>337</v>
      </c>
      <c r="W16" s="359">
        <v>3.6</v>
      </c>
      <c r="Y16" t="s">
        <v>337</v>
      </c>
      <c r="Z16">
        <f>W16</f>
        <v>3.6</v>
      </c>
    </row>
    <row r="17" spans="1:29" ht="15.75">
      <c r="A17" s="384" t="s">
        <v>982</v>
      </c>
      <c r="B17">
        <f t="shared" si="0"/>
        <v>4.083333333333334E-2</v>
      </c>
      <c r="C17" t="s">
        <v>206</v>
      </c>
      <c r="D17" s="17" t="s">
        <v>2</v>
      </c>
      <c r="E17" t="s">
        <v>29</v>
      </c>
      <c r="F17" s="251" t="s">
        <v>14</v>
      </c>
      <c r="G17" t="s">
        <v>33</v>
      </c>
      <c r="H17">
        <v>1</v>
      </c>
      <c r="I17">
        <f t="shared" si="1"/>
        <v>4.083333333333334E-2</v>
      </c>
      <c r="J17" t="s">
        <v>31</v>
      </c>
      <c r="K17" t="s">
        <v>31</v>
      </c>
      <c r="L17" t="s">
        <v>31</v>
      </c>
      <c r="M17" t="s">
        <v>31</v>
      </c>
      <c r="O17" t="s">
        <v>983</v>
      </c>
      <c r="U17" s="240" t="s">
        <v>984</v>
      </c>
      <c r="V17" s="240" t="s">
        <v>947</v>
      </c>
      <c r="W17" s="359">
        <v>245</v>
      </c>
      <c r="Y17" t="s">
        <v>945</v>
      </c>
      <c r="Z17">
        <f>W17*0.001/AB17</f>
        <v>4.083333333333334E-2</v>
      </c>
      <c r="AB17">
        <f>A.Reused!O36</f>
        <v>5.9999999999999991</v>
      </c>
      <c r="AC17" t="s">
        <v>985</v>
      </c>
    </row>
    <row r="18" spans="1:29" ht="15.75">
      <c r="A18" s="448" t="s">
        <v>986</v>
      </c>
      <c r="B18">
        <f t="shared" si="0"/>
        <v>1.419</v>
      </c>
      <c r="C18" t="s">
        <v>37</v>
      </c>
      <c r="D18" s="17" t="s">
        <v>2</v>
      </c>
      <c r="E18" t="s">
        <v>29</v>
      </c>
      <c r="F18" s="251" t="s">
        <v>14</v>
      </c>
      <c r="G18" t="s">
        <v>33</v>
      </c>
      <c r="H18">
        <v>1</v>
      </c>
      <c r="I18">
        <f t="shared" si="1"/>
        <v>1.419</v>
      </c>
      <c r="J18" t="s">
        <v>31</v>
      </c>
      <c r="K18" t="s">
        <v>31</v>
      </c>
      <c r="L18" t="s">
        <v>31</v>
      </c>
      <c r="M18" t="s">
        <v>31</v>
      </c>
      <c r="U18" s="240" t="s">
        <v>987</v>
      </c>
      <c r="V18" s="449" t="s">
        <v>947</v>
      </c>
      <c r="W18" s="359">
        <v>1419</v>
      </c>
      <c r="Y18" t="s">
        <v>337</v>
      </c>
      <c r="Z18">
        <f>0.001*W18</f>
        <v>1.419</v>
      </c>
    </row>
    <row r="19" spans="1:29" ht="15.75">
      <c r="A19" s="385" t="s">
        <v>988</v>
      </c>
      <c r="B19">
        <f t="shared" si="0"/>
        <v>7.0000000000000001E-3</v>
      </c>
      <c r="C19" t="s">
        <v>37</v>
      </c>
      <c r="D19" s="17" t="s">
        <v>38</v>
      </c>
      <c r="E19" t="s">
        <v>29</v>
      </c>
      <c r="F19" s="251" t="s">
        <v>35</v>
      </c>
      <c r="G19" t="s">
        <v>33</v>
      </c>
      <c r="H19">
        <v>1</v>
      </c>
      <c r="I19">
        <f t="shared" si="1"/>
        <v>7.0000000000000001E-3</v>
      </c>
      <c r="J19" t="s">
        <v>31</v>
      </c>
      <c r="K19" t="s">
        <v>31</v>
      </c>
      <c r="L19" t="s">
        <v>31</v>
      </c>
      <c r="M19" t="s">
        <v>31</v>
      </c>
      <c r="N19" s="253" t="s">
        <v>989</v>
      </c>
      <c r="U19" s="449" t="s">
        <v>989</v>
      </c>
      <c r="V19" s="449" t="s">
        <v>947</v>
      </c>
      <c r="W19" s="359">
        <v>7</v>
      </c>
      <c r="Y19" t="s">
        <v>337</v>
      </c>
      <c r="Z19">
        <f>0.001*W19</f>
        <v>7.0000000000000001E-3</v>
      </c>
    </row>
    <row r="20" spans="1:29" ht="15.75">
      <c r="A20" s="386" t="s">
        <v>533</v>
      </c>
      <c r="B20">
        <f t="shared" si="0"/>
        <v>4.3999999999999997E-2</v>
      </c>
      <c r="C20" t="s">
        <v>37</v>
      </c>
      <c r="D20" s="17" t="s">
        <v>38</v>
      </c>
      <c r="E20" t="s">
        <v>29</v>
      </c>
      <c r="F20" s="251" t="s">
        <v>35</v>
      </c>
      <c r="G20" t="s">
        <v>33</v>
      </c>
      <c r="H20">
        <v>1</v>
      </c>
      <c r="I20">
        <f t="shared" si="1"/>
        <v>4.3999999999999997E-2</v>
      </c>
      <c r="J20" t="s">
        <v>31</v>
      </c>
      <c r="K20" t="s">
        <v>31</v>
      </c>
      <c r="L20" t="s">
        <v>31</v>
      </c>
      <c r="M20" t="s">
        <v>31</v>
      </c>
      <c r="N20" s="253" t="s">
        <v>990</v>
      </c>
      <c r="U20" s="240" t="s">
        <v>990</v>
      </c>
      <c r="V20" s="449" t="s">
        <v>947</v>
      </c>
      <c r="W20" s="359">
        <v>44</v>
      </c>
      <c r="Y20" t="s">
        <v>337</v>
      </c>
      <c r="Z20">
        <f t="shared" ref="Z20:Z22" si="2">0.001*W20</f>
        <v>4.3999999999999997E-2</v>
      </c>
    </row>
    <row r="21" spans="1:29" ht="15.75">
      <c r="A21" s="385" t="s">
        <v>988</v>
      </c>
      <c r="B21">
        <f t="shared" si="0"/>
        <v>2E-3</v>
      </c>
      <c r="C21" t="s">
        <v>37</v>
      </c>
      <c r="D21" s="17" t="s">
        <v>38</v>
      </c>
      <c r="E21" t="s">
        <v>29</v>
      </c>
      <c r="F21" s="251" t="s">
        <v>35</v>
      </c>
      <c r="G21" t="s">
        <v>33</v>
      </c>
      <c r="H21">
        <v>1</v>
      </c>
      <c r="I21">
        <f t="shared" si="1"/>
        <v>2E-3</v>
      </c>
      <c r="J21" t="s">
        <v>31</v>
      </c>
      <c r="K21" t="s">
        <v>31</v>
      </c>
      <c r="L21" t="s">
        <v>31</v>
      </c>
      <c r="M21" t="s">
        <v>31</v>
      </c>
      <c r="N21" s="253" t="s">
        <v>991</v>
      </c>
      <c r="U21" s="240" t="s">
        <v>991</v>
      </c>
      <c r="V21" s="449" t="s">
        <v>947</v>
      </c>
      <c r="W21" s="359">
        <v>2</v>
      </c>
      <c r="Y21" t="s">
        <v>337</v>
      </c>
      <c r="Z21">
        <f t="shared" si="2"/>
        <v>2E-3</v>
      </c>
    </row>
    <row r="22" spans="1:29" ht="15.75">
      <c r="A22" s="386" t="s">
        <v>992</v>
      </c>
      <c r="B22">
        <f>Z21</f>
        <v>2E-3</v>
      </c>
      <c r="C22" t="s">
        <v>37</v>
      </c>
      <c r="D22" s="17" t="s">
        <v>38</v>
      </c>
      <c r="E22" t="s">
        <v>29</v>
      </c>
      <c r="F22" s="251" t="s">
        <v>35</v>
      </c>
      <c r="G22" t="s">
        <v>33</v>
      </c>
      <c r="H22">
        <v>1</v>
      </c>
      <c r="I22">
        <f t="shared" si="1"/>
        <v>2E-3</v>
      </c>
      <c r="J22" t="s">
        <v>31</v>
      </c>
      <c r="K22" t="s">
        <v>31</v>
      </c>
      <c r="L22" t="s">
        <v>31</v>
      </c>
      <c r="M22" t="s">
        <v>31</v>
      </c>
      <c r="N22" s="253" t="s">
        <v>991</v>
      </c>
      <c r="U22" s="240" t="s">
        <v>991</v>
      </c>
      <c r="V22" s="449" t="s">
        <v>947</v>
      </c>
      <c r="W22" s="359">
        <v>2</v>
      </c>
      <c r="Y22" t="s">
        <v>337</v>
      </c>
      <c r="Z22">
        <f t="shared" si="2"/>
        <v>2E-3</v>
      </c>
    </row>
    <row r="23" spans="1:29" ht="15.75">
      <c r="A23" s="360" t="s">
        <v>921</v>
      </c>
      <c r="B23">
        <f t="shared" ref="B23:B27" si="3">Z22</f>
        <v>2E-3</v>
      </c>
      <c r="C23" t="s">
        <v>37</v>
      </c>
      <c r="D23" s="17" t="s">
        <v>2</v>
      </c>
      <c r="E23" t="s">
        <v>29</v>
      </c>
      <c r="F23" s="251" t="s">
        <v>14</v>
      </c>
      <c r="G23" t="s">
        <v>33</v>
      </c>
      <c r="H23">
        <v>1</v>
      </c>
      <c r="I23">
        <f t="shared" si="1"/>
        <v>2E-3</v>
      </c>
      <c r="J23" t="s">
        <v>31</v>
      </c>
      <c r="K23" t="s">
        <v>31</v>
      </c>
      <c r="L23" t="s">
        <v>31</v>
      </c>
      <c r="M23" t="s">
        <v>31</v>
      </c>
      <c r="N23" s="253" t="s">
        <v>921</v>
      </c>
      <c r="U23" s="449" t="s">
        <v>921</v>
      </c>
      <c r="V23" s="449" t="s">
        <v>337</v>
      </c>
      <c r="W23" s="359">
        <v>3.3</v>
      </c>
      <c r="Y23" t="s">
        <v>337</v>
      </c>
      <c r="Z23">
        <f>W23</f>
        <v>3.3</v>
      </c>
    </row>
    <row r="24" spans="1:29" ht="15.75">
      <c r="A24" s="448" t="s">
        <v>993</v>
      </c>
      <c r="B24">
        <f t="shared" si="3"/>
        <v>3.3</v>
      </c>
      <c r="C24" t="s">
        <v>37</v>
      </c>
      <c r="D24" s="17" t="s">
        <v>2</v>
      </c>
      <c r="E24" t="s">
        <v>29</v>
      </c>
      <c r="F24" s="251" t="s">
        <v>14</v>
      </c>
      <c r="G24" t="s">
        <v>33</v>
      </c>
      <c r="H24">
        <v>1</v>
      </c>
      <c r="I24">
        <f t="shared" si="1"/>
        <v>3.3</v>
      </c>
      <c r="J24" t="s">
        <v>31</v>
      </c>
      <c r="K24" t="s">
        <v>31</v>
      </c>
      <c r="L24" t="s">
        <v>31</v>
      </c>
      <c r="M24" t="s">
        <v>31</v>
      </c>
      <c r="N24" s="253"/>
      <c r="U24" s="449" t="s">
        <v>994</v>
      </c>
      <c r="V24" s="450" t="s">
        <v>337</v>
      </c>
      <c r="W24" s="359">
        <v>9.4600000000000009</v>
      </c>
      <c r="Y24" t="s">
        <v>337</v>
      </c>
      <c r="Z24">
        <f>W24</f>
        <v>9.4600000000000009</v>
      </c>
    </row>
    <row r="25" spans="1:29" ht="15.75">
      <c r="A25" s="387" t="s">
        <v>995</v>
      </c>
      <c r="B25" s="22">
        <f>'A. Machined casing'!B7</f>
        <v>9.4499999999999993</v>
      </c>
      <c r="C25" t="s">
        <v>37</v>
      </c>
      <c r="D25" s="17" t="s">
        <v>38</v>
      </c>
      <c r="E25" t="s">
        <v>29</v>
      </c>
      <c r="F25" s="251" t="s">
        <v>86</v>
      </c>
      <c r="G25" t="s">
        <v>33</v>
      </c>
      <c r="H25">
        <v>1</v>
      </c>
      <c r="I25">
        <f t="shared" si="1"/>
        <v>9.4499999999999993</v>
      </c>
      <c r="J25" t="s">
        <v>31</v>
      </c>
      <c r="K25" t="s">
        <v>31</v>
      </c>
      <c r="L25" t="s">
        <v>31</v>
      </c>
      <c r="M25" t="s">
        <v>31</v>
      </c>
      <c r="N25" s="253" t="s">
        <v>996</v>
      </c>
      <c r="U25" s="331" t="s">
        <v>996</v>
      </c>
      <c r="V25" s="331" t="s">
        <v>947</v>
      </c>
      <c r="W25" s="363">
        <v>54</v>
      </c>
      <c r="Y25" t="s">
        <v>337</v>
      </c>
      <c r="Z25">
        <f>0.001*W25</f>
        <v>5.3999999999999999E-2</v>
      </c>
    </row>
    <row r="26" spans="1:29" ht="15.75">
      <c r="A26" s="387" t="s">
        <v>997</v>
      </c>
      <c r="B26">
        <f>Z25</f>
        <v>5.3999999999999999E-2</v>
      </c>
      <c r="C26" t="s">
        <v>37</v>
      </c>
      <c r="D26" s="17" t="s">
        <v>38</v>
      </c>
      <c r="E26" t="s">
        <v>29</v>
      </c>
      <c r="F26" s="251" t="s">
        <v>60</v>
      </c>
      <c r="G26" t="s">
        <v>33</v>
      </c>
      <c r="H26">
        <v>1</v>
      </c>
      <c r="I26">
        <f t="shared" si="1"/>
        <v>5.3999999999999999E-2</v>
      </c>
      <c r="J26" t="s">
        <v>31</v>
      </c>
      <c r="K26" t="s">
        <v>31</v>
      </c>
      <c r="L26" t="s">
        <v>31</v>
      </c>
      <c r="M26" t="s">
        <v>31</v>
      </c>
      <c r="N26" t="s">
        <v>998</v>
      </c>
      <c r="U26" s="331" t="s">
        <v>998</v>
      </c>
      <c r="V26" s="331" t="s">
        <v>947</v>
      </c>
      <c r="W26" s="363">
        <v>12</v>
      </c>
      <c r="Y26" t="s">
        <v>337</v>
      </c>
      <c r="Z26">
        <f>0.001*W26</f>
        <v>1.2E-2</v>
      </c>
    </row>
    <row r="27" spans="1:29" ht="15.75">
      <c r="A27" s="387" t="s">
        <v>533</v>
      </c>
      <c r="B27">
        <f t="shared" si="3"/>
        <v>1.2E-2</v>
      </c>
      <c r="C27" t="s">
        <v>37</v>
      </c>
      <c r="D27" s="17" t="s">
        <v>38</v>
      </c>
      <c r="E27" t="s">
        <v>29</v>
      </c>
      <c r="F27" s="251" t="s">
        <v>35</v>
      </c>
      <c r="G27" t="s">
        <v>33</v>
      </c>
      <c r="H27">
        <v>1</v>
      </c>
      <c r="I27">
        <f t="shared" si="1"/>
        <v>1.2E-2</v>
      </c>
      <c r="J27" t="s">
        <v>31</v>
      </c>
      <c r="K27" t="s">
        <v>31</v>
      </c>
      <c r="L27" t="s">
        <v>31</v>
      </c>
      <c r="M27" t="s">
        <v>31</v>
      </c>
      <c r="N27" t="s">
        <v>999</v>
      </c>
      <c r="U27" s="331" t="s">
        <v>999</v>
      </c>
      <c r="V27" s="331" t="s">
        <v>947</v>
      </c>
      <c r="W27" s="363">
        <v>12</v>
      </c>
      <c r="Y27" t="s">
        <v>337</v>
      </c>
      <c r="Z27">
        <f>0.001*W27</f>
        <v>1.2E-2</v>
      </c>
    </row>
    <row r="28" spans="1:29" ht="15.75">
      <c r="A28" s="451" t="s">
        <v>40</v>
      </c>
      <c r="B28">
        <f>1.5+0.6</f>
        <v>2.1</v>
      </c>
      <c r="C28" t="s">
        <v>41</v>
      </c>
      <c r="D28" s="17" t="s">
        <v>38</v>
      </c>
      <c r="E28" t="s">
        <v>29</v>
      </c>
      <c r="F28" t="s">
        <v>14</v>
      </c>
      <c r="G28" t="s">
        <v>33</v>
      </c>
      <c r="H28">
        <v>1</v>
      </c>
      <c r="I28">
        <f t="shared" si="1"/>
        <v>2.1</v>
      </c>
      <c r="J28" t="s">
        <v>31</v>
      </c>
      <c r="K28" t="s">
        <v>31</v>
      </c>
      <c r="L28" t="s">
        <v>31</v>
      </c>
      <c r="M28" t="s">
        <v>31</v>
      </c>
      <c r="N28" t="s">
        <v>1000</v>
      </c>
      <c r="U28" s="449"/>
      <c r="V28" s="450"/>
      <c r="W28" s="359"/>
    </row>
    <row r="29" spans="1:29" ht="15.75">
      <c r="A29" s="451" t="s">
        <v>40</v>
      </c>
      <c r="B29">
        <v>5.6</v>
      </c>
      <c r="C29" t="s">
        <v>41</v>
      </c>
      <c r="D29" s="17" t="s">
        <v>38</v>
      </c>
      <c r="E29" t="s">
        <v>29</v>
      </c>
      <c r="F29" t="s">
        <v>14</v>
      </c>
      <c r="G29" t="s">
        <v>33</v>
      </c>
      <c r="H29">
        <v>1</v>
      </c>
      <c r="I29">
        <f t="shared" si="1"/>
        <v>5.6</v>
      </c>
      <c r="J29" t="s">
        <v>31</v>
      </c>
      <c r="K29" t="s">
        <v>31</v>
      </c>
      <c r="L29" t="s">
        <v>31</v>
      </c>
      <c r="M29" t="s">
        <v>31</v>
      </c>
      <c r="N29" t="s">
        <v>1001</v>
      </c>
    </row>
    <row r="30" spans="1:29" ht="15.75">
      <c r="A30" s="451" t="s">
        <v>40</v>
      </c>
      <c r="B30">
        <v>1.5</v>
      </c>
      <c r="C30" t="s">
        <v>41</v>
      </c>
      <c r="D30" s="17" t="s">
        <v>38</v>
      </c>
      <c r="E30" t="s">
        <v>29</v>
      </c>
      <c r="F30" t="s">
        <v>14</v>
      </c>
      <c r="G30" t="s">
        <v>33</v>
      </c>
      <c r="H30">
        <v>1</v>
      </c>
      <c r="I30">
        <f t="shared" si="1"/>
        <v>1.5</v>
      </c>
      <c r="J30" t="s">
        <v>31</v>
      </c>
      <c r="K30" t="s">
        <v>31</v>
      </c>
      <c r="L30" t="s">
        <v>31</v>
      </c>
      <c r="M30" t="s">
        <v>31</v>
      </c>
      <c r="N30" t="s">
        <v>1002</v>
      </c>
    </row>
    <row r="31" spans="1:29" ht="15.75">
      <c r="A31" s="245"/>
      <c r="B31" s="246"/>
      <c r="C31" s="120"/>
      <c r="D31" s="42"/>
      <c r="E31" s="42"/>
      <c r="F31" s="42"/>
      <c r="G31" s="42"/>
      <c r="H31" s="42"/>
      <c r="I31" s="42"/>
      <c r="J31" s="42"/>
      <c r="K31" s="42"/>
      <c r="L31" s="42"/>
      <c r="M31" s="42"/>
    </row>
    <row r="32" spans="1:29">
      <c r="A32" s="247"/>
      <c r="C32" s="23"/>
      <c r="N32" s="329" t="s">
        <v>1003</v>
      </c>
    </row>
    <row r="33" spans="1:14">
      <c r="A33" s="247"/>
      <c r="C33" s="23"/>
      <c r="N33" s="329">
        <f>SUM(B13:B27)-B17+0.245</f>
        <v>21.753000000000004</v>
      </c>
    </row>
    <row r="34" spans="1:14">
      <c r="A34" s="247"/>
      <c r="B34" s="249"/>
    </row>
    <row r="35" spans="1:14" ht="15.75">
      <c r="A35" s="253"/>
      <c r="D35" s="17"/>
      <c r="F35" s="251"/>
    </row>
    <row r="36" spans="1:14" ht="15.75">
      <c r="D36" s="17"/>
      <c r="F36" s="251"/>
    </row>
    <row r="37" spans="1:14" ht="15.75">
      <c r="A37" s="253"/>
      <c r="D37" s="17"/>
      <c r="F37" s="251"/>
    </row>
    <row r="38" spans="1:14" ht="15.75">
      <c r="A38" s="253"/>
      <c r="D38" s="17"/>
      <c r="F38" s="251"/>
    </row>
    <row r="39" spans="1:14" ht="15.75">
      <c r="A39" s="17"/>
      <c r="D39" s="17"/>
      <c r="F39" s="251"/>
    </row>
    <row r="40" spans="1:14" ht="15.75">
      <c r="A40" s="17"/>
      <c r="D40" s="17"/>
    </row>
    <row r="41" spans="1:14" ht="15.75">
      <c r="A41" s="253"/>
      <c r="D41" s="17"/>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F2BF-A3C1-49A5-B256-2B8931AB5AA5}">
  <sheetPr>
    <tabColor theme="5" tint="0.79998168889431442"/>
  </sheetPr>
  <dimension ref="A1:U62"/>
  <sheetViews>
    <sheetView topLeftCell="A27" zoomScaleNormal="100" workbookViewId="0">
      <selection activeCell="G113" sqref="G113"/>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 min="17" max="17" width="11.28515625" bestFit="1" customWidth="1"/>
  </cols>
  <sheetData>
    <row r="1" spans="1:21">
      <c r="A1" s="31" t="s">
        <v>0</v>
      </c>
      <c r="B1">
        <v>13</v>
      </c>
    </row>
    <row r="2" spans="1:21" ht="15.75">
      <c r="A2" s="322" t="s">
        <v>5</v>
      </c>
      <c r="B2" s="323" t="s">
        <v>982</v>
      </c>
      <c r="C2" s="120"/>
      <c r="D2" s="42"/>
      <c r="E2" s="42"/>
      <c r="F2" s="42"/>
      <c r="G2" s="42"/>
      <c r="H2" s="42"/>
      <c r="I2" s="42"/>
      <c r="J2" s="42"/>
      <c r="K2" s="42"/>
      <c r="L2" s="42"/>
      <c r="M2" s="42"/>
      <c r="N2" s="42"/>
      <c r="O2" s="42"/>
      <c r="P2" s="42"/>
      <c r="Q2" s="42"/>
      <c r="R2" s="42"/>
    </row>
    <row r="3" spans="1:21">
      <c r="A3" s="324" t="s">
        <v>7</v>
      </c>
      <c r="B3" t="s">
        <v>902</v>
      </c>
      <c r="C3" s="23"/>
    </row>
    <row r="4" spans="1:21">
      <c r="A4" s="324" t="s">
        <v>9</v>
      </c>
      <c r="B4" t="s">
        <v>1004</v>
      </c>
      <c r="C4" s="23"/>
      <c r="U4" s="65"/>
    </row>
    <row r="5" spans="1:21" ht="12.75" customHeight="1">
      <c r="A5" s="324" t="s">
        <v>11</v>
      </c>
      <c r="B5" s="249" t="s">
        <v>913</v>
      </c>
    </row>
    <row r="6" spans="1:21">
      <c r="A6" s="324" t="s">
        <v>13</v>
      </c>
      <c r="B6" t="s">
        <v>14</v>
      </c>
    </row>
    <row r="7" spans="1:21">
      <c r="A7" s="324" t="s">
        <v>15</v>
      </c>
      <c r="B7">
        <f>B12</f>
        <v>8.0000000000000002E-3</v>
      </c>
    </row>
    <row r="8" spans="1:21">
      <c r="A8" s="324" t="s">
        <v>16</v>
      </c>
      <c r="B8" t="s">
        <v>17</v>
      </c>
    </row>
    <row r="9" spans="1:21">
      <c r="A9" s="324" t="s">
        <v>18</v>
      </c>
      <c r="B9" t="s">
        <v>206</v>
      </c>
    </row>
    <row r="10" spans="1:21" ht="15.75">
      <c r="A10" s="325" t="s">
        <v>19</v>
      </c>
    </row>
    <row r="11" spans="1:21" ht="15.75">
      <c r="A11" s="32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75">
      <c r="A12" s="31" t="s">
        <v>982</v>
      </c>
      <c r="B12">
        <v>8.0000000000000002E-3</v>
      </c>
      <c r="C12" t="s">
        <v>206</v>
      </c>
      <c r="D12" s="326" t="s">
        <v>2</v>
      </c>
      <c r="E12" t="s">
        <v>29</v>
      </c>
      <c r="F12" s="251" t="s">
        <v>14</v>
      </c>
      <c r="G12" t="s">
        <v>30</v>
      </c>
      <c r="H12">
        <v>1</v>
      </c>
      <c r="I12">
        <f>B12</f>
        <v>8.0000000000000002E-3</v>
      </c>
      <c r="J12" t="s">
        <v>31</v>
      </c>
      <c r="K12" t="s">
        <v>31</v>
      </c>
      <c r="L12" t="s">
        <v>31</v>
      </c>
      <c r="M12" t="s">
        <v>31</v>
      </c>
      <c r="O12" s="327"/>
      <c r="P12" s="328"/>
    </row>
    <row r="13" spans="1:21" ht="15.75">
      <c r="A13" s="31" t="s">
        <v>1005</v>
      </c>
      <c r="B13">
        <f>R13</f>
        <v>4.7999999999999994E-2</v>
      </c>
      <c r="C13" t="s">
        <v>37</v>
      </c>
      <c r="D13" s="326" t="s">
        <v>2</v>
      </c>
      <c r="E13" t="s">
        <v>29</v>
      </c>
      <c r="F13" s="251" t="s">
        <v>14</v>
      </c>
      <c r="G13" t="s">
        <v>33</v>
      </c>
      <c r="H13">
        <v>1</v>
      </c>
      <c r="I13">
        <f t="shared" ref="I13:I14" si="0">B13</f>
        <v>4.7999999999999994E-2</v>
      </c>
      <c r="J13" t="s">
        <v>31</v>
      </c>
      <c r="K13" t="s">
        <v>31</v>
      </c>
      <c r="L13" t="s">
        <v>31</v>
      </c>
      <c r="M13" t="s">
        <v>31</v>
      </c>
      <c r="O13" s="329" t="s">
        <v>1006</v>
      </c>
      <c r="P13">
        <f>0.3/0.05</f>
        <v>5.9999999999999991</v>
      </c>
      <c r="Q13" t="s">
        <v>985</v>
      </c>
      <c r="R13">
        <f>P13*B12</f>
        <v>4.7999999999999994E-2</v>
      </c>
    </row>
    <row r="14" spans="1:21" ht="15.75">
      <c r="A14" s="31" t="s">
        <v>1007</v>
      </c>
      <c r="B14">
        <v>3.5999999999999997E-2</v>
      </c>
      <c r="C14" t="s">
        <v>206</v>
      </c>
      <c r="D14" s="326" t="s">
        <v>2</v>
      </c>
      <c r="E14" t="s">
        <v>29</v>
      </c>
      <c r="F14" s="251" t="s">
        <v>14</v>
      </c>
      <c r="G14" t="s">
        <v>33</v>
      </c>
      <c r="H14">
        <v>1</v>
      </c>
      <c r="I14">
        <f t="shared" si="0"/>
        <v>3.5999999999999997E-2</v>
      </c>
      <c r="J14" t="s">
        <v>31</v>
      </c>
      <c r="K14" t="s">
        <v>31</v>
      </c>
      <c r="L14" t="s">
        <v>31</v>
      </c>
      <c r="M14" t="s">
        <v>31</v>
      </c>
    </row>
    <row r="15" spans="1:21" ht="15.75">
      <c r="A15" s="83" t="s">
        <v>933</v>
      </c>
      <c r="B15">
        <f>P15</f>
        <v>0.1</v>
      </c>
      <c r="C15" t="s">
        <v>37</v>
      </c>
      <c r="D15" s="17" t="s">
        <v>38</v>
      </c>
      <c r="E15" t="s">
        <v>29</v>
      </c>
      <c r="F15" s="251" t="s">
        <v>39</v>
      </c>
      <c r="G15" t="s">
        <v>33</v>
      </c>
      <c r="H15">
        <v>2</v>
      </c>
      <c r="I15">
        <f>LN(B15)</f>
        <v>-2.3025850929940455</v>
      </c>
      <c r="J15" s="330">
        <v>0.11236102527122109</v>
      </c>
      <c r="K15" t="s">
        <v>31</v>
      </c>
      <c r="L15" t="s">
        <v>31</v>
      </c>
      <c r="M15" t="s">
        <v>31</v>
      </c>
      <c r="O15" s="331" t="s">
        <v>337</v>
      </c>
      <c r="P15" s="296">
        <v>0.1</v>
      </c>
    </row>
    <row r="16" spans="1:21" ht="15.75">
      <c r="A16" s="83" t="s">
        <v>1008</v>
      </c>
      <c r="B16" s="283">
        <f>Q16</f>
        <v>6.6999999999999996E-9</v>
      </c>
      <c r="C16" t="s">
        <v>37</v>
      </c>
      <c r="D16" s="17" t="s">
        <v>38</v>
      </c>
      <c r="E16" t="s">
        <v>29</v>
      </c>
      <c r="F16" s="251" t="s">
        <v>60</v>
      </c>
      <c r="G16" t="s">
        <v>33</v>
      </c>
      <c r="H16">
        <v>2</v>
      </c>
      <c r="I16">
        <f t="shared" ref="I16:I17" si="1">LN(B16)</f>
        <v>-18.821158310549492</v>
      </c>
      <c r="J16" s="330">
        <v>0.11236102527122109</v>
      </c>
      <c r="K16" t="s">
        <v>31</v>
      </c>
      <c r="L16" t="s">
        <v>31</v>
      </c>
      <c r="M16" t="s">
        <v>31</v>
      </c>
      <c r="O16" s="332" t="s">
        <v>952</v>
      </c>
      <c r="P16" s="333">
        <v>6.7000000000000002E-3</v>
      </c>
      <c r="Q16" s="283">
        <f>P16*10^(-6)</f>
        <v>6.6999999999999996E-9</v>
      </c>
      <c r="R16" t="s">
        <v>37</v>
      </c>
    </row>
    <row r="17" spans="1:18" ht="15.75">
      <c r="A17" s="83" t="s">
        <v>489</v>
      </c>
      <c r="B17">
        <f>Q17</f>
        <v>1E-4</v>
      </c>
      <c r="C17" t="s">
        <v>50</v>
      </c>
      <c r="D17" s="17" t="s">
        <v>38</v>
      </c>
      <c r="E17" t="s">
        <v>29</v>
      </c>
      <c r="F17" s="251" t="s">
        <v>39</v>
      </c>
      <c r="G17" t="s">
        <v>33</v>
      </c>
      <c r="H17">
        <v>2</v>
      </c>
      <c r="I17">
        <f t="shared" si="1"/>
        <v>-9.2103403719761818</v>
      </c>
      <c r="J17" s="330">
        <v>0.11236102527122109</v>
      </c>
      <c r="K17" t="s">
        <v>31</v>
      </c>
      <c r="L17" t="s">
        <v>31</v>
      </c>
      <c r="M17" t="s">
        <v>31</v>
      </c>
      <c r="O17" s="334" t="s">
        <v>1009</v>
      </c>
      <c r="P17" s="306">
        <v>0.1</v>
      </c>
      <c r="Q17">
        <f>P17/1000</f>
        <v>1E-4</v>
      </c>
      <c r="R17" t="s">
        <v>1010</v>
      </c>
    </row>
    <row r="18" spans="1:18" ht="15.75">
      <c r="A18" s="322" t="s">
        <v>5</v>
      </c>
      <c r="B18" s="323" t="s">
        <v>1005</v>
      </c>
      <c r="C18" s="120"/>
      <c r="D18" s="42"/>
      <c r="E18" s="42"/>
      <c r="F18" s="42"/>
      <c r="G18" s="42"/>
      <c r="H18" s="42"/>
      <c r="I18" s="42"/>
      <c r="J18" s="42"/>
      <c r="K18" s="42"/>
      <c r="L18" s="42"/>
      <c r="M18" s="42"/>
      <c r="N18" s="42"/>
      <c r="O18" s="42"/>
      <c r="P18" s="42"/>
      <c r="Q18" s="42"/>
      <c r="R18" s="42"/>
    </row>
    <row r="19" spans="1:18">
      <c r="A19" s="324" t="s">
        <v>7</v>
      </c>
      <c r="B19" t="s">
        <v>902</v>
      </c>
      <c r="C19" s="23"/>
    </row>
    <row r="20" spans="1:18">
      <c r="A20" s="324" t="s">
        <v>9</v>
      </c>
      <c r="B20" t="s">
        <v>1011</v>
      </c>
      <c r="C20" s="23"/>
    </row>
    <row r="21" spans="1:18" ht="10.5" customHeight="1">
      <c r="A21" s="324" t="s">
        <v>11</v>
      </c>
      <c r="B21" s="249" t="s">
        <v>913</v>
      </c>
      <c r="P21" s="338"/>
    </row>
    <row r="22" spans="1:18">
      <c r="A22" s="324" t="s">
        <v>13</v>
      </c>
      <c r="B22" t="s">
        <v>14</v>
      </c>
      <c r="P22" s="338"/>
    </row>
    <row r="23" spans="1:18">
      <c r="A23" s="324" t="s">
        <v>15</v>
      </c>
      <c r="B23">
        <f>B28</f>
        <v>7.0000000000000001E-3</v>
      </c>
      <c r="P23" s="338"/>
    </row>
    <row r="24" spans="1:18">
      <c r="A24" s="324" t="s">
        <v>16</v>
      </c>
      <c r="B24" t="s">
        <v>17</v>
      </c>
    </row>
    <row r="25" spans="1:18">
      <c r="A25" s="324" t="s">
        <v>18</v>
      </c>
      <c r="B25" t="s">
        <v>37</v>
      </c>
    </row>
    <row r="26" spans="1:18" ht="15.75">
      <c r="A26" s="325" t="s">
        <v>19</v>
      </c>
    </row>
    <row r="27" spans="1:18" ht="15.75">
      <c r="A27" s="325"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75">
      <c r="A28" s="31" t="s">
        <v>1005</v>
      </c>
      <c r="B28">
        <v>7.0000000000000001E-3</v>
      </c>
      <c r="C28" t="s">
        <v>37</v>
      </c>
      <c r="D28" s="326" t="s">
        <v>2</v>
      </c>
      <c r="E28" t="s">
        <v>29</v>
      </c>
      <c r="F28" s="251" t="s">
        <v>14</v>
      </c>
      <c r="G28" t="s">
        <v>30</v>
      </c>
      <c r="H28">
        <v>1</v>
      </c>
      <c r="I28">
        <f>B28</f>
        <v>7.0000000000000001E-3</v>
      </c>
      <c r="J28" t="s">
        <v>31</v>
      </c>
      <c r="K28" t="s">
        <v>31</v>
      </c>
      <c r="L28" t="s">
        <v>31</v>
      </c>
      <c r="M28" t="s">
        <v>31</v>
      </c>
    </row>
    <row r="29" spans="1:18" ht="15.75">
      <c r="A29" s="83" t="s">
        <v>1008</v>
      </c>
      <c r="B29" s="283">
        <f>R29</f>
        <v>7.2000000000000007E-3</v>
      </c>
      <c r="C29" t="s">
        <v>37</v>
      </c>
      <c r="D29" s="17" t="s">
        <v>38</v>
      </c>
      <c r="E29" t="s">
        <v>29</v>
      </c>
      <c r="F29" s="251" t="s">
        <v>60</v>
      </c>
      <c r="G29" t="s">
        <v>33</v>
      </c>
      <c r="H29">
        <v>2</v>
      </c>
      <c r="I29">
        <f t="shared" ref="I29:I31" si="2">LN(B29)</f>
        <v>-4.9336742529601274</v>
      </c>
      <c r="J29" s="330">
        <v>0.11236102527122109</v>
      </c>
      <c r="K29" t="s">
        <v>31</v>
      </c>
      <c r="L29" t="s">
        <v>31</v>
      </c>
      <c r="M29" t="s">
        <v>31</v>
      </c>
      <c r="O29" s="331" t="s">
        <v>947</v>
      </c>
      <c r="P29" s="296">
        <v>7.2</v>
      </c>
      <c r="Q29" t="s">
        <v>337</v>
      </c>
      <c r="R29">
        <f>P29*0.001</f>
        <v>7.2000000000000007E-3</v>
      </c>
    </row>
    <row r="30" spans="1:18" ht="15.75">
      <c r="A30" s="335" t="s">
        <v>40</v>
      </c>
      <c r="B30" s="336">
        <f>P30</f>
        <v>0.03</v>
      </c>
      <c r="C30" t="s">
        <v>41</v>
      </c>
      <c r="D30" s="17" t="s">
        <v>38</v>
      </c>
      <c r="E30" t="s">
        <v>29</v>
      </c>
      <c r="F30" s="251" t="s">
        <v>35</v>
      </c>
      <c r="G30" t="s">
        <v>33</v>
      </c>
      <c r="H30">
        <v>2</v>
      </c>
      <c r="I30">
        <f t="shared" si="2"/>
        <v>-3.5065578973199818</v>
      </c>
      <c r="J30" s="330">
        <v>0.11236102527122109</v>
      </c>
      <c r="K30" t="s">
        <v>31</v>
      </c>
      <c r="L30" t="s">
        <v>31</v>
      </c>
      <c r="M30" t="s">
        <v>31</v>
      </c>
      <c r="O30" s="331" t="s">
        <v>332</v>
      </c>
      <c r="P30" s="296">
        <v>0.03</v>
      </c>
    </row>
    <row r="31" spans="1:18" ht="15.75">
      <c r="A31" s="83" t="s">
        <v>1012</v>
      </c>
      <c r="B31">
        <f>R31</f>
        <v>4.0000000000000002E-4</v>
      </c>
      <c r="C31" t="s">
        <v>37</v>
      </c>
      <c r="D31" s="17" t="s">
        <v>43</v>
      </c>
      <c r="E31" t="s">
        <v>1013</v>
      </c>
      <c r="F31" s="251" t="s">
        <v>29</v>
      </c>
      <c r="G31" t="s">
        <v>45</v>
      </c>
      <c r="H31">
        <v>2</v>
      </c>
      <c r="I31">
        <f t="shared" si="2"/>
        <v>-7.8240460108562919</v>
      </c>
      <c r="J31" s="330">
        <v>0.11236102527122109</v>
      </c>
      <c r="K31" t="s">
        <v>31</v>
      </c>
      <c r="L31" t="s">
        <v>31</v>
      </c>
      <c r="M31" t="s">
        <v>31</v>
      </c>
      <c r="O31" s="334" t="s">
        <v>947</v>
      </c>
      <c r="P31" s="306">
        <v>0.4</v>
      </c>
      <c r="Q31" t="s">
        <v>337</v>
      </c>
      <c r="R31">
        <f>P31*0.001</f>
        <v>4.0000000000000002E-4</v>
      </c>
    </row>
    <row r="32" spans="1:18" ht="15.75">
      <c r="A32" s="322" t="s">
        <v>5</v>
      </c>
      <c r="B32" s="337" t="s">
        <v>1007</v>
      </c>
      <c r="C32" s="120"/>
      <c r="D32" s="42"/>
      <c r="E32" s="42"/>
      <c r="F32" s="42"/>
      <c r="G32" s="42"/>
      <c r="H32" s="42"/>
      <c r="I32" s="42"/>
      <c r="J32" s="42"/>
      <c r="K32" s="42"/>
      <c r="L32" s="42"/>
      <c r="M32" s="42"/>
      <c r="N32" s="42"/>
      <c r="O32" s="42"/>
      <c r="P32" s="42"/>
      <c r="Q32" s="42"/>
      <c r="R32" s="42"/>
    </row>
    <row r="33" spans="1:21">
      <c r="A33" s="324" t="s">
        <v>7</v>
      </c>
      <c r="B33" t="s">
        <v>902</v>
      </c>
      <c r="C33" s="23"/>
    </row>
    <row r="34" spans="1:21">
      <c r="A34" s="324" t="s">
        <v>9</v>
      </c>
      <c r="B34" t="s">
        <v>1014</v>
      </c>
      <c r="C34" s="23"/>
    </row>
    <row r="35" spans="1:21" ht="15.75" customHeight="1">
      <c r="A35" s="324" t="s">
        <v>11</v>
      </c>
      <c r="B35" s="249" t="s">
        <v>913</v>
      </c>
      <c r="O35" t="s">
        <v>1015</v>
      </c>
      <c r="T35" s="65" t="s">
        <v>1016</v>
      </c>
    </row>
    <row r="36" spans="1:21">
      <c r="A36" s="324" t="s">
        <v>13</v>
      </c>
      <c r="B36" t="s">
        <v>14</v>
      </c>
      <c r="O36">
        <f>0.3/0.05</f>
        <v>5.9999999999999991</v>
      </c>
      <c r="P36" t="s">
        <v>985</v>
      </c>
      <c r="T36">
        <f>0.16/0.25</f>
        <v>0.64</v>
      </c>
      <c r="U36" t="s">
        <v>985</v>
      </c>
    </row>
    <row r="37" spans="1:21">
      <c r="A37" s="324" t="s">
        <v>15</v>
      </c>
      <c r="B37">
        <f>B42</f>
        <v>0.05</v>
      </c>
    </row>
    <row r="38" spans="1:21">
      <c r="A38" s="324" t="s">
        <v>16</v>
      </c>
      <c r="B38" t="s">
        <v>17</v>
      </c>
    </row>
    <row r="39" spans="1:21">
      <c r="A39" s="324" t="s">
        <v>18</v>
      </c>
      <c r="B39" t="s">
        <v>206</v>
      </c>
    </row>
    <row r="40" spans="1:21" ht="15.75">
      <c r="A40" s="325" t="s">
        <v>19</v>
      </c>
    </row>
    <row r="41" spans="1:21" ht="15.75">
      <c r="A41" s="325"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1" ht="15.75">
      <c r="A42" s="31" t="s">
        <v>1007</v>
      </c>
      <c r="B42">
        <v>0.05</v>
      </c>
      <c r="C42" t="s">
        <v>206</v>
      </c>
      <c r="D42" s="326" t="s">
        <v>2</v>
      </c>
      <c r="E42" t="s">
        <v>29</v>
      </c>
      <c r="F42" s="251" t="s">
        <v>14</v>
      </c>
      <c r="G42" t="s">
        <v>30</v>
      </c>
      <c r="H42">
        <v>1</v>
      </c>
      <c r="I42">
        <f>B42</f>
        <v>0.05</v>
      </c>
      <c r="J42" t="s">
        <v>31</v>
      </c>
      <c r="K42" t="s">
        <v>31</v>
      </c>
      <c r="L42" t="s">
        <v>31</v>
      </c>
      <c r="M42" t="s">
        <v>31</v>
      </c>
    </row>
    <row r="43" spans="1:21" ht="15.75">
      <c r="A43" s="31" t="s">
        <v>910</v>
      </c>
      <c r="B43" s="283">
        <v>0.3</v>
      </c>
      <c r="C43" t="s">
        <v>37</v>
      </c>
      <c r="D43" s="326" t="s">
        <v>2</v>
      </c>
      <c r="E43" t="s">
        <v>29</v>
      </c>
      <c r="F43" s="251" t="s">
        <v>14</v>
      </c>
      <c r="G43" t="s">
        <v>33</v>
      </c>
      <c r="H43">
        <v>1</v>
      </c>
      <c r="I43">
        <f>B43</f>
        <v>0.3</v>
      </c>
      <c r="J43" t="s">
        <v>31</v>
      </c>
      <c r="K43" t="s">
        <v>31</v>
      </c>
      <c r="L43" t="s">
        <v>31</v>
      </c>
      <c r="M43" t="s">
        <v>31</v>
      </c>
      <c r="O43" s="331"/>
      <c r="P43" s="296"/>
    </row>
    <row r="44" spans="1:21" ht="15.75">
      <c r="A44" s="335" t="s">
        <v>40</v>
      </c>
      <c r="B44" s="336">
        <f>P44</f>
        <v>0.42</v>
      </c>
      <c r="C44" t="s">
        <v>41</v>
      </c>
      <c r="D44" s="17" t="s">
        <v>38</v>
      </c>
      <c r="E44" t="s">
        <v>29</v>
      </c>
      <c r="F44" s="251" t="s">
        <v>35</v>
      </c>
      <c r="G44" t="s">
        <v>33</v>
      </c>
      <c r="H44">
        <v>2</v>
      </c>
      <c r="I44">
        <f t="shared" ref="I44" si="3">LN(B44)</f>
        <v>-0.86750056770472306</v>
      </c>
      <c r="J44" s="330">
        <v>7.2284161474004766E-2</v>
      </c>
      <c r="K44" t="s">
        <v>31</v>
      </c>
      <c r="L44" t="s">
        <v>31</v>
      </c>
      <c r="M44" t="s">
        <v>31</v>
      </c>
      <c r="O44" s="331" t="s">
        <v>332</v>
      </c>
      <c r="P44" s="296">
        <v>0.42</v>
      </c>
    </row>
    <row r="45" spans="1:21" ht="15.75">
      <c r="A45" s="83" t="s">
        <v>1017</v>
      </c>
      <c r="B45">
        <f>R45</f>
        <v>0.01</v>
      </c>
      <c r="C45" t="s">
        <v>37</v>
      </c>
      <c r="D45" s="17" t="s">
        <v>38</v>
      </c>
      <c r="E45" t="s">
        <v>29</v>
      </c>
      <c r="F45" s="251" t="s">
        <v>60</v>
      </c>
      <c r="G45" t="s">
        <v>33</v>
      </c>
      <c r="H45">
        <v>2</v>
      </c>
      <c r="I45">
        <f>LN(B45)</f>
        <v>-4.6051701859880909</v>
      </c>
      <c r="J45" s="330">
        <v>7.2284161474004766E-2</v>
      </c>
      <c r="K45" t="s">
        <v>31</v>
      </c>
      <c r="L45" t="s">
        <v>31</v>
      </c>
      <c r="M45" t="s">
        <v>31</v>
      </c>
      <c r="O45" s="331" t="s">
        <v>947</v>
      </c>
      <c r="P45" s="296">
        <v>10</v>
      </c>
      <c r="Q45" t="s">
        <v>337</v>
      </c>
      <c r="R45">
        <f>P45*0.001</f>
        <v>0.01</v>
      </c>
    </row>
    <row r="46" spans="1:21" ht="15.75">
      <c r="A46" s="83" t="s">
        <v>1018</v>
      </c>
      <c r="B46">
        <f>R46</f>
        <v>1.8000000000000002E-2</v>
      </c>
      <c r="C46" t="s">
        <v>37</v>
      </c>
      <c r="D46" s="17" t="s">
        <v>38</v>
      </c>
      <c r="E46" t="s">
        <v>29</v>
      </c>
      <c r="F46" s="251" t="s">
        <v>35</v>
      </c>
      <c r="G46" t="s">
        <v>33</v>
      </c>
      <c r="H46">
        <v>2</v>
      </c>
      <c r="I46">
        <f>LN(B46)</f>
        <v>-4.0173835210859723</v>
      </c>
      <c r="J46" s="330">
        <v>7.2284161474004766E-2</v>
      </c>
      <c r="K46" t="s">
        <v>31</v>
      </c>
      <c r="L46" t="s">
        <v>31</v>
      </c>
      <c r="M46" t="s">
        <v>31</v>
      </c>
      <c r="O46" s="331" t="s">
        <v>947</v>
      </c>
      <c r="P46" s="296">
        <v>18</v>
      </c>
      <c r="Q46" t="s">
        <v>337</v>
      </c>
      <c r="R46">
        <f>P46*0.001</f>
        <v>1.8000000000000002E-2</v>
      </c>
    </row>
    <row r="47" spans="1:21" ht="15.75">
      <c r="A47" s="83" t="s">
        <v>933</v>
      </c>
      <c r="B47">
        <f>P47</f>
        <v>15.8</v>
      </c>
      <c r="C47" t="s">
        <v>37</v>
      </c>
      <c r="D47" s="17" t="s">
        <v>38</v>
      </c>
      <c r="E47" t="s">
        <v>29</v>
      </c>
      <c r="F47" s="251" t="s">
        <v>39</v>
      </c>
      <c r="G47" t="s">
        <v>33</v>
      </c>
      <c r="H47">
        <v>2</v>
      </c>
      <c r="I47">
        <f>LN(B47)</f>
        <v>2.760009940032921</v>
      </c>
      <c r="J47" s="330">
        <v>7.2284161474004766E-2</v>
      </c>
      <c r="K47" t="s">
        <v>31</v>
      </c>
      <c r="L47" t="s">
        <v>31</v>
      </c>
      <c r="M47" t="s">
        <v>31</v>
      </c>
      <c r="O47" s="331" t="s">
        <v>337</v>
      </c>
      <c r="P47" s="296">
        <v>15.8</v>
      </c>
    </row>
    <row r="48" spans="1:21" ht="15.75">
      <c r="A48" s="83" t="s">
        <v>489</v>
      </c>
      <c r="B48">
        <f>R48</f>
        <v>1.5800000000000002E-2</v>
      </c>
      <c r="C48" t="s">
        <v>50</v>
      </c>
      <c r="D48" s="17" t="s">
        <v>38</v>
      </c>
      <c r="E48" t="s">
        <v>29</v>
      </c>
      <c r="F48" s="251" t="s">
        <v>39</v>
      </c>
      <c r="G48" t="s">
        <v>33</v>
      </c>
      <c r="H48">
        <v>2</v>
      </c>
      <c r="I48">
        <f t="shared" ref="I48" si="4">LN(B48)</f>
        <v>-4.1477453389492158</v>
      </c>
      <c r="J48" s="330">
        <v>7.2284161474004766E-2</v>
      </c>
      <c r="K48" t="s">
        <v>31</v>
      </c>
      <c r="L48" t="s">
        <v>31</v>
      </c>
      <c r="M48" t="s">
        <v>31</v>
      </c>
      <c r="O48" s="334" t="s">
        <v>1009</v>
      </c>
      <c r="P48" s="306">
        <v>15.8</v>
      </c>
      <c r="Q48" t="s">
        <v>335</v>
      </c>
      <c r="R48">
        <f>P48/1000</f>
        <v>1.5800000000000002E-2</v>
      </c>
    </row>
    <row r="49" spans="1:18" ht="15.75">
      <c r="A49" s="322" t="s">
        <v>5</v>
      </c>
      <c r="B49" s="337" t="s">
        <v>1019</v>
      </c>
      <c r="C49" s="120"/>
      <c r="D49" s="42"/>
      <c r="E49" s="42"/>
      <c r="F49" s="42"/>
      <c r="G49" s="42"/>
      <c r="H49" s="42"/>
      <c r="I49" s="42"/>
      <c r="J49" s="42"/>
      <c r="K49" s="42"/>
      <c r="L49" s="42"/>
      <c r="M49" s="42"/>
      <c r="N49" s="42"/>
      <c r="O49" s="42"/>
      <c r="P49" s="42"/>
      <c r="Q49" s="42"/>
      <c r="R49" s="42"/>
    </row>
    <row r="50" spans="1:18">
      <c r="A50" s="324" t="s">
        <v>7</v>
      </c>
      <c r="B50" t="s">
        <v>902</v>
      </c>
      <c r="C50" s="23"/>
    </row>
    <row r="51" spans="1:18">
      <c r="A51" s="324" t="s">
        <v>9</v>
      </c>
      <c r="B51" t="s">
        <v>1020</v>
      </c>
      <c r="C51" s="23"/>
    </row>
    <row r="52" spans="1:18" ht="10.5" customHeight="1">
      <c r="A52" s="324" t="s">
        <v>11</v>
      </c>
      <c r="B52" s="249" t="s">
        <v>913</v>
      </c>
    </row>
    <row r="53" spans="1:18">
      <c r="A53" s="324" t="s">
        <v>13</v>
      </c>
      <c r="B53" t="s">
        <v>14</v>
      </c>
    </row>
    <row r="54" spans="1:18">
      <c r="A54" s="324" t="s">
        <v>15</v>
      </c>
      <c r="B54" s="250">
        <f>B59</f>
        <v>2.4E-2</v>
      </c>
    </row>
    <row r="55" spans="1:18">
      <c r="A55" s="324" t="s">
        <v>16</v>
      </c>
      <c r="B55" t="s">
        <v>17</v>
      </c>
    </row>
    <row r="56" spans="1:18">
      <c r="A56" s="324" t="s">
        <v>18</v>
      </c>
      <c r="B56" t="s">
        <v>37</v>
      </c>
    </row>
    <row r="57" spans="1:18" ht="15.75">
      <c r="A57" s="325" t="s">
        <v>19</v>
      </c>
    </row>
    <row r="58" spans="1:18" ht="15.75">
      <c r="A58" s="325"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75">
      <c r="A59" s="31" t="s">
        <v>1019</v>
      </c>
      <c r="B59" s="250">
        <v>2.4E-2</v>
      </c>
      <c r="C59" t="s">
        <v>37</v>
      </c>
      <c r="D59" s="326" t="s">
        <v>2</v>
      </c>
      <c r="E59" t="s">
        <v>29</v>
      </c>
      <c r="F59" s="251" t="s">
        <v>14</v>
      </c>
      <c r="G59" t="s">
        <v>30</v>
      </c>
      <c r="H59">
        <v>1</v>
      </c>
      <c r="I59" s="250">
        <f>B59</f>
        <v>2.4E-2</v>
      </c>
      <c r="J59" t="s">
        <v>31</v>
      </c>
      <c r="K59" t="s">
        <v>31</v>
      </c>
      <c r="L59" t="s">
        <v>31</v>
      </c>
      <c r="M59" t="s">
        <v>31</v>
      </c>
      <c r="O59" s="30"/>
      <c r="P59" s="338"/>
    </row>
    <row r="60" spans="1:18" ht="15.75">
      <c r="A60" s="83" t="s">
        <v>1021</v>
      </c>
      <c r="B60" s="336">
        <f>R60</f>
        <v>2.5000000000000001E-2</v>
      </c>
      <c r="C60" t="s">
        <v>37</v>
      </c>
      <c r="D60" s="17" t="s">
        <v>38</v>
      </c>
      <c r="E60" t="s">
        <v>29</v>
      </c>
      <c r="F60" s="251" t="s">
        <v>60</v>
      </c>
      <c r="G60" t="s">
        <v>33</v>
      </c>
      <c r="H60">
        <v>2</v>
      </c>
      <c r="I60">
        <f>LN(B60)</f>
        <v>-3.6888794541139363</v>
      </c>
      <c r="J60">
        <v>7.2284161474004766E-2</v>
      </c>
      <c r="K60" t="s">
        <v>31</v>
      </c>
      <c r="L60" t="s">
        <v>31</v>
      </c>
      <c r="M60" t="s">
        <v>31</v>
      </c>
      <c r="O60" s="331" t="s">
        <v>947</v>
      </c>
      <c r="P60" s="296">
        <v>25</v>
      </c>
      <c r="Q60" t="s">
        <v>337</v>
      </c>
      <c r="R60">
        <f>P60*0.001</f>
        <v>2.5000000000000001E-2</v>
      </c>
    </row>
    <row r="61" spans="1:18" ht="15.75">
      <c r="A61" s="335" t="s">
        <v>40</v>
      </c>
      <c r="B61" s="336">
        <f>P61</f>
        <v>0.12</v>
      </c>
      <c r="C61" t="s">
        <v>41</v>
      </c>
      <c r="D61" s="17" t="s">
        <v>38</v>
      </c>
      <c r="E61" t="s">
        <v>29</v>
      </c>
      <c r="F61" s="251" t="s">
        <v>35</v>
      </c>
      <c r="G61" t="s">
        <v>33</v>
      </c>
      <c r="H61">
        <v>2</v>
      </c>
      <c r="I61">
        <f t="shared" ref="I61:I62" si="5">LN(B61)</f>
        <v>-2.120263536200091</v>
      </c>
      <c r="J61">
        <v>7.2284161474004766E-2</v>
      </c>
      <c r="K61" t="s">
        <v>31</v>
      </c>
      <c r="L61" t="s">
        <v>31</v>
      </c>
      <c r="M61" t="s">
        <v>31</v>
      </c>
      <c r="O61" s="331" t="s">
        <v>332</v>
      </c>
      <c r="P61" s="296">
        <v>0.12</v>
      </c>
    </row>
    <row r="62" spans="1:18" ht="15.75">
      <c r="A62" s="339" t="s">
        <v>908</v>
      </c>
      <c r="B62">
        <v>1E-3</v>
      </c>
      <c r="C62" t="s">
        <v>37</v>
      </c>
      <c r="D62" s="326" t="s">
        <v>2</v>
      </c>
      <c r="E62" t="s">
        <v>29</v>
      </c>
      <c r="F62" s="251" t="s">
        <v>39</v>
      </c>
      <c r="G62" t="s">
        <v>33</v>
      </c>
      <c r="H62">
        <v>2</v>
      </c>
      <c r="I62">
        <f t="shared" si="5"/>
        <v>-6.9077552789821368</v>
      </c>
      <c r="J62">
        <v>7.2284161474004766E-2</v>
      </c>
      <c r="K62" t="s">
        <v>31</v>
      </c>
      <c r="L62" t="s">
        <v>31</v>
      </c>
      <c r="M62" t="s">
        <v>31</v>
      </c>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372CF-B5EF-4BFD-B978-0B318D4FDE86}">
  <sheetPr>
    <tabColor theme="5" tint="0.79998168889431442"/>
  </sheetPr>
  <dimension ref="A1:V47"/>
  <sheetViews>
    <sheetView topLeftCell="A15" zoomScaleNormal="100" workbookViewId="0">
      <selection activeCell="G113" sqref="G1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2" customFormat="1" ht="15.75">
      <c r="A2" s="245" t="s">
        <v>5</v>
      </c>
      <c r="B2" s="337" t="s">
        <v>986</v>
      </c>
    </row>
    <row r="3" spans="1:22">
      <c r="A3" s="247" t="s">
        <v>7</v>
      </c>
      <c r="B3" t="s">
        <v>902</v>
      </c>
      <c r="C3" s="23"/>
    </row>
    <row r="4" spans="1:22">
      <c r="A4" s="433" t="s">
        <v>9</v>
      </c>
      <c r="B4" t="s">
        <v>1022</v>
      </c>
      <c r="C4" s="23"/>
    </row>
    <row r="5" spans="1:22" ht="15.75" customHeight="1">
      <c r="A5" s="247" t="s">
        <v>11</v>
      </c>
      <c r="B5" s="249" t="s">
        <v>913</v>
      </c>
    </row>
    <row r="6" spans="1:22">
      <c r="A6" s="247" t="s">
        <v>13</v>
      </c>
      <c r="B6" t="s">
        <v>14</v>
      </c>
    </row>
    <row r="7" spans="1:22">
      <c r="A7" s="247" t="s">
        <v>15</v>
      </c>
      <c r="B7" s="283">
        <f>B12</f>
        <v>1.419</v>
      </c>
    </row>
    <row r="8" spans="1:22">
      <c r="A8" s="247" t="s">
        <v>16</v>
      </c>
      <c r="B8" t="s">
        <v>17</v>
      </c>
    </row>
    <row r="9" spans="1:22">
      <c r="A9" s="247" t="s">
        <v>18</v>
      </c>
      <c r="B9" t="s">
        <v>37</v>
      </c>
      <c r="S9" s="28" t="s">
        <v>1023</v>
      </c>
    </row>
    <row r="10" spans="1:22" ht="15.75">
      <c r="A10" s="252" t="s">
        <v>19</v>
      </c>
      <c r="S10" t="s">
        <v>1024</v>
      </c>
      <c r="T10">
        <v>8900</v>
      </c>
      <c r="U10" t="s">
        <v>1025</v>
      </c>
    </row>
    <row r="11" spans="1:22" ht="15.75">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1026</v>
      </c>
      <c r="T11">
        <f>5*10^-6</f>
        <v>4.9999999999999996E-6</v>
      </c>
      <c r="U11" t="s">
        <v>1027</v>
      </c>
    </row>
    <row r="12" spans="1:22" ht="15.75">
      <c r="A12" t="s">
        <v>986</v>
      </c>
      <c r="B12" s="452">
        <f>'A. ACDC POWER MODULE '!B18</f>
        <v>1.419</v>
      </c>
      <c r="C12" t="s">
        <v>37</v>
      </c>
      <c r="D12" s="326" t="s">
        <v>2</v>
      </c>
      <c r="E12" t="s">
        <v>29</v>
      </c>
      <c r="F12" t="s">
        <v>14</v>
      </c>
      <c r="G12" t="s">
        <v>30</v>
      </c>
      <c r="H12">
        <v>1</v>
      </c>
      <c r="I12">
        <v>1</v>
      </c>
      <c r="J12" t="s">
        <v>31</v>
      </c>
      <c r="K12" t="s">
        <v>31</v>
      </c>
      <c r="L12" t="s">
        <v>31</v>
      </c>
      <c r="M12" t="s">
        <v>31</v>
      </c>
      <c r="O12" s="65" t="s">
        <v>1028</v>
      </c>
      <c r="P12" s="453"/>
      <c r="Q12" t="s">
        <v>329</v>
      </c>
      <c r="S12" s="454" t="s">
        <v>1029</v>
      </c>
      <c r="T12" s="90">
        <f>T11*T10</f>
        <v>4.4499999999999998E-2</v>
      </c>
      <c r="U12" s="455" t="s">
        <v>985</v>
      </c>
    </row>
    <row r="13" spans="1:22" ht="15.75">
      <c r="A13" t="s">
        <v>1030</v>
      </c>
      <c r="B13" s="452">
        <f>B28</f>
        <v>0.12</v>
      </c>
      <c r="C13" t="s">
        <v>206</v>
      </c>
      <c r="D13" s="326" t="s">
        <v>2</v>
      </c>
      <c r="E13" t="s">
        <v>29</v>
      </c>
      <c r="F13" t="s">
        <v>14</v>
      </c>
      <c r="G13" t="s">
        <v>33</v>
      </c>
      <c r="H13">
        <v>1</v>
      </c>
      <c r="I13" s="283">
        <f>B13</f>
        <v>0.12</v>
      </c>
      <c r="J13">
        <v>7.2284161474004766E-2</v>
      </c>
      <c r="K13" t="s">
        <v>31</v>
      </c>
      <c r="L13" t="s">
        <v>31</v>
      </c>
      <c r="M13" t="s">
        <v>31</v>
      </c>
      <c r="O13" s="331" t="s">
        <v>1031</v>
      </c>
      <c r="P13" s="366">
        <f>B13*100</f>
        <v>12</v>
      </c>
    </row>
    <row r="14" spans="1:22" ht="15.75">
      <c r="A14" s="30" t="s">
        <v>1019</v>
      </c>
      <c r="B14" s="250">
        <f>U15</f>
        <v>4.1829999999999992E-2</v>
      </c>
      <c r="C14" t="s">
        <v>37</v>
      </c>
      <c r="D14" s="326" t="s">
        <v>2</v>
      </c>
      <c r="E14" t="s">
        <v>29</v>
      </c>
      <c r="F14" s="251" t="s">
        <v>14</v>
      </c>
      <c r="G14" t="s">
        <v>33</v>
      </c>
      <c r="H14">
        <v>1</v>
      </c>
      <c r="I14" s="283">
        <f>B14</f>
        <v>4.1829999999999992E-2</v>
      </c>
      <c r="J14">
        <v>7.2284161474004766E-2</v>
      </c>
      <c r="K14" t="s">
        <v>31</v>
      </c>
      <c r="L14" t="s">
        <v>31</v>
      </c>
      <c r="M14" t="s">
        <v>31</v>
      </c>
      <c r="O14" s="435"/>
      <c r="P14" s="436"/>
      <c r="S14" t="s">
        <v>1032</v>
      </c>
      <c r="V14" s="328"/>
    </row>
    <row r="15" spans="1:22" ht="15.75">
      <c r="A15" s="253" t="s">
        <v>933</v>
      </c>
      <c r="B15">
        <f>Q15</f>
        <v>7.5</v>
      </c>
      <c r="C15" t="s">
        <v>37</v>
      </c>
      <c r="D15" s="17" t="s">
        <v>38</v>
      </c>
      <c r="E15" t="s">
        <v>29</v>
      </c>
      <c r="F15" s="251" t="s">
        <v>39</v>
      </c>
      <c r="G15" t="s">
        <v>33</v>
      </c>
      <c r="H15">
        <v>2</v>
      </c>
      <c r="I15">
        <f t="shared" ref="I15" si="0">LN(B15)</f>
        <v>2.0149030205422647</v>
      </c>
      <c r="J15">
        <v>7.2284161474004766E-2</v>
      </c>
      <c r="K15" t="s">
        <v>31</v>
      </c>
      <c r="L15" t="s">
        <v>31</v>
      </c>
      <c r="M15" t="s">
        <v>31</v>
      </c>
      <c r="O15" s="331" t="s">
        <v>337</v>
      </c>
      <c r="P15" s="296">
        <v>7.5</v>
      </c>
      <c r="Q15">
        <f>P15</f>
        <v>7.5</v>
      </c>
      <c r="S15" s="456">
        <v>0.94</v>
      </c>
      <c r="T15" s="457" t="s">
        <v>945</v>
      </c>
      <c r="U15" s="456">
        <f>S15*T12</f>
        <v>4.1829999999999992E-2</v>
      </c>
      <c r="V15" s="457" t="s">
        <v>337</v>
      </c>
    </row>
    <row r="16" spans="1:22" ht="15.75">
      <c r="A16" s="232" t="s">
        <v>1021</v>
      </c>
      <c r="B16">
        <f>Q16</f>
        <v>3.9999999999999998E-7</v>
      </c>
      <c r="C16" t="s">
        <v>37</v>
      </c>
      <c r="D16" s="17" t="s">
        <v>38</v>
      </c>
      <c r="E16" t="s">
        <v>29</v>
      </c>
      <c r="F16" s="251" t="s">
        <v>60</v>
      </c>
      <c r="G16" t="s">
        <v>33</v>
      </c>
      <c r="H16">
        <v>2</v>
      </c>
      <c r="I16">
        <f>LN(B16)</f>
        <v>-14.73180128983843</v>
      </c>
      <c r="J16">
        <v>7.2284161474004766E-2</v>
      </c>
      <c r="K16" t="s">
        <v>31</v>
      </c>
      <c r="L16" t="s">
        <v>31</v>
      </c>
      <c r="M16" t="s">
        <v>31</v>
      </c>
      <c r="O16" s="332" t="s">
        <v>952</v>
      </c>
      <c r="P16" s="365">
        <v>0.4</v>
      </c>
      <c r="Q16">
        <f>0.000001*P16</f>
        <v>3.9999999999999998E-7</v>
      </c>
    </row>
    <row r="17" spans="1:20" ht="15.75">
      <c r="A17" s="232" t="s">
        <v>489</v>
      </c>
      <c r="B17">
        <f t="shared" ref="B17" si="1">Q17</f>
        <v>7.4999999999999997E-3</v>
      </c>
      <c r="C17" t="s">
        <v>50</v>
      </c>
      <c r="D17" s="17" t="s">
        <v>38</v>
      </c>
      <c r="E17" t="s">
        <v>29</v>
      </c>
      <c r="F17" s="251" t="s">
        <v>39</v>
      </c>
      <c r="G17" t="s">
        <v>33</v>
      </c>
      <c r="H17">
        <v>2</v>
      </c>
      <c r="I17">
        <f t="shared" ref="I17" si="2">LN(B17)</f>
        <v>-4.8928522584398726</v>
      </c>
      <c r="J17">
        <v>7.2284161474004766E-2</v>
      </c>
      <c r="K17" t="s">
        <v>31</v>
      </c>
      <c r="L17" t="s">
        <v>31</v>
      </c>
      <c r="M17" t="s">
        <v>31</v>
      </c>
      <c r="O17" s="334" t="s">
        <v>1009</v>
      </c>
      <c r="P17" s="306">
        <v>7.5</v>
      </c>
      <c r="Q17">
        <f>0.001*P17</f>
        <v>7.4999999999999997E-3</v>
      </c>
    </row>
    <row r="18" spans="1:20" s="42" customFormat="1" ht="15.75">
      <c r="A18" s="245" t="s">
        <v>5</v>
      </c>
      <c r="B18" s="337" t="s">
        <v>1030</v>
      </c>
    </row>
    <row r="19" spans="1:20">
      <c r="A19" s="247" t="s">
        <v>7</v>
      </c>
      <c r="B19" t="s">
        <v>902</v>
      </c>
      <c r="C19" s="23"/>
    </row>
    <row r="20" spans="1:20">
      <c r="A20" s="433" t="s">
        <v>9</v>
      </c>
      <c r="B20" s="31" t="s">
        <v>1033</v>
      </c>
      <c r="C20" s="23"/>
    </row>
    <row r="21" spans="1:20" ht="15.75" customHeight="1">
      <c r="A21" s="247" t="s">
        <v>11</v>
      </c>
      <c r="B21" s="249" t="s">
        <v>913</v>
      </c>
    </row>
    <row r="22" spans="1:20">
      <c r="A22" s="247" t="s">
        <v>13</v>
      </c>
      <c r="B22" t="s">
        <v>14</v>
      </c>
    </row>
    <row r="23" spans="1:20">
      <c r="A23" s="247" t="s">
        <v>15</v>
      </c>
      <c r="B23" s="283">
        <f>B28</f>
        <v>0.12</v>
      </c>
    </row>
    <row r="24" spans="1:20">
      <c r="A24" s="247" t="s">
        <v>16</v>
      </c>
      <c r="B24" t="s">
        <v>17</v>
      </c>
    </row>
    <row r="25" spans="1:20">
      <c r="A25" s="247" t="s">
        <v>18</v>
      </c>
      <c r="B25" t="s">
        <v>206</v>
      </c>
    </row>
    <row r="26" spans="1:20" ht="15.75">
      <c r="A26" s="252" t="s">
        <v>19</v>
      </c>
    </row>
    <row r="27" spans="1:20" ht="15.75">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283"/>
    </row>
    <row r="28" spans="1:20" ht="15.75">
      <c r="A28" t="s">
        <v>1030</v>
      </c>
      <c r="B28" s="283">
        <v>0.12</v>
      </c>
      <c r="C28" t="s">
        <v>206</v>
      </c>
      <c r="D28" s="326" t="s">
        <v>2</v>
      </c>
      <c r="E28" t="s">
        <v>29</v>
      </c>
      <c r="F28" t="s">
        <v>14</v>
      </c>
      <c r="G28" t="s">
        <v>30</v>
      </c>
      <c r="H28">
        <v>1</v>
      </c>
      <c r="I28" s="283">
        <f>B28</f>
        <v>0.12</v>
      </c>
      <c r="J28">
        <v>7.2284161474004766E-2</v>
      </c>
      <c r="K28" t="s">
        <v>31</v>
      </c>
      <c r="L28" t="s">
        <v>31</v>
      </c>
      <c r="M28" t="s">
        <v>31</v>
      </c>
      <c r="O28" s="331" t="s">
        <v>1031</v>
      </c>
      <c r="P28" s="296">
        <f>B28*100</f>
        <v>12</v>
      </c>
    </row>
    <row r="29" spans="1:20">
      <c r="A29" t="s">
        <v>1034</v>
      </c>
      <c r="B29" s="283">
        <v>0.12</v>
      </c>
      <c r="C29" t="s">
        <v>206</v>
      </c>
      <c r="D29" s="248" t="s">
        <v>2</v>
      </c>
      <c r="E29" t="s">
        <v>29</v>
      </c>
      <c r="F29" t="s">
        <v>14</v>
      </c>
      <c r="G29" t="s">
        <v>33</v>
      </c>
      <c r="H29">
        <v>1</v>
      </c>
      <c r="I29" s="283">
        <f>B29</f>
        <v>0.12</v>
      </c>
      <c r="J29">
        <v>7.2284161474004766E-2</v>
      </c>
      <c r="K29" t="s">
        <v>31</v>
      </c>
      <c r="L29" t="s">
        <v>31</v>
      </c>
      <c r="M29" t="s">
        <v>31</v>
      </c>
    </row>
    <row r="30" spans="1:20" ht="15.75">
      <c r="A30" s="253" t="s">
        <v>40</v>
      </c>
      <c r="B30" s="336">
        <f>P30</f>
        <v>0.42</v>
      </c>
      <c r="C30" t="s">
        <v>41</v>
      </c>
      <c r="D30" s="17" t="s">
        <v>38</v>
      </c>
      <c r="E30" t="s">
        <v>29</v>
      </c>
      <c r="F30" s="251" t="s">
        <v>35</v>
      </c>
      <c r="G30" t="s">
        <v>33</v>
      </c>
      <c r="H30">
        <v>2</v>
      </c>
      <c r="I30">
        <f t="shared" ref="I30:I31" si="3">LN(B30)</f>
        <v>-0.86750056770472306</v>
      </c>
      <c r="J30">
        <v>7.2284161474004766E-2</v>
      </c>
      <c r="K30" t="s">
        <v>31</v>
      </c>
      <c r="L30" t="s">
        <v>31</v>
      </c>
      <c r="M30" t="s">
        <v>31</v>
      </c>
      <c r="O30" s="331" t="s">
        <v>332</v>
      </c>
      <c r="P30" s="296">
        <v>0.42</v>
      </c>
    </row>
    <row r="31" spans="1:20" ht="15.75">
      <c r="A31" s="232" t="s">
        <v>1017</v>
      </c>
      <c r="B31">
        <f>R31</f>
        <v>0.01</v>
      </c>
      <c r="C31" s="283" t="s">
        <v>37</v>
      </c>
      <c r="D31" s="17" t="s">
        <v>38</v>
      </c>
      <c r="E31" t="s">
        <v>29</v>
      </c>
      <c r="F31" t="s">
        <v>60</v>
      </c>
      <c r="G31" t="s">
        <v>33</v>
      </c>
      <c r="H31">
        <v>2</v>
      </c>
      <c r="I31">
        <f t="shared" si="3"/>
        <v>-4.6051701859880909</v>
      </c>
      <c r="J31">
        <v>7.2284161474004766E-2</v>
      </c>
      <c r="K31" t="s">
        <v>31</v>
      </c>
      <c r="L31" t="s">
        <v>31</v>
      </c>
      <c r="M31" t="s">
        <v>31</v>
      </c>
      <c r="O31" s="331" t="s">
        <v>947</v>
      </c>
      <c r="P31" s="296">
        <v>10</v>
      </c>
      <c r="Q31" t="s">
        <v>337</v>
      </c>
      <c r="R31">
        <f>P31*0.001</f>
        <v>0.01</v>
      </c>
    </row>
    <row r="32" spans="1:20" ht="15.75">
      <c r="A32" s="83" t="s">
        <v>1018</v>
      </c>
      <c r="B32">
        <f t="shared" ref="B32:B33" si="4">R32</f>
        <v>1.8000000000000002E-2</v>
      </c>
      <c r="C32" t="s">
        <v>37</v>
      </c>
      <c r="D32" s="17" t="s">
        <v>38</v>
      </c>
      <c r="E32" t="s">
        <v>29</v>
      </c>
      <c r="F32" s="251" t="s">
        <v>35</v>
      </c>
      <c r="G32" t="s">
        <v>33</v>
      </c>
      <c r="H32">
        <v>2</v>
      </c>
      <c r="I32">
        <f>LN(B32)</f>
        <v>-4.0173835210859723</v>
      </c>
      <c r="J32">
        <v>7.2284161474004766E-2</v>
      </c>
      <c r="K32" t="s">
        <v>31</v>
      </c>
      <c r="L32" t="s">
        <v>31</v>
      </c>
      <c r="M32" t="s">
        <v>31</v>
      </c>
      <c r="O32" s="331" t="s">
        <v>947</v>
      </c>
      <c r="P32" s="296">
        <v>18</v>
      </c>
      <c r="Q32" t="s">
        <v>337</v>
      </c>
      <c r="R32">
        <f>P32*0.001</f>
        <v>1.8000000000000002E-2</v>
      </c>
    </row>
    <row r="33" spans="1:20" ht="15.75">
      <c r="A33" s="253" t="s">
        <v>933</v>
      </c>
      <c r="B33">
        <f t="shared" si="4"/>
        <v>15.8</v>
      </c>
      <c r="C33" t="s">
        <v>37</v>
      </c>
      <c r="D33" s="17" t="s">
        <v>38</v>
      </c>
      <c r="E33" t="s">
        <v>29</v>
      </c>
      <c r="F33" s="251" t="s">
        <v>39</v>
      </c>
      <c r="G33" t="s">
        <v>33</v>
      </c>
      <c r="H33">
        <v>2</v>
      </c>
      <c r="I33">
        <f t="shared" ref="I33:I34" si="5">LN(B33)</f>
        <v>2.760009940032921</v>
      </c>
      <c r="J33">
        <v>7.2284161474004766E-2</v>
      </c>
      <c r="K33" t="s">
        <v>31</v>
      </c>
      <c r="L33" t="s">
        <v>31</v>
      </c>
      <c r="M33" t="s">
        <v>31</v>
      </c>
      <c r="O33" s="331" t="s">
        <v>337</v>
      </c>
      <c r="P33" s="296">
        <v>15.8</v>
      </c>
      <c r="Q33" t="s">
        <v>337</v>
      </c>
      <c r="R33">
        <f>P33</f>
        <v>15.8</v>
      </c>
    </row>
    <row r="34" spans="1:20" ht="15.75">
      <c r="A34" s="232" t="s">
        <v>489</v>
      </c>
      <c r="B34">
        <f>R34</f>
        <v>1.5800000000000002E-2</v>
      </c>
      <c r="C34" t="s">
        <v>50</v>
      </c>
      <c r="D34" s="17" t="s">
        <v>38</v>
      </c>
      <c r="E34" t="s">
        <v>29</v>
      </c>
      <c r="F34" s="251" t="s">
        <v>39</v>
      </c>
      <c r="G34" t="s">
        <v>33</v>
      </c>
      <c r="H34">
        <v>2</v>
      </c>
      <c r="I34">
        <f t="shared" si="5"/>
        <v>-4.1477453389492158</v>
      </c>
      <c r="J34">
        <v>7.2284161474004766E-2</v>
      </c>
      <c r="K34" t="s">
        <v>31</v>
      </c>
      <c r="L34" t="s">
        <v>31</v>
      </c>
      <c r="M34" t="s">
        <v>31</v>
      </c>
      <c r="O34" s="334" t="s">
        <v>1009</v>
      </c>
      <c r="P34" s="306">
        <v>15.8</v>
      </c>
      <c r="Q34" t="s">
        <v>335</v>
      </c>
      <c r="R34">
        <f>0.001*P34</f>
        <v>1.5800000000000002E-2</v>
      </c>
    </row>
    <row r="35" spans="1:20" s="42" customFormat="1" ht="15.75">
      <c r="A35" s="245" t="s">
        <v>5</v>
      </c>
      <c r="B35" s="337" t="s">
        <v>1034</v>
      </c>
    </row>
    <row r="36" spans="1:20">
      <c r="A36" s="247" t="s">
        <v>7</v>
      </c>
      <c r="B36" t="s">
        <v>902</v>
      </c>
      <c r="C36" s="23"/>
    </row>
    <row r="37" spans="1:20">
      <c r="A37" s="433" t="s">
        <v>9</v>
      </c>
      <c r="B37" s="31" t="s">
        <v>1035</v>
      </c>
      <c r="C37" s="23"/>
    </row>
    <row r="38" spans="1:20" ht="15.75" customHeight="1">
      <c r="A38" s="247" t="s">
        <v>11</v>
      </c>
      <c r="B38" s="249" t="s">
        <v>913</v>
      </c>
    </row>
    <row r="39" spans="1:20">
      <c r="A39" s="247" t="s">
        <v>13</v>
      </c>
      <c r="B39" t="s">
        <v>14</v>
      </c>
    </row>
    <row r="40" spans="1:20">
      <c r="A40" s="247" t="s">
        <v>15</v>
      </c>
      <c r="B40" s="283">
        <f>B45</f>
        <v>0.12</v>
      </c>
    </row>
    <row r="41" spans="1:20">
      <c r="A41" s="247" t="s">
        <v>16</v>
      </c>
      <c r="B41" t="s">
        <v>17</v>
      </c>
    </row>
    <row r="42" spans="1:20">
      <c r="A42" s="247" t="s">
        <v>18</v>
      </c>
      <c r="B42" t="s">
        <v>206</v>
      </c>
    </row>
    <row r="43" spans="1:20" ht="15.75">
      <c r="A43" s="252" t="s">
        <v>19</v>
      </c>
    </row>
    <row r="44" spans="1:20" ht="15.75">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283"/>
    </row>
    <row r="45" spans="1:20">
      <c r="A45" t="s">
        <v>1034</v>
      </c>
      <c r="B45" s="283">
        <f>B29</f>
        <v>0.12</v>
      </c>
      <c r="C45" t="s">
        <v>206</v>
      </c>
      <c r="D45" s="248" t="s">
        <v>2</v>
      </c>
      <c r="E45" t="s">
        <v>29</v>
      </c>
      <c r="F45" t="s">
        <v>14</v>
      </c>
      <c r="G45" t="s">
        <v>30</v>
      </c>
      <c r="H45">
        <v>1</v>
      </c>
      <c r="I45" s="283">
        <f>B45</f>
        <v>0.12</v>
      </c>
      <c r="J45" t="s">
        <v>31</v>
      </c>
      <c r="K45" t="s">
        <v>31</v>
      </c>
      <c r="L45" t="s">
        <v>31</v>
      </c>
      <c r="M45" t="s">
        <v>31</v>
      </c>
      <c r="Q45" t="s">
        <v>1036</v>
      </c>
    </row>
    <row r="46" spans="1:20">
      <c r="A46" s="232" t="s">
        <v>1037</v>
      </c>
      <c r="B46" s="366">
        <v>1.74</v>
      </c>
      <c r="C46" t="s">
        <v>37</v>
      </c>
      <c r="D46" t="s">
        <v>38</v>
      </c>
      <c r="E46" t="s">
        <v>29</v>
      </c>
      <c r="F46" t="s">
        <v>86</v>
      </c>
      <c r="G46" t="s">
        <v>33</v>
      </c>
      <c r="H46">
        <v>1</v>
      </c>
      <c r="I46" s="283">
        <f t="shared" ref="I46:I47" si="6">B46</f>
        <v>1.74</v>
      </c>
      <c r="J46" t="s">
        <v>31</v>
      </c>
      <c r="K46" t="s">
        <v>31</v>
      </c>
      <c r="L46" t="s">
        <v>31</v>
      </c>
      <c r="M46" t="s">
        <v>31</v>
      </c>
    </row>
    <row r="47" spans="1:20">
      <c r="A47" s="232" t="s">
        <v>1038</v>
      </c>
      <c r="B47" s="366">
        <v>1.74</v>
      </c>
      <c r="C47" t="s">
        <v>37</v>
      </c>
      <c r="D47" t="s">
        <v>38</v>
      </c>
      <c r="E47" t="s">
        <v>29</v>
      </c>
      <c r="F47" t="s">
        <v>60</v>
      </c>
      <c r="G47" t="s">
        <v>33</v>
      </c>
      <c r="H47">
        <v>1</v>
      </c>
      <c r="I47" s="283">
        <f t="shared" si="6"/>
        <v>1.74</v>
      </c>
      <c r="J47" t="s">
        <v>31</v>
      </c>
      <c r="K47" t="s">
        <v>31</v>
      </c>
      <c r="L47" t="s">
        <v>31</v>
      </c>
      <c r="M47" t="s">
        <v>31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923A-4DD3-4E9B-9F48-4703C77F76EB}">
  <dimension ref="A1:S18"/>
  <sheetViews>
    <sheetView workbookViewId="0">
      <selection activeCell="A2" sqref="A2:XFD3"/>
    </sheetView>
  </sheetViews>
  <sheetFormatPr defaultRowHeight="15"/>
  <cols>
    <col min="1" max="1" width="68.7109375" bestFit="1" customWidth="1"/>
    <col min="5" max="5" width="20.42578125" bestFit="1" customWidth="1"/>
  </cols>
  <sheetData>
    <row r="1" spans="1:19">
      <c r="A1" s="31" t="s">
        <v>0</v>
      </c>
      <c r="B1" s="31">
        <v>14</v>
      </c>
      <c r="C1" s="31"/>
      <c r="D1" s="31"/>
      <c r="E1" s="31"/>
      <c r="F1" s="31"/>
      <c r="G1" s="31"/>
      <c r="H1" s="31"/>
      <c r="I1" s="31"/>
      <c r="J1" s="31"/>
      <c r="K1" s="31"/>
      <c r="L1" s="31"/>
      <c r="M1" s="31"/>
      <c r="N1" s="31"/>
      <c r="O1" s="31"/>
      <c r="P1" s="31"/>
      <c r="Q1" s="31"/>
      <c r="R1" s="31"/>
      <c r="S1" s="31"/>
    </row>
    <row r="2" spans="1:19" ht="15.75">
      <c r="A2" s="392" t="s">
        <v>5</v>
      </c>
      <c r="B2" s="392" t="s">
        <v>73</v>
      </c>
      <c r="C2" s="392"/>
      <c r="D2" s="120"/>
      <c r="E2" s="393"/>
      <c r="F2" s="393"/>
      <c r="G2" s="393"/>
      <c r="H2" s="393"/>
      <c r="I2" s="393"/>
      <c r="J2" s="393"/>
      <c r="K2" s="393"/>
      <c r="L2" s="393"/>
      <c r="M2" s="393"/>
      <c r="N2" s="393"/>
      <c r="O2" s="393"/>
      <c r="P2" s="393"/>
      <c r="Q2" s="393"/>
      <c r="R2" s="393"/>
      <c r="S2" s="393"/>
    </row>
    <row r="3" spans="1:19">
      <c r="A3" s="30" t="s">
        <v>7</v>
      </c>
      <c r="B3" s="30" t="s">
        <v>74</v>
      </c>
      <c r="C3" s="30"/>
      <c r="D3" s="30"/>
      <c r="E3" s="30"/>
      <c r="F3" s="30"/>
      <c r="G3" s="30"/>
      <c r="H3" s="30"/>
      <c r="I3" s="30"/>
      <c r="J3" s="30"/>
      <c r="K3" s="30"/>
      <c r="L3" s="30"/>
      <c r="M3" s="30"/>
      <c r="N3" s="30"/>
      <c r="O3" s="30"/>
      <c r="P3" s="30"/>
      <c r="Q3" s="30"/>
      <c r="R3" s="30"/>
      <c r="S3" s="30"/>
    </row>
    <row r="4" spans="1:19">
      <c r="A4" s="30" t="s">
        <v>9</v>
      </c>
      <c r="B4" s="478" t="s">
        <v>75</v>
      </c>
      <c r="C4" s="30"/>
      <c r="D4" s="30"/>
      <c r="E4" s="30"/>
      <c r="F4" s="30"/>
      <c r="G4" s="30"/>
      <c r="H4" s="30"/>
      <c r="I4" s="30"/>
      <c r="J4" s="30"/>
      <c r="K4" s="30"/>
      <c r="L4" s="30"/>
      <c r="M4" s="30"/>
      <c r="N4" s="30"/>
      <c r="O4" s="30"/>
      <c r="P4" s="30"/>
      <c r="Q4" s="30"/>
      <c r="R4" s="30"/>
      <c r="S4" s="30"/>
    </row>
    <row r="5" spans="1:19">
      <c r="A5" s="30" t="s">
        <v>11</v>
      </c>
      <c r="B5" s="30" t="s">
        <v>76</v>
      </c>
      <c r="C5" s="30"/>
      <c r="D5" s="30"/>
      <c r="E5" s="30"/>
      <c r="F5" s="30"/>
      <c r="G5" s="30"/>
      <c r="H5" s="30"/>
      <c r="I5" s="30"/>
      <c r="J5" s="30"/>
      <c r="K5" s="30"/>
      <c r="L5" s="30"/>
      <c r="M5" s="30"/>
      <c r="N5" s="30"/>
      <c r="O5" s="30"/>
      <c r="P5" s="30"/>
      <c r="Q5" s="30"/>
      <c r="R5" s="30"/>
      <c r="S5" s="30"/>
    </row>
    <row r="6" spans="1:19">
      <c r="A6" s="30" t="s">
        <v>13</v>
      </c>
      <c r="B6" s="30" t="s">
        <v>60</v>
      </c>
      <c r="C6" s="30"/>
      <c r="D6" s="30"/>
      <c r="E6" s="30"/>
      <c r="F6" s="30"/>
      <c r="G6" s="30"/>
      <c r="H6" s="30"/>
      <c r="I6" s="30"/>
      <c r="J6" s="30"/>
      <c r="K6" s="30"/>
      <c r="L6" s="30"/>
      <c r="M6" s="30"/>
      <c r="N6" s="30"/>
      <c r="O6" s="30"/>
      <c r="P6" s="30"/>
      <c r="Q6" s="30"/>
      <c r="R6" s="30"/>
      <c r="S6" s="30"/>
    </row>
    <row r="7" spans="1:19">
      <c r="A7" s="30" t="s">
        <v>15</v>
      </c>
      <c r="B7" s="30">
        <v>1</v>
      </c>
      <c r="C7" s="30"/>
      <c r="D7" s="30"/>
      <c r="E7" s="30"/>
      <c r="F7" s="30"/>
      <c r="G7" s="30"/>
      <c r="H7" s="30"/>
      <c r="I7" s="30"/>
      <c r="J7" s="30"/>
      <c r="K7" s="30"/>
      <c r="L7" s="30"/>
      <c r="M7" s="30"/>
      <c r="N7" s="30"/>
      <c r="O7" s="30"/>
      <c r="P7" s="30"/>
      <c r="Q7" s="30"/>
      <c r="R7" s="30"/>
      <c r="S7" s="30"/>
    </row>
    <row r="8" spans="1:19">
      <c r="A8" s="30" t="s">
        <v>16</v>
      </c>
      <c r="B8" s="30" t="s">
        <v>17</v>
      </c>
      <c r="C8" s="30"/>
      <c r="D8" s="30"/>
      <c r="E8" s="30"/>
      <c r="F8" s="30"/>
      <c r="G8" s="30"/>
      <c r="H8" s="30"/>
      <c r="I8" s="30"/>
      <c r="J8" s="30"/>
      <c r="K8" s="30"/>
      <c r="L8" s="30"/>
      <c r="M8" s="30"/>
      <c r="N8" s="30"/>
      <c r="O8" s="30"/>
      <c r="P8" s="30"/>
      <c r="Q8" s="30"/>
      <c r="R8" s="30"/>
      <c r="S8" s="30"/>
    </row>
    <row r="9" spans="1:19" ht="15.75">
      <c r="A9" s="30" t="s">
        <v>18</v>
      </c>
      <c r="B9" s="274" t="s">
        <v>18</v>
      </c>
      <c r="C9" s="30"/>
      <c r="D9" s="30"/>
      <c r="E9" s="30" t="s">
        <v>77</v>
      </c>
      <c r="F9" s="30"/>
      <c r="G9" s="30"/>
      <c r="H9" s="30"/>
      <c r="I9" s="30"/>
      <c r="J9" s="30"/>
      <c r="K9" s="30"/>
      <c r="L9" s="30"/>
      <c r="M9" s="30"/>
      <c r="N9" s="30"/>
      <c r="O9" s="30"/>
      <c r="P9" s="30"/>
      <c r="Q9" s="30"/>
      <c r="R9" s="30"/>
      <c r="S9" s="30"/>
    </row>
    <row r="10" spans="1:19" ht="15.75">
      <c r="A10" s="395" t="s">
        <v>19</v>
      </c>
      <c r="B10" s="30"/>
      <c r="C10" s="30"/>
      <c r="D10" s="30"/>
      <c r="E10" s="30"/>
      <c r="F10" s="30"/>
      <c r="G10" s="30"/>
      <c r="H10" s="30"/>
      <c r="I10" s="30"/>
      <c r="J10" s="30"/>
      <c r="K10" s="30"/>
      <c r="L10" s="30"/>
      <c r="M10" s="30"/>
      <c r="N10" s="30"/>
      <c r="O10" s="30"/>
      <c r="P10" s="30"/>
      <c r="Q10" s="30"/>
      <c r="R10" s="30"/>
      <c r="S10" s="30"/>
    </row>
    <row r="11" spans="1:19" ht="15.75">
      <c r="A11" s="395" t="s">
        <v>20</v>
      </c>
      <c r="B11" s="395" t="s">
        <v>21</v>
      </c>
      <c r="C11" s="395" t="s">
        <v>78</v>
      </c>
      <c r="D11" s="395" t="s">
        <v>18</v>
      </c>
      <c r="E11" s="395" t="s">
        <v>22</v>
      </c>
      <c r="F11" s="395" t="s">
        <v>7</v>
      </c>
      <c r="G11" s="395" t="s">
        <v>13</v>
      </c>
      <c r="H11" s="395" t="s">
        <v>16</v>
      </c>
      <c r="I11" s="395" t="s">
        <v>23</v>
      </c>
      <c r="J11" s="395" t="s">
        <v>24</v>
      </c>
      <c r="K11" s="395" t="s">
        <v>25</v>
      </c>
      <c r="L11" s="395" t="s">
        <v>26</v>
      </c>
      <c r="M11" s="395" t="s">
        <v>27</v>
      </c>
      <c r="N11" s="395" t="s">
        <v>28</v>
      </c>
      <c r="O11" s="395" t="s">
        <v>11</v>
      </c>
      <c r="P11" s="395" t="s">
        <v>79</v>
      </c>
      <c r="Q11" s="30"/>
      <c r="R11" s="30"/>
      <c r="S11" s="30"/>
    </row>
    <row r="12" spans="1:19" ht="15.75">
      <c r="A12" s="274" t="str">
        <f>B2</f>
        <v>Decommissioning of battery ch. station, Gt-bat, Medium-Term</v>
      </c>
      <c r="B12" s="274">
        <v>1</v>
      </c>
      <c r="C12" s="274"/>
      <c r="D12" s="274" t="s">
        <v>18</v>
      </c>
      <c r="E12" s="30" t="s">
        <v>2</v>
      </c>
      <c r="F12" s="30" t="s">
        <v>74</v>
      </c>
      <c r="G12" s="274" t="s">
        <v>60</v>
      </c>
      <c r="H12" s="30" t="s">
        <v>30</v>
      </c>
      <c r="I12" s="30">
        <v>0</v>
      </c>
      <c r="J12" s="274" t="s">
        <v>31</v>
      </c>
      <c r="K12" s="274" t="s">
        <v>31</v>
      </c>
      <c r="L12" s="274" t="s">
        <v>31</v>
      </c>
      <c r="M12" s="274" t="s">
        <v>31</v>
      </c>
      <c r="N12" s="274" t="s">
        <v>31</v>
      </c>
      <c r="O12" s="274"/>
      <c r="P12" s="30"/>
      <c r="Q12" s="30"/>
      <c r="R12" s="30"/>
      <c r="S12" s="30"/>
    </row>
    <row r="13" spans="1:19">
      <c r="A13" s="30" t="str">
        <f>converters!A67</f>
        <v>treatment of power electronics,Battery charging station, GT-bat, Medium-Term</v>
      </c>
      <c r="B13" s="30">
        <v>1</v>
      </c>
      <c r="C13" s="30"/>
      <c r="D13" s="30" t="s">
        <v>18</v>
      </c>
      <c r="E13" s="30" t="s">
        <v>2</v>
      </c>
      <c r="F13" s="30" t="s">
        <v>80</v>
      </c>
      <c r="G13" s="30" t="s">
        <v>60</v>
      </c>
      <c r="H13" s="30" t="s">
        <v>33</v>
      </c>
      <c r="I13" s="30">
        <v>0</v>
      </c>
      <c r="J13" s="30" t="s">
        <v>31</v>
      </c>
      <c r="K13" s="30" t="s">
        <v>31</v>
      </c>
      <c r="L13" s="30" t="s">
        <v>31</v>
      </c>
      <c r="M13" s="30" t="s">
        <v>31</v>
      </c>
      <c r="N13" s="30" t="s">
        <v>31</v>
      </c>
      <c r="O13" s="30"/>
      <c r="P13" s="30"/>
      <c r="Q13" s="30"/>
      <c r="R13" s="30"/>
      <c r="S13" s="30"/>
    </row>
    <row r="14" spans="1:19">
      <c r="A14" s="30" t="str">
        <f>rest!B2</f>
        <v>treatment of alu,Battery charging station, GT-bat, Medium-Term</v>
      </c>
      <c r="B14" s="30">
        <v>1</v>
      </c>
      <c r="C14" s="30"/>
      <c r="D14" s="30" t="s">
        <v>18</v>
      </c>
      <c r="E14" s="30" t="s">
        <v>2</v>
      </c>
      <c r="F14" s="30" t="s">
        <v>80</v>
      </c>
      <c r="G14" s="30" t="s">
        <v>60</v>
      </c>
      <c r="H14" s="30" t="s">
        <v>33</v>
      </c>
      <c r="I14" s="30">
        <v>0</v>
      </c>
      <c r="J14" s="30" t="s">
        <v>31</v>
      </c>
      <c r="K14" s="30" t="s">
        <v>31</v>
      </c>
      <c r="L14" s="30" t="s">
        <v>31</v>
      </c>
      <c r="M14" s="30" t="s">
        <v>31</v>
      </c>
      <c r="N14" s="30" t="s">
        <v>31</v>
      </c>
    </row>
    <row r="15" spans="1:19">
      <c r="A15" t="str">
        <f>rest!B17</f>
        <v>treatment of steel,Battery charging station, Gt-bat, Medium-Term</v>
      </c>
      <c r="B15" s="30">
        <v>1</v>
      </c>
      <c r="C15" s="30"/>
      <c r="D15" s="30" t="s">
        <v>18</v>
      </c>
      <c r="E15" s="30" t="s">
        <v>2</v>
      </c>
      <c r="F15" s="30" t="s">
        <v>80</v>
      </c>
      <c r="G15" s="30" t="s">
        <v>60</v>
      </c>
      <c r="H15" s="30" t="s">
        <v>33</v>
      </c>
      <c r="I15" s="30">
        <v>0</v>
      </c>
      <c r="J15" s="30" t="s">
        <v>31</v>
      </c>
      <c r="K15" s="30" t="s">
        <v>31</v>
      </c>
      <c r="L15" s="30" t="s">
        <v>31</v>
      </c>
      <c r="M15" s="30" t="s">
        <v>31</v>
      </c>
      <c r="N15" s="30" t="s">
        <v>31</v>
      </c>
    </row>
    <row r="16" spans="1:19">
      <c r="A16" t="str">
        <f>rest!B31</f>
        <v>treatment of ferrite ,Battery charging station, Gt-bat, Medium-Term</v>
      </c>
      <c r="B16" s="30">
        <v>1</v>
      </c>
      <c r="C16" s="30"/>
      <c r="D16" s="30" t="s">
        <v>18</v>
      </c>
      <c r="E16" s="30" t="s">
        <v>2</v>
      </c>
      <c r="F16" s="30" t="s">
        <v>80</v>
      </c>
      <c r="G16" s="30" t="s">
        <v>60</v>
      </c>
      <c r="H16" s="30" t="s">
        <v>33</v>
      </c>
      <c r="I16" s="30">
        <v>0</v>
      </c>
      <c r="J16" s="30" t="s">
        <v>31</v>
      </c>
      <c r="K16" s="30" t="s">
        <v>31</v>
      </c>
      <c r="L16" s="30" t="s">
        <v>31</v>
      </c>
      <c r="M16" s="30" t="s">
        <v>31</v>
      </c>
      <c r="N16" s="30" t="s">
        <v>31</v>
      </c>
    </row>
    <row r="17" spans="1:14">
      <c r="A17" t="str">
        <f>rest!B45</f>
        <v>treatment of electronic components and cables ,Battery charging station, Gt-bat, Medium-Term</v>
      </c>
      <c r="B17" s="30">
        <v>1</v>
      </c>
      <c r="C17" s="30"/>
      <c r="D17" s="30" t="s">
        <v>18</v>
      </c>
      <c r="E17" s="30" t="s">
        <v>2</v>
      </c>
      <c r="F17" s="30" t="s">
        <v>80</v>
      </c>
      <c r="G17" s="30" t="s">
        <v>60</v>
      </c>
      <c r="H17" s="30" t="s">
        <v>33</v>
      </c>
      <c r="I17" s="30">
        <v>0</v>
      </c>
      <c r="J17" s="30" t="s">
        <v>31</v>
      </c>
      <c r="K17" s="30" t="s">
        <v>31</v>
      </c>
      <c r="L17" s="30" t="s">
        <v>31</v>
      </c>
      <c r="M17" s="30" t="s">
        <v>31</v>
      </c>
      <c r="N17" s="30" t="s">
        <v>31</v>
      </c>
    </row>
    <row r="18" spans="1:14">
      <c r="A18" t="str">
        <f>rest!B58</f>
        <v>treatment of remaining components,Battery charging station, GT-bat, Medium-Term</v>
      </c>
      <c r="B18" s="30">
        <v>1</v>
      </c>
      <c r="C18" s="30"/>
      <c r="D18" s="30" t="s">
        <v>18</v>
      </c>
      <c r="E18" s="30" t="s">
        <v>2</v>
      </c>
      <c r="F18" s="30" t="s">
        <v>80</v>
      </c>
      <c r="G18" s="30" t="s">
        <v>60</v>
      </c>
      <c r="H18" s="30" t="s">
        <v>33</v>
      </c>
      <c r="I18" s="30">
        <v>0</v>
      </c>
      <c r="J18" s="30" t="s">
        <v>31</v>
      </c>
      <c r="K18" s="30" t="s">
        <v>31</v>
      </c>
      <c r="L18" s="30" t="s">
        <v>31</v>
      </c>
      <c r="M18" s="30" t="s">
        <v>31</v>
      </c>
      <c r="N18" s="30" t="s">
        <v>31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7899B-5E06-496C-ADCF-264950A45542}">
  <sheetPr>
    <tabColor theme="5" tint="0.79998168889431442"/>
  </sheetPr>
  <dimension ref="A1:Y57"/>
  <sheetViews>
    <sheetView topLeftCell="A35" zoomScale="85" zoomScaleNormal="85" workbookViewId="0">
      <selection activeCell="A54" sqref="A54"/>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30"/>
      <c r="S1" s="338"/>
    </row>
    <row r="2" spans="1:21" s="42" customFormat="1" ht="15.75">
      <c r="A2" s="245" t="s">
        <v>5</v>
      </c>
      <c r="B2" s="337" t="s">
        <v>1039</v>
      </c>
      <c r="C2" s="337"/>
      <c r="R2" s="393"/>
      <c r="S2" s="458"/>
    </row>
    <row r="3" spans="1:21">
      <c r="A3" s="247" t="s">
        <v>7</v>
      </c>
      <c r="B3" t="s">
        <v>902</v>
      </c>
      <c r="D3" s="23"/>
      <c r="R3" s="30"/>
      <c r="S3" s="338"/>
    </row>
    <row r="4" spans="1:21">
      <c r="A4" s="433" t="s">
        <v>9</v>
      </c>
      <c r="B4" t="s">
        <v>1040</v>
      </c>
      <c r="D4" s="23"/>
    </row>
    <row r="5" spans="1:21" ht="15.75" customHeight="1">
      <c r="A5" s="247" t="s">
        <v>11</v>
      </c>
      <c r="B5" s="249" t="s">
        <v>913</v>
      </c>
      <c r="C5" s="249"/>
    </row>
    <row r="6" spans="1:21">
      <c r="A6" s="247" t="s">
        <v>13</v>
      </c>
      <c r="B6" t="s">
        <v>14</v>
      </c>
    </row>
    <row r="7" spans="1:21">
      <c r="A7" s="247" t="s">
        <v>15</v>
      </c>
      <c r="B7" s="22">
        <f>B12</f>
        <v>9.4499999999999993</v>
      </c>
      <c r="C7" s="22"/>
    </row>
    <row r="8" spans="1:21">
      <c r="A8" s="247" t="s">
        <v>16</v>
      </c>
      <c r="B8" t="s">
        <v>17</v>
      </c>
    </row>
    <row r="9" spans="1:21">
      <c r="A9" s="247" t="s">
        <v>18</v>
      </c>
      <c r="B9" t="s">
        <v>37</v>
      </c>
    </row>
    <row r="10" spans="1:21" ht="15.75">
      <c r="A10" s="252" t="s">
        <v>19</v>
      </c>
    </row>
    <row r="11" spans="1:21" ht="15.75">
      <c r="A11" s="16" t="s">
        <v>20</v>
      </c>
      <c r="B11" s="16" t="s">
        <v>21</v>
      </c>
      <c r="C11" s="180" t="s">
        <v>78</v>
      </c>
      <c r="D11" s="16" t="s">
        <v>18</v>
      </c>
      <c r="E11" s="16" t="s">
        <v>22</v>
      </c>
      <c r="F11" s="16" t="s">
        <v>7</v>
      </c>
      <c r="G11" s="16" t="s">
        <v>13</v>
      </c>
      <c r="H11" s="16" t="s">
        <v>16</v>
      </c>
      <c r="I11" s="16" t="s">
        <v>23</v>
      </c>
      <c r="J11" s="16" t="s">
        <v>24</v>
      </c>
      <c r="K11" s="16" t="s">
        <v>25</v>
      </c>
      <c r="L11" s="16" t="s">
        <v>26</v>
      </c>
      <c r="M11" s="16" t="s">
        <v>27</v>
      </c>
      <c r="N11" s="16" t="s">
        <v>28</v>
      </c>
      <c r="O11" s="16" t="s">
        <v>11</v>
      </c>
      <c r="U11" s="283"/>
    </row>
    <row r="12" spans="1:21" ht="15.75">
      <c r="A12" t="s">
        <v>1039</v>
      </c>
      <c r="B12" s="22">
        <f>B43</f>
        <v>9.4499999999999993</v>
      </c>
      <c r="D12" t="s">
        <v>37</v>
      </c>
      <c r="E12" s="326" t="s">
        <v>2</v>
      </c>
      <c r="F12" t="s">
        <v>29</v>
      </c>
      <c r="G12" t="s">
        <v>14</v>
      </c>
      <c r="H12" t="s">
        <v>30</v>
      </c>
      <c r="I12">
        <v>1</v>
      </c>
      <c r="J12">
        <f>B12</f>
        <v>9.4499999999999993</v>
      </c>
      <c r="K12" t="s">
        <v>31</v>
      </c>
      <c r="L12" t="s">
        <v>31</v>
      </c>
      <c r="M12" t="s">
        <v>31</v>
      </c>
      <c r="N12" t="s">
        <v>31</v>
      </c>
      <c r="P12" s="30"/>
      <c r="Q12" s="338"/>
    </row>
    <row r="13" spans="1:21" ht="15.75">
      <c r="A13" t="s">
        <v>1041</v>
      </c>
      <c r="B13">
        <v>1</v>
      </c>
      <c r="D13" t="s">
        <v>18</v>
      </c>
      <c r="E13" s="326" t="s">
        <v>2</v>
      </c>
      <c r="F13" t="s">
        <v>29</v>
      </c>
      <c r="G13" t="s">
        <v>14</v>
      </c>
      <c r="H13" t="s">
        <v>33</v>
      </c>
      <c r="I13">
        <v>1</v>
      </c>
      <c r="J13">
        <v>1</v>
      </c>
      <c r="K13" t="s">
        <v>31</v>
      </c>
      <c r="L13" t="s">
        <v>31</v>
      </c>
      <c r="M13" t="s">
        <v>31</v>
      </c>
      <c r="N13" t="s">
        <v>31</v>
      </c>
    </row>
    <row r="14" spans="1:21" ht="15.75">
      <c r="A14" s="253" t="s">
        <v>40</v>
      </c>
      <c r="B14" s="336">
        <f>Q14</f>
        <v>0.25</v>
      </c>
      <c r="C14" s="336"/>
      <c r="D14" t="s">
        <v>41</v>
      </c>
      <c r="E14" s="17" t="s">
        <v>38</v>
      </c>
      <c r="F14" t="s">
        <v>29</v>
      </c>
      <c r="G14" s="251" t="s">
        <v>35</v>
      </c>
      <c r="H14" t="s">
        <v>33</v>
      </c>
      <c r="I14">
        <v>2</v>
      </c>
      <c r="J14">
        <f t="shared" ref="J14:J18" si="0">LN(B14)</f>
        <v>-1.3862943611198906</v>
      </c>
      <c r="K14" s="330">
        <v>9.6046863561492793E-2</v>
      </c>
      <c r="L14" t="s">
        <v>31</v>
      </c>
      <c r="M14" t="s">
        <v>31</v>
      </c>
      <c r="N14" t="s">
        <v>31</v>
      </c>
      <c r="P14" s="331" t="s">
        <v>332</v>
      </c>
      <c r="Q14" s="296">
        <v>0.25</v>
      </c>
    </row>
    <row r="15" spans="1:21" ht="15.75">
      <c r="A15" s="253" t="s">
        <v>40</v>
      </c>
      <c r="B15" s="336">
        <f>Q15</f>
        <v>0.5</v>
      </c>
      <c r="C15" s="336"/>
      <c r="D15" t="s">
        <v>41</v>
      </c>
      <c r="E15" s="17" t="s">
        <v>38</v>
      </c>
      <c r="F15" t="s">
        <v>29</v>
      </c>
      <c r="G15" s="251" t="s">
        <v>60</v>
      </c>
      <c r="H15" t="s">
        <v>33</v>
      </c>
      <c r="I15">
        <v>2</v>
      </c>
      <c r="J15">
        <f t="shared" si="0"/>
        <v>-0.69314718055994529</v>
      </c>
      <c r="K15" s="330">
        <v>9.6046863561492793E-2</v>
      </c>
      <c r="L15" t="s">
        <v>31</v>
      </c>
      <c r="M15" t="s">
        <v>31</v>
      </c>
      <c r="N15" t="s">
        <v>31</v>
      </c>
      <c r="P15" s="331" t="s">
        <v>332</v>
      </c>
      <c r="Q15" s="296">
        <v>0.5</v>
      </c>
    </row>
    <row r="16" spans="1:21" ht="15.75">
      <c r="A16" s="232" t="s">
        <v>1042</v>
      </c>
      <c r="B16">
        <f>S16</f>
        <v>6.5000000000000002E-2</v>
      </c>
      <c r="D16" t="s">
        <v>37</v>
      </c>
      <c r="E16" s="17" t="s">
        <v>38</v>
      </c>
      <c r="F16" t="s">
        <v>29</v>
      </c>
      <c r="G16" t="s">
        <v>35</v>
      </c>
      <c r="H16" t="s">
        <v>33</v>
      </c>
      <c r="I16">
        <v>2</v>
      </c>
      <c r="J16">
        <f t="shared" si="0"/>
        <v>-2.7333680090865</v>
      </c>
      <c r="K16" s="330">
        <v>9.6046863561492793E-2</v>
      </c>
      <c r="L16" t="s">
        <v>31</v>
      </c>
      <c r="M16" t="s">
        <v>31</v>
      </c>
      <c r="N16" t="s">
        <v>31</v>
      </c>
      <c r="P16" s="331" t="s">
        <v>947</v>
      </c>
      <c r="Q16" s="296">
        <v>65</v>
      </c>
      <c r="R16" s="331" t="s">
        <v>337</v>
      </c>
      <c r="S16" s="296">
        <f>0.001*Q16</f>
        <v>6.5000000000000002E-2</v>
      </c>
    </row>
    <row r="17" spans="1:21" ht="15.75">
      <c r="A17" s="232" t="s">
        <v>1043</v>
      </c>
      <c r="B17">
        <f>Q17</f>
        <v>1.2</v>
      </c>
      <c r="D17" t="s">
        <v>37</v>
      </c>
      <c r="E17" s="17" t="s">
        <v>38</v>
      </c>
      <c r="F17" t="s">
        <v>29</v>
      </c>
      <c r="G17" s="251" t="s">
        <v>39</v>
      </c>
      <c r="H17" t="s">
        <v>33</v>
      </c>
      <c r="I17">
        <v>2</v>
      </c>
      <c r="J17">
        <f t="shared" si="0"/>
        <v>0.18232155679395459</v>
      </c>
      <c r="K17" s="330">
        <v>9.6046863561492793E-2</v>
      </c>
      <c r="L17" t="s">
        <v>31</v>
      </c>
      <c r="M17" t="s">
        <v>31</v>
      </c>
      <c r="N17" t="s">
        <v>31</v>
      </c>
      <c r="P17" s="331" t="s">
        <v>337</v>
      </c>
      <c r="Q17" s="296">
        <v>1.2</v>
      </c>
    </row>
    <row r="18" spans="1:21" ht="15.75">
      <c r="A18" s="232" t="s">
        <v>1044</v>
      </c>
      <c r="B18">
        <f>S18</f>
        <v>6.5000000000000002E-2</v>
      </c>
      <c r="D18" t="s">
        <v>37</v>
      </c>
      <c r="E18" s="17" t="s">
        <v>38</v>
      </c>
      <c r="F18" t="s">
        <v>29</v>
      </c>
      <c r="G18" s="251" t="s">
        <v>39</v>
      </c>
      <c r="H18" t="s">
        <v>33</v>
      </c>
      <c r="I18">
        <v>2</v>
      </c>
      <c r="J18">
        <f t="shared" si="0"/>
        <v>-2.7333680090865</v>
      </c>
      <c r="K18" s="330">
        <v>9.6046863561492793E-2</v>
      </c>
      <c r="L18" t="s">
        <v>31</v>
      </c>
      <c r="M18" t="s">
        <v>31</v>
      </c>
      <c r="N18" t="s">
        <v>31</v>
      </c>
      <c r="P18" s="331" t="s">
        <v>947</v>
      </c>
      <c r="Q18" s="306">
        <v>65</v>
      </c>
      <c r="R18" s="331" t="s">
        <v>337</v>
      </c>
      <c r="S18" s="296">
        <f>0.001*Q18</f>
        <v>6.5000000000000002E-2</v>
      </c>
    </row>
    <row r="19" spans="1:21" s="42" customFormat="1" ht="15.75">
      <c r="A19" s="245" t="s">
        <v>5</v>
      </c>
      <c r="B19" s="337" t="str">
        <f>A29</f>
        <v>production of machined casing, mass scaled activities, ACDC power module, battery charging, medium-term</v>
      </c>
      <c r="C19" s="337"/>
    </row>
    <row r="20" spans="1:21">
      <c r="A20" s="247" t="s">
        <v>7</v>
      </c>
      <c r="B20" t="s">
        <v>902</v>
      </c>
      <c r="D20" s="23"/>
    </row>
    <row r="21" spans="1:21">
      <c r="A21" s="433" t="s">
        <v>9</v>
      </c>
      <c r="B21" t="s">
        <v>1045</v>
      </c>
      <c r="D21" s="23"/>
    </row>
    <row r="22" spans="1:21" ht="15.75" customHeight="1">
      <c r="A22" s="247" t="s">
        <v>11</v>
      </c>
      <c r="B22" s="249" t="s">
        <v>913</v>
      </c>
      <c r="C22" s="249"/>
    </row>
    <row r="23" spans="1:21">
      <c r="A23" s="247" t="s">
        <v>13</v>
      </c>
      <c r="B23" t="s">
        <v>14</v>
      </c>
    </row>
    <row r="24" spans="1:21">
      <c r="A24" s="247" t="s">
        <v>15</v>
      </c>
      <c r="B24" s="22">
        <v>1</v>
      </c>
      <c r="C24" s="22"/>
    </row>
    <row r="25" spans="1:21">
      <c r="A25" s="247" t="s">
        <v>16</v>
      </c>
      <c r="B25" t="s">
        <v>17</v>
      </c>
    </row>
    <row r="26" spans="1:21">
      <c r="A26" s="247" t="s">
        <v>18</v>
      </c>
      <c r="B26" t="s">
        <v>18</v>
      </c>
    </row>
    <row r="27" spans="1:21" ht="15.75">
      <c r="A27" s="252" t="s">
        <v>19</v>
      </c>
    </row>
    <row r="28" spans="1:21" ht="15.75">
      <c r="A28" s="16" t="s">
        <v>20</v>
      </c>
      <c r="B28" s="16" t="s">
        <v>21</v>
      </c>
      <c r="C28" s="180" t="s">
        <v>78</v>
      </c>
      <c r="D28" s="16" t="s">
        <v>18</v>
      </c>
      <c r="E28" s="16" t="s">
        <v>22</v>
      </c>
      <c r="F28" s="16" t="s">
        <v>7</v>
      </c>
      <c r="G28" s="16" t="s">
        <v>13</v>
      </c>
      <c r="H28" s="16" t="s">
        <v>16</v>
      </c>
      <c r="I28" s="16" t="s">
        <v>23</v>
      </c>
      <c r="J28" s="16" t="s">
        <v>24</v>
      </c>
      <c r="K28" s="16" t="s">
        <v>25</v>
      </c>
      <c r="L28" s="16" t="s">
        <v>26</v>
      </c>
      <c r="M28" s="16" t="s">
        <v>27</v>
      </c>
      <c r="N28" s="16" t="s">
        <v>28</v>
      </c>
      <c r="O28" s="16" t="s">
        <v>11</v>
      </c>
      <c r="U28" s="283"/>
    </row>
    <row r="29" spans="1:21" ht="15.75">
      <c r="A29" t="s">
        <v>1041</v>
      </c>
      <c r="B29">
        <v>1</v>
      </c>
      <c r="D29" t="s">
        <v>18</v>
      </c>
      <c r="E29" s="326" t="s">
        <v>2</v>
      </c>
      <c r="F29" t="s">
        <v>29</v>
      </c>
      <c r="G29" t="s">
        <v>14</v>
      </c>
      <c r="H29" t="s">
        <v>30</v>
      </c>
      <c r="I29">
        <v>1</v>
      </c>
      <c r="J29">
        <v>1</v>
      </c>
      <c r="K29" t="s">
        <v>31</v>
      </c>
      <c r="L29" t="s">
        <v>31</v>
      </c>
      <c r="M29" t="s">
        <v>31</v>
      </c>
      <c r="N29" t="s">
        <v>31</v>
      </c>
    </row>
    <row r="30" spans="1:21">
      <c r="A30" t="s">
        <v>1046</v>
      </c>
      <c r="B30" s="22">
        <f>Q30</f>
        <v>9</v>
      </c>
      <c r="D30" t="s">
        <v>37</v>
      </c>
      <c r="E30" s="248" t="s">
        <v>2</v>
      </c>
      <c r="F30" t="s">
        <v>29</v>
      </c>
      <c r="G30" t="s">
        <v>14</v>
      </c>
      <c r="H30" t="s">
        <v>33</v>
      </c>
      <c r="I30">
        <v>2</v>
      </c>
      <c r="J30">
        <f>LN(B30)</f>
        <v>2.1972245773362196</v>
      </c>
      <c r="K30">
        <v>0.10307764064044142</v>
      </c>
      <c r="L30" t="s">
        <v>31</v>
      </c>
      <c r="M30" t="s">
        <v>31</v>
      </c>
      <c r="N30" t="s">
        <v>31</v>
      </c>
      <c r="Q30" s="366">
        <v>9</v>
      </c>
    </row>
    <row r="31" spans="1:21" ht="15.75">
      <c r="A31" s="253" t="s">
        <v>40</v>
      </c>
      <c r="B31" s="336">
        <f>Q31</f>
        <v>0.54</v>
      </c>
      <c r="C31" s="336"/>
      <c r="D31" t="s">
        <v>41</v>
      </c>
      <c r="E31" s="17" t="s">
        <v>38</v>
      </c>
      <c r="F31" t="s">
        <v>29</v>
      </c>
      <c r="G31" s="251" t="s">
        <v>60</v>
      </c>
      <c r="H31" t="s">
        <v>33</v>
      </c>
      <c r="I31">
        <v>2</v>
      </c>
      <c r="J31">
        <f t="shared" ref="J31:J37" si="1">LN(B31)</f>
        <v>-0.61618613942381695</v>
      </c>
      <c r="K31">
        <v>9.6046863561492793E-2</v>
      </c>
      <c r="L31" t="s">
        <v>31</v>
      </c>
      <c r="M31" t="s">
        <v>31</v>
      </c>
      <c r="N31" t="s">
        <v>31</v>
      </c>
      <c r="P31" s="331" t="s">
        <v>332</v>
      </c>
      <c r="Q31" s="296">
        <v>0.54</v>
      </c>
    </row>
    <row r="32" spans="1:21" ht="15.75">
      <c r="A32" s="232" t="s">
        <v>1042</v>
      </c>
      <c r="B32">
        <f>S32</f>
        <v>0.126</v>
      </c>
      <c r="D32" t="s">
        <v>37</v>
      </c>
      <c r="E32" s="17" t="s">
        <v>38</v>
      </c>
      <c r="F32" t="s">
        <v>29</v>
      </c>
      <c r="G32" t="s">
        <v>35</v>
      </c>
      <c r="H32" t="s">
        <v>33</v>
      </c>
      <c r="I32">
        <v>2</v>
      </c>
      <c r="J32">
        <f t="shared" si="1"/>
        <v>-2.0714733720306588</v>
      </c>
      <c r="K32">
        <v>9.6046863561492793E-2</v>
      </c>
      <c r="L32" t="s">
        <v>31</v>
      </c>
      <c r="M32" t="s">
        <v>31</v>
      </c>
      <c r="N32" t="s">
        <v>31</v>
      </c>
      <c r="P32" s="331" t="s">
        <v>947</v>
      </c>
      <c r="Q32" s="296">
        <v>126</v>
      </c>
      <c r="R32" s="331" t="s">
        <v>337</v>
      </c>
      <c r="S32" s="296">
        <f>0.001*Q32</f>
        <v>0.126</v>
      </c>
    </row>
    <row r="33" spans="1:21" ht="15.75">
      <c r="A33" s="232" t="s">
        <v>1043</v>
      </c>
      <c r="B33">
        <f>Q33</f>
        <v>2.2999999999999998</v>
      </c>
      <c r="D33" t="s">
        <v>37</v>
      </c>
      <c r="E33" s="17" t="s">
        <v>38</v>
      </c>
      <c r="F33" t="s">
        <v>29</v>
      </c>
      <c r="G33" s="251" t="s">
        <v>39</v>
      </c>
      <c r="H33" t="s">
        <v>33</v>
      </c>
      <c r="I33">
        <v>2</v>
      </c>
      <c r="J33">
        <f t="shared" si="1"/>
        <v>0.83290912293510388</v>
      </c>
      <c r="K33">
        <v>9.6046863561492793E-2</v>
      </c>
      <c r="L33" t="s">
        <v>31</v>
      </c>
      <c r="M33" t="s">
        <v>31</v>
      </c>
      <c r="N33" t="s">
        <v>31</v>
      </c>
      <c r="P33" s="331" t="s">
        <v>337</v>
      </c>
      <c r="Q33" s="296">
        <v>2.2999999999999998</v>
      </c>
    </row>
    <row r="34" spans="1:21" ht="15.75">
      <c r="A34" s="459" t="s">
        <v>94</v>
      </c>
      <c r="B34">
        <f>S35</f>
        <v>0.47700000000000004</v>
      </c>
      <c r="C34" s="30" t="s">
        <v>95</v>
      </c>
      <c r="D34" t="s">
        <v>37</v>
      </c>
      <c r="E34" s="17" t="s">
        <v>38</v>
      </c>
      <c r="F34" t="s">
        <v>29</v>
      </c>
      <c r="G34" s="251" t="s">
        <v>35</v>
      </c>
      <c r="H34" t="s">
        <v>33</v>
      </c>
      <c r="I34">
        <v>2</v>
      </c>
      <c r="J34">
        <f t="shared" si="1"/>
        <v>-0.74023878809379573</v>
      </c>
      <c r="K34">
        <v>9.6046863561492793E-2</v>
      </c>
      <c r="L34" t="s">
        <v>31</v>
      </c>
      <c r="M34" t="s">
        <v>31</v>
      </c>
      <c r="N34" t="s">
        <v>31</v>
      </c>
      <c r="P34" s="331"/>
      <c r="Q34" s="306">
        <v>477</v>
      </c>
    </row>
    <row r="35" spans="1:21" ht="15.75">
      <c r="A35" s="30" t="s">
        <v>93</v>
      </c>
      <c r="B35">
        <f>S35</f>
        <v>0.47700000000000004</v>
      </c>
      <c r="D35" t="s">
        <v>37</v>
      </c>
      <c r="E35" s="17" t="s">
        <v>38</v>
      </c>
      <c r="F35" t="s">
        <v>29</v>
      </c>
      <c r="G35" t="s">
        <v>35</v>
      </c>
      <c r="H35" t="s">
        <v>33</v>
      </c>
      <c r="I35">
        <v>2</v>
      </c>
      <c r="J35">
        <f t="shared" si="1"/>
        <v>-0.74023878809379573</v>
      </c>
      <c r="K35">
        <v>9.6046863561492793E-2</v>
      </c>
      <c r="L35" t="s">
        <v>31</v>
      </c>
      <c r="M35" t="s">
        <v>31</v>
      </c>
      <c r="N35" t="s">
        <v>31</v>
      </c>
      <c r="P35" s="334" t="s">
        <v>947</v>
      </c>
      <c r="Q35" s="306">
        <v>477</v>
      </c>
      <c r="R35" s="331" t="s">
        <v>337</v>
      </c>
      <c r="S35" s="296">
        <f>0.001*Q35</f>
        <v>0.47700000000000004</v>
      </c>
    </row>
    <row r="36" spans="1:21" ht="15.75">
      <c r="A36" s="232" t="s">
        <v>1047</v>
      </c>
      <c r="B36">
        <f>S35</f>
        <v>0.47700000000000004</v>
      </c>
      <c r="D36" t="s">
        <v>37</v>
      </c>
      <c r="E36" s="17" t="s">
        <v>38</v>
      </c>
      <c r="F36" t="s">
        <v>29</v>
      </c>
      <c r="G36" t="s">
        <v>60</v>
      </c>
      <c r="H36" t="s">
        <v>98</v>
      </c>
      <c r="I36">
        <v>2</v>
      </c>
      <c r="J36">
        <f t="shared" si="1"/>
        <v>-0.74023878809379573</v>
      </c>
      <c r="K36">
        <v>9.6046863561492793E-2</v>
      </c>
      <c r="L36" t="s">
        <v>31</v>
      </c>
      <c r="M36" t="s">
        <v>31</v>
      </c>
      <c r="N36" t="s">
        <v>31</v>
      </c>
      <c r="P36" s="334" t="s">
        <v>947</v>
      </c>
      <c r="Q36" s="306">
        <v>477</v>
      </c>
      <c r="R36" s="331" t="s">
        <v>337</v>
      </c>
      <c r="S36" s="296">
        <f>0.001*Q37</f>
        <v>0.126</v>
      </c>
    </row>
    <row r="37" spans="1:21" ht="15.75">
      <c r="A37" s="232" t="s">
        <v>1044</v>
      </c>
      <c r="B37">
        <f>S37</f>
        <v>0.126</v>
      </c>
      <c r="D37" t="s">
        <v>37</v>
      </c>
      <c r="E37" s="17" t="s">
        <v>38</v>
      </c>
      <c r="F37" t="s">
        <v>29</v>
      </c>
      <c r="G37" s="251" t="s">
        <v>39</v>
      </c>
      <c r="H37" t="s">
        <v>33</v>
      </c>
      <c r="I37">
        <v>2</v>
      </c>
      <c r="J37">
        <f t="shared" si="1"/>
        <v>-2.0714733720306588</v>
      </c>
      <c r="K37">
        <v>9.6046863561492793E-2</v>
      </c>
      <c r="L37" t="s">
        <v>31</v>
      </c>
      <c r="M37" t="s">
        <v>31</v>
      </c>
      <c r="N37" t="s">
        <v>31</v>
      </c>
      <c r="P37" s="334" t="s">
        <v>947</v>
      </c>
      <c r="Q37" s="306">
        <v>126</v>
      </c>
      <c r="R37" s="331" t="s">
        <v>337</v>
      </c>
      <c r="S37" s="296">
        <f>Q37*0.001</f>
        <v>0.126</v>
      </c>
    </row>
    <row r="38" spans="1:21" s="42" customFormat="1" ht="15.75">
      <c r="A38" s="245" t="s">
        <v>5</v>
      </c>
      <c r="B38" s="337" t="s">
        <v>1046</v>
      </c>
      <c r="C38" s="337"/>
    </row>
    <row r="39" spans="1:21">
      <c r="A39" s="247" t="s">
        <v>7</v>
      </c>
      <c r="B39" t="s">
        <v>902</v>
      </c>
      <c r="D39" s="23"/>
    </row>
    <row r="40" spans="1:21">
      <c r="A40" s="433" t="s">
        <v>9</v>
      </c>
      <c r="B40" t="s">
        <v>1048</v>
      </c>
      <c r="D40" s="23"/>
    </row>
    <row r="41" spans="1:21" ht="15.75" customHeight="1">
      <c r="A41" s="247" t="s">
        <v>11</v>
      </c>
      <c r="B41" s="249" t="s">
        <v>913</v>
      </c>
      <c r="C41" s="249"/>
    </row>
    <row r="42" spans="1:21">
      <c r="A42" s="247" t="s">
        <v>13</v>
      </c>
      <c r="B42" t="s">
        <v>14</v>
      </c>
    </row>
    <row r="43" spans="1:21">
      <c r="A43" s="247" t="s">
        <v>15</v>
      </c>
      <c r="B43" s="22">
        <f>B48</f>
        <v>9.4499999999999993</v>
      </c>
      <c r="C43" s="22"/>
    </row>
    <row r="44" spans="1:21">
      <c r="A44" s="247" t="s">
        <v>16</v>
      </c>
      <c r="B44" t="s">
        <v>17</v>
      </c>
    </row>
    <row r="45" spans="1:21">
      <c r="A45" s="247" t="s">
        <v>18</v>
      </c>
      <c r="B45" t="s">
        <v>37</v>
      </c>
    </row>
    <row r="46" spans="1:21" ht="15.75">
      <c r="A46" s="252" t="s">
        <v>19</v>
      </c>
    </row>
    <row r="47" spans="1:21" ht="15.75">
      <c r="A47" s="16" t="s">
        <v>20</v>
      </c>
      <c r="B47" s="16" t="s">
        <v>21</v>
      </c>
      <c r="C47" s="180" t="s">
        <v>78</v>
      </c>
      <c r="D47" s="16" t="s">
        <v>18</v>
      </c>
      <c r="E47" s="16" t="s">
        <v>22</v>
      </c>
      <c r="F47" s="16" t="s">
        <v>7</v>
      </c>
      <c r="G47" s="16" t="s">
        <v>13</v>
      </c>
      <c r="H47" s="16" t="s">
        <v>16</v>
      </c>
      <c r="I47" s="16" t="s">
        <v>23</v>
      </c>
      <c r="J47" s="16" t="s">
        <v>24</v>
      </c>
      <c r="K47" s="16" t="s">
        <v>25</v>
      </c>
      <c r="L47" s="16" t="s">
        <v>26</v>
      </c>
      <c r="M47" s="16" t="s">
        <v>27</v>
      </c>
      <c r="N47" s="16" t="s">
        <v>28</v>
      </c>
      <c r="O47" s="16" t="s">
        <v>11</v>
      </c>
      <c r="U47" s="283"/>
    </row>
    <row r="48" spans="1:21">
      <c r="A48" t="s">
        <v>1046</v>
      </c>
      <c r="B48">
        <f>Q48</f>
        <v>9.4499999999999993</v>
      </c>
      <c r="D48" t="s">
        <v>37</v>
      </c>
      <c r="E48" s="248" t="s">
        <v>2</v>
      </c>
      <c r="F48" t="s">
        <v>29</v>
      </c>
      <c r="G48" t="s">
        <v>14</v>
      </c>
      <c r="H48" t="s">
        <v>30</v>
      </c>
      <c r="I48">
        <v>2</v>
      </c>
      <c r="J48">
        <f>LN(B48)</f>
        <v>2.2460147415056513</v>
      </c>
      <c r="K48">
        <v>0.10307764064044142</v>
      </c>
      <c r="L48" t="s">
        <v>31</v>
      </c>
      <c r="M48" t="s">
        <v>31</v>
      </c>
      <c r="N48" t="s">
        <v>31</v>
      </c>
      <c r="Q48" s="460">
        <v>9.4499999999999993</v>
      </c>
    </row>
    <row r="49" spans="1:25" ht="15.75">
      <c r="A49" s="232" t="s">
        <v>1047</v>
      </c>
      <c r="B49">
        <f>Q49</f>
        <v>10</v>
      </c>
      <c r="D49" t="s">
        <v>37</v>
      </c>
      <c r="E49" s="17" t="s">
        <v>38</v>
      </c>
      <c r="F49" t="s">
        <v>29</v>
      </c>
      <c r="G49" t="s">
        <v>60</v>
      </c>
      <c r="H49" t="s">
        <v>33</v>
      </c>
      <c r="I49">
        <v>2</v>
      </c>
      <c r="J49">
        <f t="shared" ref="J49:J57" si="2">LN(B49)</f>
        <v>2.3025850929940459</v>
      </c>
      <c r="K49">
        <v>4.9999999999998969E-3</v>
      </c>
      <c r="L49" t="s">
        <v>31</v>
      </c>
      <c r="M49" t="s">
        <v>31</v>
      </c>
      <c r="N49" t="s">
        <v>31</v>
      </c>
      <c r="P49" s="331" t="s">
        <v>337</v>
      </c>
      <c r="Q49" s="296">
        <v>10</v>
      </c>
    </row>
    <row r="50" spans="1:25" ht="15.75">
      <c r="A50" s="405" t="s">
        <v>170</v>
      </c>
      <c r="B50">
        <f>S50</f>
        <v>2.6631853785900783</v>
      </c>
      <c r="D50" t="s">
        <v>50</v>
      </c>
      <c r="E50" s="17" t="s">
        <v>38</v>
      </c>
      <c r="F50" t="s">
        <v>29</v>
      </c>
      <c r="G50" t="s">
        <v>333</v>
      </c>
      <c r="H50" t="s">
        <v>33</v>
      </c>
      <c r="I50">
        <v>2</v>
      </c>
      <c r="J50">
        <f t="shared" si="2"/>
        <v>0.97952291709767081</v>
      </c>
      <c r="K50">
        <v>4.9999999999998969E-3</v>
      </c>
      <c r="L50" t="s">
        <v>31</v>
      </c>
      <c r="M50" t="s">
        <v>31</v>
      </c>
      <c r="N50" t="s">
        <v>31</v>
      </c>
      <c r="P50" s="331" t="s">
        <v>331</v>
      </c>
      <c r="Q50" s="296">
        <v>102</v>
      </c>
      <c r="R50" t="s">
        <v>335</v>
      </c>
      <c r="S50">
        <f>Q50/38.3</f>
        <v>2.6631853785900783</v>
      </c>
      <c r="T50" s="294"/>
      <c r="U50" s="44"/>
      <c r="V50" s="44"/>
      <c r="W50" s="44"/>
      <c r="X50" s="44"/>
      <c r="Y50" s="44"/>
    </row>
    <row r="51" spans="1:25" ht="15.75">
      <c r="A51" s="253" t="s">
        <v>40</v>
      </c>
      <c r="B51" s="336">
        <f>Q51</f>
        <v>24.6</v>
      </c>
      <c r="C51" s="336"/>
      <c r="D51" t="s">
        <v>41</v>
      </c>
      <c r="E51" s="17" t="s">
        <v>38</v>
      </c>
      <c r="F51" t="s">
        <v>29</v>
      </c>
      <c r="G51" s="251" t="s">
        <v>60</v>
      </c>
      <c r="H51" t="s">
        <v>33</v>
      </c>
      <c r="I51">
        <v>2</v>
      </c>
      <c r="J51">
        <f t="shared" si="2"/>
        <v>3.202746442938317</v>
      </c>
      <c r="K51">
        <v>4.9999999999998969E-3</v>
      </c>
      <c r="L51" t="s">
        <v>31</v>
      </c>
      <c r="M51" t="s">
        <v>31</v>
      </c>
      <c r="N51" t="s">
        <v>31</v>
      </c>
      <c r="P51" s="331" t="s">
        <v>332</v>
      </c>
      <c r="Q51" s="296">
        <v>24.6</v>
      </c>
    </row>
    <row r="52" spans="1:25" ht="15.75">
      <c r="A52" s="232" t="s">
        <v>1049</v>
      </c>
      <c r="B52">
        <f>S52</f>
        <v>0.19</v>
      </c>
      <c r="D52" t="s">
        <v>37</v>
      </c>
      <c r="E52" s="17" t="s">
        <v>38</v>
      </c>
      <c r="F52" t="s">
        <v>29</v>
      </c>
      <c r="G52" t="s">
        <v>35</v>
      </c>
      <c r="H52" t="s">
        <v>33</v>
      </c>
      <c r="I52">
        <v>2</v>
      </c>
      <c r="J52">
        <f t="shared" si="2"/>
        <v>-1.6607312068216509</v>
      </c>
      <c r="K52">
        <v>0.10049875621120885</v>
      </c>
      <c r="L52" t="s">
        <v>31</v>
      </c>
      <c r="M52" t="s">
        <v>31</v>
      </c>
      <c r="N52" t="s">
        <v>31</v>
      </c>
      <c r="P52" s="331" t="s">
        <v>947</v>
      </c>
      <c r="Q52" s="296">
        <v>190</v>
      </c>
      <c r="R52" s="331" t="s">
        <v>337</v>
      </c>
      <c r="S52" s="296">
        <f t="shared" ref="S52:S54" si="3">0.001*Q52</f>
        <v>0.19</v>
      </c>
    </row>
    <row r="53" spans="1:25">
      <c r="A53" s="232" t="s">
        <v>1050</v>
      </c>
      <c r="B53">
        <f>S53</f>
        <v>3.8E-3</v>
      </c>
      <c r="D53" t="s">
        <v>37</v>
      </c>
      <c r="E53" t="s">
        <v>43</v>
      </c>
      <c r="F53" t="s">
        <v>44</v>
      </c>
      <c r="G53" t="s">
        <v>29</v>
      </c>
      <c r="H53" t="s">
        <v>45</v>
      </c>
      <c r="I53">
        <v>2</v>
      </c>
      <c r="J53">
        <f t="shared" si="2"/>
        <v>-5.5727542122497971</v>
      </c>
      <c r="K53">
        <v>4.9999999999998969E-3</v>
      </c>
      <c r="L53" t="s">
        <v>31</v>
      </c>
      <c r="M53" t="s">
        <v>31</v>
      </c>
      <c r="N53" t="s">
        <v>31</v>
      </c>
      <c r="P53" s="332" t="s">
        <v>947</v>
      </c>
      <c r="Q53" s="365">
        <v>3.8</v>
      </c>
      <c r="R53" s="331" t="s">
        <v>337</v>
      </c>
      <c r="S53" s="296">
        <f t="shared" si="3"/>
        <v>3.8E-3</v>
      </c>
    </row>
    <row r="54" spans="1:25" ht="15.75">
      <c r="A54" s="253" t="s">
        <v>941</v>
      </c>
      <c r="B54">
        <f>S54</f>
        <v>9.4999999999999998E-3</v>
      </c>
      <c r="D54" t="s">
        <v>37</v>
      </c>
      <c r="E54" s="17" t="s">
        <v>43</v>
      </c>
      <c r="F54" t="s">
        <v>44</v>
      </c>
      <c r="G54" s="251" t="s">
        <v>29</v>
      </c>
      <c r="H54" t="s">
        <v>45</v>
      </c>
      <c r="I54">
        <v>2</v>
      </c>
      <c r="J54">
        <f t="shared" si="2"/>
        <v>-4.656463480375642</v>
      </c>
      <c r="K54">
        <v>8.9582364335844641E-2</v>
      </c>
      <c r="L54" t="s">
        <v>31</v>
      </c>
      <c r="M54" t="s">
        <v>31</v>
      </c>
      <c r="N54" t="s">
        <v>31</v>
      </c>
      <c r="P54" s="332" t="s">
        <v>947</v>
      </c>
      <c r="Q54" s="365">
        <v>9.5</v>
      </c>
      <c r="R54" s="331" t="s">
        <v>337</v>
      </c>
      <c r="S54" s="296">
        <f t="shared" si="3"/>
        <v>9.4999999999999998E-3</v>
      </c>
    </row>
    <row r="55" spans="1:25" ht="15.75">
      <c r="A55" s="459" t="s">
        <v>94</v>
      </c>
      <c r="B55">
        <f>Q56</f>
        <v>0.56999999999999995</v>
      </c>
      <c r="C55" s="30" t="s">
        <v>95</v>
      </c>
      <c r="D55" t="s">
        <v>37</v>
      </c>
      <c r="E55" s="17" t="s">
        <v>38</v>
      </c>
      <c r="F55" t="s">
        <v>29</v>
      </c>
      <c r="G55" s="251" t="s">
        <v>35</v>
      </c>
      <c r="H55" t="s">
        <v>33</v>
      </c>
      <c r="I55">
        <v>2</v>
      </c>
      <c r="J55">
        <f t="shared" si="2"/>
        <v>-0.56211891815354131</v>
      </c>
      <c r="K55">
        <v>9.6046863561492793E-2</v>
      </c>
      <c r="L55" t="s">
        <v>31</v>
      </c>
      <c r="M55" t="s">
        <v>31</v>
      </c>
      <c r="N55" t="s">
        <v>31</v>
      </c>
      <c r="P55" s="332"/>
      <c r="Q55" s="306">
        <v>0.56999999999999995</v>
      </c>
      <c r="R55" s="435"/>
      <c r="S55" s="436"/>
    </row>
    <row r="56" spans="1:25" ht="15.75">
      <c r="A56" s="30" t="s">
        <v>93</v>
      </c>
      <c r="B56">
        <f>Q56</f>
        <v>0.56999999999999995</v>
      </c>
      <c r="D56" t="s">
        <v>37</v>
      </c>
      <c r="E56" s="17" t="s">
        <v>38</v>
      </c>
      <c r="F56" t="s">
        <v>29</v>
      </c>
      <c r="G56" t="s">
        <v>35</v>
      </c>
      <c r="H56" t="s">
        <v>33</v>
      </c>
      <c r="I56">
        <v>2</v>
      </c>
      <c r="J56">
        <f t="shared" si="2"/>
        <v>-0.56211891815354131</v>
      </c>
      <c r="K56">
        <v>4.9999999999998969E-3</v>
      </c>
      <c r="L56" t="s">
        <v>31</v>
      </c>
      <c r="M56" t="s">
        <v>31</v>
      </c>
      <c r="N56" t="s">
        <v>31</v>
      </c>
      <c r="P56" s="334" t="s">
        <v>337</v>
      </c>
      <c r="Q56" s="306">
        <v>0.56999999999999995</v>
      </c>
    </row>
    <row r="57" spans="1:25" ht="15.75">
      <c r="A57" s="232" t="s">
        <v>1047</v>
      </c>
      <c r="B57">
        <f>Q56</f>
        <v>0.56999999999999995</v>
      </c>
      <c r="D57" t="s">
        <v>37</v>
      </c>
      <c r="E57" s="17" t="s">
        <v>38</v>
      </c>
      <c r="F57" t="s">
        <v>29</v>
      </c>
      <c r="G57" t="s">
        <v>60</v>
      </c>
      <c r="H57" t="s">
        <v>98</v>
      </c>
      <c r="I57">
        <v>2</v>
      </c>
      <c r="J57">
        <f t="shared" si="2"/>
        <v>-0.56211891815354131</v>
      </c>
      <c r="K57">
        <v>4.9999999999998969E-3</v>
      </c>
      <c r="L57" t="s">
        <v>31</v>
      </c>
      <c r="M57" t="s">
        <v>31</v>
      </c>
      <c r="N57" t="s">
        <v>31</v>
      </c>
      <c r="Q57" s="306">
        <v>0.56999999999999995</v>
      </c>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A02E-ED43-4AE7-AE54-394208EB44B5}">
  <sheetPr>
    <tabColor theme="5" tint="0.79998168889431442"/>
  </sheetPr>
  <dimension ref="A1:U363"/>
  <sheetViews>
    <sheetView topLeftCell="A295" zoomScale="85" zoomScaleNormal="85" workbookViewId="0">
      <selection activeCell="A317" sqref="A317"/>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245" t="s">
        <v>5</v>
      </c>
      <c r="B2" s="246" t="s">
        <v>980</v>
      </c>
      <c r="C2" s="120"/>
      <c r="D2" s="42"/>
      <c r="E2" s="42"/>
      <c r="F2" s="42"/>
      <c r="G2" s="42"/>
      <c r="H2" s="42"/>
      <c r="I2" s="42"/>
      <c r="J2" s="42"/>
      <c r="K2" s="42"/>
      <c r="L2" s="42"/>
      <c r="M2" s="42"/>
    </row>
    <row r="3" spans="1:18">
      <c r="A3" s="247" t="s">
        <v>7</v>
      </c>
      <c r="B3" t="s">
        <v>902</v>
      </c>
      <c r="C3" s="23"/>
    </row>
    <row r="4" spans="1:18">
      <c r="A4" s="247" t="s">
        <v>9</v>
      </c>
      <c r="B4" t="s">
        <v>1051</v>
      </c>
      <c r="C4" s="23"/>
    </row>
    <row r="5" spans="1:18" ht="16.5" customHeight="1">
      <c r="A5" s="247" t="s">
        <v>11</v>
      </c>
      <c r="B5" s="249" t="s">
        <v>913</v>
      </c>
    </row>
    <row r="6" spans="1:18">
      <c r="A6" s="247" t="s">
        <v>13</v>
      </c>
      <c r="B6" t="s">
        <v>14</v>
      </c>
    </row>
    <row r="7" spans="1:18">
      <c r="A7" s="247" t="s">
        <v>15</v>
      </c>
      <c r="B7">
        <f>B12</f>
        <v>1</v>
      </c>
      <c r="O7" t="s">
        <v>1052</v>
      </c>
    </row>
    <row r="8" spans="1:18">
      <c r="A8" s="247" t="s">
        <v>16</v>
      </c>
      <c r="B8" t="s">
        <v>17</v>
      </c>
    </row>
    <row r="9" spans="1:18">
      <c r="A9" s="247" t="s">
        <v>18</v>
      </c>
      <c r="B9" t="s">
        <v>37</v>
      </c>
    </row>
    <row r="10" spans="1:18" ht="15.75">
      <c r="A10" s="252" t="s">
        <v>19</v>
      </c>
    </row>
    <row r="11" spans="1:18" ht="15.75">
      <c r="A11" s="252"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75">
      <c r="A12" s="253" t="s">
        <v>980</v>
      </c>
      <c r="B12">
        <v>1</v>
      </c>
      <c r="C12" t="s">
        <v>37</v>
      </c>
      <c r="D12" s="326" t="s">
        <v>2</v>
      </c>
      <c r="E12" t="s">
        <v>29</v>
      </c>
      <c r="F12" s="251" t="s">
        <v>14</v>
      </c>
      <c r="G12" t="s">
        <v>30</v>
      </c>
      <c r="H12">
        <v>1</v>
      </c>
      <c r="I12">
        <v>2.8722813232690055E-2</v>
      </c>
      <c r="J12" t="s">
        <v>31</v>
      </c>
      <c r="K12" t="s">
        <v>31</v>
      </c>
      <c r="L12" t="s">
        <v>31</v>
      </c>
      <c r="M12" t="s">
        <v>31</v>
      </c>
    </row>
    <row r="13" spans="1:18" ht="15.75">
      <c r="A13" t="s">
        <v>1053</v>
      </c>
      <c r="B13">
        <v>1</v>
      </c>
      <c r="C13" t="s">
        <v>18</v>
      </c>
      <c r="D13" s="326" t="s">
        <v>2</v>
      </c>
      <c r="E13" t="s">
        <v>29</v>
      </c>
      <c r="F13" s="251" t="s">
        <v>14</v>
      </c>
      <c r="G13" t="s">
        <v>33</v>
      </c>
      <c r="H13">
        <v>1</v>
      </c>
      <c r="I13">
        <v>1</v>
      </c>
      <c r="J13" t="s">
        <v>31</v>
      </c>
      <c r="K13" t="s">
        <v>31</v>
      </c>
      <c r="L13" t="s">
        <v>31</v>
      </c>
      <c r="M13" t="s">
        <v>31</v>
      </c>
    </row>
    <row r="14" spans="1:18" ht="15.75">
      <c r="A14" t="s">
        <v>1054</v>
      </c>
      <c r="B14">
        <v>1</v>
      </c>
      <c r="C14" t="s">
        <v>18</v>
      </c>
      <c r="D14" s="326" t="s">
        <v>2</v>
      </c>
      <c r="E14" t="s">
        <v>29</v>
      </c>
      <c r="F14" s="251" t="s">
        <v>14</v>
      </c>
      <c r="G14" t="s">
        <v>33</v>
      </c>
      <c r="H14">
        <v>1</v>
      </c>
      <c r="I14">
        <v>1</v>
      </c>
      <c r="J14" t="s">
        <v>31</v>
      </c>
      <c r="K14" t="s">
        <v>31</v>
      </c>
      <c r="L14" t="s">
        <v>31</v>
      </c>
      <c r="M14" t="s">
        <v>31</v>
      </c>
    </row>
    <row r="15" spans="1:18" ht="15.75">
      <c r="A15" s="232" t="s">
        <v>533</v>
      </c>
      <c r="B15" s="445">
        <f>R15</f>
        <v>3.5E-4</v>
      </c>
      <c r="C15" t="s">
        <v>37</v>
      </c>
      <c r="D15" s="17" t="s">
        <v>38</v>
      </c>
      <c r="E15" t="s">
        <v>29</v>
      </c>
      <c r="F15" s="251" t="s">
        <v>35</v>
      </c>
      <c r="G15" t="s">
        <v>33</v>
      </c>
      <c r="H15">
        <v>2</v>
      </c>
      <c r="I15">
        <f>LN(B15)</f>
        <v>-7.9575774034808147</v>
      </c>
      <c r="J15">
        <v>2.8722813232690055E-2</v>
      </c>
      <c r="K15" t="s">
        <v>31</v>
      </c>
      <c r="L15" t="s">
        <v>31</v>
      </c>
      <c r="M15" t="s">
        <v>31</v>
      </c>
      <c r="O15" s="437" t="s">
        <v>947</v>
      </c>
      <c r="P15" s="302">
        <v>0.35</v>
      </c>
      <c r="Q15" t="s">
        <v>337</v>
      </c>
      <c r="R15" s="445">
        <f>P15*0.001</f>
        <v>3.5E-4</v>
      </c>
    </row>
    <row r="16" spans="1:18" ht="15.75">
      <c r="A16" s="245" t="s">
        <v>5</v>
      </c>
      <c r="B16" s="246" t="s">
        <v>1054</v>
      </c>
      <c r="C16" s="120"/>
      <c r="D16" s="42"/>
      <c r="E16" s="42"/>
      <c r="F16" s="42"/>
      <c r="G16" s="42"/>
      <c r="H16" s="42"/>
      <c r="I16" s="42"/>
      <c r="J16" s="42"/>
      <c r="K16" s="42"/>
      <c r="L16" s="42"/>
      <c r="M16" s="42"/>
    </row>
    <row r="17" spans="1:18">
      <c r="A17" s="247" t="s">
        <v>7</v>
      </c>
      <c r="B17" t="s">
        <v>902</v>
      </c>
      <c r="C17" s="23"/>
    </row>
    <row r="18" spans="1:18">
      <c r="A18" s="247" t="s">
        <v>9</v>
      </c>
      <c r="B18" t="s">
        <v>1055</v>
      </c>
      <c r="C18" s="23"/>
    </row>
    <row r="19" spans="1:18" ht="16.5" customHeight="1">
      <c r="A19" s="247" t="s">
        <v>11</v>
      </c>
      <c r="B19" s="249" t="s">
        <v>913</v>
      </c>
    </row>
    <row r="20" spans="1:18">
      <c r="A20" s="247" t="s">
        <v>13</v>
      </c>
      <c r="B20" t="s">
        <v>14</v>
      </c>
    </row>
    <row r="21" spans="1:18">
      <c r="A21" s="247" t="s">
        <v>15</v>
      </c>
      <c r="B21">
        <v>1</v>
      </c>
    </row>
    <row r="22" spans="1:18">
      <c r="A22" s="247" t="s">
        <v>16</v>
      </c>
      <c r="B22" t="s">
        <v>17</v>
      </c>
    </row>
    <row r="23" spans="1:18">
      <c r="A23" s="247" t="s">
        <v>18</v>
      </c>
      <c r="B23" t="s">
        <v>18</v>
      </c>
    </row>
    <row r="24" spans="1:18" ht="15.75">
      <c r="A24" s="252" t="s">
        <v>19</v>
      </c>
    </row>
    <row r="25" spans="1:18" ht="15.75">
      <c r="A25" s="252"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75">
      <c r="A26" t="s">
        <v>1054</v>
      </c>
      <c r="B26">
        <v>1</v>
      </c>
      <c r="C26" t="s">
        <v>18</v>
      </c>
      <c r="D26" s="326" t="s">
        <v>2</v>
      </c>
      <c r="E26" t="s">
        <v>29</v>
      </c>
      <c r="F26" s="251" t="s">
        <v>14</v>
      </c>
      <c r="G26" t="s">
        <v>30</v>
      </c>
      <c r="H26">
        <v>1</v>
      </c>
      <c r="I26">
        <v>1</v>
      </c>
      <c r="J26" t="s">
        <v>31</v>
      </c>
      <c r="K26" t="s">
        <v>31</v>
      </c>
      <c r="L26" t="s">
        <v>31</v>
      </c>
      <c r="M26" t="s">
        <v>31</v>
      </c>
    </row>
    <row r="27" spans="1:18" ht="15.75">
      <c r="A27" s="232" t="s">
        <v>1056</v>
      </c>
      <c r="B27">
        <f>P27</f>
        <v>0.68</v>
      </c>
      <c r="C27" t="s">
        <v>37</v>
      </c>
      <c r="D27" s="17" t="s">
        <v>38</v>
      </c>
      <c r="E27" t="s">
        <v>29</v>
      </c>
      <c r="F27" t="s">
        <v>60</v>
      </c>
      <c r="G27" t="s">
        <v>33</v>
      </c>
      <c r="H27">
        <v>1</v>
      </c>
      <c r="I27">
        <f>B27</f>
        <v>0.68</v>
      </c>
      <c r="J27" t="s">
        <v>31</v>
      </c>
      <c r="K27" t="s">
        <v>31</v>
      </c>
      <c r="L27" t="s">
        <v>31</v>
      </c>
      <c r="M27" t="s">
        <v>31</v>
      </c>
      <c r="O27" t="s">
        <v>337</v>
      </c>
      <c r="P27">
        <v>0.68</v>
      </c>
    </row>
    <row r="28" spans="1:18">
      <c r="A28" s="232" t="s">
        <v>1057</v>
      </c>
      <c r="B28">
        <f>R28</f>
        <v>0.44900000000000001</v>
      </c>
      <c r="C28" t="s">
        <v>37</v>
      </c>
      <c r="D28" t="s">
        <v>38</v>
      </c>
      <c r="E28" t="s">
        <v>29</v>
      </c>
      <c r="F28" t="s">
        <v>60</v>
      </c>
      <c r="G28" t="s">
        <v>33</v>
      </c>
      <c r="H28">
        <v>2</v>
      </c>
      <c r="I28">
        <f>LN(B28)</f>
        <v>-0.80073239123988271</v>
      </c>
      <c r="J28">
        <v>3.7749172176353707E-2</v>
      </c>
      <c r="K28" t="s">
        <v>31</v>
      </c>
      <c r="L28" t="s">
        <v>31</v>
      </c>
      <c r="M28" t="s">
        <v>31</v>
      </c>
      <c r="O28" s="331" t="s">
        <v>947</v>
      </c>
      <c r="P28" s="296">
        <v>449</v>
      </c>
      <c r="Q28" t="s">
        <v>337</v>
      </c>
      <c r="R28">
        <f>P28*0.001</f>
        <v>0.44900000000000001</v>
      </c>
    </row>
    <row r="29" spans="1:18">
      <c r="A29" s="232" t="s">
        <v>1058</v>
      </c>
      <c r="B29">
        <f>R29</f>
        <v>2.6800000000000001E-2</v>
      </c>
      <c r="C29" t="s">
        <v>37</v>
      </c>
      <c r="D29" t="s">
        <v>38</v>
      </c>
      <c r="E29" t="s">
        <v>29</v>
      </c>
      <c r="F29" t="s">
        <v>60</v>
      </c>
      <c r="G29" t="s">
        <v>33</v>
      </c>
      <c r="H29">
        <v>2</v>
      </c>
      <c r="I29">
        <f>LN(B29)</f>
        <v>-3.6193533914653262</v>
      </c>
      <c r="J29">
        <v>3.7749172176353707E-2</v>
      </c>
      <c r="K29" t="s">
        <v>31</v>
      </c>
      <c r="L29" t="s">
        <v>31</v>
      </c>
      <c r="M29" t="s">
        <v>31</v>
      </c>
      <c r="O29" s="331" t="s">
        <v>947</v>
      </c>
      <c r="P29" s="296">
        <v>26.8</v>
      </c>
      <c r="Q29" t="s">
        <v>337</v>
      </c>
      <c r="R29">
        <f t="shared" ref="R29:R30" si="0">P29*0.001</f>
        <v>2.6800000000000001E-2</v>
      </c>
    </row>
    <row r="30" spans="1:18">
      <c r="A30" s="232" t="s">
        <v>1059</v>
      </c>
      <c r="B30">
        <f>R30</f>
        <v>0.20300000000000001</v>
      </c>
      <c r="C30" t="s">
        <v>37</v>
      </c>
      <c r="D30" t="s">
        <v>38</v>
      </c>
      <c r="E30" t="s">
        <v>29</v>
      </c>
      <c r="F30" t="s">
        <v>60</v>
      </c>
      <c r="G30" t="s">
        <v>33</v>
      </c>
      <c r="H30">
        <v>2</v>
      </c>
      <c r="I30">
        <f>LN(B30)</f>
        <v>-1.5945492999403497</v>
      </c>
      <c r="J30">
        <v>3.7749172176353707E-2</v>
      </c>
      <c r="K30" t="s">
        <v>31</v>
      </c>
      <c r="L30" t="s">
        <v>31</v>
      </c>
      <c r="M30" t="s">
        <v>31</v>
      </c>
      <c r="O30" s="331" t="s">
        <v>947</v>
      </c>
      <c r="P30" s="296">
        <v>203</v>
      </c>
      <c r="Q30" t="s">
        <v>337</v>
      </c>
      <c r="R30">
        <f t="shared" si="0"/>
        <v>0.20300000000000001</v>
      </c>
    </row>
    <row r="31" spans="1:18" ht="15.75">
      <c r="A31" s="245" t="s">
        <v>5</v>
      </c>
      <c r="B31" s="246" t="s">
        <v>1053</v>
      </c>
      <c r="C31" s="120"/>
      <c r="D31" s="42"/>
      <c r="E31" s="42"/>
      <c r="F31" s="42"/>
      <c r="G31" s="42"/>
      <c r="H31" s="42"/>
      <c r="I31" s="42"/>
      <c r="J31" s="42"/>
      <c r="K31" s="42"/>
      <c r="L31" s="42"/>
      <c r="M31" s="42"/>
    </row>
    <row r="32" spans="1:18">
      <c r="A32" s="247" t="s">
        <v>7</v>
      </c>
      <c r="B32" t="s">
        <v>902</v>
      </c>
      <c r="C32" s="23"/>
    </row>
    <row r="33" spans="1:18">
      <c r="A33" s="247" t="s">
        <v>9</v>
      </c>
      <c r="B33" t="s">
        <v>1060</v>
      </c>
      <c r="C33" s="23"/>
    </row>
    <row r="34" spans="1:18" ht="18" customHeight="1">
      <c r="A34" s="247" t="s">
        <v>11</v>
      </c>
      <c r="B34" s="249" t="s">
        <v>913</v>
      </c>
    </row>
    <row r="35" spans="1:18">
      <c r="A35" s="247" t="s">
        <v>13</v>
      </c>
      <c r="B35" t="s">
        <v>14</v>
      </c>
    </row>
    <row r="36" spans="1:18">
      <c r="A36" s="247" t="s">
        <v>15</v>
      </c>
      <c r="B36">
        <v>1</v>
      </c>
    </row>
    <row r="37" spans="1:18">
      <c r="A37" s="247" t="s">
        <v>16</v>
      </c>
      <c r="B37" t="s">
        <v>17</v>
      </c>
    </row>
    <row r="38" spans="1:18">
      <c r="A38" s="247" t="s">
        <v>18</v>
      </c>
      <c r="B38" t="s">
        <v>18</v>
      </c>
    </row>
    <row r="39" spans="1:18" ht="15.75">
      <c r="A39" s="252" t="s">
        <v>19</v>
      </c>
    </row>
    <row r="40" spans="1:18" ht="15.75">
      <c r="A40" s="252"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75">
      <c r="A41" t="s">
        <v>1053</v>
      </c>
      <c r="B41">
        <v>1</v>
      </c>
      <c r="C41" t="s">
        <v>18</v>
      </c>
      <c r="D41" s="326" t="s">
        <v>2</v>
      </c>
      <c r="E41" t="s">
        <v>29</v>
      </c>
      <c r="F41" s="251" t="s">
        <v>14</v>
      </c>
      <c r="G41" t="s">
        <v>30</v>
      </c>
      <c r="H41">
        <v>1</v>
      </c>
      <c r="I41">
        <v>1</v>
      </c>
      <c r="J41" t="s">
        <v>31</v>
      </c>
      <c r="K41" t="s">
        <v>31</v>
      </c>
      <c r="L41" t="s">
        <v>31</v>
      </c>
      <c r="M41" t="s">
        <v>31</v>
      </c>
    </row>
    <row r="42" spans="1:18" ht="15.75">
      <c r="A42" s="232" t="s">
        <v>1061</v>
      </c>
      <c r="B42">
        <f>B55</f>
        <v>0.24099999999999999</v>
      </c>
      <c r="C42" t="s">
        <v>37</v>
      </c>
      <c r="D42" s="326" t="s">
        <v>2</v>
      </c>
      <c r="E42" t="s">
        <v>29</v>
      </c>
      <c r="F42" s="251" t="s">
        <v>14</v>
      </c>
      <c r="G42" t="s">
        <v>33</v>
      </c>
      <c r="H42">
        <v>1</v>
      </c>
      <c r="I42">
        <f>B42</f>
        <v>0.24099999999999999</v>
      </c>
      <c r="J42" t="s">
        <v>31</v>
      </c>
      <c r="K42" t="s">
        <v>31</v>
      </c>
      <c r="L42" t="s">
        <v>31</v>
      </c>
      <c r="M42" t="s">
        <v>31</v>
      </c>
      <c r="O42" s="30"/>
      <c r="P42" s="338"/>
    </row>
    <row r="43" spans="1:18" ht="15.75">
      <c r="A43" s="232" t="s">
        <v>1062</v>
      </c>
      <c r="B43">
        <v>1</v>
      </c>
      <c r="C43" t="s">
        <v>18</v>
      </c>
      <c r="D43" s="326" t="s">
        <v>2</v>
      </c>
      <c r="E43" t="s">
        <v>29</v>
      </c>
      <c r="F43" s="251" t="s">
        <v>14</v>
      </c>
      <c r="G43" t="s">
        <v>33</v>
      </c>
      <c r="H43">
        <v>1</v>
      </c>
      <c r="I43">
        <v>1</v>
      </c>
      <c r="J43" t="s">
        <v>31</v>
      </c>
      <c r="K43" t="s">
        <v>31</v>
      </c>
      <c r="L43" t="s">
        <v>31</v>
      </c>
      <c r="M43" t="s">
        <v>31</v>
      </c>
    </row>
    <row r="44" spans="1:18" ht="15.75">
      <c r="A44" s="253" t="s">
        <v>40</v>
      </c>
      <c r="B44" s="22">
        <f>R44</f>
        <v>0.03</v>
      </c>
      <c r="C44" t="s">
        <v>41</v>
      </c>
      <c r="D44" s="17" t="s">
        <v>38</v>
      </c>
      <c r="E44" t="s">
        <v>29</v>
      </c>
      <c r="F44" s="251" t="s">
        <v>35</v>
      </c>
      <c r="G44" t="s">
        <v>33</v>
      </c>
      <c r="H44">
        <v>2</v>
      </c>
      <c r="I44">
        <f t="shared" ref="I44" si="1">LN(B44)</f>
        <v>-3.5065578973199818</v>
      </c>
      <c r="J44">
        <v>7.2284161474004766E-2</v>
      </c>
      <c r="K44" t="s">
        <v>31</v>
      </c>
      <c r="L44" t="s">
        <v>31</v>
      </c>
      <c r="M44" t="s">
        <v>31</v>
      </c>
      <c r="O44" s="437" t="s">
        <v>332</v>
      </c>
      <c r="P44" s="296">
        <v>0.03</v>
      </c>
      <c r="Q44" t="s">
        <v>332</v>
      </c>
      <c r="R44" s="22">
        <f>P44</f>
        <v>0.03</v>
      </c>
    </row>
    <row r="45" spans="1:18" ht="15.75">
      <c r="A45" s="245" t="s">
        <v>5</v>
      </c>
      <c r="B45" s="246" t="s">
        <v>1061</v>
      </c>
      <c r="C45" s="120"/>
      <c r="D45" s="42"/>
      <c r="E45" s="42"/>
      <c r="F45" s="42"/>
      <c r="G45" s="42"/>
      <c r="H45" s="42"/>
      <c r="I45" s="42"/>
      <c r="J45" s="42"/>
      <c r="K45" s="42"/>
      <c r="L45" s="42"/>
      <c r="M45" s="42"/>
    </row>
    <row r="46" spans="1:18">
      <c r="A46" s="247" t="s">
        <v>7</v>
      </c>
      <c r="B46" t="s">
        <v>902</v>
      </c>
      <c r="C46" s="23"/>
    </row>
    <row r="47" spans="1:18">
      <c r="A47" s="247" t="s">
        <v>9</v>
      </c>
      <c r="B47" t="s">
        <v>1063</v>
      </c>
      <c r="C47" s="23"/>
    </row>
    <row r="48" spans="1:18" ht="11.25" customHeight="1">
      <c r="A48" s="247" t="s">
        <v>11</v>
      </c>
      <c r="B48" s="249" t="s">
        <v>913</v>
      </c>
    </row>
    <row r="49" spans="1:18">
      <c r="A49" s="247" t="s">
        <v>13</v>
      </c>
      <c r="B49" t="s">
        <v>14</v>
      </c>
    </row>
    <row r="50" spans="1:18">
      <c r="A50" s="247" t="s">
        <v>15</v>
      </c>
      <c r="B50">
        <f>B55</f>
        <v>0.24099999999999999</v>
      </c>
    </row>
    <row r="51" spans="1:18">
      <c r="A51" s="247" t="s">
        <v>16</v>
      </c>
      <c r="B51" t="s">
        <v>17</v>
      </c>
    </row>
    <row r="52" spans="1:18">
      <c r="A52" s="247" t="s">
        <v>18</v>
      </c>
      <c r="B52" t="s">
        <v>37</v>
      </c>
    </row>
    <row r="53" spans="1:18" ht="15.75">
      <c r="A53" s="252" t="s">
        <v>19</v>
      </c>
    </row>
    <row r="54" spans="1:18" ht="15.75">
      <c r="A54" s="252"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75">
      <c r="A55" s="232" t="s">
        <v>1061</v>
      </c>
      <c r="B55">
        <f>P55</f>
        <v>0.24099999999999999</v>
      </c>
      <c r="C55" t="s">
        <v>37</v>
      </c>
      <c r="D55" s="326" t="s">
        <v>2</v>
      </c>
      <c r="E55" t="s">
        <v>29</v>
      </c>
      <c r="F55" s="251" t="s">
        <v>14</v>
      </c>
      <c r="G55" t="s">
        <v>30</v>
      </c>
      <c r="H55">
        <v>1</v>
      </c>
      <c r="I55">
        <f>B55</f>
        <v>0.24099999999999999</v>
      </c>
      <c r="J55" t="s">
        <v>31</v>
      </c>
      <c r="K55" t="s">
        <v>31</v>
      </c>
      <c r="L55" t="s">
        <v>31</v>
      </c>
      <c r="M55" t="s">
        <v>31</v>
      </c>
      <c r="O55" s="461" t="s">
        <v>337</v>
      </c>
      <c r="P55" s="296">
        <v>0.24099999999999999</v>
      </c>
      <c r="Q55" t="s">
        <v>337</v>
      </c>
      <c r="R55">
        <f>P55</f>
        <v>0.24099999999999999</v>
      </c>
    </row>
    <row r="56" spans="1:18" ht="15.75">
      <c r="A56" s="232" t="s">
        <v>533</v>
      </c>
      <c r="B56" s="445">
        <f>R56</f>
        <v>0.24099999999999999</v>
      </c>
      <c r="C56" t="s">
        <v>37</v>
      </c>
      <c r="D56" s="17" t="s">
        <v>38</v>
      </c>
      <c r="E56" t="s">
        <v>29</v>
      </c>
      <c r="F56" s="251" t="s">
        <v>35</v>
      </c>
      <c r="G56" t="s">
        <v>33</v>
      </c>
      <c r="H56">
        <v>2</v>
      </c>
      <c r="I56">
        <f>LN(B56)</f>
        <v>-1.422958345491482</v>
      </c>
      <c r="J56">
        <v>2.8722813232690055E-2</v>
      </c>
      <c r="K56" t="s">
        <v>31</v>
      </c>
      <c r="L56" t="s">
        <v>31</v>
      </c>
      <c r="M56" t="s">
        <v>31</v>
      </c>
      <c r="O56" s="462" t="s">
        <v>337</v>
      </c>
      <c r="P56" s="296">
        <v>0.24099999999999999</v>
      </c>
      <c r="Q56" t="s">
        <v>337</v>
      </c>
      <c r="R56" s="445">
        <f>P56</f>
        <v>0.24099999999999999</v>
      </c>
    </row>
    <row r="57" spans="1:18" ht="15.75">
      <c r="A57" s="253" t="s">
        <v>40</v>
      </c>
      <c r="B57" s="336">
        <f>R57</f>
        <v>7.1999999999999995E-2</v>
      </c>
      <c r="C57" t="s">
        <v>41</v>
      </c>
      <c r="D57" s="17" t="s">
        <v>38</v>
      </c>
      <c r="E57" t="s">
        <v>29</v>
      </c>
      <c r="F57" s="251" t="s">
        <v>35</v>
      </c>
      <c r="G57" t="s">
        <v>33</v>
      </c>
      <c r="H57">
        <v>2</v>
      </c>
      <c r="I57">
        <f t="shared" ref="I57" si="2">LN(B57)</f>
        <v>-2.6310891599660819</v>
      </c>
      <c r="J57">
        <v>7.2284161474004766E-2</v>
      </c>
      <c r="K57" t="s">
        <v>31</v>
      </c>
      <c r="L57" t="s">
        <v>31</v>
      </c>
      <c r="M57" t="s">
        <v>31</v>
      </c>
      <c r="O57" s="437" t="s">
        <v>332</v>
      </c>
      <c r="P57" s="296">
        <v>7.1999999999999995E-2</v>
      </c>
      <c r="Q57" t="s">
        <v>332</v>
      </c>
      <c r="R57" s="336">
        <f>P57</f>
        <v>7.1999999999999995E-2</v>
      </c>
    </row>
    <row r="58" spans="1:18" ht="15.75">
      <c r="A58" s="245" t="s">
        <v>5</v>
      </c>
      <c r="B58" s="323" t="s">
        <v>1062</v>
      </c>
      <c r="C58" s="120"/>
      <c r="D58" s="42"/>
      <c r="E58" s="42"/>
      <c r="F58" s="42"/>
      <c r="G58" s="42"/>
      <c r="H58" s="42"/>
      <c r="I58" s="42"/>
      <c r="J58" s="42"/>
      <c r="K58" s="42"/>
      <c r="L58" s="42"/>
      <c r="M58" s="42"/>
    </row>
    <row r="59" spans="1:18">
      <c r="A59" s="247" t="s">
        <v>7</v>
      </c>
      <c r="B59" t="s">
        <v>902</v>
      </c>
      <c r="C59" s="23"/>
    </row>
    <row r="60" spans="1:18">
      <c r="A60" s="433" t="s">
        <v>9</v>
      </c>
      <c r="B60" t="s">
        <v>1064</v>
      </c>
      <c r="C60" s="23"/>
    </row>
    <row r="61" spans="1:18" ht="27.75" customHeight="1">
      <c r="A61" s="247" t="s">
        <v>11</v>
      </c>
      <c r="B61" s="249" t="s">
        <v>913</v>
      </c>
    </row>
    <row r="62" spans="1:18">
      <c r="A62" s="247" t="s">
        <v>13</v>
      </c>
      <c r="B62" t="s">
        <v>14</v>
      </c>
    </row>
    <row r="63" spans="1:18">
      <c r="A63" s="247" t="s">
        <v>15</v>
      </c>
      <c r="B63">
        <v>1</v>
      </c>
    </row>
    <row r="64" spans="1:18">
      <c r="A64" s="247" t="s">
        <v>16</v>
      </c>
      <c r="B64" t="s">
        <v>17</v>
      </c>
    </row>
    <row r="65" spans="1:18">
      <c r="A65" s="247" t="s">
        <v>18</v>
      </c>
      <c r="B65" t="s">
        <v>18</v>
      </c>
    </row>
    <row r="66" spans="1:18" ht="15.75">
      <c r="A66" s="252" t="s">
        <v>19</v>
      </c>
    </row>
    <row r="67" spans="1:18" ht="15.75">
      <c r="A67" s="252"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75">
      <c r="A68" s="232" t="s">
        <v>1062</v>
      </c>
      <c r="B68">
        <v>1</v>
      </c>
      <c r="C68" t="s">
        <v>18</v>
      </c>
      <c r="D68" s="326" t="s">
        <v>2</v>
      </c>
      <c r="E68" t="s">
        <v>29</v>
      </c>
      <c r="F68" s="251" t="s">
        <v>14</v>
      </c>
      <c r="G68" t="s">
        <v>30</v>
      </c>
      <c r="H68">
        <v>1</v>
      </c>
      <c r="I68">
        <v>1</v>
      </c>
      <c r="J68" t="s">
        <v>31</v>
      </c>
      <c r="K68" t="s">
        <v>31</v>
      </c>
      <c r="L68" t="s">
        <v>31</v>
      </c>
      <c r="M68" t="s">
        <v>31</v>
      </c>
    </row>
    <row r="69" spans="1:18" ht="15.75">
      <c r="A69" s="232" t="s">
        <v>1065</v>
      </c>
      <c r="B69" s="445">
        <f>B77</f>
        <v>0.12</v>
      </c>
      <c r="C69" t="s">
        <v>37</v>
      </c>
      <c r="D69" s="326" t="s">
        <v>2</v>
      </c>
      <c r="E69" t="s">
        <v>29</v>
      </c>
      <c r="F69" s="251" t="s">
        <v>14</v>
      </c>
      <c r="G69" t="s">
        <v>33</v>
      </c>
      <c r="H69">
        <v>1</v>
      </c>
      <c r="I69" s="445">
        <f>B69</f>
        <v>0.12</v>
      </c>
      <c r="J69" t="s">
        <v>31</v>
      </c>
      <c r="K69" t="s">
        <v>31</v>
      </c>
      <c r="L69" t="s">
        <v>31</v>
      </c>
      <c r="M69" t="s">
        <v>31</v>
      </c>
      <c r="O69" s="437"/>
      <c r="P69" s="447"/>
      <c r="Q69" t="s">
        <v>337</v>
      </c>
      <c r="R69" s="445">
        <v>0.01</v>
      </c>
    </row>
    <row r="70" spans="1:18" ht="15.75">
      <c r="A70" s="232" t="s">
        <v>1066</v>
      </c>
      <c r="B70" s="336">
        <v>1</v>
      </c>
      <c r="C70" t="s">
        <v>18</v>
      </c>
      <c r="D70" s="326" t="s">
        <v>2</v>
      </c>
      <c r="E70" t="s">
        <v>29</v>
      </c>
      <c r="F70" s="251" t="s">
        <v>14</v>
      </c>
      <c r="G70" t="s">
        <v>33</v>
      </c>
      <c r="H70">
        <v>1</v>
      </c>
      <c r="I70">
        <v>1</v>
      </c>
      <c r="J70" t="s">
        <v>31</v>
      </c>
      <c r="K70" t="s">
        <v>31</v>
      </c>
      <c r="L70" t="s">
        <v>31</v>
      </c>
      <c r="M70" t="s">
        <v>31</v>
      </c>
      <c r="O70" s="437"/>
      <c r="P70" s="463"/>
      <c r="R70" s="336"/>
    </row>
    <row r="71" spans="1:18" ht="15.75">
      <c r="A71" s="253" t="s">
        <v>40</v>
      </c>
      <c r="B71" s="336">
        <f>R71</f>
        <v>0.83</v>
      </c>
      <c r="C71" t="s">
        <v>41</v>
      </c>
      <c r="D71" s="17" t="s">
        <v>38</v>
      </c>
      <c r="E71" t="s">
        <v>29</v>
      </c>
      <c r="F71" s="251" t="s">
        <v>35</v>
      </c>
      <c r="G71" t="s">
        <v>33</v>
      </c>
      <c r="H71">
        <v>2</v>
      </c>
      <c r="I71">
        <f t="shared" ref="I71" si="3">LN(B71)</f>
        <v>-0.18632957819149348</v>
      </c>
      <c r="J71">
        <v>7.2284161474004766E-2</v>
      </c>
      <c r="K71" t="s">
        <v>31</v>
      </c>
      <c r="L71" t="s">
        <v>31</v>
      </c>
      <c r="M71" t="s">
        <v>31</v>
      </c>
      <c r="O71" s="437" t="s">
        <v>332</v>
      </c>
      <c r="P71" s="296">
        <v>0.83</v>
      </c>
      <c r="Q71" t="s">
        <v>332</v>
      </c>
      <c r="R71" s="336">
        <f>P71</f>
        <v>0.83</v>
      </c>
    </row>
    <row r="72" spans="1:18" ht="15.75">
      <c r="A72" s="245" t="s">
        <v>5</v>
      </c>
      <c r="B72" s="323" t="s">
        <v>1065</v>
      </c>
      <c r="C72" s="120"/>
      <c r="D72" s="42"/>
      <c r="E72" s="42"/>
      <c r="F72" s="42"/>
      <c r="G72" s="42"/>
      <c r="H72" s="42"/>
      <c r="I72" s="42"/>
      <c r="J72" s="42"/>
      <c r="K72" s="42"/>
      <c r="L72" s="42"/>
      <c r="M72" s="42"/>
    </row>
    <row r="73" spans="1:18">
      <c r="A73" s="247" t="s">
        <v>7</v>
      </c>
      <c r="B73" t="s">
        <v>902</v>
      </c>
      <c r="C73" s="23"/>
    </row>
    <row r="74" spans="1:18">
      <c r="A74" s="433" t="s">
        <v>9</v>
      </c>
      <c r="B74" t="s">
        <v>1067</v>
      </c>
      <c r="C74" s="23"/>
    </row>
    <row r="75" spans="1:18" ht="15" customHeight="1">
      <c r="A75" s="247" t="s">
        <v>11</v>
      </c>
      <c r="B75" s="249" t="s">
        <v>913</v>
      </c>
    </row>
    <row r="76" spans="1:18">
      <c r="A76" s="247" t="s">
        <v>13</v>
      </c>
      <c r="B76" t="s">
        <v>14</v>
      </c>
    </row>
    <row r="77" spans="1:18">
      <c r="A77" s="247" t="s">
        <v>15</v>
      </c>
      <c r="B77" s="22">
        <f>B82</f>
        <v>0.12</v>
      </c>
    </row>
    <row r="78" spans="1:18">
      <c r="A78" s="247" t="s">
        <v>16</v>
      </c>
      <c r="B78" t="s">
        <v>17</v>
      </c>
    </row>
    <row r="79" spans="1:18">
      <c r="A79" s="247" t="s">
        <v>18</v>
      </c>
      <c r="B79" t="s">
        <v>37</v>
      </c>
    </row>
    <row r="80" spans="1:18" ht="15.75">
      <c r="A80" s="252" t="s">
        <v>19</v>
      </c>
    </row>
    <row r="81" spans="1:18" ht="15.75">
      <c r="A81" s="252"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75">
      <c r="A82" s="232" t="s">
        <v>1065</v>
      </c>
      <c r="B82" s="22">
        <v>0.12</v>
      </c>
      <c r="C82" t="s">
        <v>37</v>
      </c>
      <c r="D82" s="326" t="s">
        <v>2</v>
      </c>
      <c r="E82" t="s">
        <v>29</v>
      </c>
      <c r="F82" s="251" t="s">
        <v>14</v>
      </c>
      <c r="G82" t="s">
        <v>30</v>
      </c>
      <c r="H82">
        <v>1</v>
      </c>
      <c r="I82" s="22">
        <f>B82</f>
        <v>0.12</v>
      </c>
      <c r="J82" t="s">
        <v>31</v>
      </c>
      <c r="K82" t="s">
        <v>31</v>
      </c>
      <c r="L82" t="s">
        <v>31</v>
      </c>
      <c r="M82" t="s">
        <v>31</v>
      </c>
      <c r="O82" s="437"/>
      <c r="P82" s="447"/>
      <c r="Q82" t="s">
        <v>337</v>
      </c>
      <c r="R82" s="445">
        <v>0.01</v>
      </c>
    </row>
    <row r="83" spans="1:18" ht="15.75">
      <c r="A83" s="232" t="s">
        <v>918</v>
      </c>
      <c r="B83" s="22">
        <v>0.12</v>
      </c>
      <c r="C83" t="s">
        <v>37</v>
      </c>
      <c r="D83" s="17" t="s">
        <v>38</v>
      </c>
      <c r="E83" t="s">
        <v>29</v>
      </c>
      <c r="F83" s="251" t="s">
        <v>60</v>
      </c>
      <c r="G83" t="s">
        <v>33</v>
      </c>
      <c r="H83">
        <v>1</v>
      </c>
      <c r="I83" s="22">
        <f t="shared" ref="I83:I84" si="4">B83</f>
        <v>0.12</v>
      </c>
      <c r="J83" t="s">
        <v>31</v>
      </c>
      <c r="K83" t="s">
        <v>31</v>
      </c>
      <c r="L83" t="s">
        <v>31</v>
      </c>
      <c r="M83" t="s">
        <v>31</v>
      </c>
      <c r="O83" s="437"/>
      <c r="P83" s="463"/>
      <c r="R83" s="336"/>
    </row>
    <row r="84" spans="1:18">
      <c r="A84" s="232" t="s">
        <v>146</v>
      </c>
      <c r="B84" s="22">
        <v>0.12</v>
      </c>
      <c r="C84" t="s">
        <v>37</v>
      </c>
      <c r="D84" t="s">
        <v>38</v>
      </c>
      <c r="E84" t="s">
        <v>29</v>
      </c>
      <c r="F84" t="s">
        <v>60</v>
      </c>
      <c r="G84" t="s">
        <v>33</v>
      </c>
      <c r="H84">
        <v>1</v>
      </c>
      <c r="I84" s="22">
        <f t="shared" si="4"/>
        <v>0.12</v>
      </c>
      <c r="J84" t="s">
        <v>31</v>
      </c>
      <c r="K84" t="s">
        <v>31</v>
      </c>
      <c r="L84" t="s">
        <v>31</v>
      </c>
      <c r="M84" t="s">
        <v>31</v>
      </c>
    </row>
    <row r="85" spans="1:18" s="42" customFormat="1" ht="15.75">
      <c r="A85" s="245" t="s">
        <v>5</v>
      </c>
      <c r="B85" s="323" t="s">
        <v>1066</v>
      </c>
      <c r="C85" s="120"/>
    </row>
    <row r="86" spans="1:18">
      <c r="A86" s="247" t="s">
        <v>7</v>
      </c>
      <c r="B86" t="s">
        <v>902</v>
      </c>
      <c r="C86" s="23"/>
    </row>
    <row r="87" spans="1:18">
      <c r="A87" s="433" t="s">
        <v>9</v>
      </c>
      <c r="B87" t="s">
        <v>1068</v>
      </c>
      <c r="C87" s="23"/>
    </row>
    <row r="88" spans="1:18" ht="15.75" customHeight="1">
      <c r="A88" s="247" t="s">
        <v>11</v>
      </c>
      <c r="B88" s="249" t="s">
        <v>913</v>
      </c>
    </row>
    <row r="89" spans="1:18">
      <c r="A89" s="247" t="s">
        <v>13</v>
      </c>
      <c r="B89" t="s">
        <v>14</v>
      </c>
    </row>
    <row r="90" spans="1:18">
      <c r="A90" s="247" t="s">
        <v>15</v>
      </c>
      <c r="B90">
        <v>1</v>
      </c>
    </row>
    <row r="91" spans="1:18">
      <c r="A91" s="247" t="s">
        <v>16</v>
      </c>
      <c r="B91" t="s">
        <v>17</v>
      </c>
    </row>
    <row r="92" spans="1:18">
      <c r="A92" s="247" t="s">
        <v>18</v>
      </c>
      <c r="B92" t="s">
        <v>18</v>
      </c>
    </row>
    <row r="93" spans="1:18" ht="15.75">
      <c r="A93" s="252" t="s">
        <v>19</v>
      </c>
    </row>
    <row r="94" spans="1:18" ht="15.75">
      <c r="A94" s="252"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75">
      <c r="A95" s="232" t="s">
        <v>1066</v>
      </c>
      <c r="B95" s="336">
        <v>1</v>
      </c>
      <c r="C95" t="s">
        <v>18</v>
      </c>
      <c r="D95" s="326" t="s">
        <v>2</v>
      </c>
      <c r="E95" t="s">
        <v>29</v>
      </c>
      <c r="F95" s="251" t="s">
        <v>14</v>
      </c>
      <c r="G95" t="s">
        <v>30</v>
      </c>
      <c r="H95">
        <v>1</v>
      </c>
      <c r="I95">
        <v>1</v>
      </c>
      <c r="J95" t="s">
        <v>31</v>
      </c>
      <c r="K95" t="s">
        <v>31</v>
      </c>
      <c r="L95" t="s">
        <v>31</v>
      </c>
      <c r="M95" t="s">
        <v>31</v>
      </c>
      <c r="O95" s="437"/>
      <c r="P95" s="463"/>
      <c r="R95" s="336"/>
    </row>
    <row r="96" spans="1:18" ht="15.75">
      <c r="A96" s="232" t="s">
        <v>1069</v>
      </c>
      <c r="B96">
        <v>1</v>
      </c>
      <c r="C96" t="s">
        <v>18</v>
      </c>
      <c r="D96" s="326" t="s">
        <v>2</v>
      </c>
      <c r="E96" t="s">
        <v>29</v>
      </c>
      <c r="F96" s="251" t="s">
        <v>14</v>
      </c>
      <c r="G96" t="s">
        <v>33</v>
      </c>
      <c r="H96">
        <v>1</v>
      </c>
      <c r="I96">
        <v>1</v>
      </c>
      <c r="J96" t="s">
        <v>31</v>
      </c>
      <c r="K96" t="s">
        <v>31</v>
      </c>
      <c r="L96" t="s">
        <v>31</v>
      </c>
      <c r="M96" t="s">
        <v>31</v>
      </c>
      <c r="O96" s="437"/>
      <c r="P96" s="463"/>
    </row>
    <row r="97" spans="1:20" ht="15.75">
      <c r="A97" s="253" t="s">
        <v>40</v>
      </c>
      <c r="B97" s="336">
        <f>R97</f>
        <v>0.05</v>
      </c>
      <c r="C97" t="s">
        <v>41</v>
      </c>
      <c r="D97" s="17" t="s">
        <v>38</v>
      </c>
      <c r="E97" t="s">
        <v>29</v>
      </c>
      <c r="F97" s="251" t="s">
        <v>35</v>
      </c>
      <c r="G97" t="s">
        <v>33</v>
      </c>
      <c r="H97">
        <v>2</v>
      </c>
      <c r="I97">
        <f t="shared" ref="I97" si="5">LN(B97)</f>
        <v>-2.9957322735539909</v>
      </c>
      <c r="J97">
        <v>7.2284161474004766E-2</v>
      </c>
      <c r="K97" t="s">
        <v>31</v>
      </c>
      <c r="L97" t="s">
        <v>31</v>
      </c>
      <c r="M97" t="s">
        <v>31</v>
      </c>
      <c r="O97" s="437" t="s">
        <v>332</v>
      </c>
      <c r="P97" s="296">
        <v>0.05</v>
      </c>
      <c r="Q97" t="s">
        <v>332</v>
      </c>
      <c r="R97" s="336">
        <f>P97</f>
        <v>0.05</v>
      </c>
    </row>
    <row r="98" spans="1:20" s="42" customFormat="1" ht="15.75">
      <c r="A98" s="245" t="s">
        <v>5</v>
      </c>
      <c r="B98" s="323" t="s">
        <v>1069</v>
      </c>
      <c r="C98" s="120"/>
    </row>
    <row r="99" spans="1:20">
      <c r="A99" s="247" t="s">
        <v>7</v>
      </c>
      <c r="B99" t="s">
        <v>902</v>
      </c>
      <c r="C99" s="23"/>
    </row>
    <row r="100" spans="1:20">
      <c r="A100" s="433" t="s">
        <v>9</v>
      </c>
      <c r="B100" t="s">
        <v>1070</v>
      </c>
      <c r="C100" s="23"/>
    </row>
    <row r="101" spans="1:20" ht="15.75" customHeight="1">
      <c r="A101" s="247" t="s">
        <v>11</v>
      </c>
      <c r="B101" s="249" t="s">
        <v>913</v>
      </c>
    </row>
    <row r="102" spans="1:20">
      <c r="A102" s="247" t="s">
        <v>13</v>
      </c>
      <c r="B102" t="s">
        <v>14</v>
      </c>
    </row>
    <row r="103" spans="1:20">
      <c r="A103" s="247" t="s">
        <v>15</v>
      </c>
      <c r="B103">
        <v>1</v>
      </c>
    </row>
    <row r="104" spans="1:20">
      <c r="A104" s="247" t="s">
        <v>16</v>
      </c>
      <c r="B104" t="s">
        <v>17</v>
      </c>
    </row>
    <row r="105" spans="1:20">
      <c r="A105" s="247" t="s">
        <v>18</v>
      </c>
      <c r="B105" t="s">
        <v>18</v>
      </c>
    </row>
    <row r="106" spans="1:20" ht="15.75">
      <c r="A106" s="252" t="s">
        <v>19</v>
      </c>
    </row>
    <row r="107" spans="1:20" ht="15.75">
      <c r="A107" s="252"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row>
    <row r="108" spans="1:20" ht="15.75">
      <c r="A108" s="232" t="s">
        <v>1069</v>
      </c>
      <c r="B108">
        <v>1</v>
      </c>
      <c r="C108" t="s">
        <v>18</v>
      </c>
      <c r="D108" s="17" t="s">
        <v>2</v>
      </c>
      <c r="E108" t="s">
        <v>29</v>
      </c>
      <c r="F108" s="251" t="s">
        <v>14</v>
      </c>
      <c r="G108" t="s">
        <v>30</v>
      </c>
      <c r="H108">
        <v>1</v>
      </c>
      <c r="I108">
        <v>1</v>
      </c>
      <c r="J108" t="s">
        <v>31</v>
      </c>
      <c r="K108" t="s">
        <v>31</v>
      </c>
      <c r="L108" t="s">
        <v>31</v>
      </c>
      <c r="M108" t="s">
        <v>31</v>
      </c>
      <c r="P108" s="464"/>
    </row>
    <row r="109" spans="1:20" ht="15.75">
      <c r="A109" s="253" t="s">
        <v>1071</v>
      </c>
      <c r="B109" s="465">
        <f>B133</f>
        <v>7.8E-2</v>
      </c>
      <c r="C109" t="s">
        <v>206</v>
      </c>
      <c r="D109" s="17" t="s">
        <v>2</v>
      </c>
      <c r="E109" t="s">
        <v>29</v>
      </c>
      <c r="F109" s="251" t="s">
        <v>14</v>
      </c>
      <c r="G109" t="s">
        <v>33</v>
      </c>
      <c r="H109">
        <v>1</v>
      </c>
      <c r="I109" s="465">
        <f>B109</f>
        <v>7.8E-2</v>
      </c>
      <c r="J109" t="s">
        <v>31</v>
      </c>
      <c r="K109" t="s">
        <v>31</v>
      </c>
      <c r="L109" t="s">
        <v>31</v>
      </c>
      <c r="M109" t="s">
        <v>31</v>
      </c>
      <c r="O109" s="327"/>
      <c r="P109" s="328"/>
      <c r="Q109" s="336"/>
    </row>
    <row r="110" spans="1:20" ht="15.75">
      <c r="A110" t="s">
        <v>982</v>
      </c>
      <c r="B110" s="445">
        <f>T110</f>
        <v>0.36599999999999994</v>
      </c>
      <c r="C110" s="31" t="s">
        <v>206</v>
      </c>
      <c r="D110" s="17" t="s">
        <v>2</v>
      </c>
      <c r="E110" t="s">
        <v>29</v>
      </c>
      <c r="F110" s="251" t="s">
        <v>14</v>
      </c>
      <c r="G110" t="s">
        <v>33</v>
      </c>
      <c r="H110">
        <v>1</v>
      </c>
      <c r="I110" s="465">
        <f t="shared" ref="I110:I111" si="6">B110</f>
        <v>0.36599999999999994</v>
      </c>
      <c r="J110" t="s">
        <v>31</v>
      </c>
      <c r="K110" t="s">
        <v>31</v>
      </c>
      <c r="L110" t="s">
        <v>31</v>
      </c>
      <c r="M110" t="s">
        <v>31</v>
      </c>
      <c r="O110" s="466" t="s">
        <v>947</v>
      </c>
      <c r="P110" s="371">
        <v>61</v>
      </c>
      <c r="Q110" s="329" t="s">
        <v>1072</v>
      </c>
      <c r="R110">
        <f>0.3/0.05</f>
        <v>5.9999999999999991</v>
      </c>
      <c r="S110" t="s">
        <v>985</v>
      </c>
      <c r="T110" s="445">
        <f>P110*0.001*R110</f>
        <v>0.36599999999999994</v>
      </c>
    </row>
    <row r="111" spans="1:20" ht="15.75">
      <c r="A111" t="s">
        <v>1073</v>
      </c>
      <c r="B111">
        <v>1</v>
      </c>
      <c r="C111" t="s">
        <v>18</v>
      </c>
      <c r="D111" s="17" t="s">
        <v>2</v>
      </c>
      <c r="E111" t="s">
        <v>29</v>
      </c>
      <c r="F111" s="251" t="s">
        <v>14</v>
      </c>
      <c r="G111" t="s">
        <v>33</v>
      </c>
      <c r="H111">
        <v>1</v>
      </c>
      <c r="I111" s="465">
        <f t="shared" si="6"/>
        <v>1</v>
      </c>
      <c r="J111" t="s">
        <v>31</v>
      </c>
      <c r="K111" t="s">
        <v>31</v>
      </c>
      <c r="L111" t="s">
        <v>31</v>
      </c>
      <c r="M111" t="s">
        <v>31</v>
      </c>
      <c r="O111" s="327"/>
      <c r="P111" s="328"/>
    </row>
    <row r="112" spans="1:20" ht="15.75">
      <c r="A112" s="232" t="s">
        <v>533</v>
      </c>
      <c r="B112" s="445">
        <f>R112</f>
        <v>3.5E-4</v>
      </c>
      <c r="C112" t="s">
        <v>37</v>
      </c>
      <c r="D112" s="17" t="s">
        <v>38</v>
      </c>
      <c r="E112" t="s">
        <v>29</v>
      </c>
      <c r="F112" s="251" t="s">
        <v>35</v>
      </c>
      <c r="G112" t="s">
        <v>33</v>
      </c>
      <c r="H112">
        <v>2</v>
      </c>
      <c r="I112">
        <f>LN(B112)</f>
        <v>-7.9575774034808147</v>
      </c>
      <c r="J112">
        <v>2.8722813232690055E-2</v>
      </c>
      <c r="K112" t="s">
        <v>31</v>
      </c>
      <c r="L112" t="s">
        <v>31</v>
      </c>
      <c r="M112" t="s">
        <v>31</v>
      </c>
      <c r="O112" s="466" t="s">
        <v>947</v>
      </c>
      <c r="P112" s="302">
        <v>0.35</v>
      </c>
      <c r="Q112" t="s">
        <v>337</v>
      </c>
      <c r="R112" s="445">
        <f>P112*10^-3</f>
        <v>3.5E-4</v>
      </c>
    </row>
    <row r="113" spans="1:18" s="42" customFormat="1" ht="15.75">
      <c r="A113" s="245" t="s">
        <v>5</v>
      </c>
      <c r="B113" s="337" t="s">
        <v>1073</v>
      </c>
      <c r="C113" s="120"/>
    </row>
    <row r="114" spans="1:18">
      <c r="A114" s="247" t="s">
        <v>7</v>
      </c>
      <c r="B114" t="s">
        <v>902</v>
      </c>
      <c r="C114" s="23"/>
    </row>
    <row r="115" spans="1:18">
      <c r="A115" s="433" t="s">
        <v>9</v>
      </c>
      <c r="B115" t="s">
        <v>1074</v>
      </c>
      <c r="C115" s="23"/>
    </row>
    <row r="116" spans="1:18" ht="15.75" customHeight="1">
      <c r="A116" s="247" t="s">
        <v>11</v>
      </c>
      <c r="B116" s="249" t="s">
        <v>913</v>
      </c>
    </row>
    <row r="117" spans="1:18">
      <c r="A117" s="247" t="s">
        <v>13</v>
      </c>
      <c r="B117" t="s">
        <v>14</v>
      </c>
    </row>
    <row r="118" spans="1:18">
      <c r="A118" s="247" t="s">
        <v>15</v>
      </c>
      <c r="B118">
        <v>1</v>
      </c>
    </row>
    <row r="119" spans="1:18">
      <c r="A119" s="247" t="s">
        <v>16</v>
      </c>
      <c r="B119" t="s">
        <v>17</v>
      </c>
    </row>
    <row r="120" spans="1:18">
      <c r="A120" s="247" t="s">
        <v>18</v>
      </c>
      <c r="B120" t="s">
        <v>18</v>
      </c>
    </row>
    <row r="121" spans="1:18" ht="15.75">
      <c r="A121" s="252" t="s">
        <v>19</v>
      </c>
    </row>
    <row r="122" spans="1:18" ht="15.75">
      <c r="A122" s="252"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75">
      <c r="A123" t="s">
        <v>1073</v>
      </c>
      <c r="B123">
        <v>1</v>
      </c>
      <c r="C123" t="s">
        <v>18</v>
      </c>
      <c r="D123" s="326" t="s">
        <v>2</v>
      </c>
      <c r="E123" t="s">
        <v>29</v>
      </c>
      <c r="F123" s="251" t="s">
        <v>14</v>
      </c>
      <c r="G123" t="s">
        <v>30</v>
      </c>
      <c r="H123">
        <v>1</v>
      </c>
      <c r="I123">
        <v>1</v>
      </c>
      <c r="J123" t="s">
        <v>31</v>
      </c>
      <c r="K123" t="s">
        <v>31</v>
      </c>
      <c r="L123" t="s">
        <v>31</v>
      </c>
      <c r="M123" t="s">
        <v>31</v>
      </c>
    </row>
    <row r="124" spans="1:18" ht="15.75">
      <c r="A124" s="232" t="s">
        <v>1056</v>
      </c>
      <c r="B124">
        <f>R124</f>
        <v>0.68</v>
      </c>
      <c r="C124" t="s">
        <v>37</v>
      </c>
      <c r="D124" s="17" t="s">
        <v>38</v>
      </c>
      <c r="E124" t="s">
        <v>29</v>
      </c>
      <c r="F124" t="s">
        <v>60</v>
      </c>
      <c r="G124" t="s">
        <v>33</v>
      </c>
      <c r="H124">
        <v>1</v>
      </c>
      <c r="I124">
        <f>B124</f>
        <v>0.68</v>
      </c>
      <c r="J124" t="s">
        <v>31</v>
      </c>
      <c r="K124" t="s">
        <v>31</v>
      </c>
      <c r="L124" t="s">
        <v>31</v>
      </c>
      <c r="M124" t="s">
        <v>31</v>
      </c>
      <c r="P124" s="467">
        <v>0.68</v>
      </c>
      <c r="Q124" t="s">
        <v>337</v>
      </c>
      <c r="R124">
        <f>P124</f>
        <v>0.68</v>
      </c>
    </row>
    <row r="125" spans="1:18">
      <c r="A125" s="232" t="s">
        <v>1057</v>
      </c>
      <c r="B125">
        <f t="shared" ref="B125:B127" si="7">R125</f>
        <v>0.44900000000000001</v>
      </c>
      <c r="C125" t="s">
        <v>37</v>
      </c>
      <c r="D125" t="s">
        <v>38</v>
      </c>
      <c r="E125" t="s">
        <v>29</v>
      </c>
      <c r="F125" t="s">
        <v>60</v>
      </c>
      <c r="G125" t="s">
        <v>33</v>
      </c>
      <c r="H125">
        <v>2</v>
      </c>
      <c r="I125">
        <f>LN(B125)</f>
        <v>-0.80073239123988271</v>
      </c>
      <c r="J125">
        <v>3.7749172176353707E-2</v>
      </c>
      <c r="K125" t="s">
        <v>31</v>
      </c>
      <c r="L125" t="s">
        <v>31</v>
      </c>
      <c r="M125" t="s">
        <v>31</v>
      </c>
      <c r="O125" s="331" t="s">
        <v>947</v>
      </c>
      <c r="P125" s="296">
        <v>449</v>
      </c>
      <c r="Q125" t="s">
        <v>337</v>
      </c>
      <c r="R125">
        <f>P125*0.001</f>
        <v>0.44900000000000001</v>
      </c>
    </row>
    <row r="126" spans="1:18">
      <c r="A126" s="232" t="s">
        <v>1058</v>
      </c>
      <c r="B126">
        <f t="shared" si="7"/>
        <v>2.6800000000000001E-2</v>
      </c>
      <c r="C126" t="s">
        <v>37</v>
      </c>
      <c r="D126" t="s">
        <v>38</v>
      </c>
      <c r="E126" t="s">
        <v>29</v>
      </c>
      <c r="F126" t="s">
        <v>60</v>
      </c>
      <c r="G126" t="s">
        <v>33</v>
      </c>
      <c r="H126">
        <v>2</v>
      </c>
      <c r="I126">
        <f>LN(B126)</f>
        <v>-3.6193533914653262</v>
      </c>
      <c r="J126">
        <v>3.7749172176353707E-2</v>
      </c>
      <c r="K126" t="s">
        <v>31</v>
      </c>
      <c r="L126" t="s">
        <v>31</v>
      </c>
      <c r="M126" t="s">
        <v>31</v>
      </c>
      <c r="O126" s="331" t="s">
        <v>947</v>
      </c>
      <c r="P126" s="296">
        <v>26.8</v>
      </c>
      <c r="Q126" t="s">
        <v>337</v>
      </c>
      <c r="R126">
        <f t="shared" ref="R126:R127" si="8">P126*0.001</f>
        <v>2.6800000000000001E-2</v>
      </c>
    </row>
    <row r="127" spans="1:18">
      <c r="A127" s="232" t="s">
        <v>1059</v>
      </c>
      <c r="B127">
        <f t="shared" si="7"/>
        <v>0.20300000000000001</v>
      </c>
      <c r="C127" t="s">
        <v>37</v>
      </c>
      <c r="D127" t="s">
        <v>38</v>
      </c>
      <c r="E127" t="s">
        <v>29</v>
      </c>
      <c r="F127" t="s">
        <v>60</v>
      </c>
      <c r="G127" t="s">
        <v>33</v>
      </c>
      <c r="H127">
        <v>2</v>
      </c>
      <c r="I127">
        <f>LN(B127)</f>
        <v>-1.5945492999403497</v>
      </c>
      <c r="J127">
        <v>3.7749172176353707E-2</v>
      </c>
      <c r="K127" t="s">
        <v>31</v>
      </c>
      <c r="L127" t="s">
        <v>31</v>
      </c>
      <c r="M127" t="s">
        <v>31</v>
      </c>
      <c r="O127" s="331" t="s">
        <v>947</v>
      </c>
      <c r="P127" s="296">
        <v>203</v>
      </c>
      <c r="Q127" t="s">
        <v>337</v>
      </c>
      <c r="R127">
        <f t="shared" si="8"/>
        <v>0.20300000000000001</v>
      </c>
    </row>
    <row r="128" spans="1:18" s="42" customFormat="1" ht="15.75">
      <c r="A128" s="245" t="s">
        <v>5</v>
      </c>
      <c r="B128" s="323" t="s">
        <v>1071</v>
      </c>
      <c r="C128" s="120"/>
    </row>
    <row r="129" spans="1:18">
      <c r="A129" s="247" t="s">
        <v>7</v>
      </c>
      <c r="B129" t="s">
        <v>902</v>
      </c>
      <c r="C129" s="23"/>
    </row>
    <row r="130" spans="1:18">
      <c r="A130" s="433" t="s">
        <v>9</v>
      </c>
      <c r="B130" t="s">
        <v>1075</v>
      </c>
      <c r="C130" s="23"/>
    </row>
    <row r="131" spans="1:18" ht="15.75" customHeight="1">
      <c r="A131" s="247" t="s">
        <v>11</v>
      </c>
      <c r="B131" s="249" t="s">
        <v>913</v>
      </c>
    </row>
    <row r="132" spans="1:18">
      <c r="A132" s="247" t="s">
        <v>13</v>
      </c>
      <c r="B132" t="s">
        <v>14</v>
      </c>
    </row>
    <row r="133" spans="1:18">
      <c r="A133" s="247" t="s">
        <v>15</v>
      </c>
      <c r="B133" s="434">
        <f>B138</f>
        <v>7.8E-2</v>
      </c>
    </row>
    <row r="134" spans="1:18">
      <c r="A134" s="247" t="s">
        <v>16</v>
      </c>
      <c r="B134" t="s">
        <v>17</v>
      </c>
    </row>
    <row r="135" spans="1:18">
      <c r="A135" s="247" t="s">
        <v>18</v>
      </c>
      <c r="B135" t="s">
        <v>206</v>
      </c>
    </row>
    <row r="136" spans="1:18" ht="15.75">
      <c r="A136" s="252" t="s">
        <v>19</v>
      </c>
    </row>
    <row r="137" spans="1:18" ht="15.75">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75">
      <c r="A138" s="17" t="s">
        <v>1071</v>
      </c>
      <c r="B138" s="434">
        <f>P138</f>
        <v>7.8E-2</v>
      </c>
      <c r="C138" t="s">
        <v>206</v>
      </c>
      <c r="D138" s="326" t="s">
        <v>2</v>
      </c>
      <c r="E138" t="s">
        <v>29</v>
      </c>
      <c r="F138" s="251" t="s">
        <v>14</v>
      </c>
      <c r="G138" t="s">
        <v>30</v>
      </c>
      <c r="H138">
        <v>1</v>
      </c>
      <c r="I138" s="465">
        <f>B138</f>
        <v>7.8E-2</v>
      </c>
      <c r="J138" t="s">
        <v>31</v>
      </c>
      <c r="K138" t="s">
        <v>31</v>
      </c>
      <c r="L138" t="s">
        <v>31</v>
      </c>
      <c r="M138" t="s">
        <v>31</v>
      </c>
      <c r="O138" s="327"/>
      <c r="P138" s="358">
        <f>P152</f>
        <v>7.8E-2</v>
      </c>
      <c r="Q138" s="336"/>
    </row>
    <row r="139" spans="1:18" ht="15.75">
      <c r="A139" s="30" t="s">
        <v>1076</v>
      </c>
      <c r="B139" s="434">
        <f>P139</f>
        <v>7.8E-2</v>
      </c>
      <c r="C139" t="s">
        <v>206</v>
      </c>
      <c r="D139" s="326" t="s">
        <v>2</v>
      </c>
      <c r="E139" t="s">
        <v>29</v>
      </c>
      <c r="F139" s="251" t="s">
        <v>14</v>
      </c>
      <c r="G139" t="s">
        <v>33</v>
      </c>
      <c r="H139">
        <v>1</v>
      </c>
      <c r="I139" s="465">
        <f>B139</f>
        <v>7.8E-2</v>
      </c>
      <c r="J139" t="s">
        <v>31</v>
      </c>
      <c r="K139" t="s">
        <v>31</v>
      </c>
      <c r="L139" t="s">
        <v>31</v>
      </c>
      <c r="M139" t="s">
        <v>31</v>
      </c>
      <c r="P139" s="358">
        <f>P152</f>
        <v>7.8E-2</v>
      </c>
    </row>
    <row r="140" spans="1:18">
      <c r="A140" s="232" t="s">
        <v>1077</v>
      </c>
      <c r="B140">
        <f>R140</f>
        <v>7.0000000000000001E-3</v>
      </c>
      <c r="C140" t="s">
        <v>37</v>
      </c>
      <c r="D140" t="s">
        <v>38</v>
      </c>
      <c r="E140" t="s">
        <v>29</v>
      </c>
      <c r="F140" t="s">
        <v>35</v>
      </c>
      <c r="G140" t="s">
        <v>33</v>
      </c>
      <c r="H140">
        <v>2</v>
      </c>
      <c r="I140">
        <f>LN(B140)</f>
        <v>-4.9618451299268234</v>
      </c>
      <c r="J140">
        <v>0.20928449536456342</v>
      </c>
      <c r="K140" t="s">
        <v>31</v>
      </c>
      <c r="L140" t="s">
        <v>31</v>
      </c>
      <c r="M140" t="s">
        <v>31</v>
      </c>
      <c r="O140" s="331" t="s">
        <v>947</v>
      </c>
      <c r="P140" s="296">
        <v>7</v>
      </c>
      <c r="Q140" t="s">
        <v>337</v>
      </c>
      <c r="R140">
        <f>0.001*P140</f>
        <v>7.0000000000000001E-3</v>
      </c>
    </row>
    <row r="141" spans="1:18">
      <c r="A141" s="232" t="s">
        <v>1078</v>
      </c>
      <c r="B141">
        <f>R141</f>
        <v>7.0000000000000001E-3</v>
      </c>
      <c r="C141" t="s">
        <v>37</v>
      </c>
      <c r="D141" t="s">
        <v>38</v>
      </c>
      <c r="E141" t="s">
        <v>29</v>
      </c>
      <c r="F141" t="s">
        <v>35</v>
      </c>
      <c r="G141" t="s">
        <v>33</v>
      </c>
      <c r="H141">
        <v>2</v>
      </c>
      <c r="I141">
        <f>LN(B141)</f>
        <v>-4.9618451299268234</v>
      </c>
      <c r="J141">
        <v>0.20928449536456342</v>
      </c>
      <c r="K141" t="s">
        <v>31</v>
      </c>
      <c r="L141" t="s">
        <v>31</v>
      </c>
      <c r="M141" t="s">
        <v>31</v>
      </c>
      <c r="O141" s="331" t="s">
        <v>947</v>
      </c>
      <c r="P141" s="296">
        <v>7</v>
      </c>
      <c r="Q141" t="s">
        <v>337</v>
      </c>
      <c r="R141">
        <f>0.001*P141</f>
        <v>7.0000000000000001E-3</v>
      </c>
    </row>
    <row r="142" spans="1:18" s="42" customFormat="1" ht="15.75">
      <c r="A142" s="245" t="s">
        <v>5</v>
      </c>
      <c r="B142" s="468" t="s">
        <v>1076</v>
      </c>
      <c r="C142" s="120"/>
    </row>
    <row r="143" spans="1:18">
      <c r="A143" s="247" t="s">
        <v>7</v>
      </c>
      <c r="B143" t="s">
        <v>902</v>
      </c>
      <c r="C143" s="23"/>
    </row>
    <row r="144" spans="1:18">
      <c r="A144" s="433" t="s">
        <v>9</v>
      </c>
      <c r="B144" t="s">
        <v>1079</v>
      </c>
      <c r="C144" s="23"/>
    </row>
    <row r="145" spans="1:18" ht="15.75" customHeight="1">
      <c r="A145" s="247" t="s">
        <v>11</v>
      </c>
      <c r="B145" s="249" t="s">
        <v>913</v>
      </c>
    </row>
    <row r="146" spans="1:18">
      <c r="A146" s="247" t="s">
        <v>13</v>
      </c>
      <c r="B146" t="s">
        <v>14</v>
      </c>
    </row>
    <row r="147" spans="1:18">
      <c r="A147" s="247" t="s">
        <v>15</v>
      </c>
      <c r="B147" s="434">
        <f>B152</f>
        <v>7.8E-2</v>
      </c>
    </row>
    <row r="148" spans="1:18">
      <c r="A148" s="247" t="s">
        <v>16</v>
      </c>
      <c r="B148" t="s">
        <v>17</v>
      </c>
    </row>
    <row r="149" spans="1:18">
      <c r="A149" s="247" t="s">
        <v>18</v>
      </c>
      <c r="B149" t="s">
        <v>206</v>
      </c>
    </row>
    <row r="150" spans="1:18" ht="15.75">
      <c r="A150" s="252" t="s">
        <v>19</v>
      </c>
    </row>
    <row r="151" spans="1:18" ht="15.75">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75">
      <c r="A152" s="30" t="s">
        <v>1076</v>
      </c>
      <c r="B152" s="469">
        <f>P152</f>
        <v>7.8E-2</v>
      </c>
      <c r="C152" t="s">
        <v>206</v>
      </c>
      <c r="D152" s="326" t="s">
        <v>2</v>
      </c>
      <c r="E152" t="s">
        <v>29</v>
      </c>
      <c r="F152" s="251" t="s">
        <v>14</v>
      </c>
      <c r="G152" t="s">
        <v>30</v>
      </c>
      <c r="H152">
        <v>1</v>
      </c>
      <c r="I152" s="465">
        <f>B152</f>
        <v>7.8E-2</v>
      </c>
      <c r="J152" t="s">
        <v>31</v>
      </c>
      <c r="K152" t="s">
        <v>31</v>
      </c>
      <c r="L152" t="s">
        <v>31</v>
      </c>
      <c r="M152" t="s">
        <v>31</v>
      </c>
      <c r="O152" s="470" t="s">
        <v>945</v>
      </c>
      <c r="P152" s="358">
        <v>7.8E-2</v>
      </c>
    </row>
    <row r="153" spans="1:18" ht="15.75">
      <c r="A153" t="s">
        <v>1080</v>
      </c>
      <c r="B153" s="469">
        <f t="shared" ref="B153:B156" si="9">P153</f>
        <v>2.4E-2</v>
      </c>
      <c r="C153" t="s">
        <v>206</v>
      </c>
      <c r="D153" s="326" t="s">
        <v>2</v>
      </c>
      <c r="E153" t="s">
        <v>29</v>
      </c>
      <c r="F153" s="251" t="s">
        <v>14</v>
      </c>
      <c r="G153" t="s">
        <v>33</v>
      </c>
      <c r="H153">
        <v>1</v>
      </c>
      <c r="I153" s="465">
        <f t="shared" ref="I153:I154" si="10">B153</f>
        <v>2.4E-2</v>
      </c>
      <c r="J153" t="s">
        <v>31</v>
      </c>
      <c r="K153" t="s">
        <v>31</v>
      </c>
      <c r="L153" t="s">
        <v>31</v>
      </c>
      <c r="M153" t="s">
        <v>31</v>
      </c>
      <c r="O153" s="470" t="s">
        <v>963</v>
      </c>
      <c r="P153" s="372">
        <v>2.4E-2</v>
      </c>
    </row>
    <row r="154" spans="1:18" ht="15.75">
      <c r="A154" t="s">
        <v>1081</v>
      </c>
      <c r="B154" s="469">
        <f t="shared" si="9"/>
        <v>7.8E-2</v>
      </c>
      <c r="C154" t="s">
        <v>206</v>
      </c>
      <c r="D154" s="326" t="s">
        <v>2</v>
      </c>
      <c r="E154" t="s">
        <v>29</v>
      </c>
      <c r="F154" s="251" t="s">
        <v>14</v>
      </c>
      <c r="G154" t="s">
        <v>33</v>
      </c>
      <c r="H154">
        <v>1</v>
      </c>
      <c r="I154" s="465">
        <f t="shared" si="10"/>
        <v>7.8E-2</v>
      </c>
      <c r="J154" t="s">
        <v>31</v>
      </c>
      <c r="K154" t="s">
        <v>31</v>
      </c>
      <c r="L154" t="s">
        <v>31</v>
      </c>
      <c r="M154" t="s">
        <v>31</v>
      </c>
      <c r="O154" s="450" t="s">
        <v>963</v>
      </c>
      <c r="P154" s="358">
        <v>7.8E-2</v>
      </c>
    </row>
    <row r="155" spans="1:18" ht="15.75">
      <c r="A155" s="253" t="s">
        <v>40</v>
      </c>
      <c r="B155" s="469">
        <f t="shared" si="9"/>
        <v>1.87</v>
      </c>
      <c r="C155" t="s">
        <v>41</v>
      </c>
      <c r="D155" s="17" t="s">
        <v>38</v>
      </c>
      <c r="E155" t="s">
        <v>29</v>
      </c>
      <c r="F155" s="251" t="s">
        <v>35</v>
      </c>
      <c r="G155" t="s">
        <v>33</v>
      </c>
      <c r="H155">
        <v>2</v>
      </c>
      <c r="I155">
        <f t="shared" ref="I155:I156" si="11">LN(B155)</f>
        <v>0.62593843086649537</v>
      </c>
      <c r="J155">
        <v>9.7082439194738052E-2</v>
      </c>
      <c r="K155" t="s">
        <v>31</v>
      </c>
      <c r="L155" t="s">
        <v>31</v>
      </c>
      <c r="M155" t="s">
        <v>31</v>
      </c>
      <c r="O155" s="331" t="s">
        <v>332</v>
      </c>
      <c r="P155" s="296">
        <v>1.87</v>
      </c>
      <c r="Q155" t="s">
        <v>332</v>
      </c>
      <c r="R155" s="336">
        <f>P155</f>
        <v>1.87</v>
      </c>
    </row>
    <row r="156" spans="1:18" ht="15.75">
      <c r="A156" s="253" t="s">
        <v>934</v>
      </c>
      <c r="B156" s="469">
        <f t="shared" si="9"/>
        <v>5</v>
      </c>
      <c r="C156" t="s">
        <v>37</v>
      </c>
      <c r="D156" s="17" t="s">
        <v>38</v>
      </c>
      <c r="E156" t="s">
        <v>29</v>
      </c>
      <c r="F156" s="251" t="s">
        <v>35</v>
      </c>
      <c r="G156" t="s">
        <v>33</v>
      </c>
      <c r="H156">
        <v>2</v>
      </c>
      <c r="I156">
        <f t="shared" si="11"/>
        <v>1.6094379124341003</v>
      </c>
      <c r="J156">
        <v>9.7082439194738052E-2</v>
      </c>
      <c r="K156" t="s">
        <v>31</v>
      </c>
      <c r="L156" t="s">
        <v>31</v>
      </c>
      <c r="M156" t="s">
        <v>31</v>
      </c>
      <c r="O156" s="331" t="s">
        <v>337</v>
      </c>
      <c r="P156" s="296">
        <v>5</v>
      </c>
    </row>
    <row r="157" spans="1:18" s="42" customFormat="1" ht="15.75">
      <c r="A157" s="245" t="s">
        <v>5</v>
      </c>
      <c r="B157" s="337" t="s">
        <v>1081</v>
      </c>
      <c r="C157" s="120"/>
    </row>
    <row r="158" spans="1:18">
      <c r="A158" s="247" t="s">
        <v>7</v>
      </c>
      <c r="B158" t="s">
        <v>902</v>
      </c>
      <c r="C158" s="23"/>
    </row>
    <row r="159" spans="1:18">
      <c r="A159" s="433" t="s">
        <v>9</v>
      </c>
      <c r="B159" t="s">
        <v>1082</v>
      </c>
      <c r="C159" s="23"/>
    </row>
    <row r="160" spans="1:18" ht="15.75" customHeight="1">
      <c r="A160" s="247" t="s">
        <v>11</v>
      </c>
      <c r="B160" s="249" t="s">
        <v>913</v>
      </c>
    </row>
    <row r="161" spans="1:18">
      <c r="A161" s="247" t="s">
        <v>13</v>
      </c>
      <c r="B161" t="s">
        <v>14</v>
      </c>
    </row>
    <row r="162" spans="1:18">
      <c r="A162" s="247" t="s">
        <v>15</v>
      </c>
      <c r="B162" s="469">
        <f>B167</f>
        <v>7.8E-2</v>
      </c>
    </row>
    <row r="163" spans="1:18">
      <c r="A163" s="247" t="s">
        <v>16</v>
      </c>
      <c r="B163" t="s">
        <v>17</v>
      </c>
    </row>
    <row r="164" spans="1:18">
      <c r="A164" s="247" t="s">
        <v>18</v>
      </c>
      <c r="B164" t="s">
        <v>206</v>
      </c>
    </row>
    <row r="165" spans="1:18" ht="15.75">
      <c r="A165" s="252" t="s">
        <v>19</v>
      </c>
    </row>
    <row r="166" spans="1:18" ht="15.75">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75">
      <c r="A167" t="s">
        <v>1081</v>
      </c>
      <c r="B167" s="283">
        <f>P167</f>
        <v>7.8E-2</v>
      </c>
      <c r="C167" t="s">
        <v>206</v>
      </c>
      <c r="D167" s="326" t="s">
        <v>2</v>
      </c>
      <c r="E167" t="s">
        <v>29</v>
      </c>
      <c r="F167" s="251" t="s">
        <v>14</v>
      </c>
      <c r="G167" t="s">
        <v>30</v>
      </c>
      <c r="H167">
        <v>1</v>
      </c>
      <c r="I167" s="283">
        <f>B167</f>
        <v>7.8E-2</v>
      </c>
      <c r="J167" t="s">
        <v>31</v>
      </c>
      <c r="K167" t="s">
        <v>31</v>
      </c>
      <c r="L167" t="s">
        <v>31</v>
      </c>
      <c r="M167" t="s">
        <v>31</v>
      </c>
      <c r="P167" s="471">
        <v>7.8E-2</v>
      </c>
    </row>
    <row r="168" spans="1:18" ht="15.75">
      <c r="A168" s="30" t="s">
        <v>1083</v>
      </c>
      <c r="B168" s="283">
        <f>P168</f>
        <v>7.8E-2</v>
      </c>
      <c r="C168" t="s">
        <v>206</v>
      </c>
      <c r="D168" s="326" t="s">
        <v>2</v>
      </c>
      <c r="E168" t="s">
        <v>29</v>
      </c>
      <c r="F168" s="251" t="s">
        <v>14</v>
      </c>
      <c r="G168" t="s">
        <v>33</v>
      </c>
      <c r="H168">
        <v>1</v>
      </c>
      <c r="I168" s="283">
        <f>B168</f>
        <v>7.8E-2</v>
      </c>
      <c r="J168" t="s">
        <v>31</v>
      </c>
      <c r="K168" t="s">
        <v>31</v>
      </c>
      <c r="L168" t="s">
        <v>31</v>
      </c>
      <c r="M168" t="s">
        <v>31</v>
      </c>
      <c r="P168" s="471">
        <v>7.8E-2</v>
      </c>
    </row>
    <row r="169" spans="1:18" ht="15.75">
      <c r="A169" s="253" t="s">
        <v>40</v>
      </c>
      <c r="B169" s="336">
        <f>R169</f>
        <v>0.21</v>
      </c>
      <c r="C169" t="s">
        <v>41</v>
      </c>
      <c r="D169" s="17" t="s">
        <v>38</v>
      </c>
      <c r="E169" t="s">
        <v>29</v>
      </c>
      <c r="F169" s="251" t="s">
        <v>35</v>
      </c>
      <c r="G169" t="s">
        <v>33</v>
      </c>
      <c r="H169">
        <v>2</v>
      </c>
      <c r="I169">
        <f t="shared" ref="I169:I173" si="12">LN(B169)</f>
        <v>-1.5606477482646683</v>
      </c>
      <c r="J169">
        <v>0.20928449536456342</v>
      </c>
      <c r="K169" t="s">
        <v>31</v>
      </c>
      <c r="L169" t="s">
        <v>31</v>
      </c>
      <c r="M169" t="s">
        <v>31</v>
      </c>
      <c r="O169" s="437" t="s">
        <v>332</v>
      </c>
      <c r="P169" s="296">
        <v>0.21</v>
      </c>
      <c r="Q169" t="s">
        <v>332</v>
      </c>
      <c r="R169" s="336">
        <f>P169</f>
        <v>0.21</v>
      </c>
    </row>
    <row r="170" spans="1:18" ht="15.75">
      <c r="A170" s="232" t="s">
        <v>931</v>
      </c>
      <c r="B170">
        <f>R170</f>
        <v>6.6E-3</v>
      </c>
      <c r="C170" t="s">
        <v>37</v>
      </c>
      <c r="D170" s="17" t="s">
        <v>38</v>
      </c>
      <c r="E170" t="s">
        <v>29</v>
      </c>
      <c r="F170" s="251" t="s">
        <v>35</v>
      </c>
      <c r="G170" t="s">
        <v>33</v>
      </c>
      <c r="H170">
        <v>2</v>
      </c>
      <c r="I170">
        <f t="shared" si="12"/>
        <v>-5.0206856299497575</v>
      </c>
      <c r="J170">
        <v>0.20928449536456342</v>
      </c>
      <c r="K170" t="s">
        <v>31</v>
      </c>
      <c r="L170" t="s">
        <v>31</v>
      </c>
      <c r="M170" t="s">
        <v>31</v>
      </c>
      <c r="O170" s="331" t="s">
        <v>947</v>
      </c>
      <c r="P170" s="296">
        <v>6.6</v>
      </c>
      <c r="Q170" t="s">
        <v>337</v>
      </c>
      <c r="R170">
        <f>0.001*P170</f>
        <v>6.6E-3</v>
      </c>
    </row>
    <row r="171" spans="1:18" ht="15.75">
      <c r="A171" s="232" t="s">
        <v>932</v>
      </c>
      <c r="B171">
        <f>R171</f>
        <v>1E-3</v>
      </c>
      <c r="C171" t="s">
        <v>37</v>
      </c>
      <c r="D171" s="17" t="s">
        <v>38</v>
      </c>
      <c r="E171" t="s">
        <v>29</v>
      </c>
      <c r="F171" s="251" t="s">
        <v>60</v>
      </c>
      <c r="G171" t="s">
        <v>33</v>
      </c>
      <c r="H171">
        <v>2</v>
      </c>
      <c r="I171">
        <f t="shared" si="12"/>
        <v>-6.9077552789821368</v>
      </c>
      <c r="J171">
        <v>0.20928449536456342</v>
      </c>
      <c r="K171" t="s">
        <v>31</v>
      </c>
      <c r="L171" t="s">
        <v>31</v>
      </c>
      <c r="M171" t="s">
        <v>31</v>
      </c>
      <c r="O171" s="331" t="s">
        <v>947</v>
      </c>
      <c r="P171" s="296">
        <v>1</v>
      </c>
      <c r="Q171" t="s">
        <v>337</v>
      </c>
      <c r="R171">
        <f t="shared" ref="R171:R173" si="13">0.001*P171</f>
        <v>1E-3</v>
      </c>
    </row>
    <row r="172" spans="1:18" ht="15.75">
      <c r="A172" s="253" t="s">
        <v>933</v>
      </c>
      <c r="B172">
        <f>R172</f>
        <v>3.2600000000000004E-2</v>
      </c>
      <c r="C172" t="s">
        <v>37</v>
      </c>
      <c r="D172" s="17" t="s">
        <v>38</v>
      </c>
      <c r="E172" t="s">
        <v>29</v>
      </c>
      <c r="F172" s="251" t="s">
        <v>39</v>
      </c>
      <c r="G172" t="s">
        <v>33</v>
      </c>
      <c r="H172">
        <v>2</v>
      </c>
      <c r="I172">
        <f t="shared" si="12"/>
        <v>-3.423442990609475</v>
      </c>
      <c r="J172">
        <v>0.20928449536456342</v>
      </c>
      <c r="K172" t="s">
        <v>31</v>
      </c>
      <c r="L172" t="s">
        <v>31</v>
      </c>
      <c r="M172" t="s">
        <v>31</v>
      </c>
      <c r="O172" s="331" t="s">
        <v>947</v>
      </c>
      <c r="P172" s="296">
        <v>32.6</v>
      </c>
      <c r="Q172" t="s">
        <v>337</v>
      </c>
      <c r="R172">
        <f t="shared" si="13"/>
        <v>3.2600000000000004E-2</v>
      </c>
    </row>
    <row r="173" spans="1:18" ht="15.75">
      <c r="A173" s="17" t="s">
        <v>903</v>
      </c>
      <c r="B173">
        <f>R173</f>
        <v>7.6E-3</v>
      </c>
      <c r="C173" t="s">
        <v>37</v>
      </c>
      <c r="D173" s="326" t="s">
        <v>2</v>
      </c>
      <c r="E173" t="s">
        <v>29</v>
      </c>
      <c r="F173" s="251" t="s">
        <v>39</v>
      </c>
      <c r="G173" t="s">
        <v>33</v>
      </c>
      <c r="H173">
        <v>2</v>
      </c>
      <c r="I173">
        <f t="shared" si="12"/>
        <v>-4.8796070316898517</v>
      </c>
      <c r="J173">
        <v>0.20928449536456342</v>
      </c>
      <c r="K173" t="s">
        <v>31</v>
      </c>
      <c r="L173" t="s">
        <v>31</v>
      </c>
      <c r="M173" t="s">
        <v>31</v>
      </c>
      <c r="O173" s="472" t="s">
        <v>947</v>
      </c>
      <c r="P173" s="306">
        <v>7.6</v>
      </c>
      <c r="Q173" t="s">
        <v>337</v>
      </c>
      <c r="R173">
        <f t="shared" si="13"/>
        <v>7.6E-3</v>
      </c>
    </row>
    <row r="174" spans="1:18" s="42" customFormat="1" ht="15.75">
      <c r="A174" s="245" t="s">
        <v>5</v>
      </c>
      <c r="B174" s="337" t="s">
        <v>1083</v>
      </c>
      <c r="C174" s="120"/>
    </row>
    <row r="175" spans="1:18">
      <c r="A175" s="247" t="s">
        <v>7</v>
      </c>
      <c r="B175" t="s">
        <v>902</v>
      </c>
      <c r="C175" s="23"/>
    </row>
    <row r="176" spans="1:18">
      <c r="A176" s="433" t="s">
        <v>9</v>
      </c>
      <c r="B176" t="s">
        <v>1084</v>
      </c>
      <c r="C176" s="23"/>
    </row>
    <row r="177" spans="1:18" ht="15.75" customHeight="1">
      <c r="A177" s="247" t="s">
        <v>11</v>
      </c>
      <c r="B177" s="249" t="s">
        <v>913</v>
      </c>
    </row>
    <row r="178" spans="1:18">
      <c r="A178" s="247" t="s">
        <v>13</v>
      </c>
      <c r="B178" t="s">
        <v>14</v>
      </c>
    </row>
    <row r="179" spans="1:18">
      <c r="A179" s="247" t="s">
        <v>15</v>
      </c>
      <c r="B179" s="434">
        <f>B184</f>
        <v>7.8E-2</v>
      </c>
    </row>
    <row r="180" spans="1:18">
      <c r="A180" s="247" t="s">
        <v>16</v>
      </c>
      <c r="B180" t="s">
        <v>17</v>
      </c>
    </row>
    <row r="181" spans="1:18">
      <c r="A181" s="247" t="s">
        <v>18</v>
      </c>
      <c r="B181" t="s">
        <v>206</v>
      </c>
    </row>
    <row r="182" spans="1:18" ht="15.75">
      <c r="A182" s="252" t="s">
        <v>19</v>
      </c>
    </row>
    <row r="183" spans="1:18" ht="15.75">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75">
      <c r="A184" s="30" t="s">
        <v>1083</v>
      </c>
      <c r="B184" s="473">
        <f>P185</f>
        <v>7.8E-2</v>
      </c>
      <c r="C184" t="s">
        <v>206</v>
      </c>
      <c r="D184" s="326" t="s">
        <v>2</v>
      </c>
      <c r="E184" t="s">
        <v>29</v>
      </c>
      <c r="F184" s="251" t="s">
        <v>14</v>
      </c>
      <c r="G184" t="s">
        <v>30</v>
      </c>
      <c r="H184">
        <v>1</v>
      </c>
      <c r="I184" s="283">
        <f>B184</f>
        <v>7.8E-2</v>
      </c>
      <c r="J184" t="s">
        <v>31</v>
      </c>
      <c r="K184" t="s">
        <v>31</v>
      </c>
      <c r="L184" t="s">
        <v>31</v>
      </c>
      <c r="M184" t="s">
        <v>31</v>
      </c>
    </row>
    <row r="185" spans="1:18" ht="15.75">
      <c r="A185" t="s">
        <v>1085</v>
      </c>
      <c r="B185" s="474">
        <f>P185</f>
        <v>7.8E-2</v>
      </c>
      <c r="C185" t="s">
        <v>206</v>
      </c>
      <c r="D185" s="326" t="s">
        <v>2</v>
      </c>
      <c r="E185" t="s">
        <v>29</v>
      </c>
      <c r="F185" s="251" t="s">
        <v>14</v>
      </c>
      <c r="G185" t="s">
        <v>33</v>
      </c>
      <c r="H185">
        <v>1</v>
      </c>
      <c r="I185" s="283">
        <f>B185</f>
        <v>7.8E-2</v>
      </c>
      <c r="J185" t="s">
        <v>31</v>
      </c>
      <c r="K185" t="s">
        <v>31</v>
      </c>
      <c r="L185" t="s">
        <v>31</v>
      </c>
      <c r="M185" t="s">
        <v>31</v>
      </c>
      <c r="P185" s="358">
        <v>7.8E-2</v>
      </c>
    </row>
    <row r="186" spans="1:18" ht="15.75">
      <c r="A186" s="253" t="s">
        <v>40</v>
      </c>
      <c r="B186" s="336">
        <f>P186</f>
        <v>4.59</v>
      </c>
      <c r="C186" t="s">
        <v>41</v>
      </c>
      <c r="D186" s="17" t="s">
        <v>38</v>
      </c>
      <c r="E186" t="s">
        <v>29</v>
      </c>
      <c r="F186" s="251" t="s">
        <v>35</v>
      </c>
      <c r="G186" t="s">
        <v>33</v>
      </c>
      <c r="H186">
        <v>2</v>
      </c>
      <c r="I186">
        <f t="shared" ref="I186:I187" si="14">LN(B186)</f>
        <v>1.5238800240724537</v>
      </c>
      <c r="J186">
        <v>0.20928449536456342</v>
      </c>
      <c r="K186" t="s">
        <v>31</v>
      </c>
      <c r="L186" t="s">
        <v>31</v>
      </c>
      <c r="M186" t="s">
        <v>31</v>
      </c>
      <c r="O186" s="331" t="s">
        <v>332</v>
      </c>
      <c r="P186" s="296">
        <f>3.16+1.43</f>
        <v>4.59</v>
      </c>
    </row>
    <row r="187" spans="1:18" ht="15.75">
      <c r="A187" s="253" t="s">
        <v>933</v>
      </c>
      <c r="B187">
        <f>R187</f>
        <v>9.1999999999999998E-3</v>
      </c>
      <c r="C187" t="s">
        <v>37</v>
      </c>
      <c r="D187" s="17" t="s">
        <v>38</v>
      </c>
      <c r="E187" t="s">
        <v>29</v>
      </c>
      <c r="F187" s="251" t="s">
        <v>39</v>
      </c>
      <c r="G187" t="s">
        <v>33</v>
      </c>
      <c r="H187">
        <v>2</v>
      </c>
      <c r="I187">
        <f t="shared" si="14"/>
        <v>-4.6885517949271422</v>
      </c>
      <c r="J187">
        <v>0.20928449536456342</v>
      </c>
      <c r="K187" t="s">
        <v>31</v>
      </c>
      <c r="L187" t="s">
        <v>31</v>
      </c>
      <c r="M187" t="s">
        <v>31</v>
      </c>
      <c r="O187" s="331" t="s">
        <v>947</v>
      </c>
      <c r="P187" s="296">
        <v>9.1999999999999993</v>
      </c>
      <c r="Q187" t="s">
        <v>337</v>
      </c>
      <c r="R187">
        <f>P187*0.001</f>
        <v>9.1999999999999998E-3</v>
      </c>
    </row>
    <row r="188" spans="1:18">
      <c r="A188" s="232" t="s">
        <v>1078</v>
      </c>
      <c r="B188">
        <f>R188</f>
        <v>1.12E-2</v>
      </c>
      <c r="C188" t="s">
        <v>37</v>
      </c>
      <c r="D188" t="s">
        <v>38</v>
      </c>
      <c r="E188" t="s">
        <v>29</v>
      </c>
      <c r="F188" t="s">
        <v>35</v>
      </c>
      <c r="G188" t="s">
        <v>33</v>
      </c>
      <c r="H188">
        <v>2</v>
      </c>
      <c r="I188">
        <f>LN(B188)</f>
        <v>-4.4918415006810886</v>
      </c>
      <c r="J188">
        <v>0.20928449536456342</v>
      </c>
      <c r="K188" t="s">
        <v>31</v>
      </c>
      <c r="L188" t="s">
        <v>31</v>
      </c>
      <c r="M188" t="s">
        <v>31</v>
      </c>
      <c r="O188" s="331" t="s">
        <v>947</v>
      </c>
      <c r="P188" s="296">
        <v>11.2</v>
      </c>
      <c r="Q188" t="s">
        <v>337</v>
      </c>
      <c r="R188">
        <f>P188*0.001</f>
        <v>1.12E-2</v>
      </c>
    </row>
    <row r="189" spans="1:18" ht="15.75">
      <c r="A189" s="17" t="s">
        <v>903</v>
      </c>
      <c r="B189">
        <f>R189</f>
        <v>1.12E-2</v>
      </c>
      <c r="C189" t="s">
        <v>37</v>
      </c>
      <c r="D189" s="326" t="s">
        <v>2</v>
      </c>
      <c r="E189" t="s">
        <v>29</v>
      </c>
      <c r="F189" s="251" t="s">
        <v>39</v>
      </c>
      <c r="G189" t="s">
        <v>33</v>
      </c>
      <c r="H189">
        <v>2</v>
      </c>
      <c r="I189">
        <f t="shared" ref="I189" si="15">LN(B189)</f>
        <v>-4.4918415006810886</v>
      </c>
      <c r="J189">
        <v>0.20928449536456342</v>
      </c>
      <c r="K189" t="s">
        <v>31</v>
      </c>
      <c r="L189" t="s">
        <v>31</v>
      </c>
      <c r="M189" t="s">
        <v>31</v>
      </c>
      <c r="O189" s="472" t="s">
        <v>947</v>
      </c>
      <c r="P189" s="306">
        <v>11.2</v>
      </c>
      <c r="Q189" t="s">
        <v>337</v>
      </c>
      <c r="R189">
        <f t="shared" ref="R189" si="16">0.001*P189</f>
        <v>1.12E-2</v>
      </c>
    </row>
    <row r="190" spans="1:18" s="42" customFormat="1" ht="15.75">
      <c r="A190" s="245" t="s">
        <v>5</v>
      </c>
      <c r="B190" s="337" t="s">
        <v>1085</v>
      </c>
      <c r="C190" s="120"/>
    </row>
    <row r="191" spans="1:18">
      <c r="A191" s="247" t="s">
        <v>7</v>
      </c>
      <c r="B191" t="s">
        <v>902</v>
      </c>
      <c r="C191" s="23"/>
    </row>
    <row r="192" spans="1:18">
      <c r="A192" s="433" t="s">
        <v>9</v>
      </c>
      <c r="B192" t="s">
        <v>1086</v>
      </c>
      <c r="C192" s="23"/>
    </row>
    <row r="193" spans="1:21" ht="15.75" customHeight="1">
      <c r="A193" s="247" t="s">
        <v>11</v>
      </c>
      <c r="B193" s="249" t="s">
        <v>913</v>
      </c>
    </row>
    <row r="194" spans="1:21">
      <c r="A194" s="247" t="s">
        <v>13</v>
      </c>
      <c r="B194" t="s">
        <v>14</v>
      </c>
      <c r="R194" s="28" t="s">
        <v>1023</v>
      </c>
    </row>
    <row r="195" spans="1:21">
      <c r="A195" s="247" t="s">
        <v>15</v>
      </c>
      <c r="B195" s="434">
        <f>B200</f>
        <v>0.83</v>
      </c>
      <c r="R195" t="s">
        <v>1024</v>
      </c>
      <c r="S195">
        <v>8900</v>
      </c>
      <c r="T195" t="s">
        <v>1025</v>
      </c>
    </row>
    <row r="196" spans="1:21">
      <c r="A196" s="247" t="s">
        <v>16</v>
      </c>
      <c r="B196" t="s">
        <v>17</v>
      </c>
      <c r="R196" t="s">
        <v>1026</v>
      </c>
      <c r="S196">
        <f>5*10^-6</f>
        <v>4.9999999999999996E-6</v>
      </c>
      <c r="T196" t="s">
        <v>1027</v>
      </c>
    </row>
    <row r="197" spans="1:21">
      <c r="A197" s="247" t="s">
        <v>18</v>
      </c>
      <c r="B197" t="s">
        <v>206</v>
      </c>
      <c r="R197" s="454" t="s">
        <v>1029</v>
      </c>
      <c r="S197" s="90">
        <f>S196*S195</f>
        <v>4.4499999999999998E-2</v>
      </c>
      <c r="T197" s="455" t="s">
        <v>985</v>
      </c>
    </row>
    <row r="198" spans="1:21" ht="15.75">
      <c r="A198" s="252" t="s">
        <v>19</v>
      </c>
    </row>
    <row r="199" spans="1:21" ht="15.75">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1032</v>
      </c>
      <c r="U199" s="328"/>
    </row>
    <row r="200" spans="1:21" ht="15.75">
      <c r="A200" t="s">
        <v>1085</v>
      </c>
      <c r="B200" s="371">
        <v>0.83</v>
      </c>
      <c r="C200" t="s">
        <v>206</v>
      </c>
      <c r="D200" s="326" t="s">
        <v>2</v>
      </c>
      <c r="E200" t="s">
        <v>29</v>
      </c>
      <c r="F200" t="s">
        <v>14</v>
      </c>
      <c r="G200" t="s">
        <v>30</v>
      </c>
      <c r="H200">
        <v>1</v>
      </c>
      <c r="I200">
        <f>B200</f>
        <v>0.83</v>
      </c>
      <c r="J200" t="s">
        <v>31</v>
      </c>
      <c r="K200" t="s">
        <v>31</v>
      </c>
      <c r="L200" t="s">
        <v>31</v>
      </c>
      <c r="M200" t="s">
        <v>31</v>
      </c>
      <c r="O200" s="475" t="s">
        <v>1031</v>
      </c>
      <c r="P200" s="453">
        <f>B200*100</f>
        <v>83</v>
      </c>
      <c r="R200" s="456">
        <v>0.94</v>
      </c>
      <c r="S200" s="457" t="s">
        <v>945</v>
      </c>
      <c r="T200" s="456">
        <f>R200*S197</f>
        <v>4.1829999999999992E-2</v>
      </c>
      <c r="U200" s="457" t="s">
        <v>337</v>
      </c>
    </row>
    <row r="201" spans="1:21" ht="15.75">
      <c r="A201" t="s">
        <v>1087</v>
      </c>
      <c r="B201" s="371">
        <v>0.83</v>
      </c>
      <c r="C201" t="s">
        <v>206</v>
      </c>
      <c r="D201" s="326" t="s">
        <v>2</v>
      </c>
      <c r="E201" t="s">
        <v>29</v>
      </c>
      <c r="F201" t="s">
        <v>14</v>
      </c>
      <c r="G201" t="s">
        <v>33</v>
      </c>
      <c r="H201">
        <v>1</v>
      </c>
      <c r="I201">
        <f t="shared" ref="I201:I202" si="17">B201</f>
        <v>0.83</v>
      </c>
      <c r="J201">
        <v>7.2284161474004766E-2</v>
      </c>
      <c r="K201" t="s">
        <v>31</v>
      </c>
      <c r="L201" t="s">
        <v>31</v>
      </c>
      <c r="M201" t="s">
        <v>31</v>
      </c>
      <c r="O201" s="331" t="s">
        <v>1031</v>
      </c>
      <c r="P201" s="296">
        <f>B201*100</f>
        <v>83</v>
      </c>
    </row>
    <row r="202" spans="1:21" ht="15.75">
      <c r="A202" s="30" t="s">
        <v>1019</v>
      </c>
      <c r="B202" s="250">
        <f>T200</f>
        <v>4.1829999999999992E-2</v>
      </c>
      <c r="C202" t="s">
        <v>37</v>
      </c>
      <c r="D202" s="326" t="s">
        <v>2</v>
      </c>
      <c r="E202" t="s">
        <v>29</v>
      </c>
      <c r="F202" s="251" t="s">
        <v>14</v>
      </c>
      <c r="G202" t="s">
        <v>33</v>
      </c>
      <c r="H202">
        <v>1</v>
      </c>
      <c r="I202">
        <f t="shared" si="17"/>
        <v>4.1829999999999992E-2</v>
      </c>
      <c r="J202">
        <v>7.2284161474004766E-2</v>
      </c>
      <c r="K202" t="s">
        <v>31</v>
      </c>
      <c r="L202" t="s">
        <v>31</v>
      </c>
      <c r="M202" t="s">
        <v>31</v>
      </c>
      <c r="O202" s="30"/>
      <c r="P202" s="338"/>
    </row>
    <row r="203" spans="1:21" ht="15.75">
      <c r="A203" s="253" t="s">
        <v>933</v>
      </c>
      <c r="B203">
        <f>P203</f>
        <v>7.5</v>
      </c>
      <c r="C203" t="s">
        <v>37</v>
      </c>
      <c r="D203" s="17" t="s">
        <v>38</v>
      </c>
      <c r="E203" t="s">
        <v>29</v>
      </c>
      <c r="F203" s="251" t="s">
        <v>39</v>
      </c>
      <c r="G203" t="s">
        <v>33</v>
      </c>
      <c r="H203">
        <v>2</v>
      </c>
      <c r="I203">
        <f t="shared" ref="I203" si="18">LN(B203)</f>
        <v>2.0149030205422647</v>
      </c>
      <c r="J203">
        <v>7.2284161474004766E-2</v>
      </c>
      <c r="K203" t="s">
        <v>31</v>
      </c>
      <c r="L203" t="s">
        <v>31</v>
      </c>
      <c r="M203" t="s">
        <v>31</v>
      </c>
      <c r="O203" s="331" t="s">
        <v>337</v>
      </c>
      <c r="P203" s="296">
        <v>7.5</v>
      </c>
    </row>
    <row r="204" spans="1:21" ht="15.75">
      <c r="A204" s="232" t="s">
        <v>1021</v>
      </c>
      <c r="B204" s="476">
        <f>R204</f>
        <v>3.9999999999999998E-7</v>
      </c>
      <c r="C204" t="s">
        <v>37</v>
      </c>
      <c r="D204" s="17" t="s">
        <v>38</v>
      </c>
      <c r="E204" t="s">
        <v>29</v>
      </c>
      <c r="F204" s="251" t="s">
        <v>60</v>
      </c>
      <c r="G204" t="s">
        <v>33</v>
      </c>
      <c r="H204">
        <v>2</v>
      </c>
      <c r="I204">
        <f>LN(B204)</f>
        <v>-14.73180128983843</v>
      </c>
      <c r="J204">
        <v>7.2284161474004766E-2</v>
      </c>
      <c r="K204" t="s">
        <v>31</v>
      </c>
      <c r="L204" t="s">
        <v>31</v>
      </c>
      <c r="M204" t="s">
        <v>31</v>
      </c>
      <c r="O204" s="332" t="s">
        <v>952</v>
      </c>
      <c r="P204" s="365">
        <v>0.4</v>
      </c>
      <c r="Q204" t="s">
        <v>337</v>
      </c>
      <c r="R204">
        <f>0.000001*P204</f>
        <v>3.9999999999999998E-7</v>
      </c>
    </row>
    <row r="205" spans="1:21" ht="15.75">
      <c r="A205" s="232" t="s">
        <v>489</v>
      </c>
      <c r="B205" s="476">
        <f>R205</f>
        <v>7.4999999999999997E-3</v>
      </c>
      <c r="C205" t="s">
        <v>50</v>
      </c>
      <c r="D205" s="17" t="s">
        <v>38</v>
      </c>
      <c r="E205" t="s">
        <v>29</v>
      </c>
      <c r="F205" s="251" t="s">
        <v>39</v>
      </c>
      <c r="G205" t="s">
        <v>33</v>
      </c>
      <c r="H205">
        <v>2</v>
      </c>
      <c r="I205">
        <f t="shared" ref="I205" si="19">LN(B205)</f>
        <v>-4.8928522584398726</v>
      </c>
      <c r="J205">
        <v>7.2284161474004766E-2</v>
      </c>
      <c r="K205" t="s">
        <v>31</v>
      </c>
      <c r="L205" t="s">
        <v>31</v>
      </c>
      <c r="M205" t="s">
        <v>31</v>
      </c>
      <c r="O205" s="334" t="s">
        <v>1009</v>
      </c>
      <c r="P205" s="306">
        <v>7.5</v>
      </c>
      <c r="Q205" t="s">
        <v>335</v>
      </c>
      <c r="R205">
        <f>0.001*P205</f>
        <v>7.4999999999999997E-3</v>
      </c>
    </row>
    <row r="206" spans="1:21" s="42" customFormat="1" ht="15.75">
      <c r="A206" s="245" t="s">
        <v>5</v>
      </c>
      <c r="B206" s="337" t="s">
        <v>1087</v>
      </c>
      <c r="C206" s="120"/>
    </row>
    <row r="207" spans="1:21">
      <c r="A207" s="247" t="s">
        <v>7</v>
      </c>
      <c r="B207" t="s">
        <v>902</v>
      </c>
      <c r="C207" s="23"/>
    </row>
    <row r="208" spans="1:21">
      <c r="A208" s="433" t="s">
        <v>9</v>
      </c>
      <c r="B208" t="s">
        <v>1088</v>
      </c>
      <c r="C208" s="23"/>
    </row>
    <row r="209" spans="1:19" ht="15.75" customHeight="1">
      <c r="A209" s="247" t="s">
        <v>11</v>
      </c>
      <c r="B209" s="249" t="s">
        <v>913</v>
      </c>
    </row>
    <row r="210" spans="1:19">
      <c r="A210" s="247" t="s">
        <v>13</v>
      </c>
      <c r="B210" t="s">
        <v>14</v>
      </c>
    </row>
    <row r="211" spans="1:19">
      <c r="A211" s="247" t="s">
        <v>15</v>
      </c>
      <c r="B211" s="434">
        <f>B216</f>
        <v>0.83</v>
      </c>
    </row>
    <row r="212" spans="1:19">
      <c r="A212" s="247" t="s">
        <v>16</v>
      </c>
      <c r="B212" t="s">
        <v>17</v>
      </c>
    </row>
    <row r="213" spans="1:19">
      <c r="A213" s="247" t="s">
        <v>18</v>
      </c>
      <c r="B213" t="s">
        <v>206</v>
      </c>
      <c r="S213" s="283"/>
    </row>
    <row r="214" spans="1:19" ht="15.75">
      <c r="A214" s="252" t="s">
        <v>19</v>
      </c>
    </row>
    <row r="215" spans="1:19" ht="15.75">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75">
      <c r="A216" t="s">
        <v>1087</v>
      </c>
      <c r="B216" s="283">
        <f>P216</f>
        <v>0.83</v>
      </c>
      <c r="C216" t="s">
        <v>206</v>
      </c>
      <c r="D216" s="326" t="s">
        <v>2</v>
      </c>
      <c r="E216" t="s">
        <v>29</v>
      </c>
      <c r="F216" t="s">
        <v>14</v>
      </c>
      <c r="G216" t="s">
        <v>30</v>
      </c>
      <c r="H216">
        <v>1</v>
      </c>
      <c r="I216" s="283">
        <f>B216</f>
        <v>0.83</v>
      </c>
      <c r="J216" t="s">
        <v>31</v>
      </c>
      <c r="K216" t="s">
        <v>31</v>
      </c>
      <c r="L216" t="s">
        <v>31</v>
      </c>
      <c r="M216" t="s">
        <v>31</v>
      </c>
      <c r="O216" s="331" t="s">
        <v>945</v>
      </c>
      <c r="P216" s="371">
        <v>0.83</v>
      </c>
    </row>
    <row r="217" spans="1:19" ht="15.75">
      <c r="A217" t="s">
        <v>915</v>
      </c>
      <c r="B217" s="283">
        <v>5.63</v>
      </c>
      <c r="C217" t="s">
        <v>37</v>
      </c>
      <c r="D217" s="326" t="s">
        <v>2</v>
      </c>
      <c r="E217" t="s">
        <v>29</v>
      </c>
      <c r="F217" t="s">
        <v>14</v>
      </c>
      <c r="G217" t="s">
        <v>33</v>
      </c>
      <c r="H217">
        <v>1</v>
      </c>
      <c r="I217" s="283">
        <f>B217</f>
        <v>5.63</v>
      </c>
      <c r="J217" t="s">
        <v>31</v>
      </c>
      <c r="K217" t="s">
        <v>31</v>
      </c>
      <c r="L217" t="s">
        <v>31</v>
      </c>
      <c r="M217" t="s">
        <v>31</v>
      </c>
      <c r="O217" s="435"/>
      <c r="P217" s="371">
        <v>0.83</v>
      </c>
      <c r="Q217" t="s">
        <v>1089</v>
      </c>
    </row>
    <row r="218" spans="1:19" ht="15.75">
      <c r="A218" s="253" t="s">
        <v>40</v>
      </c>
      <c r="B218" s="336">
        <f>P218</f>
        <v>0.42</v>
      </c>
      <c r="C218" t="s">
        <v>41</v>
      </c>
      <c r="D218" s="17" t="s">
        <v>38</v>
      </c>
      <c r="E218" t="s">
        <v>29</v>
      </c>
      <c r="F218" s="251" t="s">
        <v>35</v>
      </c>
      <c r="G218" t="s">
        <v>33</v>
      </c>
      <c r="H218">
        <v>2</v>
      </c>
      <c r="I218">
        <f t="shared" ref="I218:I219" si="20">LN(B218)</f>
        <v>-0.86750056770472306</v>
      </c>
      <c r="J218">
        <v>7.2284161474004766E-2</v>
      </c>
      <c r="K218" t="s">
        <v>31</v>
      </c>
      <c r="L218" t="s">
        <v>31</v>
      </c>
      <c r="M218" t="s">
        <v>31</v>
      </c>
      <c r="O218" s="331" t="s">
        <v>332</v>
      </c>
      <c r="P218" s="296">
        <v>0.42</v>
      </c>
    </row>
    <row r="219" spans="1:19" ht="15.75">
      <c r="A219" s="232" t="s">
        <v>1017</v>
      </c>
      <c r="B219">
        <f>R219</f>
        <v>0.01</v>
      </c>
      <c r="C219" s="283" t="s">
        <v>37</v>
      </c>
      <c r="D219" s="17" t="s">
        <v>38</v>
      </c>
      <c r="E219" t="s">
        <v>29</v>
      </c>
      <c r="F219" t="s">
        <v>60</v>
      </c>
      <c r="G219" t="s">
        <v>33</v>
      </c>
      <c r="H219">
        <v>2</v>
      </c>
      <c r="I219">
        <f t="shared" si="20"/>
        <v>-4.6051701859880909</v>
      </c>
      <c r="J219">
        <v>7.2284161474004766E-2</v>
      </c>
      <c r="K219" t="s">
        <v>31</v>
      </c>
      <c r="L219" t="s">
        <v>31</v>
      </c>
      <c r="M219" t="s">
        <v>31</v>
      </c>
      <c r="O219" s="331" t="s">
        <v>947</v>
      </c>
      <c r="P219" s="296">
        <v>10</v>
      </c>
      <c r="Q219" t="s">
        <v>337</v>
      </c>
      <c r="R219">
        <f>P219*0.001</f>
        <v>0.01</v>
      </c>
    </row>
    <row r="220" spans="1:19" ht="15.75">
      <c r="A220" s="83" t="s">
        <v>1018</v>
      </c>
      <c r="B220">
        <f t="shared" ref="B220:B221" si="21">R220</f>
        <v>1.8000000000000002E-2</v>
      </c>
      <c r="C220" t="s">
        <v>37</v>
      </c>
      <c r="D220" s="17" t="s">
        <v>38</v>
      </c>
      <c r="E220" t="s">
        <v>29</v>
      </c>
      <c r="F220" s="251" t="s">
        <v>35</v>
      </c>
      <c r="G220" t="s">
        <v>33</v>
      </c>
      <c r="H220">
        <v>2</v>
      </c>
      <c r="I220">
        <f>LN(B220)</f>
        <v>-4.0173835210859723</v>
      </c>
      <c r="J220">
        <v>7.2284161474004766E-2</v>
      </c>
      <c r="K220" t="s">
        <v>31</v>
      </c>
      <c r="L220" t="s">
        <v>31</v>
      </c>
      <c r="M220" t="s">
        <v>31</v>
      </c>
      <c r="O220" s="331" t="s">
        <v>947</v>
      </c>
      <c r="P220" s="296">
        <v>18</v>
      </c>
      <c r="Q220" t="s">
        <v>337</v>
      </c>
      <c r="R220">
        <f>P220*0.001</f>
        <v>1.8000000000000002E-2</v>
      </c>
    </row>
    <row r="221" spans="1:19" ht="15.75">
      <c r="A221" s="253" t="s">
        <v>933</v>
      </c>
      <c r="B221">
        <f t="shared" si="21"/>
        <v>15.8</v>
      </c>
      <c r="C221" t="s">
        <v>37</v>
      </c>
      <c r="D221" s="17" t="s">
        <v>38</v>
      </c>
      <c r="E221" t="s">
        <v>29</v>
      </c>
      <c r="F221" s="251" t="s">
        <v>39</v>
      </c>
      <c r="G221" t="s">
        <v>33</v>
      </c>
      <c r="H221">
        <v>2</v>
      </c>
      <c r="I221">
        <f t="shared" ref="I221:I222" si="22">LN(B221)</f>
        <v>2.760009940032921</v>
      </c>
      <c r="J221">
        <v>7.2284161474004766E-2</v>
      </c>
      <c r="K221" t="s">
        <v>31</v>
      </c>
      <c r="L221" t="s">
        <v>31</v>
      </c>
      <c r="M221" t="s">
        <v>31</v>
      </c>
      <c r="O221" s="331" t="s">
        <v>337</v>
      </c>
      <c r="P221" s="296">
        <v>15.8</v>
      </c>
      <c r="Q221" t="s">
        <v>337</v>
      </c>
      <c r="R221">
        <f>P221</f>
        <v>15.8</v>
      </c>
    </row>
    <row r="222" spans="1:19" ht="15.75">
      <c r="A222" s="232" t="s">
        <v>489</v>
      </c>
      <c r="B222">
        <f>R222</f>
        <v>1.5800000000000002E-2</v>
      </c>
      <c r="C222" t="s">
        <v>50</v>
      </c>
      <c r="D222" s="17" t="s">
        <v>38</v>
      </c>
      <c r="E222" t="s">
        <v>29</v>
      </c>
      <c r="F222" s="251" t="s">
        <v>39</v>
      </c>
      <c r="G222" t="s">
        <v>33</v>
      </c>
      <c r="H222">
        <v>2</v>
      </c>
      <c r="I222">
        <f t="shared" si="22"/>
        <v>-4.1477453389492158</v>
      </c>
      <c r="J222">
        <v>7.2284161474004766E-2</v>
      </c>
      <c r="K222" t="s">
        <v>31</v>
      </c>
      <c r="L222" t="s">
        <v>31</v>
      </c>
      <c r="M222" t="s">
        <v>31</v>
      </c>
      <c r="O222" s="334" t="s">
        <v>1009</v>
      </c>
      <c r="P222" s="306">
        <v>15.8</v>
      </c>
      <c r="Q222" t="s">
        <v>335</v>
      </c>
      <c r="R222">
        <f>0.001*P222</f>
        <v>1.5800000000000002E-2</v>
      </c>
    </row>
    <row r="223" spans="1:19" s="42" customFormat="1" ht="15.75">
      <c r="A223" s="245" t="s">
        <v>5</v>
      </c>
      <c r="B223" s="468" t="s">
        <v>1080</v>
      </c>
      <c r="C223" s="120"/>
      <c r="P223"/>
    </row>
    <row r="224" spans="1:19">
      <c r="A224" s="247" t="s">
        <v>7</v>
      </c>
      <c r="B224" t="s">
        <v>902</v>
      </c>
      <c r="C224" s="23"/>
    </row>
    <row r="225" spans="1:16">
      <c r="A225" s="433" t="s">
        <v>9</v>
      </c>
      <c r="B225" t="s">
        <v>1090</v>
      </c>
      <c r="C225" s="23"/>
    </row>
    <row r="226" spans="1:16" ht="15.75" customHeight="1">
      <c r="A226" s="247" t="s">
        <v>11</v>
      </c>
      <c r="B226" s="249" t="s">
        <v>913</v>
      </c>
    </row>
    <row r="227" spans="1:16">
      <c r="A227" s="247" t="s">
        <v>13</v>
      </c>
      <c r="B227" t="s">
        <v>14</v>
      </c>
    </row>
    <row r="228" spans="1:16">
      <c r="A228" s="247" t="s">
        <v>15</v>
      </c>
      <c r="B228" s="434">
        <f>B233</f>
        <v>2.4E-2</v>
      </c>
    </row>
    <row r="229" spans="1:16">
      <c r="A229" s="247" t="s">
        <v>16</v>
      </c>
      <c r="B229" t="s">
        <v>17</v>
      </c>
    </row>
    <row r="230" spans="1:16">
      <c r="A230" s="247" t="s">
        <v>18</v>
      </c>
      <c r="B230" t="s">
        <v>206</v>
      </c>
    </row>
    <row r="231" spans="1:16" ht="15.75">
      <c r="A231" s="252" t="s">
        <v>19</v>
      </c>
    </row>
    <row r="232" spans="1:16" ht="15.75">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75">
      <c r="A233" t="s">
        <v>1080</v>
      </c>
      <c r="B233" s="283">
        <f>P233</f>
        <v>2.4E-2</v>
      </c>
      <c r="C233" t="s">
        <v>206</v>
      </c>
      <c r="D233" s="326" t="s">
        <v>2</v>
      </c>
      <c r="E233" t="s">
        <v>29</v>
      </c>
      <c r="F233" s="251" t="s">
        <v>14</v>
      </c>
      <c r="G233" t="s">
        <v>30</v>
      </c>
      <c r="H233">
        <v>1</v>
      </c>
      <c r="I233" s="283">
        <f t="shared" ref="I233:I235" si="23">B233</f>
        <v>2.4E-2</v>
      </c>
      <c r="J233" t="s">
        <v>31</v>
      </c>
      <c r="K233" t="s">
        <v>31</v>
      </c>
      <c r="L233" t="s">
        <v>31</v>
      </c>
      <c r="M233" t="s">
        <v>31</v>
      </c>
      <c r="O233" s="470" t="s">
        <v>963</v>
      </c>
      <c r="P233" s="358">
        <f>P234</f>
        <v>2.4E-2</v>
      </c>
    </row>
    <row r="234" spans="1:16" ht="15.75">
      <c r="A234" t="s">
        <v>1091</v>
      </c>
      <c r="B234" s="283">
        <f>B254</f>
        <v>2.4E-2</v>
      </c>
      <c r="C234" t="s">
        <v>206</v>
      </c>
      <c r="D234" s="326" t="s">
        <v>2</v>
      </c>
      <c r="E234" t="s">
        <v>29</v>
      </c>
      <c r="F234" s="251" t="s">
        <v>14</v>
      </c>
      <c r="G234" t="s">
        <v>33</v>
      </c>
      <c r="H234">
        <v>1</v>
      </c>
      <c r="I234" s="283">
        <f t="shared" si="23"/>
        <v>2.4E-2</v>
      </c>
      <c r="J234" t="s">
        <v>31</v>
      </c>
      <c r="K234" t="s">
        <v>31</v>
      </c>
      <c r="L234" t="s">
        <v>31</v>
      </c>
      <c r="M234" t="s">
        <v>31</v>
      </c>
      <c r="O234" s="470" t="s">
        <v>963</v>
      </c>
      <c r="P234" s="372">
        <f>B254</f>
        <v>2.4E-2</v>
      </c>
    </row>
    <row r="235" spans="1:16" ht="15.75">
      <c r="A235" t="s">
        <v>1092</v>
      </c>
      <c r="B235" s="283">
        <f>B242</f>
        <v>4.13E-3</v>
      </c>
      <c r="C235" t="s">
        <v>206</v>
      </c>
      <c r="D235" s="326" t="s">
        <v>2</v>
      </c>
      <c r="E235" t="s">
        <v>29</v>
      </c>
      <c r="F235" s="251" t="s">
        <v>14</v>
      </c>
      <c r="G235" t="s">
        <v>33</v>
      </c>
      <c r="H235">
        <v>1</v>
      </c>
      <c r="I235" s="283">
        <f t="shared" si="23"/>
        <v>4.13E-3</v>
      </c>
      <c r="J235" t="s">
        <v>31</v>
      </c>
      <c r="K235" t="s">
        <v>31</v>
      </c>
      <c r="L235" t="s">
        <v>31</v>
      </c>
      <c r="M235" t="s">
        <v>31</v>
      </c>
      <c r="O235" s="450" t="s">
        <v>963</v>
      </c>
      <c r="P235" s="358">
        <f>B242</f>
        <v>4.13E-3</v>
      </c>
    </row>
    <row r="236" spans="1:16" ht="15.75">
      <c r="A236" s="253" t="s">
        <v>40</v>
      </c>
      <c r="B236" s="283">
        <f>P236</f>
        <v>0.56999999999999995</v>
      </c>
      <c r="C236" t="s">
        <v>41</v>
      </c>
      <c r="D236" s="17" t="s">
        <v>38</v>
      </c>
      <c r="E236" t="s">
        <v>29</v>
      </c>
      <c r="F236" s="251" t="s">
        <v>35</v>
      </c>
      <c r="G236" t="s">
        <v>33</v>
      </c>
      <c r="H236">
        <v>2</v>
      </c>
      <c r="I236">
        <f t="shared" ref="I236" si="24">LN(B236)</f>
        <v>-0.56211891815354131</v>
      </c>
      <c r="J236">
        <v>0.20928449536456342</v>
      </c>
      <c r="K236" t="s">
        <v>31</v>
      </c>
      <c r="L236" t="s">
        <v>31</v>
      </c>
      <c r="M236" t="s">
        <v>31</v>
      </c>
      <c r="O236" s="331" t="s">
        <v>332</v>
      </c>
      <c r="P236" s="296">
        <v>0.56999999999999995</v>
      </c>
    </row>
    <row r="237" spans="1:16" s="42" customFormat="1" ht="15.75">
      <c r="A237" s="245" t="s">
        <v>5</v>
      </c>
      <c r="B237" s="468" t="s">
        <v>1092</v>
      </c>
      <c r="C237" s="120"/>
    </row>
    <row r="238" spans="1:16">
      <c r="A238" s="247" t="s">
        <v>7</v>
      </c>
      <c r="B238" t="s">
        <v>902</v>
      </c>
      <c r="C238" s="23"/>
    </row>
    <row r="239" spans="1:16">
      <c r="A239" s="433" t="s">
        <v>9</v>
      </c>
      <c r="B239" t="s">
        <v>1093</v>
      </c>
      <c r="C239" s="23"/>
    </row>
    <row r="240" spans="1:16" ht="15.75" customHeight="1">
      <c r="A240" s="247" t="s">
        <v>11</v>
      </c>
      <c r="B240" s="249" t="s">
        <v>913</v>
      </c>
    </row>
    <row r="241" spans="1:19">
      <c r="A241" s="247" t="s">
        <v>13</v>
      </c>
      <c r="B241" t="s">
        <v>14</v>
      </c>
    </row>
    <row r="242" spans="1:19">
      <c r="A242" s="247" t="s">
        <v>15</v>
      </c>
      <c r="B242" s="283">
        <f>B247</f>
        <v>4.13E-3</v>
      </c>
    </row>
    <row r="243" spans="1:19">
      <c r="A243" s="247" t="s">
        <v>16</v>
      </c>
      <c r="B243" t="s">
        <v>17</v>
      </c>
    </row>
    <row r="244" spans="1:19">
      <c r="A244" s="247" t="s">
        <v>18</v>
      </c>
      <c r="B244" t="s">
        <v>206</v>
      </c>
    </row>
    <row r="245" spans="1:19" ht="15.75">
      <c r="A245" s="252" t="s">
        <v>19</v>
      </c>
    </row>
    <row r="246" spans="1:19" ht="15.75">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75">
      <c r="A247" t="s">
        <v>1092</v>
      </c>
      <c r="B247" s="283">
        <f>S247</f>
        <v>4.13E-3</v>
      </c>
      <c r="C247" t="s">
        <v>206</v>
      </c>
      <c r="D247" s="326" t="s">
        <v>2</v>
      </c>
      <c r="E247" t="s">
        <v>29</v>
      </c>
      <c r="F247" s="251" t="s">
        <v>14</v>
      </c>
      <c r="G247" t="s">
        <v>30</v>
      </c>
      <c r="H247">
        <v>1</v>
      </c>
      <c r="I247" s="283">
        <f>B247</f>
        <v>4.13E-3</v>
      </c>
      <c r="J247" t="s">
        <v>31</v>
      </c>
      <c r="K247" t="s">
        <v>31</v>
      </c>
      <c r="L247" t="s">
        <v>31</v>
      </c>
      <c r="M247" t="s">
        <v>31</v>
      </c>
      <c r="P247" s="331" t="s">
        <v>1094</v>
      </c>
      <c r="Q247" s="371">
        <v>41.3</v>
      </c>
      <c r="R247" t="s">
        <v>945</v>
      </c>
      <c r="S247">
        <f>Q247*0.0001</f>
        <v>4.13E-3</v>
      </c>
    </row>
    <row r="248" spans="1:19">
      <c r="A248" s="232" t="s">
        <v>1095</v>
      </c>
      <c r="B248" s="283">
        <f>S248</f>
        <v>4.13E-3</v>
      </c>
      <c r="C248" t="s">
        <v>206</v>
      </c>
      <c r="D248" t="s">
        <v>38</v>
      </c>
      <c r="E248" t="s">
        <v>29</v>
      </c>
      <c r="F248" t="s">
        <v>60</v>
      </c>
      <c r="G248" t="s">
        <v>33</v>
      </c>
      <c r="H248">
        <v>2</v>
      </c>
      <c r="I248">
        <f>LN(B248)</f>
        <v>-5.4894778720091955</v>
      </c>
      <c r="J248">
        <v>3.7749172176353707E-2</v>
      </c>
      <c r="K248" t="s">
        <v>31</v>
      </c>
      <c r="L248" t="s">
        <v>31</v>
      </c>
      <c r="M248" t="s">
        <v>31</v>
      </c>
      <c r="P248" s="450" t="s">
        <v>1094</v>
      </c>
      <c r="Q248" s="371">
        <v>41.3</v>
      </c>
      <c r="R248" t="s">
        <v>945</v>
      </c>
      <c r="S248">
        <f>Q248*0.0001</f>
        <v>4.13E-3</v>
      </c>
    </row>
    <row r="249" spans="1:19" s="42" customFormat="1" ht="15.75">
      <c r="A249" s="245" t="s">
        <v>5</v>
      </c>
      <c r="B249" s="337" t="s">
        <v>1091</v>
      </c>
    </row>
    <row r="250" spans="1:19">
      <c r="A250" s="247" t="s">
        <v>7</v>
      </c>
      <c r="B250" t="s">
        <v>902</v>
      </c>
      <c r="C250" s="23"/>
    </row>
    <row r="251" spans="1:19">
      <c r="A251" s="433" t="s">
        <v>9</v>
      </c>
      <c r="B251" t="s">
        <v>1096</v>
      </c>
      <c r="C251" s="23"/>
    </row>
    <row r="252" spans="1:19" ht="15.75" customHeight="1">
      <c r="A252" s="247" t="s">
        <v>11</v>
      </c>
      <c r="B252" s="249" t="s">
        <v>913</v>
      </c>
    </row>
    <row r="253" spans="1:19">
      <c r="A253" s="247" t="s">
        <v>13</v>
      </c>
      <c r="B253" t="s">
        <v>14</v>
      </c>
    </row>
    <row r="254" spans="1:19">
      <c r="A254" s="247" t="s">
        <v>15</v>
      </c>
      <c r="B254" s="283">
        <f>B259</f>
        <v>2.4E-2</v>
      </c>
    </row>
    <row r="255" spans="1:19">
      <c r="A255" s="247" t="s">
        <v>16</v>
      </c>
      <c r="B255" t="s">
        <v>17</v>
      </c>
    </row>
    <row r="256" spans="1:19">
      <c r="A256" s="247" t="s">
        <v>18</v>
      </c>
      <c r="B256" t="s">
        <v>206</v>
      </c>
    </row>
    <row r="257" spans="1:18" ht="15.75">
      <c r="A257" s="252" t="s">
        <v>19</v>
      </c>
    </row>
    <row r="258" spans="1:18" ht="15.75">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75">
      <c r="A259" t="s">
        <v>1091</v>
      </c>
      <c r="B259" s="283">
        <f>B260</f>
        <v>2.4E-2</v>
      </c>
      <c r="C259" t="s">
        <v>206</v>
      </c>
      <c r="D259" s="326" t="s">
        <v>2</v>
      </c>
      <c r="E259" t="s">
        <v>29</v>
      </c>
      <c r="F259" s="251" t="s">
        <v>14</v>
      </c>
      <c r="G259" t="s">
        <v>30</v>
      </c>
      <c r="H259">
        <v>1</v>
      </c>
      <c r="I259" s="283">
        <f t="shared" ref="I259:I260" si="25">B259</f>
        <v>2.4E-2</v>
      </c>
      <c r="J259" t="s">
        <v>31</v>
      </c>
      <c r="K259" t="s">
        <v>31</v>
      </c>
      <c r="L259" t="s">
        <v>31</v>
      </c>
      <c r="M259" t="s">
        <v>31</v>
      </c>
    </row>
    <row r="260" spans="1:18" ht="15.75">
      <c r="A260" t="s">
        <v>1097</v>
      </c>
      <c r="B260" s="283">
        <f>P260</f>
        <v>2.4E-2</v>
      </c>
      <c r="C260" t="s">
        <v>206</v>
      </c>
      <c r="D260" s="326" t="s">
        <v>2</v>
      </c>
      <c r="E260" t="s">
        <v>29</v>
      </c>
      <c r="F260" t="s">
        <v>14</v>
      </c>
      <c r="G260" t="s">
        <v>33</v>
      </c>
      <c r="H260">
        <v>1</v>
      </c>
      <c r="I260" s="283">
        <f t="shared" si="25"/>
        <v>2.4E-2</v>
      </c>
      <c r="J260" t="s">
        <v>31</v>
      </c>
      <c r="K260" t="s">
        <v>31</v>
      </c>
      <c r="L260" t="s">
        <v>31</v>
      </c>
      <c r="M260" t="s">
        <v>31</v>
      </c>
      <c r="P260" s="477">
        <f>P277</f>
        <v>2.4E-2</v>
      </c>
    </row>
    <row r="261" spans="1:18" ht="15.75">
      <c r="A261" s="253" t="s">
        <v>40</v>
      </c>
      <c r="B261" s="336">
        <f>R261</f>
        <v>0.21</v>
      </c>
      <c r="C261" t="s">
        <v>41</v>
      </c>
      <c r="D261" s="17" t="s">
        <v>38</v>
      </c>
      <c r="E261" t="s">
        <v>29</v>
      </c>
      <c r="F261" s="251" t="s">
        <v>35</v>
      </c>
      <c r="G261" t="s">
        <v>33</v>
      </c>
      <c r="H261">
        <v>2</v>
      </c>
      <c r="I261">
        <f t="shared" ref="I261:I265" si="26">LN(B261)</f>
        <v>-1.5606477482646683</v>
      </c>
      <c r="J261">
        <v>0.20928449536456342</v>
      </c>
      <c r="K261" t="s">
        <v>31</v>
      </c>
      <c r="L261" t="s">
        <v>31</v>
      </c>
      <c r="M261" t="s">
        <v>31</v>
      </c>
      <c r="O261" s="437" t="s">
        <v>332</v>
      </c>
      <c r="P261" s="296">
        <v>0.21</v>
      </c>
      <c r="Q261" t="s">
        <v>332</v>
      </c>
      <c r="R261" s="336">
        <f>P261</f>
        <v>0.21</v>
      </c>
    </row>
    <row r="262" spans="1:18" ht="15.75">
      <c r="A262" s="232" t="s">
        <v>931</v>
      </c>
      <c r="B262">
        <f>R262</f>
        <v>6.6E-3</v>
      </c>
      <c r="C262" t="s">
        <v>37</v>
      </c>
      <c r="D262" s="17" t="s">
        <v>38</v>
      </c>
      <c r="E262" t="s">
        <v>29</v>
      </c>
      <c r="F262" s="251" t="s">
        <v>35</v>
      </c>
      <c r="G262" t="s">
        <v>33</v>
      </c>
      <c r="H262">
        <v>2</v>
      </c>
      <c r="I262">
        <f t="shared" si="26"/>
        <v>-5.0206856299497575</v>
      </c>
      <c r="J262">
        <v>0.20928449536456342</v>
      </c>
      <c r="K262" t="s">
        <v>31</v>
      </c>
      <c r="L262" t="s">
        <v>31</v>
      </c>
      <c r="M262" t="s">
        <v>31</v>
      </c>
      <c r="O262" s="331" t="s">
        <v>947</v>
      </c>
      <c r="P262" s="296">
        <v>6.6</v>
      </c>
      <c r="Q262" t="s">
        <v>337</v>
      </c>
      <c r="R262">
        <f>0.001*P262</f>
        <v>6.6E-3</v>
      </c>
    </row>
    <row r="263" spans="1:18" ht="15.75">
      <c r="A263" s="232" t="s">
        <v>932</v>
      </c>
      <c r="B263">
        <f>R263</f>
        <v>1E-3</v>
      </c>
      <c r="C263" t="s">
        <v>37</v>
      </c>
      <c r="D263" s="17" t="s">
        <v>38</v>
      </c>
      <c r="E263" t="s">
        <v>29</v>
      </c>
      <c r="F263" s="251" t="s">
        <v>60</v>
      </c>
      <c r="G263" t="s">
        <v>33</v>
      </c>
      <c r="H263">
        <v>2</v>
      </c>
      <c r="I263">
        <f t="shared" si="26"/>
        <v>-6.9077552789821368</v>
      </c>
      <c r="J263">
        <v>0.20928449536456342</v>
      </c>
      <c r="K263" t="s">
        <v>31</v>
      </c>
      <c r="L263" t="s">
        <v>31</v>
      </c>
      <c r="M263" t="s">
        <v>31</v>
      </c>
      <c r="O263" s="331" t="s">
        <v>947</v>
      </c>
      <c r="P263" s="296">
        <v>1</v>
      </c>
      <c r="Q263" t="s">
        <v>337</v>
      </c>
      <c r="R263">
        <f>0.001*P263</f>
        <v>1E-3</v>
      </c>
    </row>
    <row r="264" spans="1:18" ht="15.75">
      <c r="A264" s="253" t="s">
        <v>933</v>
      </c>
      <c r="B264">
        <f>R264</f>
        <v>3.2600000000000004E-2</v>
      </c>
      <c r="C264" t="s">
        <v>37</v>
      </c>
      <c r="D264" s="17" t="s">
        <v>38</v>
      </c>
      <c r="E264" t="s">
        <v>29</v>
      </c>
      <c r="F264" s="251" t="s">
        <v>39</v>
      </c>
      <c r="G264" t="s">
        <v>33</v>
      </c>
      <c r="H264">
        <v>2</v>
      </c>
      <c r="I264">
        <f t="shared" si="26"/>
        <v>-3.423442990609475</v>
      </c>
      <c r="J264">
        <v>0.20928449536456342</v>
      </c>
      <c r="K264" t="s">
        <v>31</v>
      </c>
      <c r="L264" t="s">
        <v>31</v>
      </c>
      <c r="M264" t="s">
        <v>31</v>
      </c>
      <c r="O264" s="331" t="s">
        <v>947</v>
      </c>
      <c r="P264" s="296">
        <v>32.6</v>
      </c>
      <c r="Q264" t="s">
        <v>337</v>
      </c>
      <c r="R264">
        <f>0.001*P264</f>
        <v>3.2600000000000004E-2</v>
      </c>
    </row>
    <row r="265" spans="1:18" ht="15.75">
      <c r="A265" s="17" t="s">
        <v>903</v>
      </c>
      <c r="B265">
        <f>R265</f>
        <v>7.6E-3</v>
      </c>
      <c r="C265" t="s">
        <v>37</v>
      </c>
      <c r="D265" s="326" t="s">
        <v>2</v>
      </c>
      <c r="E265" t="s">
        <v>29</v>
      </c>
      <c r="F265" s="251" t="s">
        <v>39</v>
      </c>
      <c r="G265" t="s">
        <v>33</v>
      </c>
      <c r="H265">
        <v>2</v>
      </c>
      <c r="I265">
        <f t="shared" si="26"/>
        <v>-4.8796070316898517</v>
      </c>
      <c r="J265">
        <v>0.20928449536456342</v>
      </c>
      <c r="K265" t="s">
        <v>31</v>
      </c>
      <c r="L265" t="s">
        <v>31</v>
      </c>
      <c r="M265" t="s">
        <v>31</v>
      </c>
      <c r="O265" s="472" t="s">
        <v>947</v>
      </c>
      <c r="P265" s="306">
        <v>7.6</v>
      </c>
      <c r="Q265" t="s">
        <v>337</v>
      </c>
      <c r="R265">
        <f>0.001*P265</f>
        <v>7.6E-3</v>
      </c>
    </row>
    <row r="266" spans="1:18" s="42" customFormat="1" ht="15.75">
      <c r="A266" s="245" t="s">
        <v>5</v>
      </c>
      <c r="B266" s="337" t="s">
        <v>1097</v>
      </c>
    </row>
    <row r="267" spans="1:18">
      <c r="A267" s="247" t="s">
        <v>7</v>
      </c>
      <c r="B267" t="s">
        <v>902</v>
      </c>
      <c r="C267" s="23"/>
    </row>
    <row r="268" spans="1:18">
      <c r="A268" s="433" t="s">
        <v>9</v>
      </c>
      <c r="B268" t="s">
        <v>1098</v>
      </c>
      <c r="C268" s="23"/>
    </row>
    <row r="269" spans="1:18" ht="15.75" customHeight="1">
      <c r="A269" s="247" t="s">
        <v>11</v>
      </c>
      <c r="B269" s="249" t="s">
        <v>913</v>
      </c>
    </row>
    <row r="270" spans="1:18">
      <c r="A270" s="247" t="s">
        <v>13</v>
      </c>
      <c r="B270" t="s">
        <v>14</v>
      </c>
    </row>
    <row r="271" spans="1:18">
      <c r="A271" s="247" t="s">
        <v>15</v>
      </c>
      <c r="B271" s="283">
        <f>B276</f>
        <v>2.4E-2</v>
      </c>
    </row>
    <row r="272" spans="1:18">
      <c r="A272" s="247" t="s">
        <v>16</v>
      </c>
      <c r="B272" t="s">
        <v>17</v>
      </c>
    </row>
    <row r="273" spans="1:18">
      <c r="A273" s="247" t="s">
        <v>18</v>
      </c>
      <c r="B273" t="s">
        <v>206</v>
      </c>
    </row>
    <row r="274" spans="1:18" ht="15.75">
      <c r="A274" s="252" t="s">
        <v>19</v>
      </c>
    </row>
    <row r="275" spans="1:18" ht="15.75">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75">
      <c r="A276" t="s">
        <v>1097</v>
      </c>
      <c r="B276" s="283">
        <f>P277</f>
        <v>2.4E-2</v>
      </c>
      <c r="C276" t="s">
        <v>206</v>
      </c>
      <c r="D276" s="326" t="s">
        <v>2</v>
      </c>
      <c r="E276" t="s">
        <v>29</v>
      </c>
      <c r="F276" t="s">
        <v>14</v>
      </c>
      <c r="G276" t="s">
        <v>30</v>
      </c>
      <c r="H276">
        <v>1</v>
      </c>
      <c r="I276" s="283">
        <f t="shared" ref="I276:I277" si="27">B276</f>
        <v>2.4E-2</v>
      </c>
      <c r="J276" t="s">
        <v>31</v>
      </c>
      <c r="K276" t="s">
        <v>31</v>
      </c>
      <c r="L276" t="s">
        <v>31</v>
      </c>
      <c r="M276" t="s">
        <v>31</v>
      </c>
    </row>
    <row r="277" spans="1:18" ht="15.75">
      <c r="A277" t="s">
        <v>1099</v>
      </c>
      <c r="B277" s="283">
        <f>P277</f>
        <v>2.4E-2</v>
      </c>
      <c r="C277" t="s">
        <v>206</v>
      </c>
      <c r="D277" s="326" t="s">
        <v>2</v>
      </c>
      <c r="E277" t="s">
        <v>29</v>
      </c>
      <c r="F277" t="s">
        <v>14</v>
      </c>
      <c r="G277" t="s">
        <v>33</v>
      </c>
      <c r="H277">
        <v>1</v>
      </c>
      <c r="I277" s="283">
        <f t="shared" si="27"/>
        <v>2.4E-2</v>
      </c>
      <c r="J277" t="s">
        <v>31</v>
      </c>
      <c r="K277" t="s">
        <v>31</v>
      </c>
      <c r="L277" t="s">
        <v>31</v>
      </c>
      <c r="M277" t="s">
        <v>31</v>
      </c>
      <c r="P277" s="358">
        <v>2.4E-2</v>
      </c>
    </row>
    <row r="278" spans="1:18" ht="15.75">
      <c r="A278" s="253" t="s">
        <v>40</v>
      </c>
      <c r="B278" s="336">
        <f>P278</f>
        <v>4.59</v>
      </c>
      <c r="C278" t="s">
        <v>41</v>
      </c>
      <c r="D278" s="17" t="s">
        <v>38</v>
      </c>
      <c r="E278" t="s">
        <v>29</v>
      </c>
      <c r="F278" s="251" t="s">
        <v>35</v>
      </c>
      <c r="G278" t="s">
        <v>33</v>
      </c>
      <c r="H278">
        <v>2</v>
      </c>
      <c r="I278">
        <f t="shared" ref="I278:I279" si="28">LN(B278)</f>
        <v>1.5238800240724537</v>
      </c>
      <c r="J278">
        <v>0.20928449536456342</v>
      </c>
      <c r="K278" t="s">
        <v>31</v>
      </c>
      <c r="L278" t="s">
        <v>31</v>
      </c>
      <c r="M278" t="s">
        <v>31</v>
      </c>
      <c r="O278" s="331" t="s">
        <v>332</v>
      </c>
      <c r="P278" s="296">
        <f>3.16+1.43</f>
        <v>4.59</v>
      </c>
    </row>
    <row r="279" spans="1:18" ht="15.75">
      <c r="A279" s="253" t="s">
        <v>933</v>
      </c>
      <c r="B279" s="336">
        <f>R279</f>
        <v>9.1999999999999998E-3</v>
      </c>
      <c r="C279" t="s">
        <v>37</v>
      </c>
      <c r="D279" s="17" t="s">
        <v>38</v>
      </c>
      <c r="E279" t="s">
        <v>29</v>
      </c>
      <c r="F279" s="251" t="s">
        <v>39</v>
      </c>
      <c r="G279" t="s">
        <v>33</v>
      </c>
      <c r="H279">
        <v>2</v>
      </c>
      <c r="I279">
        <f t="shared" si="28"/>
        <v>-4.6885517949271422</v>
      </c>
      <c r="J279">
        <v>0.20928449536456342</v>
      </c>
      <c r="K279" t="s">
        <v>31</v>
      </c>
      <c r="L279" t="s">
        <v>31</v>
      </c>
      <c r="M279" t="s">
        <v>31</v>
      </c>
      <c r="O279" s="331" t="s">
        <v>947</v>
      </c>
      <c r="P279" s="296">
        <v>9.1999999999999993</v>
      </c>
      <c r="Q279" t="s">
        <v>337</v>
      </c>
      <c r="R279">
        <f>P279*0.001</f>
        <v>9.1999999999999998E-3</v>
      </c>
    </row>
    <row r="280" spans="1:18">
      <c r="A280" s="232" t="s">
        <v>1078</v>
      </c>
      <c r="B280" s="336">
        <f>R280</f>
        <v>1.12E-2</v>
      </c>
      <c r="C280" t="s">
        <v>37</v>
      </c>
      <c r="D280" t="s">
        <v>38</v>
      </c>
      <c r="E280" t="s">
        <v>29</v>
      </c>
      <c r="F280" t="s">
        <v>35</v>
      </c>
      <c r="G280" t="s">
        <v>33</v>
      </c>
      <c r="H280">
        <v>2</v>
      </c>
      <c r="I280">
        <f>LN(B280)</f>
        <v>-4.4918415006810886</v>
      </c>
      <c r="J280">
        <v>0.20928449536456342</v>
      </c>
      <c r="K280" t="s">
        <v>31</v>
      </c>
      <c r="L280" t="s">
        <v>31</v>
      </c>
      <c r="M280" t="s">
        <v>31</v>
      </c>
      <c r="O280" s="331" t="s">
        <v>947</v>
      </c>
      <c r="P280" s="296">
        <v>11.2</v>
      </c>
      <c r="Q280" t="s">
        <v>337</v>
      </c>
      <c r="R280">
        <f>P280*0.001</f>
        <v>1.12E-2</v>
      </c>
    </row>
    <row r="281" spans="1:18" ht="15.75">
      <c r="A281" s="17" t="s">
        <v>903</v>
      </c>
      <c r="B281" s="336">
        <f>R281</f>
        <v>1.12E-2</v>
      </c>
      <c r="C281" t="s">
        <v>37</v>
      </c>
      <c r="D281" s="326" t="s">
        <v>2</v>
      </c>
      <c r="E281" t="s">
        <v>29</v>
      </c>
      <c r="F281" s="251" t="s">
        <v>39</v>
      </c>
      <c r="G281" t="s">
        <v>33</v>
      </c>
      <c r="H281">
        <v>2</v>
      </c>
      <c r="I281">
        <f t="shared" ref="I281" si="29">LN(B281)</f>
        <v>-4.4918415006810886</v>
      </c>
      <c r="J281">
        <v>0.20928449536456342</v>
      </c>
      <c r="K281" t="s">
        <v>31</v>
      </c>
      <c r="L281" t="s">
        <v>31</v>
      </c>
      <c r="M281" t="s">
        <v>31</v>
      </c>
      <c r="O281" s="472" t="s">
        <v>947</v>
      </c>
      <c r="P281" s="306">
        <v>11.2</v>
      </c>
      <c r="Q281" t="s">
        <v>337</v>
      </c>
      <c r="R281">
        <f>0.001*P281</f>
        <v>1.12E-2</v>
      </c>
    </row>
    <row r="282" spans="1:18" s="42" customFormat="1" ht="15.75">
      <c r="A282" s="245" t="s">
        <v>5</v>
      </c>
      <c r="B282" s="337" t="s">
        <v>1099</v>
      </c>
    </row>
    <row r="283" spans="1:18">
      <c r="A283" s="247" t="s">
        <v>7</v>
      </c>
      <c r="B283" t="s">
        <v>902</v>
      </c>
      <c r="C283" s="23"/>
    </row>
    <row r="284" spans="1:18">
      <c r="A284" s="433" t="s">
        <v>9</v>
      </c>
      <c r="B284" t="s">
        <v>1100</v>
      </c>
      <c r="C284" s="23"/>
    </row>
    <row r="285" spans="1:18" ht="15.75" customHeight="1">
      <c r="A285" s="247" t="s">
        <v>11</v>
      </c>
      <c r="B285" s="249" t="s">
        <v>913</v>
      </c>
    </row>
    <row r="286" spans="1:18">
      <c r="A286" s="247" t="s">
        <v>13</v>
      </c>
      <c r="B286" t="s">
        <v>14</v>
      </c>
    </row>
    <row r="287" spans="1:18">
      <c r="A287" s="247" t="s">
        <v>15</v>
      </c>
      <c r="B287" s="283">
        <f>B292</f>
        <v>0.04</v>
      </c>
    </row>
    <row r="288" spans="1:18">
      <c r="A288" s="247" t="s">
        <v>16</v>
      </c>
      <c r="B288" t="s">
        <v>17</v>
      </c>
      <c r="R288" s="28" t="s">
        <v>1023</v>
      </c>
    </row>
    <row r="289" spans="1:21">
      <c r="A289" s="247" t="s">
        <v>18</v>
      </c>
      <c r="B289" t="s">
        <v>206</v>
      </c>
      <c r="R289" t="s">
        <v>1024</v>
      </c>
      <c r="S289">
        <v>8900</v>
      </c>
      <c r="T289" t="s">
        <v>1025</v>
      </c>
    </row>
    <row r="290" spans="1:21" ht="15.75">
      <c r="A290" s="252" t="s">
        <v>19</v>
      </c>
      <c r="R290" t="s">
        <v>1026</v>
      </c>
      <c r="S290">
        <f>5*10^-6</f>
        <v>4.9999999999999996E-6</v>
      </c>
      <c r="T290" t="s">
        <v>1027</v>
      </c>
    </row>
    <row r="291" spans="1:21" ht="15.75">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454" t="s">
        <v>1029</v>
      </c>
      <c r="S291" s="90">
        <f>S290*S289</f>
        <v>4.4499999999999998E-2</v>
      </c>
      <c r="T291" s="455" t="s">
        <v>985</v>
      </c>
    </row>
    <row r="292" spans="1:21" ht="15.75">
      <c r="A292" t="s">
        <v>1099</v>
      </c>
      <c r="B292" s="283">
        <v>0.04</v>
      </c>
      <c r="C292" t="s">
        <v>206</v>
      </c>
      <c r="D292" s="326" t="s">
        <v>2</v>
      </c>
      <c r="E292" t="s">
        <v>29</v>
      </c>
      <c r="F292" t="s">
        <v>14</v>
      </c>
      <c r="G292" t="s">
        <v>30</v>
      </c>
      <c r="H292">
        <v>1</v>
      </c>
      <c r="I292" s="283">
        <f t="shared" ref="I292:I294" si="30">B292</f>
        <v>0.04</v>
      </c>
      <c r="J292" t="s">
        <v>31</v>
      </c>
      <c r="K292" t="s">
        <v>31</v>
      </c>
      <c r="L292" t="s">
        <v>31</v>
      </c>
      <c r="M292" t="s">
        <v>31</v>
      </c>
      <c r="O292" s="331" t="s">
        <v>1031</v>
      </c>
      <c r="P292" s="296">
        <f>B292*100</f>
        <v>4</v>
      </c>
    </row>
    <row r="293" spans="1:21" ht="15.75">
      <c r="A293" t="s">
        <v>1101</v>
      </c>
      <c r="B293" s="283">
        <v>0.04</v>
      </c>
      <c r="C293" t="s">
        <v>206</v>
      </c>
      <c r="D293" s="326" t="s">
        <v>2</v>
      </c>
      <c r="E293" t="s">
        <v>29</v>
      </c>
      <c r="F293" t="s">
        <v>14</v>
      </c>
      <c r="G293" t="s">
        <v>33</v>
      </c>
      <c r="H293">
        <v>1</v>
      </c>
      <c r="I293" s="283">
        <f t="shared" si="30"/>
        <v>0.04</v>
      </c>
      <c r="J293">
        <v>7.2284161474004766E-2</v>
      </c>
      <c r="K293" t="s">
        <v>31</v>
      </c>
      <c r="L293" t="s">
        <v>31</v>
      </c>
      <c r="M293" t="s">
        <v>31</v>
      </c>
      <c r="O293" s="331" t="s">
        <v>1031</v>
      </c>
      <c r="P293" s="296">
        <f>B293*100</f>
        <v>4</v>
      </c>
      <c r="R293" t="s">
        <v>1032</v>
      </c>
      <c r="U293" s="328"/>
    </row>
    <row r="294" spans="1:21" ht="15.75">
      <c r="A294" s="30" t="s">
        <v>1019</v>
      </c>
      <c r="B294" s="250">
        <f>R294</f>
        <v>0.94</v>
      </c>
      <c r="C294" t="s">
        <v>37</v>
      </c>
      <c r="D294" s="326" t="s">
        <v>2</v>
      </c>
      <c r="E294" t="s">
        <v>29</v>
      </c>
      <c r="F294" s="251" t="s">
        <v>14</v>
      </c>
      <c r="G294" t="s">
        <v>33</v>
      </c>
      <c r="H294">
        <v>1</v>
      </c>
      <c r="I294" s="283">
        <f t="shared" si="30"/>
        <v>0.94</v>
      </c>
      <c r="J294">
        <v>7.2284161474004766E-2</v>
      </c>
      <c r="K294" t="s">
        <v>31</v>
      </c>
      <c r="L294" t="s">
        <v>31</v>
      </c>
      <c r="M294" t="s">
        <v>31</v>
      </c>
      <c r="O294" s="435"/>
      <c r="P294" s="436"/>
      <c r="R294" s="456">
        <v>0.94</v>
      </c>
      <c r="S294" s="457" t="s">
        <v>945</v>
      </c>
      <c r="T294" s="456">
        <f>R294*S291</f>
        <v>4.1829999999999992E-2</v>
      </c>
      <c r="U294" s="457" t="s">
        <v>337</v>
      </c>
    </row>
    <row r="295" spans="1:21" ht="15.75">
      <c r="A295" s="253" t="s">
        <v>933</v>
      </c>
      <c r="B295">
        <f>P295</f>
        <v>7.5</v>
      </c>
      <c r="C295" t="s">
        <v>37</v>
      </c>
      <c r="D295" s="17" t="s">
        <v>38</v>
      </c>
      <c r="E295" t="s">
        <v>29</v>
      </c>
      <c r="F295" s="251" t="s">
        <v>39</v>
      </c>
      <c r="G295" t="s">
        <v>33</v>
      </c>
      <c r="H295">
        <v>2</v>
      </c>
      <c r="I295">
        <f t="shared" ref="I295" si="31">LN(B295)</f>
        <v>2.0149030205422647</v>
      </c>
      <c r="J295">
        <v>7.2284161474004766E-2</v>
      </c>
      <c r="K295" t="s">
        <v>31</v>
      </c>
      <c r="L295" t="s">
        <v>31</v>
      </c>
      <c r="M295" t="s">
        <v>31</v>
      </c>
      <c r="O295" s="331" t="s">
        <v>337</v>
      </c>
      <c r="P295" s="296">
        <v>7.5</v>
      </c>
    </row>
    <row r="296" spans="1:21" ht="15.75">
      <c r="A296" s="232" t="s">
        <v>1021</v>
      </c>
      <c r="B296" s="336">
        <f>R296</f>
        <v>3.9999999999999998E-7</v>
      </c>
      <c r="C296" t="s">
        <v>37</v>
      </c>
      <c r="D296" s="17" t="s">
        <v>38</v>
      </c>
      <c r="E296" t="s">
        <v>29</v>
      </c>
      <c r="F296" s="251" t="s">
        <v>60</v>
      </c>
      <c r="G296" t="s">
        <v>33</v>
      </c>
      <c r="H296">
        <v>2</v>
      </c>
      <c r="I296">
        <f>LN(B296)</f>
        <v>-14.73180128983843</v>
      </c>
      <c r="J296">
        <v>7.2284161474004766E-2</v>
      </c>
      <c r="K296" t="s">
        <v>31</v>
      </c>
      <c r="L296" t="s">
        <v>31</v>
      </c>
      <c r="M296" t="s">
        <v>31</v>
      </c>
      <c r="O296" s="332" t="s">
        <v>952</v>
      </c>
      <c r="P296" s="365">
        <v>0.4</v>
      </c>
      <c r="Q296" s="331" t="s">
        <v>337</v>
      </c>
      <c r="R296">
        <f>P296*0.000001</f>
        <v>3.9999999999999998E-7</v>
      </c>
    </row>
    <row r="297" spans="1:21" ht="15.75">
      <c r="A297" s="232" t="s">
        <v>489</v>
      </c>
      <c r="B297">
        <f>R297</f>
        <v>7.4999999999999997E-3</v>
      </c>
      <c r="C297" t="s">
        <v>50</v>
      </c>
      <c r="D297" s="17" t="s">
        <v>38</v>
      </c>
      <c r="E297" t="s">
        <v>29</v>
      </c>
      <c r="F297" s="251" t="s">
        <v>39</v>
      </c>
      <c r="G297" t="s">
        <v>33</v>
      </c>
      <c r="H297">
        <v>2</v>
      </c>
      <c r="I297">
        <f t="shared" ref="I297" si="32">LN(B297)</f>
        <v>-4.8928522584398726</v>
      </c>
      <c r="J297">
        <v>7.2284161474004766E-2</v>
      </c>
      <c r="K297" t="s">
        <v>31</v>
      </c>
      <c r="L297" t="s">
        <v>31</v>
      </c>
      <c r="M297" t="s">
        <v>31</v>
      </c>
      <c r="O297" s="334" t="s">
        <v>1009</v>
      </c>
      <c r="P297" s="306">
        <v>7.5</v>
      </c>
      <c r="Q297" t="s">
        <v>335</v>
      </c>
      <c r="R297">
        <f>P297*0.001</f>
        <v>7.4999999999999997E-3</v>
      </c>
    </row>
    <row r="298" spans="1:21" s="42" customFormat="1" ht="15.75">
      <c r="A298" s="245" t="s">
        <v>5</v>
      </c>
      <c r="B298" s="337" t="s">
        <v>1101</v>
      </c>
    </row>
    <row r="299" spans="1:21">
      <c r="A299" s="247" t="s">
        <v>7</v>
      </c>
      <c r="B299" t="s">
        <v>902</v>
      </c>
      <c r="C299" s="23"/>
    </row>
    <row r="300" spans="1:21">
      <c r="A300" s="433" t="s">
        <v>9</v>
      </c>
      <c r="B300" t="s">
        <v>1102</v>
      </c>
      <c r="C300" s="23"/>
    </row>
    <row r="301" spans="1:21" ht="15.75" customHeight="1">
      <c r="A301" s="247" t="s">
        <v>11</v>
      </c>
      <c r="B301" s="249" t="s">
        <v>913</v>
      </c>
    </row>
    <row r="302" spans="1:21">
      <c r="A302" s="247" t="s">
        <v>13</v>
      </c>
      <c r="B302" t="s">
        <v>14</v>
      </c>
    </row>
    <row r="303" spans="1:21">
      <c r="A303" s="247" t="s">
        <v>15</v>
      </c>
      <c r="B303" s="283">
        <f>B308</f>
        <v>2.4E-2</v>
      </c>
    </row>
    <row r="304" spans="1:21">
      <c r="A304" s="247" t="s">
        <v>16</v>
      </c>
      <c r="B304" t="s">
        <v>17</v>
      </c>
    </row>
    <row r="305" spans="1:20">
      <c r="A305" s="247" t="s">
        <v>18</v>
      </c>
      <c r="B305" t="s">
        <v>206</v>
      </c>
    </row>
    <row r="306" spans="1:20" ht="15.75">
      <c r="A306" s="252" t="s">
        <v>19</v>
      </c>
    </row>
    <row r="307" spans="1:20" ht="15.75">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283"/>
    </row>
    <row r="308" spans="1:20" ht="15.75">
      <c r="A308" t="s">
        <v>1101</v>
      </c>
      <c r="B308" s="283">
        <f t="shared" ref="B308:B318" si="33">P308</f>
        <v>2.4E-2</v>
      </c>
      <c r="C308" t="s">
        <v>206</v>
      </c>
      <c r="D308" s="326" t="s">
        <v>2</v>
      </c>
      <c r="E308" t="s">
        <v>29</v>
      </c>
      <c r="F308" t="s">
        <v>14</v>
      </c>
      <c r="G308" t="s">
        <v>30</v>
      </c>
      <c r="H308">
        <v>1</v>
      </c>
      <c r="I308" s="283">
        <f t="shared" ref="I308:I309" si="34">B308</f>
        <v>2.4E-2</v>
      </c>
      <c r="J308" t="s">
        <v>31</v>
      </c>
      <c r="K308" t="s">
        <v>31</v>
      </c>
      <c r="L308" t="s">
        <v>31</v>
      </c>
      <c r="M308" t="s">
        <v>31</v>
      </c>
      <c r="P308" s="471">
        <v>2.4E-2</v>
      </c>
    </row>
    <row r="309" spans="1:20" ht="15.75">
      <c r="A309" t="s">
        <v>1103</v>
      </c>
      <c r="B309" s="283">
        <f t="shared" si="33"/>
        <v>2.4E-2</v>
      </c>
      <c r="C309" t="s">
        <v>206</v>
      </c>
      <c r="D309" s="326" t="s">
        <v>2</v>
      </c>
      <c r="E309" t="s">
        <v>29</v>
      </c>
      <c r="F309" t="s">
        <v>14</v>
      </c>
      <c r="G309" t="s">
        <v>33</v>
      </c>
      <c r="H309">
        <v>1</v>
      </c>
      <c r="I309" s="283">
        <f t="shared" si="34"/>
        <v>2.4E-2</v>
      </c>
      <c r="J309" t="s">
        <v>31</v>
      </c>
      <c r="K309" t="s">
        <v>31</v>
      </c>
      <c r="L309" t="s">
        <v>31</v>
      </c>
      <c r="M309" t="s">
        <v>31</v>
      </c>
      <c r="P309" s="471">
        <v>2.4E-2</v>
      </c>
    </row>
    <row r="310" spans="1:20" ht="15.75">
      <c r="A310" s="253" t="s">
        <v>40</v>
      </c>
      <c r="B310" s="336">
        <f t="shared" si="33"/>
        <v>0.31</v>
      </c>
      <c r="C310" t="s">
        <v>41</v>
      </c>
      <c r="D310" s="17" t="s">
        <v>38</v>
      </c>
      <c r="E310" t="s">
        <v>29</v>
      </c>
      <c r="F310" s="251" t="s">
        <v>35</v>
      </c>
      <c r="G310" t="s">
        <v>33</v>
      </c>
      <c r="H310">
        <v>2</v>
      </c>
      <c r="I310">
        <f t="shared" ref="I310" si="35">LN(B310)</f>
        <v>-1.1711829815029451</v>
      </c>
      <c r="J310">
        <v>0.22500000000000006</v>
      </c>
      <c r="K310" t="s">
        <v>31</v>
      </c>
      <c r="L310" t="s">
        <v>31</v>
      </c>
      <c r="M310" t="s">
        <v>31</v>
      </c>
      <c r="O310" s="331" t="s">
        <v>332</v>
      </c>
      <c r="P310" s="296">
        <v>0.31</v>
      </c>
    </row>
    <row r="311" spans="1:20">
      <c r="A311" s="232" t="s">
        <v>1077</v>
      </c>
      <c r="B311" s="283">
        <f t="shared" si="33"/>
        <v>1.43E-2</v>
      </c>
      <c r="C311" t="s">
        <v>37</v>
      </c>
      <c r="D311" t="s">
        <v>38</v>
      </c>
      <c r="E311" t="s">
        <v>29</v>
      </c>
      <c r="F311" t="s">
        <v>35</v>
      </c>
      <c r="G311" t="s">
        <v>33</v>
      </c>
      <c r="H311">
        <v>2</v>
      </c>
      <c r="I311">
        <f>LN(B311)</f>
        <v>-4.2474957417162758</v>
      </c>
      <c r="J311">
        <v>0.22500000000000006</v>
      </c>
      <c r="K311" t="s">
        <v>31</v>
      </c>
      <c r="L311" t="s">
        <v>31</v>
      </c>
      <c r="M311" t="s">
        <v>31</v>
      </c>
      <c r="O311" s="331" t="s">
        <v>337</v>
      </c>
      <c r="P311" s="302">
        <v>1.43E-2</v>
      </c>
    </row>
    <row r="312" spans="1:20">
      <c r="A312" t="s">
        <v>1104</v>
      </c>
      <c r="B312" s="283">
        <f t="shared" si="33"/>
        <v>3.1E-2</v>
      </c>
      <c r="C312" t="s">
        <v>37</v>
      </c>
      <c r="D312" t="s">
        <v>38</v>
      </c>
      <c r="E312" t="s">
        <v>29</v>
      </c>
      <c r="F312" t="s">
        <v>60</v>
      </c>
      <c r="G312" t="s">
        <v>33</v>
      </c>
      <c r="H312">
        <v>2</v>
      </c>
      <c r="I312">
        <f t="shared" ref="I312:I318" si="36">LN(B312)</f>
        <v>-3.473768074496991</v>
      </c>
      <c r="J312">
        <v>0.22500000000000006</v>
      </c>
      <c r="K312" t="s">
        <v>31</v>
      </c>
      <c r="L312" t="s">
        <v>31</v>
      </c>
      <c r="M312" t="s">
        <v>31</v>
      </c>
      <c r="O312" s="331" t="s">
        <v>337</v>
      </c>
      <c r="P312" s="302">
        <v>3.1E-2</v>
      </c>
    </row>
    <row r="313" spans="1:20">
      <c r="A313" s="232" t="s">
        <v>1078</v>
      </c>
      <c r="B313" s="283">
        <f t="shared" si="33"/>
        <v>1.43E-2</v>
      </c>
      <c r="C313" t="s">
        <v>37</v>
      </c>
      <c r="D313" t="s">
        <v>38</v>
      </c>
      <c r="E313" t="s">
        <v>29</v>
      </c>
      <c r="F313" t="s">
        <v>35</v>
      </c>
      <c r="G313" t="s">
        <v>33</v>
      </c>
      <c r="H313">
        <v>2</v>
      </c>
      <c r="I313">
        <f t="shared" si="36"/>
        <v>-4.2474957417162758</v>
      </c>
      <c r="J313">
        <v>0.22500000000000006</v>
      </c>
      <c r="K313" t="s">
        <v>31</v>
      </c>
      <c r="L313" t="s">
        <v>31</v>
      </c>
      <c r="M313" t="s">
        <v>31</v>
      </c>
      <c r="O313" s="331" t="s">
        <v>337</v>
      </c>
      <c r="P313" s="302">
        <v>1.43E-2</v>
      </c>
    </row>
    <row r="314" spans="1:20">
      <c r="A314" s="232" t="s">
        <v>1105</v>
      </c>
      <c r="B314" s="283">
        <f t="shared" si="33"/>
        <v>1.0699999999999999E-2</v>
      </c>
      <c r="C314" t="s">
        <v>37</v>
      </c>
      <c r="D314" t="s">
        <v>38</v>
      </c>
      <c r="E314" t="s">
        <v>29</v>
      </c>
      <c r="F314" t="s">
        <v>60</v>
      </c>
      <c r="G314" t="s">
        <v>33</v>
      </c>
      <c r="H314">
        <v>2</v>
      </c>
      <c r="I314">
        <f t="shared" si="36"/>
        <v>-4.5375115375142769</v>
      </c>
      <c r="J314">
        <v>0.22500000000000006</v>
      </c>
      <c r="K314" t="s">
        <v>31</v>
      </c>
      <c r="L314" t="s">
        <v>31</v>
      </c>
      <c r="M314" t="s">
        <v>31</v>
      </c>
      <c r="O314" s="331" t="s">
        <v>337</v>
      </c>
      <c r="P314" s="302">
        <v>1.0699999999999999E-2</v>
      </c>
    </row>
    <row r="315" spans="1:20">
      <c r="A315" s="232" t="s">
        <v>1106</v>
      </c>
      <c r="B315" s="283">
        <f t="shared" si="33"/>
        <v>3.1E-2</v>
      </c>
      <c r="C315" t="s">
        <v>37</v>
      </c>
      <c r="D315" t="s">
        <v>38</v>
      </c>
      <c r="E315" t="s">
        <v>29</v>
      </c>
      <c r="F315" t="s">
        <v>60</v>
      </c>
      <c r="G315" t="s">
        <v>33</v>
      </c>
      <c r="H315">
        <v>2</v>
      </c>
      <c r="I315">
        <f t="shared" si="36"/>
        <v>-3.473768074496991</v>
      </c>
      <c r="J315">
        <v>0.22500000000000006</v>
      </c>
      <c r="K315" t="s">
        <v>31</v>
      </c>
      <c r="L315" t="s">
        <v>31</v>
      </c>
      <c r="M315" t="s">
        <v>31</v>
      </c>
      <c r="O315" s="331" t="s">
        <v>337</v>
      </c>
      <c r="P315" s="302">
        <v>3.1E-2</v>
      </c>
    </row>
    <row r="316" spans="1:20" ht="15.75">
      <c r="A316" s="253" t="s">
        <v>933</v>
      </c>
      <c r="B316" s="283">
        <f t="shared" si="33"/>
        <v>0.57199999999999995</v>
      </c>
      <c r="C316" t="s">
        <v>37</v>
      </c>
      <c r="D316" s="17" t="s">
        <v>38</v>
      </c>
      <c r="E316" t="s">
        <v>29</v>
      </c>
      <c r="F316" s="251" t="s">
        <v>39</v>
      </c>
      <c r="G316" t="s">
        <v>33</v>
      </c>
      <c r="H316">
        <v>2</v>
      </c>
      <c r="I316">
        <f t="shared" si="36"/>
        <v>-0.55861628760233928</v>
      </c>
      <c r="J316">
        <v>0.22500000000000006</v>
      </c>
      <c r="K316" t="s">
        <v>31</v>
      </c>
      <c r="L316" t="s">
        <v>31</v>
      </c>
      <c r="M316" t="s">
        <v>31</v>
      </c>
      <c r="O316" s="331" t="s">
        <v>337</v>
      </c>
      <c r="P316" s="302">
        <v>0.57199999999999995</v>
      </c>
    </row>
    <row r="317" spans="1:20">
      <c r="A317" s="232" t="s">
        <v>941</v>
      </c>
      <c r="B317" s="283">
        <f t="shared" si="33"/>
        <v>5.4999999999999997E-3</v>
      </c>
      <c r="C317" t="s">
        <v>37</v>
      </c>
      <c r="D317" t="s">
        <v>43</v>
      </c>
      <c r="E317" t="s">
        <v>44</v>
      </c>
      <c r="F317" t="s">
        <v>29</v>
      </c>
      <c r="G317" t="s">
        <v>45</v>
      </c>
      <c r="H317">
        <v>2</v>
      </c>
      <c r="I317">
        <f t="shared" si="36"/>
        <v>-5.2030071867437115</v>
      </c>
      <c r="J317">
        <v>0.22500000000000006</v>
      </c>
      <c r="K317" t="s">
        <v>31</v>
      </c>
      <c r="L317" t="s">
        <v>31</v>
      </c>
      <c r="M317" t="s">
        <v>31</v>
      </c>
      <c r="O317" s="332" t="s">
        <v>337</v>
      </c>
      <c r="P317" s="333">
        <v>5.4999999999999997E-3</v>
      </c>
    </row>
    <row r="318" spans="1:20" ht="15.75">
      <c r="A318" s="17" t="s">
        <v>903</v>
      </c>
      <c r="B318" s="283">
        <f t="shared" si="33"/>
        <v>0.1</v>
      </c>
      <c r="C318" t="s">
        <v>37</v>
      </c>
      <c r="D318" s="326" t="s">
        <v>2</v>
      </c>
      <c r="E318" t="s">
        <v>29</v>
      </c>
      <c r="F318" s="251" t="s">
        <v>39</v>
      </c>
      <c r="G318" t="s">
        <v>33</v>
      </c>
      <c r="H318">
        <v>2</v>
      </c>
      <c r="I318">
        <f t="shared" si="36"/>
        <v>-2.3025850929940455</v>
      </c>
      <c r="J318">
        <v>0.22500000000000006</v>
      </c>
      <c r="K318" t="s">
        <v>31</v>
      </c>
      <c r="L318" t="s">
        <v>31</v>
      </c>
      <c r="M318" t="s">
        <v>31</v>
      </c>
      <c r="O318" s="334" t="s">
        <v>337</v>
      </c>
      <c r="P318" s="315">
        <v>0.1</v>
      </c>
    </row>
    <row r="319" spans="1:20" s="42" customFormat="1" ht="15.75">
      <c r="A319" s="245" t="s">
        <v>5</v>
      </c>
      <c r="B319" s="337" t="s">
        <v>1103</v>
      </c>
    </row>
    <row r="320" spans="1:20">
      <c r="A320" s="247" t="s">
        <v>7</v>
      </c>
      <c r="B320" t="s">
        <v>902</v>
      </c>
      <c r="C320" s="23"/>
    </row>
    <row r="321" spans="1:20">
      <c r="A321" s="433" t="s">
        <v>9</v>
      </c>
      <c r="B321" t="s">
        <v>1107</v>
      </c>
      <c r="C321" s="23"/>
    </row>
    <row r="322" spans="1:20" ht="15.75" customHeight="1">
      <c r="A322" s="247" t="s">
        <v>11</v>
      </c>
      <c r="B322" s="249" t="s">
        <v>913</v>
      </c>
    </row>
    <row r="323" spans="1:20">
      <c r="A323" s="247" t="s">
        <v>13</v>
      </c>
      <c r="B323" t="s">
        <v>14</v>
      </c>
    </row>
    <row r="324" spans="1:20">
      <c r="A324" s="247" t="s">
        <v>15</v>
      </c>
      <c r="B324" s="283">
        <f>B329</f>
        <v>2.4E-2</v>
      </c>
    </row>
    <row r="325" spans="1:20">
      <c r="A325" s="247" t="s">
        <v>16</v>
      </c>
      <c r="B325" t="s">
        <v>17</v>
      </c>
    </row>
    <row r="326" spans="1:20">
      <c r="A326" s="247" t="s">
        <v>18</v>
      </c>
      <c r="B326" t="s">
        <v>206</v>
      </c>
    </row>
    <row r="327" spans="1:20" ht="15.75">
      <c r="A327" s="252" t="s">
        <v>19</v>
      </c>
    </row>
    <row r="328" spans="1:20" ht="15.75">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283"/>
    </row>
    <row r="329" spans="1:20" ht="15.75">
      <c r="A329" t="s">
        <v>1103</v>
      </c>
      <c r="B329" s="283">
        <f>P330</f>
        <v>2.4E-2</v>
      </c>
      <c r="C329" t="s">
        <v>206</v>
      </c>
      <c r="D329" s="326" t="s">
        <v>2</v>
      </c>
      <c r="E329" t="s">
        <v>29</v>
      </c>
      <c r="F329" t="s">
        <v>14</v>
      </c>
      <c r="G329" t="s">
        <v>30</v>
      </c>
      <c r="H329">
        <v>1</v>
      </c>
      <c r="I329" s="283">
        <f t="shared" ref="I329:I331" si="37">B329</f>
        <v>2.4E-2</v>
      </c>
      <c r="J329" t="s">
        <v>31</v>
      </c>
      <c r="K329" t="s">
        <v>31</v>
      </c>
      <c r="L329" t="s">
        <v>31</v>
      </c>
      <c r="M329" t="s">
        <v>31</v>
      </c>
    </row>
    <row r="330" spans="1:20" ht="15.75">
      <c r="A330" s="30" t="s">
        <v>1108</v>
      </c>
      <c r="B330" s="283">
        <f>P330</f>
        <v>2.4E-2</v>
      </c>
      <c r="C330" t="s">
        <v>206</v>
      </c>
      <c r="D330" s="326" t="s">
        <v>2</v>
      </c>
      <c r="E330" t="s">
        <v>29</v>
      </c>
      <c r="F330" t="s">
        <v>14</v>
      </c>
      <c r="G330" t="s">
        <v>33</v>
      </c>
      <c r="H330">
        <v>1</v>
      </c>
      <c r="I330" s="283">
        <f t="shared" si="37"/>
        <v>2.4E-2</v>
      </c>
      <c r="J330">
        <v>2.8722813232690055E-2</v>
      </c>
      <c r="K330" t="s">
        <v>31</v>
      </c>
      <c r="L330" t="s">
        <v>31</v>
      </c>
      <c r="M330" t="s">
        <v>31</v>
      </c>
      <c r="O330" s="449" t="s">
        <v>963</v>
      </c>
      <c r="P330" s="471">
        <v>2.4E-2</v>
      </c>
    </row>
    <row r="331" spans="1:20" ht="15.75">
      <c r="A331" s="30" t="s">
        <v>915</v>
      </c>
      <c r="B331">
        <f>R331</f>
        <v>0.248</v>
      </c>
      <c r="C331" t="s">
        <v>337</v>
      </c>
      <c r="D331" s="326" t="s">
        <v>2</v>
      </c>
      <c r="E331" t="s">
        <v>29</v>
      </c>
      <c r="F331" t="s">
        <v>14</v>
      </c>
      <c r="G331" t="s">
        <v>33</v>
      </c>
      <c r="H331">
        <v>1</v>
      </c>
      <c r="I331" s="283">
        <f t="shared" si="37"/>
        <v>0.248</v>
      </c>
      <c r="J331">
        <v>2.8722813232690055E-2</v>
      </c>
      <c r="K331" t="s">
        <v>31</v>
      </c>
      <c r="L331" t="s">
        <v>31</v>
      </c>
      <c r="M331" t="s">
        <v>31</v>
      </c>
      <c r="O331" s="449" t="s">
        <v>947</v>
      </c>
      <c r="P331" s="371">
        <v>248</v>
      </c>
      <c r="Q331" t="s">
        <v>337</v>
      </c>
      <c r="R331">
        <f>P331*0.001</f>
        <v>0.248</v>
      </c>
    </row>
    <row r="332" spans="1:20" ht="15.75">
      <c r="A332" s="253" t="s">
        <v>40</v>
      </c>
      <c r="B332" s="336">
        <f>P332</f>
        <v>0.02</v>
      </c>
      <c r="C332" t="s">
        <v>41</v>
      </c>
      <c r="D332" s="17" t="s">
        <v>38</v>
      </c>
      <c r="E332" t="s">
        <v>29</v>
      </c>
      <c r="F332" s="251" t="s">
        <v>35</v>
      </c>
      <c r="G332" t="s">
        <v>33</v>
      </c>
      <c r="H332">
        <v>2</v>
      </c>
      <c r="I332">
        <f t="shared" ref="I332:I334" si="38">LN(B332)</f>
        <v>-3.912023005428146</v>
      </c>
      <c r="J332">
        <v>0.20928449536456342</v>
      </c>
      <c r="K332" t="s">
        <v>31</v>
      </c>
      <c r="L332" t="s">
        <v>31</v>
      </c>
      <c r="M332" t="s">
        <v>31</v>
      </c>
      <c r="O332" s="331" t="s">
        <v>332</v>
      </c>
      <c r="P332" s="302">
        <v>0.02</v>
      </c>
    </row>
    <row r="333" spans="1:20" ht="15.75">
      <c r="A333" s="253" t="s">
        <v>40</v>
      </c>
      <c r="B333" s="336">
        <f>P333</f>
        <v>1.41</v>
      </c>
      <c r="C333" t="s">
        <v>41</v>
      </c>
      <c r="D333" s="17" t="s">
        <v>38</v>
      </c>
      <c r="E333" t="s">
        <v>29</v>
      </c>
      <c r="F333" s="251" t="s">
        <v>35</v>
      </c>
      <c r="G333" t="s">
        <v>33</v>
      </c>
      <c r="H333">
        <v>2</v>
      </c>
      <c r="I333">
        <f t="shared" si="38"/>
        <v>0.34358970439007686</v>
      </c>
      <c r="J333">
        <v>0.20928449536456342</v>
      </c>
      <c r="K333" t="s">
        <v>31</v>
      </c>
      <c r="L333" t="s">
        <v>31</v>
      </c>
      <c r="M333" t="s">
        <v>31</v>
      </c>
      <c r="O333" s="331" t="s">
        <v>332</v>
      </c>
      <c r="P333" s="296">
        <v>1.41</v>
      </c>
    </row>
    <row r="334" spans="1:20" ht="15.75">
      <c r="A334" s="253" t="s">
        <v>40</v>
      </c>
      <c r="B334" s="336">
        <f>P334</f>
        <v>0.36</v>
      </c>
      <c r="C334" t="s">
        <v>41</v>
      </c>
      <c r="D334" s="17" t="s">
        <v>38</v>
      </c>
      <c r="E334" t="s">
        <v>29</v>
      </c>
      <c r="F334" s="251" t="s">
        <v>35</v>
      </c>
      <c r="G334" t="s">
        <v>33</v>
      </c>
      <c r="H334">
        <v>2</v>
      </c>
      <c r="I334">
        <f t="shared" si="38"/>
        <v>-1.0216512475319814</v>
      </c>
      <c r="J334">
        <v>9.6436507609929598E-2</v>
      </c>
      <c r="K334" t="s">
        <v>31</v>
      </c>
      <c r="L334" t="s">
        <v>31</v>
      </c>
      <c r="M334" t="s">
        <v>31</v>
      </c>
      <c r="O334" s="331" t="s">
        <v>332</v>
      </c>
      <c r="P334" s="296">
        <v>0.36</v>
      </c>
    </row>
    <row r="335" spans="1:20">
      <c r="A335" s="232" t="s">
        <v>1077</v>
      </c>
      <c r="B335" s="283">
        <f>R335</f>
        <v>2E-3</v>
      </c>
      <c r="C335" t="s">
        <v>37</v>
      </c>
      <c r="D335" t="s">
        <v>38</v>
      </c>
      <c r="E335" t="s">
        <v>29</v>
      </c>
      <c r="F335" t="s">
        <v>35</v>
      </c>
      <c r="G335" t="s">
        <v>33</v>
      </c>
      <c r="H335">
        <v>2</v>
      </c>
      <c r="I335">
        <f>LN(B335)</f>
        <v>-6.2146080984221914</v>
      </c>
      <c r="J335">
        <v>0.20928449536456342</v>
      </c>
      <c r="K335" t="s">
        <v>31</v>
      </c>
      <c r="L335" t="s">
        <v>31</v>
      </c>
      <c r="M335" t="s">
        <v>31</v>
      </c>
      <c r="O335" s="331" t="s">
        <v>947</v>
      </c>
      <c r="P335" s="296">
        <v>2</v>
      </c>
      <c r="Q335" t="s">
        <v>337</v>
      </c>
      <c r="R335">
        <f>P335*0.001</f>
        <v>2E-3</v>
      </c>
    </row>
    <row r="336" spans="1:20" ht="15.75">
      <c r="A336" s="253" t="s">
        <v>933</v>
      </c>
      <c r="B336" s="283">
        <f>P336</f>
        <v>0.02</v>
      </c>
      <c r="C336" t="s">
        <v>37</v>
      </c>
      <c r="D336" s="17" t="s">
        <v>38</v>
      </c>
      <c r="E336" t="s">
        <v>29</v>
      </c>
      <c r="F336" s="251" t="s">
        <v>39</v>
      </c>
      <c r="G336" t="s">
        <v>33</v>
      </c>
      <c r="H336">
        <v>2</v>
      </c>
      <c r="I336">
        <f>LN(B336)</f>
        <v>-3.912023005428146</v>
      </c>
      <c r="J336">
        <v>0.20928449536456342</v>
      </c>
      <c r="K336" t="s">
        <v>31</v>
      </c>
      <c r="L336" t="s">
        <v>31</v>
      </c>
      <c r="M336" t="s">
        <v>31</v>
      </c>
      <c r="O336" s="331" t="s">
        <v>337</v>
      </c>
      <c r="P336" s="302">
        <v>0.02</v>
      </c>
    </row>
    <row r="337" spans="1:20" ht="15.75">
      <c r="A337" s="232" t="s">
        <v>1109</v>
      </c>
      <c r="B337" s="465">
        <f>R337</f>
        <v>3.6000000000000003E-3</v>
      </c>
      <c r="C337" t="s">
        <v>37</v>
      </c>
      <c r="D337" s="17" t="s">
        <v>38</v>
      </c>
      <c r="E337" t="s">
        <v>29</v>
      </c>
      <c r="F337" s="251" t="s">
        <v>86</v>
      </c>
      <c r="G337" t="s">
        <v>33</v>
      </c>
      <c r="H337">
        <v>2</v>
      </c>
      <c r="I337">
        <f>LN(B337)</f>
        <v>-5.6268214335200728</v>
      </c>
      <c r="J337">
        <v>0.20928449536456342</v>
      </c>
      <c r="K337" t="s">
        <v>31</v>
      </c>
      <c r="L337" t="s">
        <v>31</v>
      </c>
      <c r="M337" t="s">
        <v>31</v>
      </c>
      <c r="O337" s="331" t="s">
        <v>947</v>
      </c>
      <c r="P337" s="296">
        <v>3.6</v>
      </c>
      <c r="Q337" t="s">
        <v>337</v>
      </c>
      <c r="R337">
        <f>P337*0.001</f>
        <v>3.6000000000000003E-3</v>
      </c>
    </row>
    <row r="338" spans="1:20">
      <c r="A338" s="232" t="s">
        <v>1078</v>
      </c>
      <c r="B338">
        <f>R338</f>
        <v>6.0000000000000001E-3</v>
      </c>
      <c r="C338" t="s">
        <v>37</v>
      </c>
      <c r="D338" t="s">
        <v>38</v>
      </c>
      <c r="E338" t="s">
        <v>29</v>
      </c>
      <c r="F338" t="s">
        <v>35</v>
      </c>
      <c r="G338" t="s">
        <v>33</v>
      </c>
      <c r="H338">
        <v>2</v>
      </c>
      <c r="I338">
        <f>LN(B338)</f>
        <v>-5.1159958097540823</v>
      </c>
      <c r="J338">
        <v>0.20928449536456342</v>
      </c>
      <c r="K338" t="s">
        <v>31</v>
      </c>
      <c r="L338" t="s">
        <v>31</v>
      </c>
      <c r="M338" t="s">
        <v>31</v>
      </c>
      <c r="O338" s="331" t="s">
        <v>947</v>
      </c>
      <c r="P338" s="296">
        <v>6</v>
      </c>
      <c r="Q338" t="s">
        <v>337</v>
      </c>
      <c r="R338">
        <f>P338*0.001</f>
        <v>6.0000000000000001E-3</v>
      </c>
    </row>
    <row r="339" spans="1:20" ht="15.75">
      <c r="A339" s="253" t="s">
        <v>934</v>
      </c>
      <c r="B339">
        <f>P339</f>
        <v>4.2</v>
      </c>
      <c r="C339" t="s">
        <v>37</v>
      </c>
      <c r="D339" s="17" t="s">
        <v>38</v>
      </c>
      <c r="E339" t="s">
        <v>29</v>
      </c>
      <c r="F339" s="251" t="s">
        <v>35</v>
      </c>
      <c r="G339" t="s">
        <v>33</v>
      </c>
      <c r="H339">
        <v>2</v>
      </c>
      <c r="I339">
        <f t="shared" ref="I339:I340" si="39">LN(B339)</f>
        <v>1.4350845252893227</v>
      </c>
      <c r="J339">
        <v>0.20928449536456342</v>
      </c>
      <c r="K339" t="s">
        <v>31</v>
      </c>
      <c r="L339" t="s">
        <v>31</v>
      </c>
      <c r="M339" t="s">
        <v>31</v>
      </c>
      <c r="O339" s="331" t="s">
        <v>337</v>
      </c>
      <c r="P339" s="296">
        <v>4.2</v>
      </c>
    </row>
    <row r="340" spans="1:20" ht="15.75">
      <c r="A340" s="17" t="s">
        <v>903</v>
      </c>
      <c r="B340" s="283">
        <f>P340</f>
        <v>1.2E-2</v>
      </c>
      <c r="C340" t="s">
        <v>37</v>
      </c>
      <c r="D340" s="326" t="s">
        <v>2</v>
      </c>
      <c r="E340" t="s">
        <v>29</v>
      </c>
      <c r="F340" s="251" t="s">
        <v>39</v>
      </c>
      <c r="G340" t="s">
        <v>33</v>
      </c>
      <c r="H340">
        <v>2</v>
      </c>
      <c r="I340">
        <f t="shared" si="39"/>
        <v>-4.4228486291941369</v>
      </c>
      <c r="J340">
        <v>0.20928449536456342</v>
      </c>
      <c r="K340" t="s">
        <v>31</v>
      </c>
      <c r="L340" t="s">
        <v>31</v>
      </c>
      <c r="M340" t="s">
        <v>31</v>
      </c>
      <c r="O340" s="334" t="s">
        <v>337</v>
      </c>
      <c r="P340" s="315">
        <v>1.2E-2</v>
      </c>
    </row>
    <row r="341" spans="1:20" s="42" customFormat="1" ht="15.75">
      <c r="A341" s="245" t="s">
        <v>5</v>
      </c>
      <c r="B341" s="337" t="s">
        <v>1108</v>
      </c>
      <c r="P341" s="358"/>
    </row>
    <row r="342" spans="1:20">
      <c r="A342" s="247" t="s">
        <v>7</v>
      </c>
      <c r="B342" t="s">
        <v>902</v>
      </c>
      <c r="C342" s="23"/>
    </row>
    <row r="343" spans="1:20">
      <c r="A343" s="433" t="s">
        <v>9</v>
      </c>
      <c r="B343" t="s">
        <v>1110</v>
      </c>
      <c r="C343" s="23"/>
    </row>
    <row r="344" spans="1:20" ht="15.75" customHeight="1">
      <c r="A344" s="247" t="s">
        <v>11</v>
      </c>
      <c r="B344" s="249" t="s">
        <v>913</v>
      </c>
    </row>
    <row r="345" spans="1:20">
      <c r="A345" s="247" t="s">
        <v>13</v>
      </c>
      <c r="B345" t="s">
        <v>14</v>
      </c>
    </row>
    <row r="346" spans="1:20">
      <c r="A346" s="247" t="s">
        <v>15</v>
      </c>
      <c r="B346" s="283">
        <f>B351</f>
        <v>2.4E-2</v>
      </c>
    </row>
    <row r="347" spans="1:20">
      <c r="A347" s="247" t="s">
        <v>16</v>
      </c>
      <c r="B347" t="s">
        <v>17</v>
      </c>
    </row>
    <row r="348" spans="1:20">
      <c r="A348" s="247" t="s">
        <v>18</v>
      </c>
      <c r="B348" t="s">
        <v>206</v>
      </c>
    </row>
    <row r="349" spans="1:20" ht="15.75">
      <c r="A349" s="252" t="s">
        <v>19</v>
      </c>
    </row>
    <row r="350" spans="1:20" ht="15.75">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283"/>
    </row>
    <row r="351" spans="1:20" ht="15.75">
      <c r="A351" s="30" t="s">
        <v>1108</v>
      </c>
      <c r="B351" s="283">
        <f>P351</f>
        <v>2.4E-2</v>
      </c>
      <c r="C351" t="s">
        <v>206</v>
      </c>
      <c r="D351" s="326" t="s">
        <v>2</v>
      </c>
      <c r="E351" t="s">
        <v>29</v>
      </c>
      <c r="F351" t="s">
        <v>14</v>
      </c>
      <c r="G351" t="s">
        <v>30</v>
      </c>
      <c r="H351">
        <v>1</v>
      </c>
      <c r="I351" s="283">
        <f>B351</f>
        <v>2.4E-2</v>
      </c>
      <c r="J351" t="s">
        <v>31</v>
      </c>
      <c r="K351" t="s">
        <v>31</v>
      </c>
      <c r="L351" t="s">
        <v>31</v>
      </c>
      <c r="M351" t="s">
        <v>31</v>
      </c>
      <c r="O351" s="449" t="s">
        <v>963</v>
      </c>
      <c r="P351" s="358">
        <v>2.4E-2</v>
      </c>
    </row>
    <row r="352" spans="1:20">
      <c r="A352" s="232" t="s">
        <v>995</v>
      </c>
      <c r="B352">
        <f>P352</f>
        <v>0.05</v>
      </c>
      <c r="C352" t="s">
        <v>37</v>
      </c>
      <c r="D352" t="s">
        <v>38</v>
      </c>
      <c r="E352" t="s">
        <v>29</v>
      </c>
      <c r="F352" t="s">
        <v>86</v>
      </c>
      <c r="G352" t="s">
        <v>33</v>
      </c>
      <c r="H352">
        <v>2</v>
      </c>
      <c r="I352">
        <f t="shared" ref="I352:I362" si="40">LN(B352)</f>
        <v>-2.9957322735539909</v>
      </c>
      <c r="J352" s="330">
        <v>0.22516660498395411</v>
      </c>
      <c r="K352" t="s">
        <v>31</v>
      </c>
      <c r="L352" t="s">
        <v>31</v>
      </c>
      <c r="M352" t="s">
        <v>31</v>
      </c>
      <c r="O352" s="331" t="s">
        <v>337</v>
      </c>
      <c r="P352" s="296">
        <v>0.05</v>
      </c>
    </row>
    <row r="353" spans="1:18" ht="15.75">
      <c r="A353" s="253" t="s">
        <v>40</v>
      </c>
      <c r="B353" s="336">
        <f>P353</f>
        <v>0.5</v>
      </c>
      <c r="C353" t="s">
        <v>41</v>
      </c>
      <c r="D353" s="17" t="s">
        <v>38</v>
      </c>
      <c r="E353" t="s">
        <v>29</v>
      </c>
      <c r="F353" s="251" t="s">
        <v>35</v>
      </c>
      <c r="G353" t="s">
        <v>33</v>
      </c>
      <c r="H353">
        <v>2</v>
      </c>
      <c r="I353">
        <f t="shared" si="40"/>
        <v>-0.69314718055994529</v>
      </c>
      <c r="J353" s="330">
        <v>0.22516660498395411</v>
      </c>
      <c r="K353" t="s">
        <v>31</v>
      </c>
      <c r="L353" t="s">
        <v>31</v>
      </c>
      <c r="M353" t="s">
        <v>31</v>
      </c>
      <c r="O353" s="331" t="s">
        <v>332</v>
      </c>
      <c r="P353" s="296">
        <v>0.5</v>
      </c>
    </row>
    <row r="354" spans="1:18" ht="15.75">
      <c r="A354" s="232" t="s">
        <v>1111</v>
      </c>
      <c r="B354" s="283">
        <f>R354</f>
        <v>8.3000000000000001E-4</v>
      </c>
      <c r="C354" t="s">
        <v>37</v>
      </c>
      <c r="D354" s="17" t="s">
        <v>38</v>
      </c>
      <c r="E354" t="s">
        <v>29</v>
      </c>
      <c r="F354" t="s">
        <v>35</v>
      </c>
      <c r="G354" t="s">
        <v>33</v>
      </c>
      <c r="H354">
        <v>2</v>
      </c>
      <c r="I354">
        <f t="shared" si="40"/>
        <v>-7.0940848571736304</v>
      </c>
      <c r="J354" s="330">
        <v>0.22516660498395411</v>
      </c>
      <c r="K354" t="s">
        <v>31</v>
      </c>
      <c r="L354" t="s">
        <v>31</v>
      </c>
      <c r="M354" t="s">
        <v>31</v>
      </c>
      <c r="O354" s="331" t="s">
        <v>947</v>
      </c>
      <c r="P354" s="302">
        <v>0.83</v>
      </c>
      <c r="Q354" t="s">
        <v>337</v>
      </c>
      <c r="R354" s="283">
        <f>0.001*P354</f>
        <v>8.3000000000000001E-4</v>
      </c>
    </row>
    <row r="355" spans="1:18" ht="15.75">
      <c r="A355" s="232" t="s">
        <v>1112</v>
      </c>
      <c r="B355" s="283">
        <f>P355</f>
        <v>4.1000000000000003E-3</v>
      </c>
      <c r="C355" t="s">
        <v>37</v>
      </c>
      <c r="D355" s="17" t="s">
        <v>38</v>
      </c>
      <c r="E355" t="s">
        <v>29</v>
      </c>
      <c r="F355" t="s">
        <v>35</v>
      </c>
      <c r="G355" t="s">
        <v>33</v>
      </c>
      <c r="H355">
        <v>2</v>
      </c>
      <c r="I355">
        <f t="shared" si="40"/>
        <v>-5.4967683052718748</v>
      </c>
      <c r="J355" s="330">
        <v>0.22516660498395411</v>
      </c>
      <c r="K355" t="s">
        <v>31</v>
      </c>
      <c r="L355" t="s">
        <v>31</v>
      </c>
      <c r="M355" t="s">
        <v>31</v>
      </c>
      <c r="O355" s="331" t="s">
        <v>337</v>
      </c>
      <c r="P355" s="302">
        <v>4.1000000000000003E-3</v>
      </c>
    </row>
    <row r="356" spans="1:18" ht="15.75">
      <c r="A356" s="232" t="s">
        <v>1113</v>
      </c>
      <c r="B356" s="283">
        <f>P356</f>
        <v>3.3E-3</v>
      </c>
      <c r="C356" t="s">
        <v>37</v>
      </c>
      <c r="D356" s="17" t="s">
        <v>38</v>
      </c>
      <c r="E356" t="s">
        <v>29</v>
      </c>
      <c r="F356" t="s">
        <v>35</v>
      </c>
      <c r="G356" t="s">
        <v>33</v>
      </c>
      <c r="H356">
        <v>2</v>
      </c>
      <c r="I356">
        <f t="shared" si="40"/>
        <v>-5.7138328105097029</v>
      </c>
      <c r="J356" s="330">
        <v>0.22516660498395411</v>
      </c>
      <c r="K356" t="s">
        <v>31</v>
      </c>
      <c r="L356" t="s">
        <v>31</v>
      </c>
      <c r="M356" t="s">
        <v>31</v>
      </c>
      <c r="O356" s="331" t="s">
        <v>337</v>
      </c>
      <c r="P356" s="302">
        <v>3.3E-3</v>
      </c>
    </row>
    <row r="357" spans="1:18" ht="15.75">
      <c r="A357" s="232" t="s">
        <v>1114</v>
      </c>
      <c r="B357" s="283">
        <f>P357</f>
        <v>2.9000000000000001E-2</v>
      </c>
      <c r="C357" t="s">
        <v>37</v>
      </c>
      <c r="D357" s="17" t="s">
        <v>38</v>
      </c>
      <c r="E357" t="s">
        <v>29</v>
      </c>
      <c r="F357" t="s">
        <v>35</v>
      </c>
      <c r="G357" t="s">
        <v>33</v>
      </c>
      <c r="H357">
        <v>2</v>
      </c>
      <c r="I357">
        <f t="shared" si="40"/>
        <v>-3.5404594489956631</v>
      </c>
      <c r="J357" s="330">
        <v>0.22516660498395411</v>
      </c>
      <c r="K357" t="s">
        <v>31</v>
      </c>
      <c r="L357" t="s">
        <v>31</v>
      </c>
      <c r="M357" t="s">
        <v>31</v>
      </c>
      <c r="O357" s="331" t="s">
        <v>337</v>
      </c>
      <c r="P357" s="296">
        <v>2.9000000000000001E-2</v>
      </c>
    </row>
    <row r="358" spans="1:18" ht="15.75">
      <c r="A358" s="232" t="s">
        <v>1115</v>
      </c>
      <c r="B358" s="283">
        <f>R358</f>
        <v>1.7000000000000001E-4</v>
      </c>
      <c r="C358" t="s">
        <v>37</v>
      </c>
      <c r="D358" s="17" t="s">
        <v>43</v>
      </c>
      <c r="E358" t="s">
        <v>44</v>
      </c>
      <c r="F358" t="s">
        <v>29</v>
      </c>
      <c r="G358" t="s">
        <v>45</v>
      </c>
      <c r="H358">
        <v>2</v>
      </c>
      <c r="I358">
        <f t="shared" si="40"/>
        <v>-8.6797121209140116</v>
      </c>
      <c r="J358" s="330">
        <v>0.10344080432788608</v>
      </c>
      <c r="K358" t="s">
        <v>31</v>
      </c>
      <c r="L358" t="s">
        <v>31</v>
      </c>
      <c r="M358" t="s">
        <v>31</v>
      </c>
      <c r="O358" s="332" t="s">
        <v>947</v>
      </c>
      <c r="P358" s="333">
        <v>0.17</v>
      </c>
      <c r="Q358" t="s">
        <v>337</v>
      </c>
      <c r="R358" s="283">
        <f>0.001*P358</f>
        <v>1.7000000000000001E-4</v>
      </c>
    </row>
    <row r="359" spans="1:18" ht="15.75">
      <c r="A359" s="232" t="s">
        <v>48</v>
      </c>
      <c r="B359" s="283">
        <f t="shared" ref="B359:B361" si="41">R359</f>
        <v>2E-3</v>
      </c>
      <c r="C359" t="s">
        <v>37</v>
      </c>
      <c r="D359" s="17" t="s">
        <v>43</v>
      </c>
      <c r="E359" t="s">
        <v>44</v>
      </c>
      <c r="F359" t="s">
        <v>29</v>
      </c>
      <c r="G359" t="s">
        <v>45</v>
      </c>
      <c r="H359">
        <v>2</v>
      </c>
      <c r="I359">
        <f t="shared" si="40"/>
        <v>-6.2146080984221914</v>
      </c>
      <c r="J359" s="330">
        <v>0.10344080432788608</v>
      </c>
      <c r="K359" t="s">
        <v>31</v>
      </c>
      <c r="L359" t="s">
        <v>31</v>
      </c>
      <c r="M359" t="s">
        <v>31</v>
      </c>
      <c r="O359" s="332" t="s">
        <v>947</v>
      </c>
      <c r="P359" s="333">
        <v>2</v>
      </c>
      <c r="Q359" t="s">
        <v>337</v>
      </c>
      <c r="R359" s="283">
        <f>0.001*P359</f>
        <v>2E-3</v>
      </c>
    </row>
    <row r="360" spans="1:18" ht="15.75">
      <c r="A360" s="232" t="s">
        <v>46</v>
      </c>
      <c r="B360" s="283">
        <f t="shared" si="41"/>
        <v>1E-3</v>
      </c>
      <c r="C360" t="s">
        <v>37</v>
      </c>
      <c r="D360" s="17" t="s">
        <v>43</v>
      </c>
      <c r="E360" t="s">
        <v>44</v>
      </c>
      <c r="F360" t="s">
        <v>29</v>
      </c>
      <c r="G360" t="s">
        <v>45</v>
      </c>
      <c r="H360">
        <v>2</v>
      </c>
      <c r="I360">
        <f t="shared" si="40"/>
        <v>-6.9077552789821368</v>
      </c>
      <c r="J360" s="330">
        <v>0.10344080432788608</v>
      </c>
      <c r="K360" t="s">
        <v>31</v>
      </c>
      <c r="L360" t="s">
        <v>31</v>
      </c>
      <c r="M360" t="s">
        <v>31</v>
      </c>
      <c r="O360" s="332" t="s">
        <v>947</v>
      </c>
      <c r="P360" s="333">
        <v>1</v>
      </c>
      <c r="Q360" t="s">
        <v>337</v>
      </c>
      <c r="R360" s="283">
        <f>0.001*P360</f>
        <v>1E-3</v>
      </c>
    </row>
    <row r="361" spans="1:18">
      <c r="A361" s="232" t="s">
        <v>941</v>
      </c>
      <c r="B361" s="283">
        <f t="shared" si="41"/>
        <v>6.7000000000000002E-4</v>
      </c>
      <c r="C361" t="s">
        <v>37</v>
      </c>
      <c r="D361" t="s">
        <v>43</v>
      </c>
      <c r="E361" t="s">
        <v>44</v>
      </c>
      <c r="F361" t="s">
        <v>29</v>
      </c>
      <c r="G361" t="s">
        <v>45</v>
      </c>
      <c r="H361">
        <v>2</v>
      </c>
      <c r="I361">
        <f t="shared" si="40"/>
        <v>-7.308232845579262</v>
      </c>
      <c r="J361" s="330">
        <v>0.10344080432788608</v>
      </c>
      <c r="K361" t="s">
        <v>31</v>
      </c>
      <c r="L361" t="s">
        <v>31</v>
      </c>
      <c r="M361" t="s">
        <v>31</v>
      </c>
      <c r="O361" s="332" t="s">
        <v>947</v>
      </c>
      <c r="P361" s="333">
        <v>0.67</v>
      </c>
      <c r="Q361" t="s">
        <v>337</v>
      </c>
      <c r="R361" s="283">
        <f>0.001*P361</f>
        <v>6.7000000000000002E-4</v>
      </c>
    </row>
    <row r="362" spans="1:18" ht="15.75">
      <c r="A362" s="17" t="s">
        <v>908</v>
      </c>
      <c r="B362" s="283">
        <f>P362</f>
        <v>9.1000000000000004E-3</v>
      </c>
      <c r="C362" t="s">
        <v>37</v>
      </c>
      <c r="D362" s="326" t="s">
        <v>2</v>
      </c>
      <c r="E362" t="s">
        <v>29</v>
      </c>
      <c r="F362" s="251" t="s">
        <v>39</v>
      </c>
      <c r="G362" t="s">
        <v>33</v>
      </c>
      <c r="H362">
        <v>2</v>
      </c>
      <c r="I362">
        <f t="shared" si="40"/>
        <v>-4.699480865459333</v>
      </c>
      <c r="J362">
        <v>0.11269427669584645</v>
      </c>
      <c r="K362" t="s">
        <v>31</v>
      </c>
      <c r="L362" t="s">
        <v>31</v>
      </c>
      <c r="M362" t="s">
        <v>31</v>
      </c>
      <c r="O362" s="334" t="s">
        <v>337</v>
      </c>
      <c r="P362" s="315">
        <v>9.1000000000000004E-3</v>
      </c>
    </row>
    <row r="363" spans="1:18">
      <c r="P363" s="358"/>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52F6-3A17-48E5-953D-4A9994F1C230}">
  <sheetPr>
    <tabColor theme="8" tint="0.79998168889431442"/>
  </sheetPr>
  <dimension ref="A1:AC41"/>
  <sheetViews>
    <sheetView topLeftCell="B1"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199B1F0D72AD4DC7A12D0454F5CF61EA</v>
      </c>
    </row>
    <row r="2" spans="1:26" ht="15.75">
      <c r="A2" s="245" t="s">
        <v>5</v>
      </c>
      <c r="B2" s="246" t="s">
        <v>1116</v>
      </c>
      <c r="C2" s="120"/>
      <c r="D2" s="42"/>
      <c r="E2" s="42"/>
      <c r="F2" s="42"/>
      <c r="G2" s="42"/>
      <c r="H2" s="42"/>
      <c r="I2" s="42"/>
      <c r="J2" s="42"/>
      <c r="K2" s="42"/>
      <c r="L2" s="42"/>
      <c r="M2" s="42"/>
    </row>
    <row r="3" spans="1:26">
      <c r="A3" s="247" t="s">
        <v>7</v>
      </c>
      <c r="B3" t="s">
        <v>902</v>
      </c>
      <c r="C3" s="23"/>
    </row>
    <row r="4" spans="1:26">
      <c r="A4" s="247" t="s">
        <v>9</v>
      </c>
      <c r="B4" t="s">
        <v>1117</v>
      </c>
      <c r="C4" s="23"/>
    </row>
    <row r="5" spans="1:26" ht="30">
      <c r="A5" s="247" t="s">
        <v>11</v>
      </c>
      <c r="B5" s="249" t="s">
        <v>975</v>
      </c>
    </row>
    <row r="6" spans="1:26">
      <c r="A6" s="247" t="s">
        <v>13</v>
      </c>
      <c r="B6" t="s">
        <v>14</v>
      </c>
    </row>
    <row r="7" spans="1:26">
      <c r="A7" s="247" t="s">
        <v>15</v>
      </c>
      <c r="B7">
        <v>1</v>
      </c>
    </row>
    <row r="8" spans="1:26">
      <c r="A8" s="247" t="s">
        <v>16</v>
      </c>
      <c r="B8" t="s">
        <v>17</v>
      </c>
    </row>
    <row r="9" spans="1:26">
      <c r="A9" s="247" t="s">
        <v>18</v>
      </c>
      <c r="B9" t="s">
        <v>18</v>
      </c>
    </row>
    <row r="10" spans="1:26" ht="15.75">
      <c r="A10" s="252" t="s">
        <v>19</v>
      </c>
    </row>
    <row r="11" spans="1:26" ht="15.75">
      <c r="A11" s="252"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75">
      <c r="A12" s="246" t="s">
        <v>1116</v>
      </c>
      <c r="B12">
        <v>1</v>
      </c>
      <c r="C12" t="s">
        <v>18</v>
      </c>
      <c r="D12" s="17" t="s">
        <v>2</v>
      </c>
      <c r="E12" t="s">
        <v>29</v>
      </c>
      <c r="F12" s="251" t="s">
        <v>14</v>
      </c>
      <c r="G12" t="s">
        <v>30</v>
      </c>
      <c r="H12">
        <v>1</v>
      </c>
      <c r="I12">
        <v>1</v>
      </c>
      <c r="J12" t="s">
        <v>31</v>
      </c>
      <c r="K12" t="s">
        <v>31</v>
      </c>
      <c r="L12" t="s">
        <v>31</v>
      </c>
      <c r="M12" t="s">
        <v>31</v>
      </c>
    </row>
    <row r="13" spans="1:26" ht="15.75">
      <c r="A13" s="448" t="s">
        <v>927</v>
      </c>
      <c r="B13">
        <f>Z13</f>
        <v>7.8E-2</v>
      </c>
      <c r="C13" t="s">
        <v>37</v>
      </c>
      <c r="D13" s="17" t="s">
        <v>2</v>
      </c>
      <c r="E13" t="s">
        <v>29</v>
      </c>
      <c r="F13" s="251" t="s">
        <v>14</v>
      </c>
      <c r="G13" t="s">
        <v>33</v>
      </c>
      <c r="H13">
        <v>1</v>
      </c>
      <c r="I13">
        <f>B13</f>
        <v>7.8E-2</v>
      </c>
      <c r="J13" t="s">
        <v>31</v>
      </c>
      <c r="K13" t="s">
        <v>31</v>
      </c>
      <c r="L13" t="s">
        <v>31</v>
      </c>
      <c r="M13" t="s">
        <v>31</v>
      </c>
      <c r="U13" s="449" t="s">
        <v>976</v>
      </c>
      <c r="V13" s="449" t="s">
        <v>947</v>
      </c>
      <c r="W13" s="359">
        <v>78</v>
      </c>
      <c r="Y13" t="s">
        <v>337</v>
      </c>
      <c r="Z13">
        <f>0.001*W13</f>
        <v>7.8E-2</v>
      </c>
    </row>
    <row r="14" spans="1:26" ht="15.75">
      <c r="A14" s="448" t="s">
        <v>959</v>
      </c>
      <c r="B14">
        <f t="shared" ref="B14:B20" si="0">Z14</f>
        <v>9.8000000000000004E-2</v>
      </c>
      <c r="C14" t="s">
        <v>37</v>
      </c>
      <c r="D14" s="17" t="s">
        <v>2</v>
      </c>
      <c r="E14" t="s">
        <v>29</v>
      </c>
      <c r="F14" s="251" t="s">
        <v>14</v>
      </c>
      <c r="G14" t="s">
        <v>33</v>
      </c>
      <c r="H14">
        <v>1</v>
      </c>
      <c r="I14">
        <f t="shared" ref="I14:I30" si="1">B14</f>
        <v>9.8000000000000004E-2</v>
      </c>
      <c r="J14" t="s">
        <v>31</v>
      </c>
      <c r="K14" t="s">
        <v>31</v>
      </c>
      <c r="L14" t="s">
        <v>31</v>
      </c>
      <c r="M14" t="s">
        <v>31</v>
      </c>
      <c r="U14" s="449" t="s">
        <v>977</v>
      </c>
      <c r="V14" s="449" t="s">
        <v>947</v>
      </c>
      <c r="W14" s="359">
        <v>98</v>
      </c>
      <c r="Y14" t="s">
        <v>337</v>
      </c>
      <c r="Z14">
        <f>0.001*W14</f>
        <v>9.8000000000000004E-2</v>
      </c>
    </row>
    <row r="15" spans="1:26" ht="15.75">
      <c r="A15" s="360" t="s">
        <v>978</v>
      </c>
      <c r="B15">
        <f t="shared" si="0"/>
        <v>1.72</v>
      </c>
      <c r="C15" t="s">
        <v>37</v>
      </c>
      <c r="D15" s="17" t="s">
        <v>38</v>
      </c>
      <c r="E15" t="s">
        <v>29</v>
      </c>
      <c r="F15" s="251" t="s">
        <v>60</v>
      </c>
      <c r="G15" t="s">
        <v>33</v>
      </c>
      <c r="H15">
        <v>1</v>
      </c>
      <c r="I15">
        <f t="shared" si="1"/>
        <v>1.72</v>
      </c>
      <c r="J15" t="s">
        <v>31</v>
      </c>
      <c r="K15" t="s">
        <v>31</v>
      </c>
      <c r="L15" t="s">
        <v>31</v>
      </c>
      <c r="M15" t="s">
        <v>31</v>
      </c>
      <c r="U15" s="449" t="s">
        <v>979</v>
      </c>
      <c r="V15" s="449" t="s">
        <v>337</v>
      </c>
      <c r="W15" s="359">
        <v>1.72</v>
      </c>
      <c r="Y15" t="s">
        <v>337</v>
      </c>
      <c r="Z15">
        <f>W15</f>
        <v>1.72</v>
      </c>
    </row>
    <row r="16" spans="1:26" ht="15.75">
      <c r="A16" s="448" t="s">
        <v>1118</v>
      </c>
      <c r="B16">
        <f t="shared" si="0"/>
        <v>3.2</v>
      </c>
      <c r="C16" t="s">
        <v>37</v>
      </c>
      <c r="D16" s="17" t="s">
        <v>2</v>
      </c>
      <c r="E16" t="s">
        <v>29</v>
      </c>
      <c r="F16" s="251" t="s">
        <v>14</v>
      </c>
      <c r="G16" t="s">
        <v>33</v>
      </c>
      <c r="H16">
        <v>1</v>
      </c>
      <c r="I16">
        <f t="shared" si="1"/>
        <v>3.2</v>
      </c>
      <c r="J16" t="s">
        <v>31</v>
      </c>
      <c r="K16" t="s">
        <v>31</v>
      </c>
      <c r="L16" t="s">
        <v>31</v>
      </c>
      <c r="M16" t="s">
        <v>31</v>
      </c>
      <c r="U16" s="449" t="s">
        <v>981</v>
      </c>
      <c r="V16" s="449" t="s">
        <v>337</v>
      </c>
      <c r="W16" s="359">
        <v>3.2</v>
      </c>
      <c r="Y16" t="s">
        <v>337</v>
      </c>
      <c r="Z16">
        <f>W16</f>
        <v>3.2</v>
      </c>
    </row>
    <row r="17" spans="1:29" ht="15.75">
      <c r="A17" s="384" t="s">
        <v>1119</v>
      </c>
      <c r="B17">
        <f t="shared" si="0"/>
        <v>4.2241379310344836E-2</v>
      </c>
      <c r="C17" t="s">
        <v>206</v>
      </c>
      <c r="D17" s="17" t="s">
        <v>2</v>
      </c>
      <c r="E17" t="s">
        <v>29</v>
      </c>
      <c r="F17" s="251" t="s">
        <v>14</v>
      </c>
      <c r="G17" t="s">
        <v>33</v>
      </c>
      <c r="H17">
        <v>1</v>
      </c>
      <c r="I17">
        <f t="shared" si="1"/>
        <v>4.2241379310344836E-2</v>
      </c>
      <c r="J17" t="s">
        <v>31</v>
      </c>
      <c r="K17" t="s">
        <v>31</v>
      </c>
      <c r="L17" t="s">
        <v>31</v>
      </c>
      <c r="M17" t="s">
        <v>31</v>
      </c>
      <c r="O17" t="s">
        <v>983</v>
      </c>
      <c r="U17" s="240" t="s">
        <v>984</v>
      </c>
      <c r="V17" s="240" t="s">
        <v>947</v>
      </c>
      <c r="W17" s="359">
        <v>245</v>
      </c>
      <c r="Y17" t="s">
        <v>945</v>
      </c>
      <c r="Z17">
        <f>W17*0.001/AB17</f>
        <v>4.2241379310344836E-2</v>
      </c>
      <c r="AB17">
        <f>B.Reused!O36</f>
        <v>5.7999999999999989</v>
      </c>
      <c r="AC17" t="s">
        <v>985</v>
      </c>
    </row>
    <row r="18" spans="1:29" ht="15.75">
      <c r="A18" s="448" t="s">
        <v>1120</v>
      </c>
      <c r="B18">
        <f t="shared" si="0"/>
        <v>0.40500000000000003</v>
      </c>
      <c r="C18" t="s">
        <v>37</v>
      </c>
      <c r="D18" s="17" t="s">
        <v>2</v>
      </c>
      <c r="E18" t="s">
        <v>29</v>
      </c>
      <c r="F18" s="251" t="s">
        <v>14</v>
      </c>
      <c r="G18" t="s">
        <v>33</v>
      </c>
      <c r="H18">
        <v>1</v>
      </c>
      <c r="I18">
        <f t="shared" si="1"/>
        <v>0.40500000000000003</v>
      </c>
      <c r="J18" t="s">
        <v>31</v>
      </c>
      <c r="K18" t="s">
        <v>31</v>
      </c>
      <c r="L18" t="s">
        <v>31</v>
      </c>
      <c r="M18" t="s">
        <v>31</v>
      </c>
      <c r="U18" s="240" t="s">
        <v>987</v>
      </c>
      <c r="V18" s="449" t="s">
        <v>947</v>
      </c>
      <c r="W18" s="359">
        <v>405</v>
      </c>
      <c r="Y18" t="s">
        <v>337</v>
      </c>
      <c r="Z18">
        <f>0.001*W18</f>
        <v>0.40500000000000003</v>
      </c>
    </row>
    <row r="19" spans="1:29" ht="15.75">
      <c r="A19" s="385" t="s">
        <v>988</v>
      </c>
      <c r="B19">
        <f t="shared" si="0"/>
        <v>2E-3</v>
      </c>
      <c r="C19" t="s">
        <v>37</v>
      </c>
      <c r="D19" s="17" t="s">
        <v>38</v>
      </c>
      <c r="E19" t="s">
        <v>29</v>
      </c>
      <c r="F19" s="251" t="s">
        <v>35</v>
      </c>
      <c r="G19" t="s">
        <v>33</v>
      </c>
      <c r="H19">
        <v>1</v>
      </c>
      <c r="I19">
        <f t="shared" si="1"/>
        <v>2E-3</v>
      </c>
      <c r="J19" t="s">
        <v>31</v>
      </c>
      <c r="K19" t="s">
        <v>31</v>
      </c>
      <c r="L19" t="s">
        <v>31</v>
      </c>
      <c r="M19" t="s">
        <v>31</v>
      </c>
      <c r="N19" s="253" t="s">
        <v>989</v>
      </c>
      <c r="U19" s="449" t="s">
        <v>989</v>
      </c>
      <c r="V19" s="449" t="s">
        <v>947</v>
      </c>
      <c r="W19" s="359">
        <v>2</v>
      </c>
      <c r="Y19" t="s">
        <v>337</v>
      </c>
      <c r="Z19">
        <f>0.001*W19</f>
        <v>2E-3</v>
      </c>
    </row>
    <row r="20" spans="1:29" ht="15.75">
      <c r="A20" s="386" t="s">
        <v>533</v>
      </c>
      <c r="B20">
        <f t="shared" si="0"/>
        <v>1.3000000000000001E-2</v>
      </c>
      <c r="C20" t="s">
        <v>37</v>
      </c>
      <c r="D20" s="17" t="s">
        <v>38</v>
      </c>
      <c r="E20" t="s">
        <v>29</v>
      </c>
      <c r="F20" s="251" t="s">
        <v>35</v>
      </c>
      <c r="G20" t="s">
        <v>33</v>
      </c>
      <c r="H20">
        <v>1</v>
      </c>
      <c r="I20">
        <f t="shared" si="1"/>
        <v>1.3000000000000001E-2</v>
      </c>
      <c r="J20" t="s">
        <v>31</v>
      </c>
      <c r="K20" t="s">
        <v>31</v>
      </c>
      <c r="L20" t="s">
        <v>31</v>
      </c>
      <c r="M20" t="s">
        <v>31</v>
      </c>
      <c r="N20" s="253" t="s">
        <v>990</v>
      </c>
      <c r="U20" s="240" t="s">
        <v>990</v>
      </c>
      <c r="V20" s="449" t="s">
        <v>947</v>
      </c>
      <c r="W20" s="359">
        <v>13</v>
      </c>
      <c r="Y20" t="s">
        <v>337</v>
      </c>
      <c r="Z20">
        <f t="shared" ref="Z20:Z22" si="2">0.001*W20</f>
        <v>1.3000000000000001E-2</v>
      </c>
    </row>
    <row r="21" spans="1:29" ht="15.75">
      <c r="A21" s="385" t="s">
        <v>988</v>
      </c>
      <c r="B21">
        <f>Z21</f>
        <v>2E-3</v>
      </c>
      <c r="C21" t="s">
        <v>37</v>
      </c>
      <c r="D21" s="17" t="s">
        <v>38</v>
      </c>
      <c r="E21" t="s">
        <v>29</v>
      </c>
      <c r="F21" s="251" t="s">
        <v>35</v>
      </c>
      <c r="G21" t="s">
        <v>33</v>
      </c>
      <c r="H21">
        <v>1</v>
      </c>
      <c r="I21">
        <f t="shared" si="1"/>
        <v>2E-3</v>
      </c>
      <c r="J21" t="s">
        <v>31</v>
      </c>
      <c r="K21" t="s">
        <v>31</v>
      </c>
      <c r="L21" t="s">
        <v>31</v>
      </c>
      <c r="M21" t="s">
        <v>31</v>
      </c>
      <c r="N21" s="253" t="s">
        <v>991</v>
      </c>
      <c r="U21" s="240" t="s">
        <v>991</v>
      </c>
      <c r="V21" s="449" t="s">
        <v>947</v>
      </c>
      <c r="W21" s="359">
        <v>2</v>
      </c>
      <c r="Y21" t="s">
        <v>337</v>
      </c>
      <c r="Z21">
        <f t="shared" si="2"/>
        <v>2E-3</v>
      </c>
    </row>
    <row r="22" spans="1:29" ht="15.75">
      <c r="A22" s="386" t="s">
        <v>992</v>
      </c>
      <c r="B22">
        <f>Z22</f>
        <v>2E-3</v>
      </c>
      <c r="C22" t="s">
        <v>37</v>
      </c>
      <c r="D22" s="17" t="s">
        <v>38</v>
      </c>
      <c r="E22" t="s">
        <v>29</v>
      </c>
      <c r="F22" s="251" t="s">
        <v>35</v>
      </c>
      <c r="G22" t="s">
        <v>33</v>
      </c>
      <c r="H22">
        <v>1</v>
      </c>
      <c r="I22">
        <f t="shared" si="1"/>
        <v>2E-3</v>
      </c>
      <c r="J22" t="s">
        <v>31</v>
      </c>
      <c r="K22" t="s">
        <v>31</v>
      </c>
      <c r="L22" t="s">
        <v>31</v>
      </c>
      <c r="M22" t="s">
        <v>31</v>
      </c>
      <c r="N22" s="253" t="s">
        <v>991</v>
      </c>
      <c r="U22" s="240" t="s">
        <v>991</v>
      </c>
      <c r="V22" s="449" t="s">
        <v>947</v>
      </c>
      <c r="W22" s="359">
        <v>2</v>
      </c>
      <c r="Y22" t="s">
        <v>337</v>
      </c>
      <c r="Z22">
        <f t="shared" si="2"/>
        <v>2E-3</v>
      </c>
    </row>
    <row r="23" spans="1:29" ht="15.75">
      <c r="A23" s="360" t="s">
        <v>921</v>
      </c>
      <c r="B23">
        <f>Z23</f>
        <v>2.3199999999999998</v>
      </c>
      <c r="C23" t="s">
        <v>37</v>
      </c>
      <c r="D23" s="17" t="s">
        <v>2</v>
      </c>
      <c r="E23" t="s">
        <v>29</v>
      </c>
      <c r="F23" s="251" t="s">
        <v>14</v>
      </c>
      <c r="G23" t="s">
        <v>33</v>
      </c>
      <c r="H23">
        <v>1</v>
      </c>
      <c r="I23">
        <f t="shared" si="1"/>
        <v>2.3199999999999998</v>
      </c>
      <c r="J23" t="s">
        <v>31</v>
      </c>
      <c r="K23" t="s">
        <v>31</v>
      </c>
      <c r="L23" t="s">
        <v>31</v>
      </c>
      <c r="M23" t="s">
        <v>31</v>
      </c>
      <c r="N23" s="253" t="s">
        <v>921</v>
      </c>
      <c r="U23" s="449" t="s">
        <v>921</v>
      </c>
      <c r="V23" s="449" t="s">
        <v>337</v>
      </c>
      <c r="W23" s="359">
        <v>2.3199999999999998</v>
      </c>
      <c r="Y23" t="s">
        <v>337</v>
      </c>
      <c r="Z23">
        <f>W23</f>
        <v>2.3199999999999998</v>
      </c>
    </row>
    <row r="24" spans="1:29" ht="15.75">
      <c r="A24" s="448" t="s">
        <v>993</v>
      </c>
      <c r="B24" s="22">
        <f>'B. Machined casing'!B7</f>
        <v>8.52</v>
      </c>
      <c r="C24" t="s">
        <v>37</v>
      </c>
      <c r="D24" s="17" t="s">
        <v>2</v>
      </c>
      <c r="E24" t="s">
        <v>29</v>
      </c>
      <c r="F24" s="251" t="s">
        <v>14</v>
      </c>
      <c r="G24" t="s">
        <v>33</v>
      </c>
      <c r="H24">
        <v>1</v>
      </c>
      <c r="I24">
        <f t="shared" si="1"/>
        <v>8.52</v>
      </c>
      <c r="J24" t="s">
        <v>31</v>
      </c>
      <c r="K24" t="s">
        <v>31</v>
      </c>
      <c r="L24" t="s">
        <v>31</v>
      </c>
      <c r="M24" t="s">
        <v>31</v>
      </c>
      <c r="N24" s="253" t="s">
        <v>1121</v>
      </c>
      <c r="U24" s="449" t="s">
        <v>994</v>
      </c>
      <c r="V24" s="450" t="s">
        <v>337</v>
      </c>
      <c r="W24" s="359">
        <v>8.57</v>
      </c>
      <c r="Y24" t="s">
        <v>337</v>
      </c>
      <c r="Z24">
        <f>W24</f>
        <v>8.57</v>
      </c>
    </row>
    <row r="25" spans="1:29" ht="15.75">
      <c r="A25" s="387" t="s">
        <v>995</v>
      </c>
      <c r="B25">
        <f t="shared" ref="B25:B27" si="3">Z25</f>
        <v>5.3999999999999999E-2</v>
      </c>
      <c r="C25" t="s">
        <v>37</v>
      </c>
      <c r="D25" s="17" t="s">
        <v>38</v>
      </c>
      <c r="E25" t="s">
        <v>29</v>
      </c>
      <c r="F25" s="251" t="s">
        <v>86</v>
      </c>
      <c r="G25" t="s">
        <v>33</v>
      </c>
      <c r="H25">
        <v>1</v>
      </c>
      <c r="I25">
        <f t="shared" si="1"/>
        <v>5.3999999999999999E-2</v>
      </c>
      <c r="J25" t="s">
        <v>31</v>
      </c>
      <c r="K25" t="s">
        <v>31</v>
      </c>
      <c r="L25" t="s">
        <v>31</v>
      </c>
      <c r="M25" t="s">
        <v>31</v>
      </c>
      <c r="N25" s="253" t="s">
        <v>996</v>
      </c>
      <c r="U25" s="331" t="s">
        <v>996</v>
      </c>
      <c r="V25" s="331" t="s">
        <v>947</v>
      </c>
      <c r="W25" s="363">
        <v>54</v>
      </c>
      <c r="Y25" t="s">
        <v>337</v>
      </c>
      <c r="Z25">
        <f>W25*0.001</f>
        <v>5.3999999999999999E-2</v>
      </c>
    </row>
    <row r="26" spans="1:29" ht="15.75">
      <c r="A26" s="387" t="s">
        <v>997</v>
      </c>
      <c r="B26">
        <f t="shared" si="3"/>
        <v>1.2E-2</v>
      </c>
      <c r="C26" t="s">
        <v>37</v>
      </c>
      <c r="D26" s="17" t="s">
        <v>38</v>
      </c>
      <c r="E26" t="s">
        <v>29</v>
      </c>
      <c r="F26" s="251" t="s">
        <v>60</v>
      </c>
      <c r="G26" t="s">
        <v>33</v>
      </c>
      <c r="H26">
        <v>1</v>
      </c>
      <c r="I26">
        <f t="shared" si="1"/>
        <v>1.2E-2</v>
      </c>
      <c r="J26" t="s">
        <v>31</v>
      </c>
      <c r="K26" t="s">
        <v>31</v>
      </c>
      <c r="L26" t="s">
        <v>31</v>
      </c>
      <c r="M26" t="s">
        <v>31</v>
      </c>
      <c r="N26" t="s">
        <v>998</v>
      </c>
      <c r="U26" s="331" t="s">
        <v>998</v>
      </c>
      <c r="V26" s="331" t="s">
        <v>947</v>
      </c>
      <c r="W26" s="363">
        <v>12</v>
      </c>
      <c r="Y26" t="s">
        <v>337</v>
      </c>
      <c r="Z26">
        <f>0.001*W26</f>
        <v>1.2E-2</v>
      </c>
    </row>
    <row r="27" spans="1:29" ht="15.75">
      <c r="A27" s="387" t="s">
        <v>533</v>
      </c>
      <c r="B27">
        <f t="shared" si="3"/>
        <v>1.2E-2</v>
      </c>
      <c r="C27" t="s">
        <v>37</v>
      </c>
      <c r="D27" s="17" t="s">
        <v>38</v>
      </c>
      <c r="E27" t="s">
        <v>29</v>
      </c>
      <c r="F27" s="251" t="s">
        <v>35</v>
      </c>
      <c r="G27" t="s">
        <v>33</v>
      </c>
      <c r="H27">
        <v>1</v>
      </c>
      <c r="I27">
        <f t="shared" si="1"/>
        <v>1.2E-2</v>
      </c>
      <c r="J27" t="s">
        <v>31</v>
      </c>
      <c r="K27" t="s">
        <v>31</v>
      </c>
      <c r="L27" t="s">
        <v>31</v>
      </c>
      <c r="M27" t="s">
        <v>31</v>
      </c>
      <c r="N27" t="s">
        <v>999</v>
      </c>
      <c r="U27" s="331" t="s">
        <v>999</v>
      </c>
      <c r="V27" s="331" t="s">
        <v>947</v>
      </c>
      <c r="W27" s="363">
        <v>12</v>
      </c>
      <c r="Y27" t="s">
        <v>337</v>
      </c>
      <c r="Z27">
        <f>0.001*W27</f>
        <v>1.2E-2</v>
      </c>
    </row>
    <row r="28" spans="1:29" ht="15.75">
      <c r="A28" s="451" t="s">
        <v>40</v>
      </c>
      <c r="B28">
        <f>1.3+0.6</f>
        <v>1.9</v>
      </c>
      <c r="C28" t="s">
        <v>41</v>
      </c>
      <c r="D28" s="17" t="s">
        <v>38</v>
      </c>
      <c r="E28" t="s">
        <v>29</v>
      </c>
      <c r="F28" t="s">
        <v>14</v>
      </c>
      <c r="G28" t="s">
        <v>33</v>
      </c>
      <c r="H28">
        <v>1</v>
      </c>
      <c r="I28">
        <f t="shared" si="1"/>
        <v>1.9</v>
      </c>
      <c r="J28" t="s">
        <v>31</v>
      </c>
      <c r="K28" t="s">
        <v>31</v>
      </c>
      <c r="L28" t="s">
        <v>31</v>
      </c>
      <c r="M28" t="s">
        <v>31</v>
      </c>
      <c r="N28" t="s">
        <v>1000</v>
      </c>
      <c r="U28" s="449"/>
      <c r="V28" s="450"/>
      <c r="W28" s="359"/>
    </row>
    <row r="29" spans="1:29" ht="15.75">
      <c r="A29" s="451" t="s">
        <v>40</v>
      </c>
      <c r="B29">
        <v>4.9000000000000004</v>
      </c>
      <c r="C29" t="s">
        <v>41</v>
      </c>
      <c r="D29" s="17" t="s">
        <v>38</v>
      </c>
      <c r="E29" t="s">
        <v>29</v>
      </c>
      <c r="F29" t="s">
        <v>14</v>
      </c>
      <c r="G29" t="s">
        <v>33</v>
      </c>
      <c r="H29">
        <v>1</v>
      </c>
      <c r="I29">
        <f t="shared" si="1"/>
        <v>4.9000000000000004</v>
      </c>
      <c r="J29" t="s">
        <v>31</v>
      </c>
      <c r="K29" t="s">
        <v>31</v>
      </c>
      <c r="L29" t="s">
        <v>31</v>
      </c>
      <c r="M29" t="s">
        <v>31</v>
      </c>
      <c r="N29" t="s">
        <v>1001</v>
      </c>
    </row>
    <row r="30" spans="1:29" ht="15.75">
      <c r="A30" s="451" t="s">
        <v>40</v>
      </c>
      <c r="B30">
        <v>1.5</v>
      </c>
      <c r="C30" t="s">
        <v>41</v>
      </c>
      <c r="D30" s="17" t="s">
        <v>38</v>
      </c>
      <c r="E30" t="s">
        <v>29</v>
      </c>
      <c r="F30" t="s">
        <v>14</v>
      </c>
      <c r="G30" t="s">
        <v>33</v>
      </c>
      <c r="H30">
        <v>1</v>
      </c>
      <c r="I30">
        <f t="shared" si="1"/>
        <v>1.5</v>
      </c>
      <c r="J30" t="s">
        <v>31</v>
      </c>
      <c r="K30" t="s">
        <v>31</v>
      </c>
      <c r="L30" t="s">
        <v>31</v>
      </c>
      <c r="M30" t="s">
        <v>31</v>
      </c>
      <c r="N30" t="s">
        <v>1002</v>
      </c>
    </row>
    <row r="31" spans="1:29" ht="15.75">
      <c r="A31" s="245"/>
      <c r="B31" s="246"/>
      <c r="C31" s="120"/>
      <c r="D31" s="42"/>
      <c r="E31" s="42"/>
      <c r="F31" s="42"/>
      <c r="G31" s="42"/>
      <c r="H31" s="42"/>
      <c r="I31" s="42"/>
      <c r="J31" s="42"/>
      <c r="K31" s="42"/>
      <c r="L31" s="42"/>
      <c r="M31" s="42"/>
    </row>
    <row r="32" spans="1:29">
      <c r="A32" s="247"/>
      <c r="C32" s="23"/>
      <c r="N32" t="s">
        <v>1122</v>
      </c>
    </row>
    <row r="33" spans="1:14">
      <c r="A33" s="247"/>
      <c r="C33" s="23"/>
      <c r="N33" s="329">
        <f>SUM(B13:B27)-B17+0.245</f>
        <v>16.683</v>
      </c>
    </row>
    <row r="34" spans="1:14">
      <c r="A34" s="247"/>
      <c r="B34" s="249"/>
    </row>
    <row r="35" spans="1:14" ht="15.75">
      <c r="A35" s="253"/>
      <c r="D35" s="17"/>
      <c r="F35" s="251"/>
    </row>
    <row r="36" spans="1:14" ht="15.75">
      <c r="D36" s="17"/>
      <c r="F36" s="251"/>
    </row>
    <row r="37" spans="1:14" ht="15.75">
      <c r="A37" s="253"/>
      <c r="D37" s="17"/>
      <c r="F37" s="251"/>
    </row>
    <row r="38" spans="1:14" ht="15.75">
      <c r="A38" s="253"/>
      <c r="D38" s="17"/>
      <c r="F38" s="251"/>
    </row>
    <row r="39" spans="1:14" ht="15.75">
      <c r="A39" s="17"/>
      <c r="D39" s="17"/>
      <c r="F39" s="251"/>
    </row>
    <row r="40" spans="1:14" ht="15.75">
      <c r="A40" s="17"/>
      <c r="D40" s="17"/>
    </row>
    <row r="41" spans="1:14" ht="15.75">
      <c r="A41" s="253"/>
      <c r="D41" s="17"/>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039C-D12D-4A27-AA0E-7908C714A42D}">
  <sheetPr>
    <tabColor theme="8" tint="0.79998168889431442"/>
  </sheetPr>
  <dimension ref="A1:U62"/>
  <sheetViews>
    <sheetView zoomScale="85" zoomScaleNormal="85" workbookViewId="0">
      <selection activeCell="G113" sqref="G113"/>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 min="17" max="17" width="11.28515625" bestFit="1" customWidth="1"/>
  </cols>
  <sheetData>
    <row r="1" spans="1:21">
      <c r="A1" s="31" t="s">
        <v>0</v>
      </c>
      <c r="B1">
        <v>13</v>
      </c>
    </row>
    <row r="2" spans="1:21" ht="15.75">
      <c r="A2" s="322" t="s">
        <v>5</v>
      </c>
      <c r="B2" s="323" t="s">
        <v>1119</v>
      </c>
      <c r="C2" s="120"/>
      <c r="D2" s="42"/>
      <c r="E2" s="42"/>
      <c r="F2" s="42"/>
      <c r="G2" s="42"/>
      <c r="H2" s="42"/>
      <c r="I2" s="42"/>
      <c r="J2" s="42"/>
      <c r="K2" s="42"/>
      <c r="L2" s="42"/>
      <c r="M2" s="42"/>
      <c r="N2" s="42"/>
      <c r="O2" s="42"/>
      <c r="P2" s="42"/>
      <c r="Q2" s="42"/>
      <c r="R2" s="42"/>
    </row>
    <row r="3" spans="1:21">
      <c r="A3" s="324" t="s">
        <v>7</v>
      </c>
      <c r="B3" t="s">
        <v>902</v>
      </c>
      <c r="C3" s="23"/>
    </row>
    <row r="4" spans="1:21">
      <c r="A4" s="324" t="s">
        <v>9</v>
      </c>
      <c r="B4" t="s">
        <v>1123</v>
      </c>
      <c r="C4" s="23"/>
      <c r="U4" s="65"/>
    </row>
    <row r="5" spans="1:21" ht="12.75" customHeight="1">
      <c r="A5" s="324" t="s">
        <v>11</v>
      </c>
      <c r="B5" s="249" t="s">
        <v>913</v>
      </c>
    </row>
    <row r="6" spans="1:21">
      <c r="A6" s="324" t="s">
        <v>13</v>
      </c>
      <c r="B6" t="s">
        <v>14</v>
      </c>
    </row>
    <row r="7" spans="1:21">
      <c r="A7" s="324" t="s">
        <v>15</v>
      </c>
      <c r="B7">
        <f>B12</f>
        <v>1.4999999999999999E-2</v>
      </c>
    </row>
    <row r="8" spans="1:21">
      <c r="A8" s="324" t="s">
        <v>16</v>
      </c>
      <c r="B8" t="s">
        <v>17</v>
      </c>
    </row>
    <row r="9" spans="1:21">
      <c r="A9" s="324" t="s">
        <v>18</v>
      </c>
      <c r="B9" t="s">
        <v>206</v>
      </c>
    </row>
    <row r="10" spans="1:21" ht="15.75">
      <c r="A10" s="325" t="s">
        <v>19</v>
      </c>
    </row>
    <row r="11" spans="1:21" ht="15.75">
      <c r="A11" s="32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75">
      <c r="A12" s="31" t="s">
        <v>1119</v>
      </c>
      <c r="B12">
        <v>1.4999999999999999E-2</v>
      </c>
      <c r="C12" t="s">
        <v>206</v>
      </c>
      <c r="D12" s="326" t="s">
        <v>2</v>
      </c>
      <c r="E12" t="s">
        <v>29</v>
      </c>
      <c r="F12" s="251" t="s">
        <v>14</v>
      </c>
      <c r="G12" t="s">
        <v>30</v>
      </c>
      <c r="H12">
        <v>1</v>
      </c>
      <c r="I12">
        <f>B12</f>
        <v>1.4999999999999999E-2</v>
      </c>
      <c r="J12" t="s">
        <v>31</v>
      </c>
      <c r="K12" t="s">
        <v>31</v>
      </c>
      <c r="L12" t="s">
        <v>31</v>
      </c>
      <c r="M12" t="s">
        <v>31</v>
      </c>
      <c r="O12" s="327"/>
      <c r="P12" s="328"/>
    </row>
    <row r="13" spans="1:21" ht="15.75">
      <c r="A13" s="31" t="s">
        <v>1124</v>
      </c>
      <c r="B13">
        <f>R13</f>
        <v>8.699999999999998E-2</v>
      </c>
      <c r="C13" t="s">
        <v>37</v>
      </c>
      <c r="D13" s="326" t="s">
        <v>2</v>
      </c>
      <c r="E13" t="s">
        <v>29</v>
      </c>
      <c r="F13" s="251" t="s">
        <v>14</v>
      </c>
      <c r="G13" t="s">
        <v>33</v>
      </c>
      <c r="H13">
        <v>1</v>
      </c>
      <c r="I13">
        <f t="shared" ref="I13:I14" si="0">B13</f>
        <v>8.699999999999998E-2</v>
      </c>
      <c r="J13" t="s">
        <v>31</v>
      </c>
      <c r="K13" t="s">
        <v>31</v>
      </c>
      <c r="L13" t="s">
        <v>31</v>
      </c>
      <c r="M13" t="s">
        <v>31</v>
      </c>
      <c r="O13" s="329" t="s">
        <v>1125</v>
      </c>
      <c r="P13">
        <f>0.29/0.05</f>
        <v>5.7999999999999989</v>
      </c>
      <c r="Q13" t="s">
        <v>985</v>
      </c>
      <c r="R13">
        <f>P13*B12</f>
        <v>8.699999999999998E-2</v>
      </c>
    </row>
    <row r="14" spans="1:21" ht="15.75">
      <c r="A14" s="31" t="s">
        <v>1126</v>
      </c>
      <c r="B14">
        <f>B12</f>
        <v>1.4999999999999999E-2</v>
      </c>
      <c r="C14" t="s">
        <v>206</v>
      </c>
      <c r="D14" s="326" t="s">
        <v>2</v>
      </c>
      <c r="E14" t="s">
        <v>29</v>
      </c>
      <c r="F14" s="251" t="s">
        <v>14</v>
      </c>
      <c r="G14" t="s">
        <v>33</v>
      </c>
      <c r="H14">
        <v>1</v>
      </c>
      <c r="I14">
        <f t="shared" si="0"/>
        <v>1.4999999999999999E-2</v>
      </c>
      <c r="J14" t="s">
        <v>31</v>
      </c>
      <c r="K14" t="s">
        <v>31</v>
      </c>
      <c r="L14" t="s">
        <v>31</v>
      </c>
      <c r="M14" t="s">
        <v>31</v>
      </c>
    </row>
    <row r="15" spans="1:21" ht="15.75">
      <c r="A15" s="83" t="s">
        <v>933</v>
      </c>
      <c r="B15">
        <f>P15</f>
        <v>0.1</v>
      </c>
      <c r="C15" t="s">
        <v>37</v>
      </c>
      <c r="D15" s="17" t="s">
        <v>38</v>
      </c>
      <c r="E15" t="s">
        <v>29</v>
      </c>
      <c r="F15" s="251" t="s">
        <v>39</v>
      </c>
      <c r="G15" t="s">
        <v>33</v>
      </c>
      <c r="H15">
        <v>2</v>
      </c>
      <c r="I15">
        <f>LN(B15)</f>
        <v>-2.3025850929940455</v>
      </c>
      <c r="J15" s="330">
        <v>0.11236102527122109</v>
      </c>
      <c r="K15" t="s">
        <v>31</v>
      </c>
      <c r="L15" t="s">
        <v>31</v>
      </c>
      <c r="M15" t="s">
        <v>31</v>
      </c>
      <c r="O15" s="331" t="s">
        <v>337</v>
      </c>
      <c r="P15" s="296">
        <v>0.1</v>
      </c>
    </row>
    <row r="16" spans="1:21" ht="15.75">
      <c r="A16" s="83" t="s">
        <v>1008</v>
      </c>
      <c r="B16" s="283">
        <f>Q16</f>
        <v>6E-9</v>
      </c>
      <c r="C16" t="s">
        <v>37</v>
      </c>
      <c r="D16" s="17" t="s">
        <v>38</v>
      </c>
      <c r="E16" t="s">
        <v>29</v>
      </c>
      <c r="F16" s="251" t="s">
        <v>60</v>
      </c>
      <c r="G16" t="s">
        <v>33</v>
      </c>
      <c r="H16">
        <v>2</v>
      </c>
      <c r="I16">
        <f t="shared" ref="I16:I17" si="1">LN(B16)</f>
        <v>-18.931506367718356</v>
      </c>
      <c r="J16" s="330">
        <v>0.11236102527122109</v>
      </c>
      <c r="K16" t="s">
        <v>31</v>
      </c>
      <c r="L16" t="s">
        <v>31</v>
      </c>
      <c r="M16" t="s">
        <v>31</v>
      </c>
      <c r="O16" s="332" t="s">
        <v>952</v>
      </c>
      <c r="P16" s="333">
        <v>6.0000000000000001E-3</v>
      </c>
      <c r="Q16" s="283">
        <f>P16*10^(-6)</f>
        <v>6E-9</v>
      </c>
      <c r="R16" t="s">
        <v>37</v>
      </c>
    </row>
    <row r="17" spans="1:18" ht="15.75">
      <c r="A17" s="83" t="s">
        <v>489</v>
      </c>
      <c r="B17">
        <f>Q17</f>
        <v>1E-4</v>
      </c>
      <c r="C17" t="s">
        <v>50</v>
      </c>
      <c r="D17" s="17" t="s">
        <v>38</v>
      </c>
      <c r="E17" t="s">
        <v>29</v>
      </c>
      <c r="F17" s="251" t="s">
        <v>39</v>
      </c>
      <c r="G17" t="s">
        <v>33</v>
      </c>
      <c r="H17">
        <v>2</v>
      </c>
      <c r="I17">
        <f t="shared" si="1"/>
        <v>-9.2103403719761818</v>
      </c>
      <c r="J17" s="330">
        <v>0.11236102527122109</v>
      </c>
      <c r="K17" t="s">
        <v>31</v>
      </c>
      <c r="L17" t="s">
        <v>31</v>
      </c>
      <c r="M17" t="s">
        <v>31</v>
      </c>
      <c r="O17" s="334" t="s">
        <v>1009</v>
      </c>
      <c r="P17" s="306">
        <v>0.1</v>
      </c>
      <c r="Q17">
        <f>P17/1000</f>
        <v>1E-4</v>
      </c>
      <c r="R17" t="s">
        <v>1010</v>
      </c>
    </row>
    <row r="18" spans="1:18" ht="15.75">
      <c r="A18" s="322" t="s">
        <v>5</v>
      </c>
      <c r="B18" s="323" t="s">
        <v>1124</v>
      </c>
      <c r="C18" s="120"/>
      <c r="D18" s="42"/>
      <c r="E18" s="42"/>
      <c r="F18" s="42"/>
      <c r="G18" s="42"/>
      <c r="H18" s="42"/>
      <c r="I18" s="42"/>
      <c r="J18" s="42"/>
      <c r="K18" s="42"/>
      <c r="L18" s="42"/>
      <c r="M18" s="42"/>
      <c r="N18" s="42"/>
      <c r="O18" s="42"/>
      <c r="P18" s="42"/>
      <c r="Q18" s="42"/>
      <c r="R18" s="42"/>
    </row>
    <row r="19" spans="1:18">
      <c r="A19" s="324" t="s">
        <v>7</v>
      </c>
      <c r="B19" t="s">
        <v>902</v>
      </c>
      <c r="C19" s="23"/>
    </row>
    <row r="20" spans="1:18">
      <c r="A20" s="324" t="s">
        <v>9</v>
      </c>
      <c r="B20" t="s">
        <v>1127</v>
      </c>
      <c r="C20" s="23"/>
    </row>
    <row r="21" spans="1:18" ht="10.5" customHeight="1">
      <c r="A21" s="324" t="s">
        <v>11</v>
      </c>
      <c r="B21" s="249" t="s">
        <v>913</v>
      </c>
      <c r="P21" s="338"/>
    </row>
    <row r="22" spans="1:18">
      <c r="A22" s="324" t="s">
        <v>13</v>
      </c>
      <c r="B22" t="s">
        <v>14</v>
      </c>
      <c r="P22" s="338"/>
    </row>
    <row r="23" spans="1:18">
      <c r="A23" s="324" t="s">
        <v>15</v>
      </c>
      <c r="B23">
        <f>B28</f>
        <v>7.0000000000000001E-3</v>
      </c>
      <c r="P23" s="338"/>
    </row>
    <row r="24" spans="1:18">
      <c r="A24" s="324" t="s">
        <v>16</v>
      </c>
      <c r="B24" t="s">
        <v>17</v>
      </c>
    </row>
    <row r="25" spans="1:18">
      <c r="A25" s="324" t="s">
        <v>18</v>
      </c>
      <c r="B25" t="s">
        <v>37</v>
      </c>
    </row>
    <row r="26" spans="1:18" ht="15.75">
      <c r="A26" s="325" t="s">
        <v>19</v>
      </c>
    </row>
    <row r="27" spans="1:18" ht="15.75">
      <c r="A27" s="325"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75">
      <c r="A28" s="31" t="s">
        <v>1124</v>
      </c>
      <c r="B28">
        <v>7.0000000000000001E-3</v>
      </c>
      <c r="C28" t="s">
        <v>37</v>
      </c>
      <c r="D28" s="326" t="s">
        <v>2</v>
      </c>
      <c r="E28" t="s">
        <v>29</v>
      </c>
      <c r="F28" s="251" t="s">
        <v>14</v>
      </c>
      <c r="G28" t="s">
        <v>30</v>
      </c>
      <c r="H28">
        <v>1</v>
      </c>
      <c r="I28">
        <f>B28</f>
        <v>7.0000000000000001E-3</v>
      </c>
      <c r="J28" t="s">
        <v>31</v>
      </c>
      <c r="K28" t="s">
        <v>31</v>
      </c>
      <c r="L28" t="s">
        <v>31</v>
      </c>
      <c r="M28" t="s">
        <v>31</v>
      </c>
    </row>
    <row r="29" spans="1:18" ht="15.75">
      <c r="A29" s="83" t="s">
        <v>1008</v>
      </c>
      <c r="B29" s="283">
        <f>R29</f>
        <v>6.9000000000000008E-3</v>
      </c>
      <c r="C29" t="s">
        <v>37</v>
      </c>
      <c r="D29" s="17" t="s">
        <v>38</v>
      </c>
      <c r="E29" t="s">
        <v>29</v>
      </c>
      <c r="F29" s="251" t="s">
        <v>60</v>
      </c>
      <c r="G29" t="s">
        <v>33</v>
      </c>
      <c r="H29">
        <v>2</v>
      </c>
      <c r="I29">
        <f t="shared" ref="I29:I31" si="2">LN(B29)</f>
        <v>-4.976233867378923</v>
      </c>
      <c r="J29" s="330">
        <v>0.11236102527122109</v>
      </c>
      <c r="K29" t="s">
        <v>31</v>
      </c>
      <c r="L29" t="s">
        <v>31</v>
      </c>
      <c r="M29" t="s">
        <v>31</v>
      </c>
      <c r="O29" s="331" t="s">
        <v>947</v>
      </c>
      <c r="P29" s="296">
        <v>6.9</v>
      </c>
      <c r="Q29" t="s">
        <v>337</v>
      </c>
      <c r="R29">
        <f>P29*0.001</f>
        <v>6.9000000000000008E-3</v>
      </c>
    </row>
    <row r="30" spans="1:18" ht="15.75">
      <c r="A30" s="335" t="s">
        <v>40</v>
      </c>
      <c r="B30" s="336">
        <f>P30</f>
        <v>0.03</v>
      </c>
      <c r="C30" t="s">
        <v>41</v>
      </c>
      <c r="D30" s="17" t="s">
        <v>38</v>
      </c>
      <c r="E30" t="s">
        <v>29</v>
      </c>
      <c r="F30" s="251" t="s">
        <v>35</v>
      </c>
      <c r="G30" t="s">
        <v>33</v>
      </c>
      <c r="H30">
        <v>2</v>
      </c>
      <c r="I30">
        <f t="shared" si="2"/>
        <v>-3.5065578973199818</v>
      </c>
      <c r="J30" s="330">
        <v>0.11236102527122109</v>
      </c>
      <c r="K30" t="s">
        <v>31</v>
      </c>
      <c r="L30" t="s">
        <v>31</v>
      </c>
      <c r="M30" t="s">
        <v>31</v>
      </c>
      <c r="O30" s="331" t="s">
        <v>332</v>
      </c>
      <c r="P30" s="296">
        <v>0.03</v>
      </c>
    </row>
    <row r="31" spans="1:18" ht="15.75">
      <c r="A31" s="83" t="s">
        <v>1012</v>
      </c>
      <c r="B31">
        <f>R31</f>
        <v>2.9999999999999997E-4</v>
      </c>
      <c r="C31" t="s">
        <v>37</v>
      </c>
      <c r="D31" s="17" t="s">
        <v>43</v>
      </c>
      <c r="E31" t="s">
        <v>1013</v>
      </c>
      <c r="F31" s="251" t="s">
        <v>29</v>
      </c>
      <c r="G31" t="s">
        <v>45</v>
      </c>
      <c r="H31">
        <v>2</v>
      </c>
      <c r="I31">
        <f t="shared" si="2"/>
        <v>-8.1117280833080727</v>
      </c>
      <c r="J31" s="330">
        <v>0.11236102527122109</v>
      </c>
      <c r="K31" t="s">
        <v>31</v>
      </c>
      <c r="L31" t="s">
        <v>31</v>
      </c>
      <c r="M31" t="s">
        <v>31</v>
      </c>
      <c r="O31" s="334" t="s">
        <v>947</v>
      </c>
      <c r="P31" s="306">
        <v>0.3</v>
      </c>
      <c r="Q31" t="s">
        <v>337</v>
      </c>
      <c r="R31">
        <f>P31*0.001</f>
        <v>2.9999999999999997E-4</v>
      </c>
    </row>
    <row r="32" spans="1:18" ht="15.75">
      <c r="A32" s="322" t="s">
        <v>5</v>
      </c>
      <c r="B32" s="337" t="s">
        <v>1126</v>
      </c>
      <c r="C32" s="120"/>
      <c r="D32" s="42"/>
      <c r="E32" s="42"/>
      <c r="F32" s="42"/>
      <c r="G32" s="42"/>
      <c r="H32" s="42"/>
      <c r="I32" s="42"/>
      <c r="J32" s="42"/>
      <c r="K32" s="42"/>
      <c r="L32" s="42"/>
      <c r="M32" s="42"/>
      <c r="N32" s="42"/>
      <c r="O32" s="42"/>
      <c r="P32" s="42"/>
      <c r="Q32" s="42"/>
      <c r="R32" s="42"/>
    </row>
    <row r="33" spans="1:20">
      <c r="A33" s="324" t="s">
        <v>7</v>
      </c>
      <c r="B33" t="s">
        <v>902</v>
      </c>
      <c r="C33" s="23"/>
    </row>
    <row r="34" spans="1:20">
      <c r="A34" s="324" t="s">
        <v>9</v>
      </c>
      <c r="B34" t="s">
        <v>1128</v>
      </c>
      <c r="C34" s="23"/>
    </row>
    <row r="35" spans="1:20" ht="15.75" customHeight="1">
      <c r="A35" s="324" t="s">
        <v>11</v>
      </c>
      <c r="B35" s="249" t="s">
        <v>913</v>
      </c>
      <c r="O35" s="65" t="s">
        <v>1129</v>
      </c>
      <c r="T35" s="65"/>
    </row>
    <row r="36" spans="1:20">
      <c r="A36" s="324" t="s">
        <v>13</v>
      </c>
      <c r="B36" t="s">
        <v>14</v>
      </c>
      <c r="O36">
        <f>0.29/0.05</f>
        <v>5.7999999999999989</v>
      </c>
      <c r="P36" t="s">
        <v>985</v>
      </c>
    </row>
    <row r="37" spans="1:20">
      <c r="A37" s="324" t="s">
        <v>15</v>
      </c>
      <c r="B37">
        <v>0.22</v>
      </c>
    </row>
    <row r="38" spans="1:20">
      <c r="A38" s="324" t="s">
        <v>16</v>
      </c>
      <c r="B38" t="s">
        <v>17</v>
      </c>
    </row>
    <row r="39" spans="1:20">
      <c r="A39" s="324" t="s">
        <v>18</v>
      </c>
      <c r="B39" t="s">
        <v>206</v>
      </c>
    </row>
    <row r="40" spans="1:20" ht="15.75">
      <c r="A40" s="325" t="s">
        <v>19</v>
      </c>
    </row>
    <row r="41" spans="1:20" ht="15.75">
      <c r="A41" s="325"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75">
      <c r="A42" s="31" t="s">
        <v>1126</v>
      </c>
      <c r="B42">
        <v>0.05</v>
      </c>
      <c r="C42" t="s">
        <v>206</v>
      </c>
      <c r="D42" s="326" t="s">
        <v>2</v>
      </c>
      <c r="E42" t="s">
        <v>29</v>
      </c>
      <c r="F42" s="251" t="s">
        <v>14</v>
      </c>
      <c r="G42" t="s">
        <v>30</v>
      </c>
      <c r="H42">
        <v>1</v>
      </c>
      <c r="I42">
        <f>B42</f>
        <v>0.05</v>
      </c>
      <c r="J42" t="s">
        <v>31</v>
      </c>
      <c r="K42" t="s">
        <v>31</v>
      </c>
      <c r="L42" t="s">
        <v>31</v>
      </c>
      <c r="M42" t="s">
        <v>31</v>
      </c>
    </row>
    <row r="43" spans="1:20" ht="15.75">
      <c r="A43" s="31" t="s">
        <v>910</v>
      </c>
      <c r="B43" s="283">
        <v>0.28999999999999998</v>
      </c>
      <c r="C43" t="s">
        <v>37</v>
      </c>
      <c r="D43" s="326" t="s">
        <v>2</v>
      </c>
      <c r="E43" t="s">
        <v>29</v>
      </c>
      <c r="F43" s="251" t="s">
        <v>14</v>
      </c>
      <c r="G43" t="s">
        <v>33</v>
      </c>
      <c r="H43">
        <v>1</v>
      </c>
      <c r="I43">
        <f>B43</f>
        <v>0.28999999999999998</v>
      </c>
      <c r="J43" t="s">
        <v>31</v>
      </c>
      <c r="K43" t="s">
        <v>31</v>
      </c>
      <c r="L43" t="s">
        <v>31</v>
      </c>
      <c r="M43" t="s">
        <v>31</v>
      </c>
      <c r="O43" s="331"/>
      <c r="P43" s="296"/>
    </row>
    <row r="44" spans="1:20" ht="15.75">
      <c r="A44" s="335" t="s">
        <v>40</v>
      </c>
      <c r="B44" s="336">
        <f>P44</f>
        <v>0.34</v>
      </c>
      <c r="C44" t="s">
        <v>41</v>
      </c>
      <c r="D44" s="17" t="s">
        <v>38</v>
      </c>
      <c r="E44" t="s">
        <v>29</v>
      </c>
      <c r="F44" s="251" t="s">
        <v>35</v>
      </c>
      <c r="G44" t="s">
        <v>33</v>
      </c>
      <c r="H44">
        <v>2</v>
      </c>
      <c r="I44">
        <f t="shared" ref="I44" si="3">LN(B44)</f>
        <v>-1.0788096613719298</v>
      </c>
      <c r="J44" s="330">
        <v>7.2284161474004766E-2</v>
      </c>
      <c r="K44" t="s">
        <v>31</v>
      </c>
      <c r="L44" t="s">
        <v>31</v>
      </c>
      <c r="M44" t="s">
        <v>31</v>
      </c>
      <c r="O44" s="331" t="s">
        <v>332</v>
      </c>
      <c r="P44" s="296">
        <v>0.34</v>
      </c>
    </row>
    <row r="45" spans="1:20" ht="15.75">
      <c r="A45" s="83" t="s">
        <v>1017</v>
      </c>
      <c r="B45">
        <f>R45</f>
        <v>8.0000000000000002E-3</v>
      </c>
      <c r="C45" t="s">
        <v>37</v>
      </c>
      <c r="D45" s="17" t="s">
        <v>38</v>
      </c>
      <c r="E45" t="s">
        <v>29</v>
      </c>
      <c r="F45" s="251" t="s">
        <v>60</v>
      </c>
      <c r="G45" t="s">
        <v>33</v>
      </c>
      <c r="H45">
        <v>2</v>
      </c>
      <c r="I45">
        <f>LN(B45)</f>
        <v>-4.8283137373023015</v>
      </c>
      <c r="J45" s="330">
        <v>7.2284161474004766E-2</v>
      </c>
      <c r="K45" t="s">
        <v>31</v>
      </c>
      <c r="L45" t="s">
        <v>31</v>
      </c>
      <c r="M45" t="s">
        <v>31</v>
      </c>
      <c r="O45" s="331" t="s">
        <v>947</v>
      </c>
      <c r="P45" s="296">
        <v>8</v>
      </c>
      <c r="Q45" t="s">
        <v>337</v>
      </c>
      <c r="R45">
        <f>P45*0.001</f>
        <v>8.0000000000000002E-3</v>
      </c>
    </row>
    <row r="46" spans="1:20" ht="15.75">
      <c r="A46" s="83" t="s">
        <v>1018</v>
      </c>
      <c r="B46">
        <f>R46</f>
        <v>1.4999999999999999E-2</v>
      </c>
      <c r="C46" t="s">
        <v>37</v>
      </c>
      <c r="D46" s="17" t="s">
        <v>38</v>
      </c>
      <c r="E46" t="s">
        <v>29</v>
      </c>
      <c r="F46" s="251" t="s">
        <v>35</v>
      </c>
      <c r="G46" t="s">
        <v>33</v>
      </c>
      <c r="H46">
        <v>2</v>
      </c>
      <c r="I46">
        <f>LN(B46)</f>
        <v>-4.1997050778799272</v>
      </c>
      <c r="J46" s="330">
        <v>7.2284161474004766E-2</v>
      </c>
      <c r="K46" t="s">
        <v>31</v>
      </c>
      <c r="L46" t="s">
        <v>31</v>
      </c>
      <c r="M46" t="s">
        <v>31</v>
      </c>
      <c r="O46" s="331" t="s">
        <v>947</v>
      </c>
      <c r="P46" s="296">
        <v>15</v>
      </c>
      <c r="Q46" t="s">
        <v>337</v>
      </c>
      <c r="R46">
        <f>P46*0.001</f>
        <v>1.4999999999999999E-2</v>
      </c>
    </row>
    <row r="47" spans="1:20" ht="15.75">
      <c r="A47" s="83" t="s">
        <v>933</v>
      </c>
      <c r="B47">
        <f>P47</f>
        <v>13</v>
      </c>
      <c r="C47" t="s">
        <v>37</v>
      </c>
      <c r="D47" s="17" t="s">
        <v>38</v>
      </c>
      <c r="E47" t="s">
        <v>29</v>
      </c>
      <c r="F47" s="251" t="s">
        <v>39</v>
      </c>
      <c r="G47" t="s">
        <v>33</v>
      </c>
      <c r="H47">
        <v>2</v>
      </c>
      <c r="I47">
        <f>LN(B47)</f>
        <v>2.5649493574615367</v>
      </c>
      <c r="J47" s="330">
        <v>7.2284161474004766E-2</v>
      </c>
      <c r="K47" t="s">
        <v>31</v>
      </c>
      <c r="L47" t="s">
        <v>31</v>
      </c>
      <c r="M47" t="s">
        <v>31</v>
      </c>
      <c r="O47" s="331" t="s">
        <v>337</v>
      </c>
      <c r="P47" s="296">
        <v>13</v>
      </c>
    </row>
    <row r="48" spans="1:20" ht="15.75">
      <c r="A48" s="83" t="s">
        <v>489</v>
      </c>
      <c r="B48">
        <f>R48</f>
        <v>1.2999999999999999E-2</v>
      </c>
      <c r="C48" t="s">
        <v>50</v>
      </c>
      <c r="D48" s="17" t="s">
        <v>38</v>
      </c>
      <c r="E48" t="s">
        <v>29</v>
      </c>
      <c r="F48" s="251" t="s">
        <v>39</v>
      </c>
      <c r="G48" t="s">
        <v>33</v>
      </c>
      <c r="H48">
        <v>2</v>
      </c>
      <c r="I48">
        <f t="shared" ref="I48" si="4">LN(B48)</f>
        <v>-4.3428059215206005</v>
      </c>
      <c r="J48" s="330">
        <v>7.2284161474004766E-2</v>
      </c>
      <c r="K48" t="s">
        <v>31</v>
      </c>
      <c r="L48" t="s">
        <v>31</v>
      </c>
      <c r="M48" t="s">
        <v>31</v>
      </c>
      <c r="O48" s="334" t="s">
        <v>1009</v>
      </c>
      <c r="P48" s="306">
        <v>13</v>
      </c>
      <c r="Q48" t="s">
        <v>335</v>
      </c>
      <c r="R48">
        <f>P48/1000</f>
        <v>1.2999999999999999E-2</v>
      </c>
    </row>
    <row r="49" spans="1:18" ht="15.75">
      <c r="A49" s="322" t="s">
        <v>5</v>
      </c>
      <c r="B49" s="337" t="s">
        <v>1130</v>
      </c>
      <c r="C49" s="120"/>
      <c r="D49" s="42"/>
      <c r="E49" s="42"/>
      <c r="F49" s="42"/>
      <c r="G49" s="42"/>
      <c r="H49" s="42"/>
      <c r="I49" s="42"/>
      <c r="J49" s="42"/>
      <c r="K49" s="42"/>
      <c r="L49" s="42"/>
      <c r="M49" s="42"/>
      <c r="N49" s="42"/>
      <c r="O49" s="42"/>
      <c r="P49" s="42"/>
      <c r="Q49" s="42"/>
      <c r="R49" s="42"/>
    </row>
    <row r="50" spans="1:18">
      <c r="A50" s="324" t="s">
        <v>7</v>
      </c>
      <c r="B50" t="s">
        <v>902</v>
      </c>
      <c r="C50" s="23"/>
    </row>
    <row r="51" spans="1:18">
      <c r="A51" s="324" t="s">
        <v>9</v>
      </c>
      <c r="B51" t="s">
        <v>1131</v>
      </c>
      <c r="C51" s="23"/>
    </row>
    <row r="52" spans="1:18" ht="10.5" customHeight="1">
      <c r="A52" s="324" t="s">
        <v>11</v>
      </c>
      <c r="B52" s="249" t="s">
        <v>913</v>
      </c>
    </row>
    <row r="53" spans="1:18">
      <c r="A53" s="324" t="s">
        <v>13</v>
      </c>
      <c r="B53" t="s">
        <v>14</v>
      </c>
    </row>
    <row r="54" spans="1:18">
      <c r="A54" s="324" t="s">
        <v>15</v>
      </c>
      <c r="B54" s="250">
        <f>B59</f>
        <v>1.7000000000000001E-2</v>
      </c>
    </row>
    <row r="55" spans="1:18">
      <c r="A55" s="324" t="s">
        <v>16</v>
      </c>
      <c r="B55" t="s">
        <v>17</v>
      </c>
    </row>
    <row r="56" spans="1:18">
      <c r="A56" s="324" t="s">
        <v>18</v>
      </c>
      <c r="B56" t="s">
        <v>37</v>
      </c>
    </row>
    <row r="57" spans="1:18" ht="15.75">
      <c r="A57" s="325" t="s">
        <v>19</v>
      </c>
    </row>
    <row r="58" spans="1:18" ht="15.75">
      <c r="A58" s="325"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75">
      <c r="A59" s="31" t="s">
        <v>1130</v>
      </c>
      <c r="B59" s="250">
        <v>1.7000000000000001E-2</v>
      </c>
      <c r="C59" t="s">
        <v>37</v>
      </c>
      <c r="D59" s="326" t="s">
        <v>2</v>
      </c>
      <c r="E59" t="s">
        <v>29</v>
      </c>
      <c r="F59" s="251" t="s">
        <v>14</v>
      </c>
      <c r="G59" t="s">
        <v>30</v>
      </c>
      <c r="H59">
        <v>1</v>
      </c>
      <c r="I59" s="250">
        <f>B59</f>
        <v>1.7000000000000001E-2</v>
      </c>
      <c r="J59" t="s">
        <v>31</v>
      </c>
      <c r="K59" t="s">
        <v>31</v>
      </c>
      <c r="L59" t="s">
        <v>31</v>
      </c>
      <c r="M59" t="s">
        <v>31</v>
      </c>
      <c r="O59" s="30"/>
      <c r="P59" s="338"/>
    </row>
    <row r="60" spans="1:18" ht="15.75">
      <c r="A60" s="83" t="s">
        <v>1021</v>
      </c>
      <c r="B60" s="336">
        <f>R60</f>
        <v>1.8000000000000002E-2</v>
      </c>
      <c r="C60" t="s">
        <v>37</v>
      </c>
      <c r="D60" s="17" t="s">
        <v>38</v>
      </c>
      <c r="E60" t="s">
        <v>29</v>
      </c>
      <c r="F60" s="251" t="s">
        <v>60</v>
      </c>
      <c r="G60" t="s">
        <v>33</v>
      </c>
      <c r="H60">
        <v>2</v>
      </c>
      <c r="I60">
        <f>LN(B60)</f>
        <v>-4.0173835210859723</v>
      </c>
      <c r="J60">
        <v>7.2284161474004766E-2</v>
      </c>
      <c r="K60" t="s">
        <v>31</v>
      </c>
      <c r="L60" t="s">
        <v>31</v>
      </c>
      <c r="M60" t="s">
        <v>31</v>
      </c>
      <c r="O60" s="331" t="s">
        <v>947</v>
      </c>
      <c r="P60" s="296">
        <v>18</v>
      </c>
      <c r="Q60" t="s">
        <v>337</v>
      </c>
      <c r="R60">
        <f>P60*0.001</f>
        <v>1.8000000000000002E-2</v>
      </c>
    </row>
    <row r="61" spans="1:18" ht="15.75">
      <c r="A61" s="335" t="s">
        <v>40</v>
      </c>
      <c r="B61" s="336">
        <f>P61</f>
        <v>0.08</v>
      </c>
      <c r="C61" t="s">
        <v>41</v>
      </c>
      <c r="D61" s="17" t="s">
        <v>38</v>
      </c>
      <c r="E61" t="s">
        <v>29</v>
      </c>
      <c r="F61" s="251" t="s">
        <v>35</v>
      </c>
      <c r="G61" t="s">
        <v>33</v>
      </c>
      <c r="H61">
        <v>2</v>
      </c>
      <c r="I61">
        <f t="shared" ref="I61:I62" si="5">LN(B61)</f>
        <v>-2.5257286443082556</v>
      </c>
      <c r="J61">
        <v>7.2284161474004766E-2</v>
      </c>
      <c r="K61" t="s">
        <v>31</v>
      </c>
      <c r="L61" t="s">
        <v>31</v>
      </c>
      <c r="M61" t="s">
        <v>31</v>
      </c>
      <c r="O61" s="331" t="s">
        <v>332</v>
      </c>
      <c r="P61" s="296">
        <v>0.08</v>
      </c>
    </row>
    <row r="62" spans="1:18" ht="15.75">
      <c r="A62" s="339" t="s">
        <v>908</v>
      </c>
      <c r="B62">
        <v>8.9999999999999998E-4</v>
      </c>
      <c r="C62" t="s">
        <v>37</v>
      </c>
      <c r="D62" s="326" t="s">
        <v>2</v>
      </c>
      <c r="E62" t="s">
        <v>29</v>
      </c>
      <c r="F62" s="251" t="s">
        <v>39</v>
      </c>
      <c r="G62" t="s">
        <v>33</v>
      </c>
      <c r="H62">
        <v>2</v>
      </c>
      <c r="I62">
        <f t="shared" si="5"/>
        <v>-7.0131157946399636</v>
      </c>
      <c r="J62">
        <v>7.2284161474004766E-2</v>
      </c>
      <c r="K62" t="s">
        <v>31</v>
      </c>
      <c r="L62" t="s">
        <v>31</v>
      </c>
      <c r="M62" t="s">
        <v>31</v>
      </c>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120E-4A6F-4AC5-BAFA-4AFF874BA62A}">
  <sheetPr>
    <tabColor theme="8" tint="0.79998168889431442"/>
  </sheetPr>
  <dimension ref="A1:V47"/>
  <sheetViews>
    <sheetView zoomScaleNormal="100" workbookViewId="0">
      <selection activeCell="G113" sqref="G1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2" customFormat="1" ht="15.75">
      <c r="A2" s="245" t="s">
        <v>5</v>
      </c>
      <c r="B2" s="337" t="s">
        <v>1120</v>
      </c>
    </row>
    <row r="3" spans="1:22">
      <c r="A3" s="247" t="s">
        <v>7</v>
      </c>
      <c r="B3" t="s">
        <v>902</v>
      </c>
      <c r="C3" s="23"/>
    </row>
    <row r="4" spans="1:22">
      <c r="A4" s="433" t="s">
        <v>9</v>
      </c>
      <c r="B4" t="s">
        <v>1132</v>
      </c>
      <c r="C4" s="23"/>
    </row>
    <row r="5" spans="1:22" ht="15.75" customHeight="1">
      <c r="A5" s="247" t="s">
        <v>11</v>
      </c>
      <c r="B5" s="249" t="s">
        <v>913</v>
      </c>
    </row>
    <row r="6" spans="1:22">
      <c r="A6" s="247" t="s">
        <v>13</v>
      </c>
      <c r="B6" t="s">
        <v>14</v>
      </c>
    </row>
    <row r="7" spans="1:22">
      <c r="A7" s="247" t="s">
        <v>15</v>
      </c>
      <c r="B7" s="283">
        <f>B12</f>
        <v>0.03</v>
      </c>
    </row>
    <row r="8" spans="1:22">
      <c r="A8" s="247" t="s">
        <v>16</v>
      </c>
      <c r="B8" t="s">
        <v>17</v>
      </c>
    </row>
    <row r="9" spans="1:22">
      <c r="A9" s="247" t="s">
        <v>18</v>
      </c>
      <c r="B9" t="s">
        <v>37</v>
      </c>
      <c r="S9" s="28" t="s">
        <v>1023</v>
      </c>
    </row>
    <row r="10" spans="1:22" ht="15.75">
      <c r="A10" s="252" t="s">
        <v>19</v>
      </c>
      <c r="S10" t="s">
        <v>1024</v>
      </c>
      <c r="T10">
        <v>8900</v>
      </c>
      <c r="U10" t="s">
        <v>1025</v>
      </c>
    </row>
    <row r="11" spans="1:22" ht="15.75">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1026</v>
      </c>
      <c r="T11">
        <f>5*10^-6</f>
        <v>4.9999999999999996E-6</v>
      </c>
      <c r="U11" t="s">
        <v>1027</v>
      </c>
    </row>
    <row r="12" spans="1:22" ht="15.75">
      <c r="A12" t="s">
        <v>1120</v>
      </c>
      <c r="B12" s="452">
        <v>0.03</v>
      </c>
      <c r="C12" t="s">
        <v>37</v>
      </c>
      <c r="D12" s="326" t="s">
        <v>2</v>
      </c>
      <c r="E12" t="s">
        <v>29</v>
      </c>
      <c r="F12" t="s">
        <v>14</v>
      </c>
      <c r="G12" t="s">
        <v>30</v>
      </c>
      <c r="H12">
        <v>1</v>
      </c>
      <c r="I12">
        <v>1</v>
      </c>
      <c r="J12" t="s">
        <v>31</v>
      </c>
      <c r="K12" t="s">
        <v>31</v>
      </c>
      <c r="L12" t="s">
        <v>31</v>
      </c>
      <c r="M12" t="s">
        <v>31</v>
      </c>
      <c r="O12" s="65" t="s">
        <v>1028</v>
      </c>
      <c r="P12" s="453"/>
      <c r="Q12" t="s">
        <v>329</v>
      </c>
      <c r="S12" s="454" t="s">
        <v>1029</v>
      </c>
      <c r="T12" s="90">
        <v>0.46</v>
      </c>
      <c r="U12" s="455" t="s">
        <v>985</v>
      </c>
    </row>
    <row r="13" spans="1:22" ht="15.75">
      <c r="A13" t="s">
        <v>1133</v>
      </c>
      <c r="B13" s="452">
        <f>B28</f>
        <v>0.03</v>
      </c>
      <c r="C13" t="s">
        <v>206</v>
      </c>
      <c r="D13" s="326" t="s">
        <v>2</v>
      </c>
      <c r="E13" t="s">
        <v>29</v>
      </c>
      <c r="F13" t="s">
        <v>14</v>
      </c>
      <c r="G13" t="s">
        <v>33</v>
      </c>
      <c r="H13">
        <v>1</v>
      </c>
      <c r="I13" s="283">
        <f>B13</f>
        <v>0.03</v>
      </c>
      <c r="J13">
        <v>7.2284161474004793E-2</v>
      </c>
      <c r="K13" t="s">
        <v>31</v>
      </c>
      <c r="L13" t="s">
        <v>31</v>
      </c>
      <c r="M13" t="s">
        <v>31</v>
      </c>
      <c r="O13" s="331" t="s">
        <v>1031</v>
      </c>
      <c r="P13" s="366">
        <f>B13*100</f>
        <v>3</v>
      </c>
    </row>
    <row r="14" spans="1:22" ht="15.75">
      <c r="A14" s="30" t="s">
        <v>1130</v>
      </c>
      <c r="B14" s="250">
        <f>U15</f>
        <v>0.34960000000000002</v>
      </c>
      <c r="C14" t="s">
        <v>37</v>
      </c>
      <c r="D14" s="326" t="s">
        <v>2</v>
      </c>
      <c r="E14" t="s">
        <v>29</v>
      </c>
      <c r="F14" s="251" t="s">
        <v>14</v>
      </c>
      <c r="G14" t="s">
        <v>33</v>
      </c>
      <c r="H14">
        <v>1</v>
      </c>
      <c r="I14" s="283">
        <f>B14</f>
        <v>0.34960000000000002</v>
      </c>
      <c r="J14">
        <v>7.2284161474004766E-2</v>
      </c>
      <c r="K14" t="s">
        <v>31</v>
      </c>
      <c r="L14" t="s">
        <v>31</v>
      </c>
      <c r="M14" t="s">
        <v>31</v>
      </c>
      <c r="O14" s="435"/>
      <c r="P14" s="436"/>
      <c r="S14" t="s">
        <v>1032</v>
      </c>
      <c r="V14" s="328"/>
    </row>
    <row r="15" spans="1:22" ht="15.75">
      <c r="A15" s="253" t="s">
        <v>933</v>
      </c>
      <c r="B15">
        <f>Q15</f>
        <v>6.1</v>
      </c>
      <c r="C15" t="s">
        <v>37</v>
      </c>
      <c r="D15" s="17" t="s">
        <v>38</v>
      </c>
      <c r="E15" t="s">
        <v>29</v>
      </c>
      <c r="F15" s="251" t="s">
        <v>39</v>
      </c>
      <c r="G15" t="s">
        <v>33</v>
      </c>
      <c r="H15">
        <v>2</v>
      </c>
      <c r="I15">
        <f t="shared" ref="I15" si="0">LN(B15)</f>
        <v>1.8082887711792655</v>
      </c>
      <c r="J15">
        <v>7.2284161474004766E-2</v>
      </c>
      <c r="K15" t="s">
        <v>31</v>
      </c>
      <c r="L15" t="s">
        <v>31</v>
      </c>
      <c r="M15" t="s">
        <v>31</v>
      </c>
      <c r="O15" s="331" t="s">
        <v>337</v>
      </c>
      <c r="P15" s="296">
        <v>6.1</v>
      </c>
      <c r="Q15">
        <f>P15</f>
        <v>6.1</v>
      </c>
      <c r="S15" s="456">
        <v>0.76</v>
      </c>
      <c r="T15" s="457" t="s">
        <v>945</v>
      </c>
      <c r="U15" s="456">
        <f>S15*T12</f>
        <v>0.34960000000000002</v>
      </c>
      <c r="V15" s="457" t="s">
        <v>337</v>
      </c>
    </row>
    <row r="16" spans="1:22" ht="15.75">
      <c r="A16" s="232" t="s">
        <v>1021</v>
      </c>
      <c r="B16">
        <f>Q16</f>
        <v>2.9999999999999999E-7</v>
      </c>
      <c r="C16" t="s">
        <v>37</v>
      </c>
      <c r="D16" s="17" t="s">
        <v>38</v>
      </c>
      <c r="E16" t="s">
        <v>29</v>
      </c>
      <c r="F16" s="251" t="s">
        <v>60</v>
      </c>
      <c r="G16" t="s">
        <v>33</v>
      </c>
      <c r="H16">
        <v>2</v>
      </c>
      <c r="I16">
        <f>LN(B16)</f>
        <v>-15.01948336229021</v>
      </c>
      <c r="J16">
        <v>7.2284161474004766E-2</v>
      </c>
      <c r="K16" t="s">
        <v>31</v>
      </c>
      <c r="L16" t="s">
        <v>31</v>
      </c>
      <c r="M16" t="s">
        <v>31</v>
      </c>
      <c r="O16" s="332" t="s">
        <v>952</v>
      </c>
      <c r="P16" s="365">
        <v>0.3</v>
      </c>
      <c r="Q16">
        <f>0.000001*P16</f>
        <v>2.9999999999999999E-7</v>
      </c>
    </row>
    <row r="17" spans="1:20" ht="15.75">
      <c r="A17" s="232" t="s">
        <v>489</v>
      </c>
      <c r="B17">
        <f t="shared" ref="B17" si="1">Q17</f>
        <v>6.0999999999999995E-3</v>
      </c>
      <c r="C17" t="s">
        <v>50</v>
      </c>
      <c r="D17" s="17" t="s">
        <v>38</v>
      </c>
      <c r="E17" t="s">
        <v>29</v>
      </c>
      <c r="F17" s="251" t="s">
        <v>39</v>
      </c>
      <c r="G17" t="s">
        <v>33</v>
      </c>
      <c r="H17">
        <v>2</v>
      </c>
      <c r="I17">
        <f t="shared" ref="I17" si="2">LN(B17)</f>
        <v>-5.0994665078028714</v>
      </c>
      <c r="J17">
        <v>7.2284161474004766E-2</v>
      </c>
      <c r="K17" t="s">
        <v>31</v>
      </c>
      <c r="L17" t="s">
        <v>31</v>
      </c>
      <c r="M17" t="s">
        <v>31</v>
      </c>
      <c r="O17" s="334" t="s">
        <v>1009</v>
      </c>
      <c r="P17" s="306">
        <v>6.1</v>
      </c>
      <c r="Q17">
        <f>0.001*P17</f>
        <v>6.0999999999999995E-3</v>
      </c>
    </row>
    <row r="18" spans="1:20" s="42" customFormat="1" ht="15.75">
      <c r="A18" s="245" t="s">
        <v>5</v>
      </c>
      <c r="B18" s="337" t="s">
        <v>1133</v>
      </c>
    </row>
    <row r="19" spans="1:20">
      <c r="A19" s="247" t="s">
        <v>7</v>
      </c>
      <c r="B19" t="s">
        <v>902</v>
      </c>
      <c r="C19" s="23"/>
    </row>
    <row r="20" spans="1:20">
      <c r="A20" s="433" t="s">
        <v>9</v>
      </c>
      <c r="B20" s="31" t="s">
        <v>1134</v>
      </c>
      <c r="C20" s="23"/>
    </row>
    <row r="21" spans="1:20" ht="15.75" customHeight="1">
      <c r="A21" s="247" t="s">
        <v>11</v>
      </c>
      <c r="B21" s="249" t="s">
        <v>913</v>
      </c>
    </row>
    <row r="22" spans="1:20">
      <c r="A22" s="247" t="s">
        <v>13</v>
      </c>
      <c r="B22" t="s">
        <v>14</v>
      </c>
    </row>
    <row r="23" spans="1:20">
      <c r="A23" s="247" t="s">
        <v>15</v>
      </c>
      <c r="B23" s="283">
        <f>B28</f>
        <v>0.03</v>
      </c>
    </row>
    <row r="24" spans="1:20">
      <c r="A24" s="247" t="s">
        <v>16</v>
      </c>
      <c r="B24" t="s">
        <v>17</v>
      </c>
    </row>
    <row r="25" spans="1:20">
      <c r="A25" s="247" t="s">
        <v>18</v>
      </c>
      <c r="B25" t="s">
        <v>206</v>
      </c>
    </row>
    <row r="26" spans="1:20" ht="15.75">
      <c r="A26" s="252" t="s">
        <v>19</v>
      </c>
    </row>
    <row r="27" spans="1:20" ht="15.75">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283"/>
    </row>
    <row r="28" spans="1:20" ht="15.75">
      <c r="A28" t="s">
        <v>1133</v>
      </c>
      <c r="B28" s="283">
        <v>0.03</v>
      </c>
      <c r="C28" t="s">
        <v>206</v>
      </c>
      <c r="D28" s="326" t="s">
        <v>2</v>
      </c>
      <c r="E28" t="s">
        <v>29</v>
      </c>
      <c r="F28" t="s">
        <v>14</v>
      </c>
      <c r="G28" t="s">
        <v>30</v>
      </c>
      <c r="H28">
        <v>1</v>
      </c>
      <c r="I28" s="283">
        <f>B28</f>
        <v>0.03</v>
      </c>
      <c r="J28">
        <v>7.2284161474004766E-2</v>
      </c>
      <c r="K28" t="s">
        <v>31</v>
      </c>
      <c r="L28" t="s">
        <v>31</v>
      </c>
      <c r="M28" t="s">
        <v>31</v>
      </c>
      <c r="O28" s="331" t="s">
        <v>1031</v>
      </c>
      <c r="P28" s="296">
        <f>B28*100</f>
        <v>3</v>
      </c>
    </row>
    <row r="29" spans="1:20">
      <c r="A29" t="s">
        <v>1135</v>
      </c>
      <c r="B29" s="283">
        <v>0.03</v>
      </c>
      <c r="C29" t="s">
        <v>206</v>
      </c>
      <c r="D29" s="248" t="s">
        <v>2</v>
      </c>
      <c r="E29" t="s">
        <v>29</v>
      </c>
      <c r="F29" t="s">
        <v>14</v>
      </c>
      <c r="G29" t="s">
        <v>33</v>
      </c>
      <c r="H29">
        <v>1</v>
      </c>
      <c r="I29" s="283">
        <f>B29</f>
        <v>0.03</v>
      </c>
      <c r="J29">
        <v>7.2284161474004766E-2</v>
      </c>
      <c r="K29" t="s">
        <v>31</v>
      </c>
      <c r="L29" t="s">
        <v>31</v>
      </c>
      <c r="M29" t="s">
        <v>31</v>
      </c>
    </row>
    <row r="30" spans="1:20" ht="15.75">
      <c r="A30" s="253" t="s">
        <v>40</v>
      </c>
      <c r="B30" s="336">
        <f>P30</f>
        <v>0.34</v>
      </c>
      <c r="C30" t="s">
        <v>41</v>
      </c>
      <c r="D30" s="17" t="s">
        <v>38</v>
      </c>
      <c r="E30" t="s">
        <v>29</v>
      </c>
      <c r="F30" s="251" t="s">
        <v>35</v>
      </c>
      <c r="G30" t="s">
        <v>33</v>
      </c>
      <c r="H30">
        <v>2</v>
      </c>
      <c r="I30">
        <f t="shared" ref="I30:I31" si="3">LN(B30)</f>
        <v>-1.0788096613719298</v>
      </c>
      <c r="J30">
        <v>7.2284161474004766E-2</v>
      </c>
      <c r="K30" t="s">
        <v>31</v>
      </c>
      <c r="L30" t="s">
        <v>31</v>
      </c>
      <c r="M30" t="s">
        <v>31</v>
      </c>
      <c r="O30" s="331" t="s">
        <v>332</v>
      </c>
      <c r="P30" s="296">
        <v>0.34</v>
      </c>
    </row>
    <row r="31" spans="1:20" ht="15.75">
      <c r="A31" s="232" t="s">
        <v>1017</v>
      </c>
      <c r="B31">
        <f>R31</f>
        <v>8.0000000000000002E-3</v>
      </c>
      <c r="C31" s="283" t="s">
        <v>37</v>
      </c>
      <c r="D31" s="17" t="s">
        <v>38</v>
      </c>
      <c r="E31" t="s">
        <v>29</v>
      </c>
      <c r="F31" t="s">
        <v>60</v>
      </c>
      <c r="G31" t="s">
        <v>33</v>
      </c>
      <c r="H31">
        <v>2</v>
      </c>
      <c r="I31">
        <f t="shared" si="3"/>
        <v>-4.8283137373023015</v>
      </c>
      <c r="J31">
        <v>7.2284161474004766E-2</v>
      </c>
      <c r="K31" t="s">
        <v>31</v>
      </c>
      <c r="L31" t="s">
        <v>31</v>
      </c>
      <c r="M31" t="s">
        <v>31</v>
      </c>
      <c r="O31" s="331" t="s">
        <v>947</v>
      </c>
      <c r="P31" s="296">
        <v>8</v>
      </c>
      <c r="Q31" t="s">
        <v>337</v>
      </c>
      <c r="R31">
        <f>P31*0.001</f>
        <v>8.0000000000000002E-3</v>
      </c>
    </row>
    <row r="32" spans="1:20" ht="15.75">
      <c r="A32" s="83" t="s">
        <v>1018</v>
      </c>
      <c r="B32">
        <f t="shared" ref="B32:B33" si="4">R32</f>
        <v>1.4999999999999999E-2</v>
      </c>
      <c r="C32" t="s">
        <v>37</v>
      </c>
      <c r="D32" s="17" t="s">
        <v>38</v>
      </c>
      <c r="E32" t="s">
        <v>29</v>
      </c>
      <c r="F32" s="251" t="s">
        <v>35</v>
      </c>
      <c r="G32" t="s">
        <v>33</v>
      </c>
      <c r="H32">
        <v>2</v>
      </c>
      <c r="I32">
        <f>LN(B32)</f>
        <v>-4.1997050778799272</v>
      </c>
      <c r="J32">
        <v>7.2284161474004766E-2</v>
      </c>
      <c r="K32" t="s">
        <v>31</v>
      </c>
      <c r="L32" t="s">
        <v>31</v>
      </c>
      <c r="M32" t="s">
        <v>31</v>
      </c>
      <c r="O32" s="331" t="s">
        <v>947</v>
      </c>
      <c r="P32" s="296">
        <v>15</v>
      </c>
      <c r="Q32" t="s">
        <v>337</v>
      </c>
      <c r="R32">
        <f>P32*0.001</f>
        <v>1.4999999999999999E-2</v>
      </c>
    </row>
    <row r="33" spans="1:20" ht="15.75">
      <c r="A33" s="253" t="s">
        <v>933</v>
      </c>
      <c r="B33">
        <f t="shared" si="4"/>
        <v>13</v>
      </c>
      <c r="C33" t="s">
        <v>37</v>
      </c>
      <c r="D33" s="17" t="s">
        <v>38</v>
      </c>
      <c r="E33" t="s">
        <v>29</v>
      </c>
      <c r="F33" s="251" t="s">
        <v>39</v>
      </c>
      <c r="G33" t="s">
        <v>33</v>
      </c>
      <c r="H33">
        <v>2</v>
      </c>
      <c r="I33">
        <f t="shared" ref="I33:I34" si="5">LN(B33)</f>
        <v>2.5649493574615367</v>
      </c>
      <c r="J33">
        <v>7.2284161474004766E-2</v>
      </c>
      <c r="K33" t="s">
        <v>31</v>
      </c>
      <c r="L33" t="s">
        <v>31</v>
      </c>
      <c r="M33" t="s">
        <v>31</v>
      </c>
      <c r="O33" s="331" t="s">
        <v>337</v>
      </c>
      <c r="P33" s="296">
        <v>13</v>
      </c>
      <c r="Q33" t="s">
        <v>337</v>
      </c>
      <c r="R33">
        <f>P33</f>
        <v>13</v>
      </c>
    </row>
    <row r="34" spans="1:20" ht="15.75">
      <c r="A34" s="232" t="s">
        <v>489</v>
      </c>
      <c r="B34">
        <f>R34</f>
        <v>1.3000000000000001E-2</v>
      </c>
      <c r="C34" t="s">
        <v>50</v>
      </c>
      <c r="D34" s="17" t="s">
        <v>38</v>
      </c>
      <c r="E34" t="s">
        <v>29</v>
      </c>
      <c r="F34" s="251" t="s">
        <v>39</v>
      </c>
      <c r="G34" t="s">
        <v>33</v>
      </c>
      <c r="H34">
        <v>2</v>
      </c>
      <c r="I34">
        <f t="shared" si="5"/>
        <v>-4.3428059215206005</v>
      </c>
      <c r="J34">
        <v>7.2284161474004766E-2</v>
      </c>
      <c r="K34" t="s">
        <v>31</v>
      </c>
      <c r="L34" t="s">
        <v>31</v>
      </c>
      <c r="M34" t="s">
        <v>31</v>
      </c>
      <c r="O34" s="334" t="s">
        <v>1009</v>
      </c>
      <c r="P34" s="306">
        <v>13</v>
      </c>
      <c r="Q34" t="s">
        <v>335</v>
      </c>
      <c r="R34">
        <f>0.001*P34</f>
        <v>1.3000000000000001E-2</v>
      </c>
    </row>
    <row r="35" spans="1:20" s="42" customFormat="1" ht="15.75">
      <c r="A35" s="245" t="s">
        <v>5</v>
      </c>
      <c r="B35" s="337" t="s">
        <v>1135</v>
      </c>
    </row>
    <row r="36" spans="1:20">
      <c r="A36" s="247" t="s">
        <v>7</v>
      </c>
      <c r="B36" t="s">
        <v>902</v>
      </c>
      <c r="C36" s="23"/>
    </row>
    <row r="37" spans="1:20">
      <c r="A37" s="433" t="s">
        <v>9</v>
      </c>
      <c r="B37" s="31" t="s">
        <v>1136</v>
      </c>
      <c r="C37" s="23"/>
    </row>
    <row r="38" spans="1:20" ht="15.75" customHeight="1">
      <c r="A38" s="247" t="s">
        <v>11</v>
      </c>
      <c r="B38" s="249" t="s">
        <v>913</v>
      </c>
    </row>
    <row r="39" spans="1:20">
      <c r="A39" s="247" t="s">
        <v>13</v>
      </c>
      <c r="B39" t="s">
        <v>14</v>
      </c>
    </row>
    <row r="40" spans="1:20">
      <c r="A40" s="247" t="s">
        <v>15</v>
      </c>
      <c r="B40" s="283">
        <f>B45</f>
        <v>0.03</v>
      </c>
    </row>
    <row r="41" spans="1:20">
      <c r="A41" s="247" t="s">
        <v>16</v>
      </c>
      <c r="B41" t="s">
        <v>17</v>
      </c>
    </row>
    <row r="42" spans="1:20">
      <c r="A42" s="247" t="s">
        <v>18</v>
      </c>
      <c r="B42" t="s">
        <v>206</v>
      </c>
    </row>
    <row r="43" spans="1:20" ht="15.75">
      <c r="A43" s="252" t="s">
        <v>19</v>
      </c>
    </row>
    <row r="44" spans="1:20" ht="15.75">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283"/>
    </row>
    <row r="45" spans="1:20">
      <c r="A45" t="s">
        <v>1135</v>
      </c>
      <c r="B45" s="283">
        <f>B29</f>
        <v>0.03</v>
      </c>
      <c r="C45" t="s">
        <v>206</v>
      </c>
      <c r="D45" s="248" t="s">
        <v>2</v>
      </c>
      <c r="E45" t="s">
        <v>29</v>
      </c>
      <c r="F45" t="s">
        <v>14</v>
      </c>
      <c r="G45" t="s">
        <v>30</v>
      </c>
      <c r="H45">
        <v>1</v>
      </c>
      <c r="I45" s="283">
        <f>B45</f>
        <v>0.03</v>
      </c>
      <c r="J45" t="s">
        <v>31</v>
      </c>
      <c r="K45" t="s">
        <v>31</v>
      </c>
      <c r="L45" t="s">
        <v>31</v>
      </c>
      <c r="M45" t="s">
        <v>31</v>
      </c>
      <c r="Q45" t="s">
        <v>1036</v>
      </c>
    </row>
    <row r="46" spans="1:20">
      <c r="A46" s="232" t="s">
        <v>1037</v>
      </c>
      <c r="B46" s="366">
        <v>0.4</v>
      </c>
      <c r="C46" t="s">
        <v>37</v>
      </c>
      <c r="D46" t="s">
        <v>38</v>
      </c>
      <c r="E46" t="s">
        <v>29</v>
      </c>
      <c r="F46" t="s">
        <v>86</v>
      </c>
      <c r="G46" t="s">
        <v>33</v>
      </c>
      <c r="H46">
        <v>1</v>
      </c>
      <c r="I46" s="283">
        <f t="shared" ref="I46:I47" si="6">B46</f>
        <v>0.4</v>
      </c>
      <c r="J46" t="s">
        <v>31</v>
      </c>
      <c r="K46" t="s">
        <v>31</v>
      </c>
      <c r="L46" t="s">
        <v>31</v>
      </c>
      <c r="M46" t="s">
        <v>31</v>
      </c>
    </row>
    <row r="47" spans="1:20">
      <c r="A47" s="232" t="s">
        <v>1038</v>
      </c>
      <c r="B47" s="366">
        <v>0.4</v>
      </c>
      <c r="C47" t="s">
        <v>37</v>
      </c>
      <c r="D47" t="s">
        <v>38</v>
      </c>
      <c r="E47" t="s">
        <v>29</v>
      </c>
      <c r="F47" t="s">
        <v>60</v>
      </c>
      <c r="G47" t="s">
        <v>33</v>
      </c>
      <c r="H47">
        <v>1</v>
      </c>
      <c r="I47" s="283">
        <f t="shared" si="6"/>
        <v>0.4</v>
      </c>
      <c r="J47" t="s">
        <v>31</v>
      </c>
      <c r="K47" t="s">
        <v>31</v>
      </c>
      <c r="L47" t="s">
        <v>31</v>
      </c>
      <c r="M47" t="s">
        <v>31</v>
      </c>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F2C7-6D0E-4CA7-A254-062D0E03F887}">
  <sheetPr>
    <tabColor theme="8" tint="0.79998168889431442"/>
  </sheetPr>
  <dimension ref="A1:Y57"/>
  <sheetViews>
    <sheetView topLeftCell="A32" zoomScale="85" zoomScaleNormal="85" workbookViewId="0">
      <selection activeCell="A54" sqref="A54"/>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30"/>
      <c r="S1" s="338"/>
    </row>
    <row r="2" spans="1:21" s="42" customFormat="1" ht="15.75">
      <c r="A2" s="245" t="s">
        <v>5</v>
      </c>
      <c r="B2" s="337" t="s">
        <v>993</v>
      </c>
      <c r="C2" s="337"/>
      <c r="R2" s="393"/>
      <c r="S2" s="458"/>
    </row>
    <row r="3" spans="1:21">
      <c r="A3" s="247" t="s">
        <v>7</v>
      </c>
      <c r="B3" t="s">
        <v>902</v>
      </c>
      <c r="D3" s="23"/>
      <c r="R3" s="30"/>
      <c r="S3" s="338"/>
    </row>
    <row r="4" spans="1:21">
      <c r="A4" s="433" t="s">
        <v>9</v>
      </c>
      <c r="B4" t="s">
        <v>1137</v>
      </c>
      <c r="D4" s="23"/>
    </row>
    <row r="5" spans="1:21" ht="15.75" customHeight="1">
      <c r="A5" s="247" t="s">
        <v>11</v>
      </c>
      <c r="B5" s="249" t="s">
        <v>913</v>
      </c>
      <c r="C5" s="249"/>
    </row>
    <row r="6" spans="1:21">
      <c r="A6" s="247" t="s">
        <v>13</v>
      </c>
      <c r="B6" t="s">
        <v>14</v>
      </c>
    </row>
    <row r="7" spans="1:21">
      <c r="A7" s="247" t="s">
        <v>15</v>
      </c>
      <c r="B7" s="22">
        <f>B12</f>
        <v>8.52</v>
      </c>
      <c r="C7" s="22"/>
    </row>
    <row r="8" spans="1:21">
      <c r="A8" s="247" t="s">
        <v>16</v>
      </c>
      <c r="B8" t="s">
        <v>17</v>
      </c>
    </row>
    <row r="9" spans="1:21">
      <c r="A9" s="247" t="s">
        <v>18</v>
      </c>
      <c r="B9" t="s">
        <v>37</v>
      </c>
    </row>
    <row r="10" spans="1:21" ht="15.75">
      <c r="A10" s="252" t="s">
        <v>19</v>
      </c>
    </row>
    <row r="11" spans="1:21" ht="15.75">
      <c r="A11" s="16" t="s">
        <v>20</v>
      </c>
      <c r="B11" s="16" t="s">
        <v>21</v>
      </c>
      <c r="C11" s="180" t="s">
        <v>78</v>
      </c>
      <c r="D11" s="16" t="s">
        <v>18</v>
      </c>
      <c r="E11" s="16" t="s">
        <v>22</v>
      </c>
      <c r="F11" s="16" t="s">
        <v>7</v>
      </c>
      <c r="G11" s="16" t="s">
        <v>13</v>
      </c>
      <c r="H11" s="16" t="s">
        <v>16</v>
      </c>
      <c r="I11" s="16" t="s">
        <v>23</v>
      </c>
      <c r="J11" s="16" t="s">
        <v>24</v>
      </c>
      <c r="K11" s="16" t="s">
        <v>25</v>
      </c>
      <c r="L11" s="16" t="s">
        <v>26</v>
      </c>
      <c r="M11" s="16" t="s">
        <v>27</v>
      </c>
      <c r="N11" s="16" t="s">
        <v>28</v>
      </c>
      <c r="O11" s="16" t="s">
        <v>11</v>
      </c>
      <c r="U11" s="283"/>
    </row>
    <row r="12" spans="1:21" ht="15.75">
      <c r="A12" t="s">
        <v>993</v>
      </c>
      <c r="B12">
        <f>B48</f>
        <v>8.52</v>
      </c>
      <c r="D12" t="s">
        <v>37</v>
      </c>
      <c r="E12" s="326" t="s">
        <v>2</v>
      </c>
      <c r="F12" t="s">
        <v>29</v>
      </c>
      <c r="G12" t="s">
        <v>14</v>
      </c>
      <c r="H12" t="s">
        <v>30</v>
      </c>
      <c r="I12">
        <v>1</v>
      </c>
      <c r="J12">
        <f>B12</f>
        <v>8.52</v>
      </c>
      <c r="K12" t="s">
        <v>31</v>
      </c>
      <c r="L12" t="s">
        <v>31</v>
      </c>
      <c r="M12" t="s">
        <v>31</v>
      </c>
      <c r="N12" t="s">
        <v>31</v>
      </c>
      <c r="P12" s="30"/>
      <c r="Q12" s="338"/>
    </row>
    <row r="13" spans="1:21" ht="15.75">
      <c r="A13" t="s">
        <v>1138</v>
      </c>
      <c r="B13">
        <v>1</v>
      </c>
      <c r="D13" t="s">
        <v>18</v>
      </c>
      <c r="E13" s="326" t="s">
        <v>2</v>
      </c>
      <c r="F13" t="s">
        <v>29</v>
      </c>
      <c r="G13" t="s">
        <v>14</v>
      </c>
      <c r="H13" t="s">
        <v>33</v>
      </c>
      <c r="I13">
        <v>1</v>
      </c>
      <c r="J13">
        <v>1</v>
      </c>
      <c r="K13" t="s">
        <v>31</v>
      </c>
      <c r="L13" t="s">
        <v>31</v>
      </c>
      <c r="M13" t="s">
        <v>31</v>
      </c>
      <c r="N13" t="s">
        <v>31</v>
      </c>
    </row>
    <row r="14" spans="1:21" ht="15.75">
      <c r="A14" s="253" t="s">
        <v>40</v>
      </c>
      <c r="B14" s="336">
        <f>Q14</f>
        <v>0.25</v>
      </c>
      <c r="C14" s="336"/>
      <c r="D14" t="s">
        <v>41</v>
      </c>
      <c r="E14" s="17" t="s">
        <v>38</v>
      </c>
      <c r="F14" t="s">
        <v>29</v>
      </c>
      <c r="G14" s="251" t="s">
        <v>35</v>
      </c>
      <c r="H14" t="s">
        <v>33</v>
      </c>
      <c r="I14">
        <v>2</v>
      </c>
      <c r="J14">
        <f t="shared" ref="J14:J18" si="0">LN(B14)</f>
        <v>-1.3862943611198906</v>
      </c>
      <c r="K14" s="330">
        <v>9.6046863561492793E-2</v>
      </c>
      <c r="L14" t="s">
        <v>31</v>
      </c>
      <c r="M14" t="s">
        <v>31</v>
      </c>
      <c r="N14" t="s">
        <v>31</v>
      </c>
      <c r="P14" s="331" t="s">
        <v>332</v>
      </c>
      <c r="Q14" s="296">
        <v>0.25</v>
      </c>
    </row>
    <row r="15" spans="1:21" ht="15.75">
      <c r="A15" s="253" t="s">
        <v>40</v>
      </c>
      <c r="B15" s="336">
        <f>Q15</f>
        <v>0.5</v>
      </c>
      <c r="C15" s="336"/>
      <c r="D15" t="s">
        <v>41</v>
      </c>
      <c r="E15" s="17" t="s">
        <v>38</v>
      </c>
      <c r="F15" t="s">
        <v>29</v>
      </c>
      <c r="G15" s="251" t="s">
        <v>60</v>
      </c>
      <c r="H15" t="s">
        <v>33</v>
      </c>
      <c r="I15">
        <v>2</v>
      </c>
      <c r="J15">
        <f t="shared" si="0"/>
        <v>-0.69314718055994529</v>
      </c>
      <c r="K15" s="330">
        <v>9.6046863561492793E-2</v>
      </c>
      <c r="L15" t="s">
        <v>31</v>
      </c>
      <c r="M15" t="s">
        <v>31</v>
      </c>
      <c r="N15" t="s">
        <v>31</v>
      </c>
      <c r="P15" s="331" t="s">
        <v>332</v>
      </c>
      <c r="Q15" s="296">
        <v>0.5</v>
      </c>
    </row>
    <row r="16" spans="1:21" ht="15.75">
      <c r="A16" s="232" t="s">
        <v>1042</v>
      </c>
      <c r="B16">
        <f>S16</f>
        <v>6.5000000000000002E-2</v>
      </c>
      <c r="D16" t="s">
        <v>37</v>
      </c>
      <c r="E16" s="17" t="s">
        <v>38</v>
      </c>
      <c r="F16" t="s">
        <v>29</v>
      </c>
      <c r="G16" t="s">
        <v>35</v>
      </c>
      <c r="H16" t="s">
        <v>33</v>
      </c>
      <c r="I16">
        <v>2</v>
      </c>
      <c r="J16">
        <f t="shared" si="0"/>
        <v>-2.7333680090865</v>
      </c>
      <c r="K16" s="330">
        <v>9.6046863561492793E-2</v>
      </c>
      <c r="L16" t="s">
        <v>31</v>
      </c>
      <c r="M16" t="s">
        <v>31</v>
      </c>
      <c r="N16" t="s">
        <v>31</v>
      </c>
      <c r="P16" s="331" t="s">
        <v>947</v>
      </c>
      <c r="Q16" s="296">
        <v>65</v>
      </c>
      <c r="R16" s="331" t="s">
        <v>337</v>
      </c>
      <c r="S16" s="296">
        <f>0.001*Q16</f>
        <v>6.5000000000000002E-2</v>
      </c>
    </row>
    <row r="17" spans="1:21" ht="15.75">
      <c r="A17" s="232" t="s">
        <v>1043</v>
      </c>
      <c r="B17">
        <f>Q17</f>
        <v>1.2</v>
      </c>
      <c r="D17" t="s">
        <v>37</v>
      </c>
      <c r="E17" s="17" t="s">
        <v>38</v>
      </c>
      <c r="F17" t="s">
        <v>29</v>
      </c>
      <c r="G17" s="251" t="s">
        <v>39</v>
      </c>
      <c r="H17" t="s">
        <v>33</v>
      </c>
      <c r="I17">
        <v>2</v>
      </c>
      <c r="J17">
        <f t="shared" si="0"/>
        <v>0.18232155679395459</v>
      </c>
      <c r="K17" s="330">
        <v>9.6046863561492793E-2</v>
      </c>
      <c r="L17" t="s">
        <v>31</v>
      </c>
      <c r="M17" t="s">
        <v>31</v>
      </c>
      <c r="N17" t="s">
        <v>31</v>
      </c>
      <c r="P17" s="331" t="s">
        <v>337</v>
      </c>
      <c r="Q17" s="296">
        <v>1.2</v>
      </c>
    </row>
    <row r="18" spans="1:21" ht="15.75">
      <c r="A18" s="232" t="s">
        <v>1044</v>
      </c>
      <c r="B18">
        <f>S18</f>
        <v>6.5000000000000002E-2</v>
      </c>
      <c r="D18" t="s">
        <v>37</v>
      </c>
      <c r="E18" s="17" t="s">
        <v>38</v>
      </c>
      <c r="F18" t="s">
        <v>29</v>
      </c>
      <c r="G18" s="251" t="s">
        <v>39</v>
      </c>
      <c r="H18" t="s">
        <v>33</v>
      </c>
      <c r="I18">
        <v>2</v>
      </c>
      <c r="J18">
        <f t="shared" si="0"/>
        <v>-2.7333680090865</v>
      </c>
      <c r="K18" s="330">
        <v>9.6046863561492793E-2</v>
      </c>
      <c r="L18" t="s">
        <v>31</v>
      </c>
      <c r="M18" t="s">
        <v>31</v>
      </c>
      <c r="N18" t="s">
        <v>31</v>
      </c>
      <c r="P18" s="331" t="s">
        <v>947</v>
      </c>
      <c r="Q18" s="306">
        <v>65</v>
      </c>
      <c r="R18" s="331" t="s">
        <v>337</v>
      </c>
      <c r="S18" s="296">
        <f>0.001*Q18</f>
        <v>6.5000000000000002E-2</v>
      </c>
    </row>
    <row r="19" spans="1:21" s="42" customFormat="1" ht="15.75">
      <c r="A19" s="245" t="s">
        <v>5</v>
      </c>
      <c r="B19" s="337" t="str">
        <f>A29</f>
        <v>production of machined casing, mass scaled activities, DCDC power module, battery charging, medium-term</v>
      </c>
      <c r="C19" s="337"/>
    </row>
    <row r="20" spans="1:21">
      <c r="A20" s="247" t="s">
        <v>7</v>
      </c>
      <c r="B20" t="s">
        <v>902</v>
      </c>
      <c r="D20" s="23"/>
    </row>
    <row r="21" spans="1:21">
      <c r="A21" s="433" t="s">
        <v>9</v>
      </c>
      <c r="B21" t="s">
        <v>1139</v>
      </c>
      <c r="D21" s="23"/>
    </row>
    <row r="22" spans="1:21" ht="15.75" customHeight="1">
      <c r="A22" s="247" t="s">
        <v>11</v>
      </c>
      <c r="B22" s="249" t="s">
        <v>913</v>
      </c>
      <c r="C22" s="249"/>
    </row>
    <row r="23" spans="1:21">
      <c r="A23" s="247" t="s">
        <v>13</v>
      </c>
      <c r="B23" t="s">
        <v>14</v>
      </c>
    </row>
    <row r="24" spans="1:21">
      <c r="A24" s="247" t="s">
        <v>15</v>
      </c>
      <c r="B24" s="22">
        <v>1</v>
      </c>
      <c r="C24" s="22"/>
    </row>
    <row r="25" spans="1:21">
      <c r="A25" s="247" t="s">
        <v>16</v>
      </c>
      <c r="B25" t="s">
        <v>17</v>
      </c>
    </row>
    <row r="26" spans="1:21">
      <c r="A26" s="247" t="s">
        <v>18</v>
      </c>
      <c r="B26" t="s">
        <v>18</v>
      </c>
    </row>
    <row r="27" spans="1:21" ht="15.75">
      <c r="A27" s="252" t="s">
        <v>19</v>
      </c>
    </row>
    <row r="28" spans="1:21" ht="15.75">
      <c r="A28" s="16" t="s">
        <v>20</v>
      </c>
      <c r="B28" s="16" t="s">
        <v>21</v>
      </c>
      <c r="C28" s="180" t="s">
        <v>78</v>
      </c>
      <c r="D28" s="16" t="s">
        <v>18</v>
      </c>
      <c r="E28" s="16" t="s">
        <v>22</v>
      </c>
      <c r="F28" s="16" t="s">
        <v>7</v>
      </c>
      <c r="G28" s="16" t="s">
        <v>13</v>
      </c>
      <c r="H28" s="16" t="s">
        <v>16</v>
      </c>
      <c r="I28" s="16" t="s">
        <v>23</v>
      </c>
      <c r="J28" s="16" t="s">
        <v>24</v>
      </c>
      <c r="K28" s="16" t="s">
        <v>25</v>
      </c>
      <c r="L28" s="16" t="s">
        <v>26</v>
      </c>
      <c r="M28" s="16" t="s">
        <v>27</v>
      </c>
      <c r="N28" s="16" t="s">
        <v>28</v>
      </c>
      <c r="O28" s="16" t="s">
        <v>11</v>
      </c>
      <c r="U28" s="283"/>
    </row>
    <row r="29" spans="1:21" ht="15.75">
      <c r="A29" t="s">
        <v>1138</v>
      </c>
      <c r="B29">
        <v>1</v>
      </c>
      <c r="D29" t="s">
        <v>18</v>
      </c>
      <c r="E29" s="326" t="s">
        <v>2</v>
      </c>
      <c r="F29" t="s">
        <v>29</v>
      </c>
      <c r="G29" t="s">
        <v>14</v>
      </c>
      <c r="H29" t="s">
        <v>30</v>
      </c>
      <c r="I29">
        <v>1</v>
      </c>
      <c r="J29">
        <v>1</v>
      </c>
      <c r="K29" t="s">
        <v>31</v>
      </c>
      <c r="L29" t="s">
        <v>31</v>
      </c>
      <c r="M29" t="s">
        <v>31</v>
      </c>
      <c r="N29" t="s">
        <v>31</v>
      </c>
      <c r="Q29" s="366">
        <v>8.11</v>
      </c>
    </row>
    <row r="30" spans="1:21">
      <c r="A30" t="s">
        <v>1140</v>
      </c>
      <c r="B30" s="22">
        <f>B43</f>
        <v>8.52</v>
      </c>
      <c r="D30" t="s">
        <v>37</v>
      </c>
      <c r="E30" s="248" t="s">
        <v>2</v>
      </c>
      <c r="F30" t="s">
        <v>29</v>
      </c>
      <c r="G30" t="s">
        <v>14</v>
      </c>
      <c r="H30" t="s">
        <v>33</v>
      </c>
      <c r="I30">
        <v>2</v>
      </c>
      <c r="J30">
        <f>LN(B30)</f>
        <v>2.1424163408412245</v>
      </c>
      <c r="K30">
        <v>0.10307764064044142</v>
      </c>
      <c r="L30" t="s">
        <v>31</v>
      </c>
      <c r="M30" t="s">
        <v>31</v>
      </c>
      <c r="N30" t="s">
        <v>31</v>
      </c>
    </row>
    <row r="31" spans="1:21" ht="15.75">
      <c r="A31" s="253" t="s">
        <v>40</v>
      </c>
      <c r="B31" s="336">
        <f>Q31</f>
        <v>0.49</v>
      </c>
      <c r="C31" s="336"/>
      <c r="D31" t="s">
        <v>41</v>
      </c>
      <c r="E31" s="17" t="s">
        <v>38</v>
      </c>
      <c r="F31" t="s">
        <v>29</v>
      </c>
      <c r="G31" s="251" t="s">
        <v>60</v>
      </c>
      <c r="H31" t="s">
        <v>33</v>
      </c>
      <c r="I31">
        <v>2</v>
      </c>
      <c r="J31">
        <f t="shared" ref="J31:J37" si="1">LN(B31)</f>
        <v>-0.71334988787746478</v>
      </c>
      <c r="K31">
        <v>9.6046863561492793E-2</v>
      </c>
      <c r="L31" t="s">
        <v>31</v>
      </c>
      <c r="M31" t="s">
        <v>31</v>
      </c>
      <c r="N31" t="s">
        <v>31</v>
      </c>
      <c r="P31" s="331" t="s">
        <v>332</v>
      </c>
      <c r="Q31" s="296">
        <v>0.49</v>
      </c>
    </row>
    <row r="32" spans="1:21" ht="15.75">
      <c r="A32" s="232" t="s">
        <v>1042</v>
      </c>
      <c r="B32">
        <f>S32</f>
        <v>0.114</v>
      </c>
      <c r="D32" t="s">
        <v>37</v>
      </c>
      <c r="E32" s="17" t="s">
        <v>38</v>
      </c>
      <c r="F32" t="s">
        <v>29</v>
      </c>
      <c r="G32" t="s">
        <v>35</v>
      </c>
      <c r="H32" t="s">
        <v>33</v>
      </c>
      <c r="I32">
        <v>2</v>
      </c>
      <c r="J32">
        <f t="shared" si="1"/>
        <v>-2.1715568305876416</v>
      </c>
      <c r="K32">
        <v>9.6046863561492793E-2</v>
      </c>
      <c r="L32" t="s">
        <v>31</v>
      </c>
      <c r="M32" t="s">
        <v>31</v>
      </c>
      <c r="N32" t="s">
        <v>31</v>
      </c>
      <c r="P32" s="331" t="s">
        <v>947</v>
      </c>
      <c r="Q32" s="296">
        <v>114</v>
      </c>
      <c r="R32" s="331" t="s">
        <v>337</v>
      </c>
      <c r="S32" s="296">
        <f>0.001*Q32</f>
        <v>0.114</v>
      </c>
    </row>
    <row r="33" spans="1:21" ht="15.75">
      <c r="A33" s="232" t="s">
        <v>1043</v>
      </c>
      <c r="B33">
        <f>Q33</f>
        <v>2.1</v>
      </c>
      <c r="D33" t="s">
        <v>37</v>
      </c>
      <c r="E33" s="17" t="s">
        <v>38</v>
      </c>
      <c r="F33" t="s">
        <v>29</v>
      </c>
      <c r="G33" s="251" t="s">
        <v>39</v>
      </c>
      <c r="H33" t="s">
        <v>33</v>
      </c>
      <c r="I33">
        <v>2</v>
      </c>
      <c r="J33">
        <f t="shared" si="1"/>
        <v>0.74193734472937733</v>
      </c>
      <c r="K33">
        <v>9.6046863561492793E-2</v>
      </c>
      <c r="L33" t="s">
        <v>31</v>
      </c>
      <c r="M33" t="s">
        <v>31</v>
      </c>
      <c r="N33" t="s">
        <v>31</v>
      </c>
      <c r="P33" s="331" t="s">
        <v>337</v>
      </c>
      <c r="Q33" s="296">
        <v>2.1</v>
      </c>
    </row>
    <row r="34" spans="1:21" ht="15.75">
      <c r="A34" s="459" t="s">
        <v>94</v>
      </c>
      <c r="B34">
        <f>S35</f>
        <v>0.114</v>
      </c>
      <c r="C34" s="30" t="s">
        <v>95</v>
      </c>
      <c r="D34" t="s">
        <v>37</v>
      </c>
      <c r="E34" s="17" t="s">
        <v>38</v>
      </c>
      <c r="F34" t="s">
        <v>29</v>
      </c>
      <c r="G34" s="251" t="s">
        <v>35</v>
      </c>
      <c r="H34" t="s">
        <v>33</v>
      </c>
      <c r="I34">
        <v>2</v>
      </c>
      <c r="J34">
        <f t="shared" si="1"/>
        <v>-2.1715568305876416</v>
      </c>
      <c r="K34">
        <v>9.6046863561492793E-2</v>
      </c>
      <c r="L34" t="s">
        <v>31</v>
      </c>
      <c r="M34" t="s">
        <v>31</v>
      </c>
      <c r="N34" t="s">
        <v>31</v>
      </c>
      <c r="P34" s="331"/>
      <c r="Q34" s="306">
        <v>430</v>
      </c>
    </row>
    <row r="35" spans="1:21" ht="15.75">
      <c r="A35" s="30" t="s">
        <v>93</v>
      </c>
      <c r="B35">
        <f>S35</f>
        <v>0.114</v>
      </c>
      <c r="D35" t="s">
        <v>37</v>
      </c>
      <c r="E35" s="17" t="s">
        <v>38</v>
      </c>
      <c r="F35" t="s">
        <v>29</v>
      </c>
      <c r="G35" t="s">
        <v>35</v>
      </c>
      <c r="H35" t="s">
        <v>33</v>
      </c>
      <c r="I35">
        <v>2</v>
      </c>
      <c r="J35">
        <f t="shared" si="1"/>
        <v>-2.1715568305876416</v>
      </c>
      <c r="K35">
        <v>9.6046863561492793E-2</v>
      </c>
      <c r="L35" t="s">
        <v>31</v>
      </c>
      <c r="M35" t="s">
        <v>31</v>
      </c>
      <c r="N35" t="s">
        <v>31</v>
      </c>
      <c r="P35" s="334" t="s">
        <v>947</v>
      </c>
      <c r="Q35" s="306">
        <v>430</v>
      </c>
      <c r="R35" s="331" t="s">
        <v>337</v>
      </c>
      <c r="S35" s="296">
        <f>0.001*Q37</f>
        <v>0.114</v>
      </c>
    </row>
    <row r="36" spans="1:21" ht="15.75">
      <c r="A36" s="232" t="s">
        <v>1047</v>
      </c>
      <c r="B36">
        <f>S35</f>
        <v>0.114</v>
      </c>
      <c r="D36" t="s">
        <v>37</v>
      </c>
      <c r="E36" s="17" t="s">
        <v>38</v>
      </c>
      <c r="F36" t="s">
        <v>29</v>
      </c>
      <c r="G36" t="s">
        <v>60</v>
      </c>
      <c r="H36" t="s">
        <v>98</v>
      </c>
      <c r="I36">
        <v>2</v>
      </c>
      <c r="J36">
        <f t="shared" si="1"/>
        <v>-2.1715568305876416</v>
      </c>
      <c r="K36">
        <v>9.6046863561492793E-2</v>
      </c>
      <c r="L36" t="s">
        <v>31</v>
      </c>
      <c r="M36" t="s">
        <v>31</v>
      </c>
      <c r="N36" t="s">
        <v>31</v>
      </c>
      <c r="P36" s="334" t="s">
        <v>947</v>
      </c>
      <c r="Q36" s="306">
        <v>430</v>
      </c>
      <c r="R36" s="331" t="s">
        <v>337</v>
      </c>
      <c r="S36" s="296">
        <f>0.001*Q36</f>
        <v>0.43</v>
      </c>
    </row>
    <row r="37" spans="1:21" ht="15.75">
      <c r="A37" s="232" t="s">
        <v>1044</v>
      </c>
      <c r="B37">
        <f>S37</f>
        <v>0.114</v>
      </c>
      <c r="D37" t="s">
        <v>37</v>
      </c>
      <c r="E37" s="17" t="s">
        <v>38</v>
      </c>
      <c r="F37" t="s">
        <v>29</v>
      </c>
      <c r="G37" s="251" t="s">
        <v>39</v>
      </c>
      <c r="H37" t="s">
        <v>33</v>
      </c>
      <c r="I37">
        <v>2</v>
      </c>
      <c r="J37">
        <f t="shared" si="1"/>
        <v>-2.1715568305876416</v>
      </c>
      <c r="K37">
        <v>9.6046863561492793E-2</v>
      </c>
      <c r="L37" t="s">
        <v>31</v>
      </c>
      <c r="M37" t="s">
        <v>31</v>
      </c>
      <c r="N37" t="s">
        <v>31</v>
      </c>
      <c r="P37" s="334" t="s">
        <v>947</v>
      </c>
      <c r="Q37" s="306">
        <v>114</v>
      </c>
      <c r="R37" s="331" t="s">
        <v>337</v>
      </c>
      <c r="S37" s="296">
        <f>0.001*Q37</f>
        <v>0.114</v>
      </c>
    </row>
    <row r="38" spans="1:21" s="42" customFormat="1" ht="15.75">
      <c r="A38" s="245" t="s">
        <v>5</v>
      </c>
      <c r="B38" s="337" t="s">
        <v>1140</v>
      </c>
      <c r="C38" s="337"/>
    </row>
    <row r="39" spans="1:21">
      <c r="A39" s="247" t="s">
        <v>7</v>
      </c>
      <c r="B39" t="s">
        <v>902</v>
      </c>
      <c r="D39" s="23"/>
    </row>
    <row r="40" spans="1:21">
      <c r="A40" s="433" t="s">
        <v>9</v>
      </c>
      <c r="B40" t="s">
        <v>1141</v>
      </c>
      <c r="D40" s="23"/>
    </row>
    <row r="41" spans="1:21" ht="15.75" customHeight="1">
      <c r="A41" s="247" t="s">
        <v>11</v>
      </c>
      <c r="B41" s="249" t="s">
        <v>913</v>
      </c>
      <c r="C41" s="249"/>
    </row>
    <row r="42" spans="1:21">
      <c r="A42" s="247" t="s">
        <v>13</v>
      </c>
      <c r="B42" t="s">
        <v>14</v>
      </c>
    </row>
    <row r="43" spans="1:21">
      <c r="A43" s="247" t="s">
        <v>15</v>
      </c>
      <c r="B43" s="22">
        <f>B48</f>
        <v>8.52</v>
      </c>
      <c r="C43" s="22"/>
    </row>
    <row r="44" spans="1:21">
      <c r="A44" s="247" t="s">
        <v>16</v>
      </c>
      <c r="B44" t="s">
        <v>17</v>
      </c>
    </row>
    <row r="45" spans="1:21">
      <c r="A45" s="247" t="s">
        <v>18</v>
      </c>
      <c r="B45" t="s">
        <v>37</v>
      </c>
    </row>
    <row r="46" spans="1:21" ht="15.75">
      <c r="A46" s="252" t="s">
        <v>19</v>
      </c>
    </row>
    <row r="47" spans="1:21" ht="15.75">
      <c r="A47" s="16" t="s">
        <v>20</v>
      </c>
      <c r="B47" s="16" t="s">
        <v>21</v>
      </c>
      <c r="C47" s="180" t="s">
        <v>78</v>
      </c>
      <c r="D47" s="16" t="s">
        <v>18</v>
      </c>
      <c r="E47" s="16" t="s">
        <v>22</v>
      </c>
      <c r="F47" s="16" t="s">
        <v>7</v>
      </c>
      <c r="G47" s="16" t="s">
        <v>13</v>
      </c>
      <c r="H47" s="16" t="s">
        <v>16</v>
      </c>
      <c r="I47" s="16" t="s">
        <v>23</v>
      </c>
      <c r="J47" s="16" t="s">
        <v>24</v>
      </c>
      <c r="K47" s="16" t="s">
        <v>25</v>
      </c>
      <c r="L47" s="16" t="s">
        <v>26</v>
      </c>
      <c r="M47" s="16" t="s">
        <v>27</v>
      </c>
      <c r="N47" s="16" t="s">
        <v>28</v>
      </c>
      <c r="O47" s="16" t="s">
        <v>11</v>
      </c>
      <c r="U47" s="283"/>
    </row>
    <row r="48" spans="1:21">
      <c r="A48" t="s">
        <v>1140</v>
      </c>
      <c r="B48">
        <f>Q48</f>
        <v>8.52</v>
      </c>
      <c r="D48" t="s">
        <v>37</v>
      </c>
      <c r="E48" s="248" t="s">
        <v>2</v>
      </c>
      <c r="F48" t="s">
        <v>29</v>
      </c>
      <c r="G48" t="s">
        <v>14</v>
      </c>
      <c r="H48" t="s">
        <v>30</v>
      </c>
      <c r="I48">
        <v>2</v>
      </c>
      <c r="J48">
        <f>LN(B48)</f>
        <v>2.1424163408412245</v>
      </c>
      <c r="K48">
        <v>0.10307764064044142</v>
      </c>
      <c r="L48" t="s">
        <v>31</v>
      </c>
      <c r="M48" t="s">
        <v>31</v>
      </c>
      <c r="N48" t="s">
        <v>31</v>
      </c>
      <c r="Q48" s="460">
        <v>8.52</v>
      </c>
    </row>
    <row r="49" spans="1:25" ht="15.75">
      <c r="A49" s="232" t="s">
        <v>1047</v>
      </c>
      <c r="B49">
        <f>Q49</f>
        <v>9.0299999999999994</v>
      </c>
      <c r="D49" t="s">
        <v>37</v>
      </c>
      <c r="E49" s="17" t="s">
        <v>38</v>
      </c>
      <c r="F49" t="s">
        <v>29</v>
      </c>
      <c r="G49" t="s">
        <v>60</v>
      </c>
      <c r="H49" t="s">
        <v>33</v>
      </c>
      <c r="I49">
        <v>2</v>
      </c>
      <c r="J49">
        <f t="shared" ref="J49:J57" si="2">LN(B49)</f>
        <v>2.200552367428894</v>
      </c>
      <c r="K49">
        <v>4.9999999999998969E-3</v>
      </c>
      <c r="L49" t="s">
        <v>31</v>
      </c>
      <c r="M49" t="s">
        <v>31</v>
      </c>
      <c r="N49" t="s">
        <v>31</v>
      </c>
      <c r="P49" s="331" t="s">
        <v>337</v>
      </c>
      <c r="Q49" s="296">
        <v>9.0299999999999994</v>
      </c>
    </row>
    <row r="50" spans="1:25" ht="15.75">
      <c r="A50" s="405" t="s">
        <v>170</v>
      </c>
      <c r="B50">
        <f>S50</f>
        <v>2.402088772845953</v>
      </c>
      <c r="D50" t="s">
        <v>50</v>
      </c>
      <c r="E50" s="17" t="s">
        <v>38</v>
      </c>
      <c r="F50" t="s">
        <v>29</v>
      </c>
      <c r="G50" t="s">
        <v>333</v>
      </c>
      <c r="H50" t="s">
        <v>33</v>
      </c>
      <c r="I50">
        <v>2</v>
      </c>
      <c r="J50">
        <f t="shared" si="2"/>
        <v>0.87633868086244004</v>
      </c>
      <c r="K50">
        <v>4.9999999999998969E-3</v>
      </c>
      <c r="L50" t="s">
        <v>31</v>
      </c>
      <c r="M50" t="s">
        <v>31</v>
      </c>
      <c r="N50" t="s">
        <v>31</v>
      </c>
      <c r="P50" s="331" t="s">
        <v>331</v>
      </c>
      <c r="Q50" s="296">
        <v>92</v>
      </c>
      <c r="R50" t="s">
        <v>335</v>
      </c>
      <c r="S50">
        <f>Q50/38.3</f>
        <v>2.402088772845953</v>
      </c>
      <c r="T50" s="294"/>
      <c r="U50" s="44"/>
      <c r="V50" s="44"/>
      <c r="W50" s="44"/>
      <c r="X50" s="44"/>
      <c r="Y50" s="44"/>
    </row>
    <row r="51" spans="1:25" ht="15.75">
      <c r="A51" s="253" t="s">
        <v>40</v>
      </c>
      <c r="B51" s="336">
        <f>Q51</f>
        <v>22.2</v>
      </c>
      <c r="C51" s="336"/>
      <c r="D51" t="s">
        <v>41</v>
      </c>
      <c r="E51" s="17" t="s">
        <v>38</v>
      </c>
      <c r="F51" t="s">
        <v>29</v>
      </c>
      <c r="G51" s="251" t="s">
        <v>60</v>
      </c>
      <c r="H51" t="s">
        <v>33</v>
      </c>
      <c r="I51">
        <v>2</v>
      </c>
      <c r="J51">
        <f t="shared" si="2"/>
        <v>3.1000922888782338</v>
      </c>
      <c r="K51">
        <v>4.9999999999998969E-3</v>
      </c>
      <c r="L51" t="s">
        <v>31</v>
      </c>
      <c r="M51" t="s">
        <v>31</v>
      </c>
      <c r="N51" t="s">
        <v>31</v>
      </c>
      <c r="P51" s="331" t="s">
        <v>332</v>
      </c>
      <c r="Q51" s="296">
        <v>22.2</v>
      </c>
    </row>
    <row r="52" spans="1:25" ht="15.75">
      <c r="A52" s="232" t="s">
        <v>1049</v>
      </c>
      <c r="B52">
        <f>S52</f>
        <v>0.17</v>
      </c>
      <c r="D52" t="s">
        <v>37</v>
      </c>
      <c r="E52" s="17" t="s">
        <v>38</v>
      </c>
      <c r="F52" t="s">
        <v>29</v>
      </c>
      <c r="G52" t="s">
        <v>35</v>
      </c>
      <c r="H52" t="s">
        <v>33</v>
      </c>
      <c r="I52">
        <v>2</v>
      </c>
      <c r="J52">
        <f t="shared" si="2"/>
        <v>-1.7719568419318752</v>
      </c>
      <c r="K52">
        <v>0.10049875621120885</v>
      </c>
      <c r="L52" t="s">
        <v>31</v>
      </c>
      <c r="M52" t="s">
        <v>31</v>
      </c>
      <c r="N52" t="s">
        <v>31</v>
      </c>
      <c r="P52" s="331" t="s">
        <v>947</v>
      </c>
      <c r="Q52" s="296">
        <v>170</v>
      </c>
      <c r="R52" s="331" t="s">
        <v>337</v>
      </c>
      <c r="S52" s="296">
        <f t="shared" ref="S52:S54" si="3">0.001*Q52</f>
        <v>0.17</v>
      </c>
    </row>
    <row r="53" spans="1:25">
      <c r="A53" s="232" t="s">
        <v>1050</v>
      </c>
      <c r="B53">
        <f>S53</f>
        <v>3.3999999999999998E-3</v>
      </c>
      <c r="D53" t="s">
        <v>37</v>
      </c>
      <c r="E53" t="s">
        <v>43</v>
      </c>
      <c r="F53" t="s">
        <v>44</v>
      </c>
      <c r="G53" t="s">
        <v>29</v>
      </c>
      <c r="H53" t="s">
        <v>45</v>
      </c>
      <c r="I53">
        <v>2</v>
      </c>
      <c r="J53">
        <f t="shared" si="2"/>
        <v>-5.6839798473600212</v>
      </c>
      <c r="K53">
        <v>4.9999999999998969E-3</v>
      </c>
      <c r="L53" t="s">
        <v>31</v>
      </c>
      <c r="M53" t="s">
        <v>31</v>
      </c>
      <c r="N53" t="s">
        <v>31</v>
      </c>
      <c r="P53" s="332" t="s">
        <v>947</v>
      </c>
      <c r="Q53" s="365">
        <v>3.4</v>
      </c>
      <c r="R53" s="331" t="s">
        <v>337</v>
      </c>
      <c r="S53" s="296">
        <f t="shared" si="3"/>
        <v>3.3999999999999998E-3</v>
      </c>
    </row>
    <row r="54" spans="1:25" ht="15.75">
      <c r="A54" s="253" t="s">
        <v>941</v>
      </c>
      <c r="B54">
        <f>S54</f>
        <v>8.5000000000000006E-3</v>
      </c>
      <c r="D54" t="s">
        <v>37</v>
      </c>
      <c r="E54" s="17" t="s">
        <v>43</v>
      </c>
      <c r="F54" t="s">
        <v>44</v>
      </c>
      <c r="G54" s="251" t="s">
        <v>29</v>
      </c>
      <c r="H54" t="s">
        <v>45</v>
      </c>
      <c r="I54">
        <v>2</v>
      </c>
      <c r="J54">
        <f t="shared" si="2"/>
        <v>-4.767689115485866</v>
      </c>
      <c r="K54">
        <v>8.9582364335844641E-2</v>
      </c>
      <c r="L54" t="s">
        <v>31</v>
      </c>
      <c r="M54" t="s">
        <v>31</v>
      </c>
      <c r="N54" t="s">
        <v>31</v>
      </c>
      <c r="P54" s="332" t="s">
        <v>947</v>
      </c>
      <c r="Q54" s="365">
        <v>8.5</v>
      </c>
      <c r="R54" s="331" t="s">
        <v>337</v>
      </c>
      <c r="S54" s="296">
        <f t="shared" si="3"/>
        <v>8.5000000000000006E-3</v>
      </c>
    </row>
    <row r="55" spans="1:25" ht="15.75">
      <c r="A55" s="459" t="s">
        <v>94</v>
      </c>
      <c r="B55">
        <f>Q56</f>
        <v>0.51</v>
      </c>
      <c r="C55" s="30" t="s">
        <v>95</v>
      </c>
      <c r="D55" t="s">
        <v>37</v>
      </c>
      <c r="E55" s="17" t="s">
        <v>38</v>
      </c>
      <c r="F55" t="s">
        <v>29</v>
      </c>
      <c r="G55" s="251" t="s">
        <v>35</v>
      </c>
      <c r="H55" t="s">
        <v>33</v>
      </c>
      <c r="I55">
        <v>2</v>
      </c>
      <c r="J55">
        <f t="shared" si="2"/>
        <v>-0.67334455326376563</v>
      </c>
      <c r="K55">
        <v>9.6046863561492793E-2</v>
      </c>
      <c r="L55" t="s">
        <v>31</v>
      </c>
      <c r="M55" t="s">
        <v>31</v>
      </c>
      <c r="N55" t="s">
        <v>31</v>
      </c>
      <c r="P55" s="334" t="s">
        <v>337</v>
      </c>
      <c r="Q55" s="306">
        <v>0.51</v>
      </c>
      <c r="R55" s="435"/>
      <c r="S55" s="436"/>
    </row>
    <row r="56" spans="1:25" ht="15.75">
      <c r="A56" s="30" t="s">
        <v>93</v>
      </c>
      <c r="B56">
        <f>Q56</f>
        <v>0.51</v>
      </c>
      <c r="D56" t="s">
        <v>37</v>
      </c>
      <c r="E56" s="17" t="s">
        <v>38</v>
      </c>
      <c r="F56" t="s">
        <v>29</v>
      </c>
      <c r="G56" t="s">
        <v>35</v>
      </c>
      <c r="H56" t="s">
        <v>33</v>
      </c>
      <c r="I56">
        <v>2</v>
      </c>
      <c r="J56">
        <f t="shared" si="2"/>
        <v>-0.67334455326376563</v>
      </c>
      <c r="K56">
        <v>4.9999999999998969E-3</v>
      </c>
      <c r="L56" t="s">
        <v>31</v>
      </c>
      <c r="M56" t="s">
        <v>31</v>
      </c>
      <c r="N56" t="s">
        <v>31</v>
      </c>
      <c r="P56" s="334" t="s">
        <v>337</v>
      </c>
      <c r="Q56" s="306">
        <v>0.51</v>
      </c>
    </row>
    <row r="57" spans="1:25" ht="15.75">
      <c r="A57" s="232" t="s">
        <v>1047</v>
      </c>
      <c r="B57">
        <f>Q56</f>
        <v>0.51</v>
      </c>
      <c r="D57" t="s">
        <v>37</v>
      </c>
      <c r="E57" s="17" t="s">
        <v>38</v>
      </c>
      <c r="F57" t="s">
        <v>29</v>
      </c>
      <c r="G57" t="s">
        <v>60</v>
      </c>
      <c r="H57" t="s">
        <v>98</v>
      </c>
      <c r="I57">
        <v>2</v>
      </c>
      <c r="J57">
        <f t="shared" si="2"/>
        <v>-0.67334455326376563</v>
      </c>
      <c r="K57">
        <v>4.9999999999998969E-3</v>
      </c>
      <c r="L57" t="s">
        <v>31</v>
      </c>
      <c r="M57" t="s">
        <v>31</v>
      </c>
      <c r="N57" t="s">
        <v>31</v>
      </c>
      <c r="P57" s="334" t="s">
        <v>337</v>
      </c>
      <c r="Q57" s="306">
        <v>0.51</v>
      </c>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1CDD-B520-479C-AA5B-5EE2238E6C58}">
  <sheetPr>
    <tabColor theme="8" tint="0.79998168889431442"/>
  </sheetPr>
  <dimension ref="A1:U363"/>
  <sheetViews>
    <sheetView topLeftCell="A328" zoomScale="55" zoomScaleNormal="55" workbookViewId="0">
      <selection activeCell="A361" sqref="A361"/>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245" t="s">
        <v>5</v>
      </c>
      <c r="B2" s="246" t="s">
        <v>1118</v>
      </c>
      <c r="C2" s="120"/>
      <c r="D2" s="42"/>
      <c r="E2" s="42"/>
      <c r="F2" s="42"/>
      <c r="G2" s="42"/>
      <c r="H2" s="42"/>
      <c r="I2" s="42"/>
      <c r="J2" s="42"/>
      <c r="K2" s="42"/>
      <c r="L2" s="42"/>
      <c r="M2" s="42"/>
    </row>
    <row r="3" spans="1:18">
      <c r="A3" s="247" t="s">
        <v>7</v>
      </c>
      <c r="B3" t="s">
        <v>902</v>
      </c>
      <c r="C3" s="23"/>
    </row>
    <row r="4" spans="1:18">
      <c r="A4" s="247" t="s">
        <v>9</v>
      </c>
      <c r="B4" t="s">
        <v>1142</v>
      </c>
      <c r="C4" s="23"/>
    </row>
    <row r="5" spans="1:18" ht="16.5" customHeight="1">
      <c r="A5" s="247" t="s">
        <v>11</v>
      </c>
      <c r="B5" s="249" t="s">
        <v>913</v>
      </c>
    </row>
    <row r="6" spans="1:18">
      <c r="A6" s="247" t="s">
        <v>13</v>
      </c>
      <c r="B6" t="s">
        <v>14</v>
      </c>
    </row>
    <row r="7" spans="1:18">
      <c r="A7" s="247" t="s">
        <v>15</v>
      </c>
      <c r="B7">
        <f>B12</f>
        <v>1</v>
      </c>
      <c r="O7" t="s">
        <v>1052</v>
      </c>
    </row>
    <row r="8" spans="1:18">
      <c r="A8" s="247" t="s">
        <v>16</v>
      </c>
      <c r="B8" t="s">
        <v>17</v>
      </c>
    </row>
    <row r="9" spans="1:18">
      <c r="A9" s="247" t="s">
        <v>18</v>
      </c>
      <c r="B9" t="s">
        <v>37</v>
      </c>
    </row>
    <row r="10" spans="1:18" ht="15.75">
      <c r="A10" s="252" t="s">
        <v>19</v>
      </c>
    </row>
    <row r="11" spans="1:18" ht="15.75">
      <c r="A11" s="252"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75">
      <c r="A12" s="253" t="s">
        <v>1118</v>
      </c>
      <c r="B12">
        <v>1</v>
      </c>
      <c r="C12" t="s">
        <v>37</v>
      </c>
      <c r="D12" s="326" t="s">
        <v>2</v>
      </c>
      <c r="E12" t="s">
        <v>29</v>
      </c>
      <c r="F12" s="251" t="s">
        <v>14</v>
      </c>
      <c r="G12" t="s">
        <v>30</v>
      </c>
      <c r="H12">
        <v>1</v>
      </c>
      <c r="I12">
        <v>2.8722813232690055E-2</v>
      </c>
      <c r="J12" t="s">
        <v>31</v>
      </c>
      <c r="K12" t="s">
        <v>31</v>
      </c>
      <c r="L12" t="s">
        <v>31</v>
      </c>
      <c r="M12" t="s">
        <v>31</v>
      </c>
    </row>
    <row r="13" spans="1:18" ht="15.75">
      <c r="A13" t="s">
        <v>1143</v>
      </c>
      <c r="B13">
        <v>1</v>
      </c>
      <c r="C13" t="s">
        <v>18</v>
      </c>
      <c r="D13" s="326" t="s">
        <v>2</v>
      </c>
      <c r="E13" t="s">
        <v>29</v>
      </c>
      <c r="F13" s="251" t="s">
        <v>14</v>
      </c>
      <c r="G13" t="s">
        <v>33</v>
      </c>
      <c r="H13">
        <v>1</v>
      </c>
      <c r="I13">
        <v>1</v>
      </c>
      <c r="J13" t="s">
        <v>31</v>
      </c>
      <c r="K13" t="s">
        <v>31</v>
      </c>
      <c r="L13" t="s">
        <v>31</v>
      </c>
      <c r="M13" t="s">
        <v>31</v>
      </c>
    </row>
    <row r="14" spans="1:18" ht="15.75">
      <c r="A14" t="s">
        <v>1144</v>
      </c>
      <c r="B14">
        <v>1</v>
      </c>
      <c r="C14" t="s">
        <v>18</v>
      </c>
      <c r="D14" s="326" t="s">
        <v>2</v>
      </c>
      <c r="E14" t="s">
        <v>29</v>
      </c>
      <c r="F14" s="251" t="s">
        <v>14</v>
      </c>
      <c r="G14" t="s">
        <v>33</v>
      </c>
      <c r="H14">
        <v>1</v>
      </c>
      <c r="I14">
        <v>1</v>
      </c>
      <c r="J14" t="s">
        <v>31</v>
      </c>
      <c r="K14" t="s">
        <v>31</v>
      </c>
      <c r="L14" t="s">
        <v>31</v>
      </c>
      <c r="M14" t="s">
        <v>31</v>
      </c>
    </row>
    <row r="15" spans="1:18" ht="15.75">
      <c r="A15" s="232" t="s">
        <v>533</v>
      </c>
      <c r="B15" s="445">
        <f>R15</f>
        <v>3.1E-4</v>
      </c>
      <c r="C15" t="s">
        <v>37</v>
      </c>
      <c r="D15" s="17" t="s">
        <v>38</v>
      </c>
      <c r="E15" t="s">
        <v>29</v>
      </c>
      <c r="F15" s="251" t="s">
        <v>35</v>
      </c>
      <c r="G15" t="s">
        <v>33</v>
      </c>
      <c r="H15">
        <v>2</v>
      </c>
      <c r="I15">
        <f>LN(B15)</f>
        <v>-8.0789382604850815</v>
      </c>
      <c r="J15">
        <v>2.8722813232690055E-2</v>
      </c>
      <c r="K15" t="s">
        <v>31</v>
      </c>
      <c r="L15" t="s">
        <v>31</v>
      </c>
      <c r="M15" t="s">
        <v>31</v>
      </c>
      <c r="O15" s="437" t="s">
        <v>947</v>
      </c>
      <c r="P15" s="302">
        <v>0.31</v>
      </c>
      <c r="Q15" t="s">
        <v>337</v>
      </c>
      <c r="R15" s="445">
        <f>P15*0.001</f>
        <v>3.1E-4</v>
      </c>
    </row>
    <row r="16" spans="1:18" ht="15.75">
      <c r="A16" s="245" t="s">
        <v>5</v>
      </c>
      <c r="B16" s="246" t="s">
        <v>1144</v>
      </c>
      <c r="C16" s="120"/>
      <c r="D16" s="42"/>
      <c r="E16" s="42"/>
      <c r="F16" s="42"/>
      <c r="G16" s="42"/>
      <c r="H16" s="42"/>
      <c r="I16" s="42"/>
      <c r="J16" s="42"/>
      <c r="K16" s="42"/>
      <c r="L16" s="42"/>
      <c r="M16" s="42"/>
    </row>
    <row r="17" spans="1:18">
      <c r="A17" s="247" t="s">
        <v>7</v>
      </c>
      <c r="B17" t="s">
        <v>902</v>
      </c>
      <c r="C17" s="23"/>
    </row>
    <row r="18" spans="1:18">
      <c r="A18" s="247" t="s">
        <v>9</v>
      </c>
      <c r="B18" t="s">
        <v>1145</v>
      </c>
      <c r="C18" s="23"/>
    </row>
    <row r="19" spans="1:18" ht="16.5" customHeight="1">
      <c r="A19" s="247" t="s">
        <v>11</v>
      </c>
      <c r="B19" s="249" t="s">
        <v>913</v>
      </c>
    </row>
    <row r="20" spans="1:18">
      <c r="A20" s="247" t="s">
        <v>13</v>
      </c>
      <c r="B20" t="s">
        <v>14</v>
      </c>
    </row>
    <row r="21" spans="1:18">
      <c r="A21" s="247" t="s">
        <v>15</v>
      </c>
      <c r="B21">
        <v>1</v>
      </c>
    </row>
    <row r="22" spans="1:18">
      <c r="A22" s="247" t="s">
        <v>16</v>
      </c>
      <c r="B22" t="s">
        <v>17</v>
      </c>
    </row>
    <row r="23" spans="1:18">
      <c r="A23" s="247" t="s">
        <v>18</v>
      </c>
      <c r="B23" t="s">
        <v>18</v>
      </c>
    </row>
    <row r="24" spans="1:18" ht="15.75">
      <c r="A24" s="252" t="s">
        <v>19</v>
      </c>
    </row>
    <row r="25" spans="1:18" ht="15.75">
      <c r="A25" s="252"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75">
      <c r="A26" t="s">
        <v>1144</v>
      </c>
      <c r="B26">
        <v>1</v>
      </c>
      <c r="C26" t="s">
        <v>18</v>
      </c>
      <c r="D26" s="326" t="s">
        <v>2</v>
      </c>
      <c r="E26" t="s">
        <v>29</v>
      </c>
      <c r="F26" s="251" t="s">
        <v>14</v>
      </c>
      <c r="G26" t="s">
        <v>30</v>
      </c>
      <c r="H26">
        <v>1</v>
      </c>
      <c r="I26">
        <v>1</v>
      </c>
      <c r="J26" t="s">
        <v>31</v>
      </c>
      <c r="K26" t="s">
        <v>31</v>
      </c>
      <c r="L26" t="s">
        <v>31</v>
      </c>
      <c r="M26" t="s">
        <v>31</v>
      </c>
    </row>
    <row r="27" spans="1:18" ht="15.75">
      <c r="A27" s="232" t="s">
        <v>1056</v>
      </c>
      <c r="B27">
        <f>P27</f>
        <v>0.6</v>
      </c>
      <c r="C27" t="s">
        <v>37</v>
      </c>
      <c r="D27" s="17" t="s">
        <v>38</v>
      </c>
      <c r="E27" t="s">
        <v>29</v>
      </c>
      <c r="F27" t="s">
        <v>60</v>
      </c>
      <c r="G27" t="s">
        <v>33</v>
      </c>
      <c r="H27">
        <v>1</v>
      </c>
      <c r="I27">
        <f>B27</f>
        <v>0.6</v>
      </c>
      <c r="J27" t="s">
        <v>31</v>
      </c>
      <c r="K27" t="s">
        <v>31</v>
      </c>
      <c r="L27" t="s">
        <v>31</v>
      </c>
      <c r="M27" t="s">
        <v>31</v>
      </c>
      <c r="O27" t="s">
        <v>337</v>
      </c>
      <c r="P27">
        <v>0.6</v>
      </c>
    </row>
    <row r="28" spans="1:18">
      <c r="A28" s="232" t="s">
        <v>1057</v>
      </c>
      <c r="B28">
        <f>R28</f>
        <v>0.39900000000000002</v>
      </c>
      <c r="C28" t="s">
        <v>37</v>
      </c>
      <c r="D28" t="s">
        <v>38</v>
      </c>
      <c r="E28" t="s">
        <v>29</v>
      </c>
      <c r="F28" t="s">
        <v>60</v>
      </c>
      <c r="G28" t="s">
        <v>33</v>
      </c>
      <c r="H28">
        <v>2</v>
      </c>
      <c r="I28">
        <f>LN(B28)</f>
        <v>-0.91879386209227354</v>
      </c>
      <c r="J28">
        <v>3.7749172176353707E-2</v>
      </c>
      <c r="K28" t="s">
        <v>31</v>
      </c>
      <c r="L28" t="s">
        <v>31</v>
      </c>
      <c r="M28" t="s">
        <v>31</v>
      </c>
      <c r="O28" s="331" t="s">
        <v>947</v>
      </c>
      <c r="P28" s="296">
        <v>399</v>
      </c>
      <c r="Q28" t="s">
        <v>337</v>
      </c>
      <c r="R28">
        <f>P28*0.001</f>
        <v>0.39900000000000002</v>
      </c>
    </row>
    <row r="29" spans="1:18">
      <c r="A29" s="232" t="s">
        <v>1058</v>
      </c>
      <c r="B29">
        <f>R29</f>
        <v>2.3800000000000002E-2</v>
      </c>
      <c r="C29" t="s">
        <v>37</v>
      </c>
      <c r="D29" t="s">
        <v>38</v>
      </c>
      <c r="E29" t="s">
        <v>29</v>
      </c>
      <c r="F29" t="s">
        <v>60</v>
      </c>
      <c r="G29" t="s">
        <v>33</v>
      </c>
      <c r="H29">
        <v>2</v>
      </c>
      <c r="I29">
        <f>LN(B29)</f>
        <v>-3.7380696983047081</v>
      </c>
      <c r="J29">
        <v>3.7749172176353707E-2</v>
      </c>
      <c r="K29" t="s">
        <v>31</v>
      </c>
      <c r="L29" t="s">
        <v>31</v>
      </c>
      <c r="M29" t="s">
        <v>31</v>
      </c>
      <c r="O29" s="331" t="s">
        <v>947</v>
      </c>
      <c r="P29" s="296">
        <v>23.8</v>
      </c>
      <c r="Q29" t="s">
        <v>337</v>
      </c>
      <c r="R29">
        <f t="shared" ref="R29:R30" si="0">P29*0.001</f>
        <v>2.3800000000000002E-2</v>
      </c>
    </row>
    <row r="30" spans="1:18">
      <c r="A30" s="232" t="s">
        <v>1059</v>
      </c>
      <c r="B30">
        <f>R30</f>
        <v>0.18</v>
      </c>
      <c r="C30" t="s">
        <v>37</v>
      </c>
      <c r="D30" t="s">
        <v>38</v>
      </c>
      <c r="E30" t="s">
        <v>29</v>
      </c>
      <c r="F30" t="s">
        <v>60</v>
      </c>
      <c r="G30" t="s">
        <v>33</v>
      </c>
      <c r="H30">
        <v>2</v>
      </c>
      <c r="I30">
        <f>LN(B30)</f>
        <v>-1.7147984280919266</v>
      </c>
      <c r="J30">
        <v>3.7749172176353707E-2</v>
      </c>
      <c r="K30" t="s">
        <v>31</v>
      </c>
      <c r="L30" t="s">
        <v>31</v>
      </c>
      <c r="M30" t="s">
        <v>31</v>
      </c>
      <c r="O30" s="331" t="s">
        <v>947</v>
      </c>
      <c r="P30" s="296">
        <v>180</v>
      </c>
      <c r="Q30" t="s">
        <v>337</v>
      </c>
      <c r="R30">
        <f t="shared" si="0"/>
        <v>0.18</v>
      </c>
    </row>
    <row r="31" spans="1:18" ht="15.75">
      <c r="A31" s="245" t="s">
        <v>5</v>
      </c>
      <c r="B31" s="246" t="s">
        <v>1143</v>
      </c>
      <c r="C31" s="120"/>
      <c r="D31" s="42"/>
      <c r="E31" s="42"/>
      <c r="F31" s="42"/>
      <c r="G31" s="42"/>
      <c r="H31" s="42"/>
      <c r="I31" s="42"/>
      <c r="J31" s="42"/>
      <c r="K31" s="42"/>
      <c r="L31" s="42"/>
      <c r="M31" s="42"/>
    </row>
    <row r="32" spans="1:18">
      <c r="A32" s="247" t="s">
        <v>7</v>
      </c>
      <c r="B32" t="s">
        <v>902</v>
      </c>
      <c r="C32" s="23"/>
    </row>
    <row r="33" spans="1:18">
      <c r="A33" s="247" t="s">
        <v>9</v>
      </c>
      <c r="B33" t="s">
        <v>1146</v>
      </c>
      <c r="C33" s="23"/>
    </row>
    <row r="34" spans="1:18" ht="18" customHeight="1">
      <c r="A34" s="247" t="s">
        <v>11</v>
      </c>
      <c r="B34" s="249" t="s">
        <v>913</v>
      </c>
    </row>
    <row r="35" spans="1:18">
      <c r="A35" s="247" t="s">
        <v>13</v>
      </c>
      <c r="B35" t="s">
        <v>14</v>
      </c>
    </row>
    <row r="36" spans="1:18">
      <c r="A36" s="247" t="s">
        <v>15</v>
      </c>
      <c r="B36">
        <v>1</v>
      </c>
    </row>
    <row r="37" spans="1:18">
      <c r="A37" s="247" t="s">
        <v>16</v>
      </c>
      <c r="B37" t="s">
        <v>17</v>
      </c>
    </row>
    <row r="38" spans="1:18">
      <c r="A38" s="247" t="s">
        <v>18</v>
      </c>
      <c r="B38" t="s">
        <v>18</v>
      </c>
    </row>
    <row r="39" spans="1:18" ht="15.75">
      <c r="A39" s="252" t="s">
        <v>19</v>
      </c>
    </row>
    <row r="40" spans="1:18" ht="15.75">
      <c r="A40" s="252"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75">
      <c r="A41" t="s">
        <v>1143</v>
      </c>
      <c r="B41">
        <v>1</v>
      </c>
      <c r="C41" t="s">
        <v>18</v>
      </c>
      <c r="D41" s="326" t="s">
        <v>2</v>
      </c>
      <c r="E41" t="s">
        <v>29</v>
      </c>
      <c r="F41" s="251" t="s">
        <v>14</v>
      </c>
      <c r="G41" t="s">
        <v>30</v>
      </c>
      <c r="H41">
        <v>1</v>
      </c>
      <c r="I41">
        <v>1</v>
      </c>
      <c r="J41" t="s">
        <v>31</v>
      </c>
      <c r="K41" t="s">
        <v>31</v>
      </c>
      <c r="L41" t="s">
        <v>31</v>
      </c>
      <c r="M41" t="s">
        <v>31</v>
      </c>
    </row>
    <row r="42" spans="1:18" ht="15.75">
      <c r="A42" s="232" t="s">
        <v>1147</v>
      </c>
      <c r="B42">
        <f>B55</f>
        <v>0.214</v>
      </c>
      <c r="C42" t="s">
        <v>37</v>
      </c>
      <c r="D42" s="326" t="s">
        <v>2</v>
      </c>
      <c r="E42" t="s">
        <v>29</v>
      </c>
      <c r="F42" s="251" t="s">
        <v>14</v>
      </c>
      <c r="G42" t="s">
        <v>33</v>
      </c>
      <c r="H42">
        <v>1</v>
      </c>
      <c r="I42">
        <f>B42</f>
        <v>0.214</v>
      </c>
      <c r="J42" t="s">
        <v>31</v>
      </c>
      <c r="K42" t="s">
        <v>31</v>
      </c>
      <c r="L42" t="s">
        <v>31</v>
      </c>
      <c r="M42" t="s">
        <v>31</v>
      </c>
      <c r="O42" s="30"/>
      <c r="P42" s="338"/>
    </row>
    <row r="43" spans="1:18" ht="15.75">
      <c r="A43" s="232" t="s">
        <v>1148</v>
      </c>
      <c r="B43">
        <v>1</v>
      </c>
      <c r="C43" t="s">
        <v>18</v>
      </c>
      <c r="D43" s="326" t="s">
        <v>2</v>
      </c>
      <c r="E43" t="s">
        <v>29</v>
      </c>
      <c r="F43" s="251" t="s">
        <v>14</v>
      </c>
      <c r="G43" t="s">
        <v>33</v>
      </c>
      <c r="H43">
        <v>1</v>
      </c>
      <c r="I43">
        <v>1</v>
      </c>
      <c r="J43" t="s">
        <v>31</v>
      </c>
      <c r="K43" t="s">
        <v>31</v>
      </c>
      <c r="L43" t="s">
        <v>31</v>
      </c>
      <c r="M43" t="s">
        <v>31</v>
      </c>
    </row>
    <row r="44" spans="1:18" ht="15.75">
      <c r="A44" s="253" t="s">
        <v>40</v>
      </c>
      <c r="B44" s="22">
        <f>R44</f>
        <v>0.03</v>
      </c>
      <c r="C44" t="s">
        <v>41</v>
      </c>
      <c r="D44" s="17" t="s">
        <v>38</v>
      </c>
      <c r="E44" t="s">
        <v>29</v>
      </c>
      <c r="F44" s="251" t="s">
        <v>35</v>
      </c>
      <c r="G44" t="s">
        <v>33</v>
      </c>
      <c r="H44">
        <v>2</v>
      </c>
      <c r="I44">
        <f t="shared" ref="I44" si="1">LN(B44)</f>
        <v>-3.5065578973199818</v>
      </c>
      <c r="J44">
        <v>7.2284161474004766E-2</v>
      </c>
      <c r="K44" t="s">
        <v>31</v>
      </c>
      <c r="L44" t="s">
        <v>31</v>
      </c>
      <c r="M44" t="s">
        <v>31</v>
      </c>
      <c r="O44" s="437" t="s">
        <v>332</v>
      </c>
      <c r="P44" s="296">
        <v>0.03</v>
      </c>
      <c r="Q44" t="s">
        <v>332</v>
      </c>
      <c r="R44" s="22">
        <f>P44</f>
        <v>0.03</v>
      </c>
    </row>
    <row r="45" spans="1:18" ht="15.75">
      <c r="A45" s="245" t="s">
        <v>5</v>
      </c>
      <c r="B45" s="246" t="s">
        <v>1147</v>
      </c>
      <c r="C45" s="120"/>
      <c r="D45" s="42"/>
      <c r="E45" s="42"/>
      <c r="F45" s="42"/>
      <c r="G45" s="42"/>
      <c r="H45" s="42"/>
      <c r="I45" s="42"/>
      <c r="J45" s="42"/>
      <c r="K45" s="42"/>
      <c r="L45" s="42"/>
      <c r="M45" s="42"/>
    </row>
    <row r="46" spans="1:18">
      <c r="A46" s="247" t="s">
        <v>7</v>
      </c>
      <c r="B46" t="s">
        <v>902</v>
      </c>
      <c r="C46" s="23"/>
    </row>
    <row r="47" spans="1:18">
      <c r="A47" s="247" t="s">
        <v>9</v>
      </c>
      <c r="B47" t="s">
        <v>1149</v>
      </c>
      <c r="C47" s="23"/>
    </row>
    <row r="48" spans="1:18" ht="11.25" customHeight="1">
      <c r="A48" s="247" t="s">
        <v>11</v>
      </c>
      <c r="B48" s="249" t="s">
        <v>913</v>
      </c>
    </row>
    <row r="49" spans="1:18">
      <c r="A49" s="247" t="s">
        <v>13</v>
      </c>
      <c r="B49" t="s">
        <v>14</v>
      </c>
    </row>
    <row r="50" spans="1:18">
      <c r="A50" s="247" t="s">
        <v>15</v>
      </c>
      <c r="B50">
        <f>B55</f>
        <v>0.214</v>
      </c>
    </row>
    <row r="51" spans="1:18">
      <c r="A51" s="247" t="s">
        <v>16</v>
      </c>
      <c r="B51" t="s">
        <v>17</v>
      </c>
    </row>
    <row r="52" spans="1:18">
      <c r="A52" s="247" t="s">
        <v>18</v>
      </c>
      <c r="B52" t="s">
        <v>37</v>
      </c>
    </row>
    <row r="53" spans="1:18" ht="15.75">
      <c r="A53" s="252" t="s">
        <v>19</v>
      </c>
    </row>
    <row r="54" spans="1:18" ht="15.75">
      <c r="A54" s="252"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75">
      <c r="A55" s="232" t="s">
        <v>1147</v>
      </c>
      <c r="B55">
        <f>P55</f>
        <v>0.214</v>
      </c>
      <c r="C55" t="s">
        <v>37</v>
      </c>
      <c r="D55" s="326" t="s">
        <v>2</v>
      </c>
      <c r="E55" t="s">
        <v>29</v>
      </c>
      <c r="F55" s="251" t="s">
        <v>14</v>
      </c>
      <c r="G55" t="s">
        <v>30</v>
      </c>
      <c r="H55">
        <v>1</v>
      </c>
      <c r="I55">
        <f>B55</f>
        <v>0.214</v>
      </c>
      <c r="J55" t="s">
        <v>31</v>
      </c>
      <c r="K55" t="s">
        <v>31</v>
      </c>
      <c r="L55" t="s">
        <v>31</v>
      </c>
      <c r="M55" t="s">
        <v>31</v>
      </c>
      <c r="O55" s="461" t="s">
        <v>337</v>
      </c>
      <c r="P55" s="296">
        <v>0.214</v>
      </c>
      <c r="Q55" t="s">
        <v>337</v>
      </c>
      <c r="R55">
        <f>P55</f>
        <v>0.214</v>
      </c>
    </row>
    <row r="56" spans="1:18" ht="15.75">
      <c r="A56" s="232" t="s">
        <v>533</v>
      </c>
      <c r="B56" s="445">
        <f>R56</f>
        <v>0.214</v>
      </c>
      <c r="C56" t="s">
        <v>37</v>
      </c>
      <c r="D56" s="17" t="s">
        <v>38</v>
      </c>
      <c r="E56" t="s">
        <v>29</v>
      </c>
      <c r="F56" s="251" t="s">
        <v>35</v>
      </c>
      <c r="G56" t="s">
        <v>33</v>
      </c>
      <c r="H56">
        <v>2</v>
      </c>
      <c r="I56">
        <f>LN(B56)</f>
        <v>-1.5417792639602856</v>
      </c>
      <c r="J56">
        <v>2.8722813232690055E-2</v>
      </c>
      <c r="K56" t="s">
        <v>31</v>
      </c>
      <c r="L56" t="s">
        <v>31</v>
      </c>
      <c r="M56" t="s">
        <v>31</v>
      </c>
      <c r="O56" s="462" t="s">
        <v>337</v>
      </c>
      <c r="P56" s="296">
        <v>0.214</v>
      </c>
      <c r="Q56" t="s">
        <v>337</v>
      </c>
      <c r="R56" s="445">
        <f>P56</f>
        <v>0.214</v>
      </c>
    </row>
    <row r="57" spans="1:18" ht="15.75">
      <c r="A57" s="253" t="s">
        <v>40</v>
      </c>
      <c r="B57" s="336">
        <f>R57</f>
        <v>6.4000000000000001E-2</v>
      </c>
      <c r="C57" t="s">
        <v>41</v>
      </c>
      <c r="D57" s="17" t="s">
        <v>38</v>
      </c>
      <c r="E57" t="s">
        <v>29</v>
      </c>
      <c r="F57" s="251" t="s">
        <v>35</v>
      </c>
      <c r="G57" t="s">
        <v>33</v>
      </c>
      <c r="H57">
        <v>2</v>
      </c>
      <c r="I57">
        <f t="shared" ref="I57" si="2">LN(B57)</f>
        <v>-2.7488721956224653</v>
      </c>
      <c r="J57">
        <v>7.2284161474004766E-2</v>
      </c>
      <c r="K57" t="s">
        <v>31</v>
      </c>
      <c r="L57" t="s">
        <v>31</v>
      </c>
      <c r="M57" t="s">
        <v>31</v>
      </c>
      <c r="O57" s="437" t="s">
        <v>332</v>
      </c>
      <c r="P57" s="296">
        <v>6.4000000000000001E-2</v>
      </c>
      <c r="Q57" t="s">
        <v>332</v>
      </c>
      <c r="R57" s="336">
        <f>P57</f>
        <v>6.4000000000000001E-2</v>
      </c>
    </row>
    <row r="58" spans="1:18" ht="15.75">
      <c r="A58" s="245" t="s">
        <v>5</v>
      </c>
      <c r="B58" s="323" t="s">
        <v>1148</v>
      </c>
      <c r="C58" s="120"/>
      <c r="D58" s="42"/>
      <c r="E58" s="42"/>
      <c r="F58" s="42"/>
      <c r="G58" s="42"/>
      <c r="H58" s="42"/>
      <c r="I58" s="42"/>
      <c r="J58" s="42"/>
      <c r="K58" s="42"/>
      <c r="L58" s="42"/>
      <c r="M58" s="42"/>
    </row>
    <row r="59" spans="1:18">
      <c r="A59" s="247" t="s">
        <v>7</v>
      </c>
      <c r="B59" t="s">
        <v>902</v>
      </c>
      <c r="C59" s="23"/>
    </row>
    <row r="60" spans="1:18">
      <c r="A60" s="433" t="s">
        <v>9</v>
      </c>
      <c r="B60" t="s">
        <v>1150</v>
      </c>
      <c r="C60" s="23"/>
    </row>
    <row r="61" spans="1:18" ht="27.75" customHeight="1">
      <c r="A61" s="247" t="s">
        <v>11</v>
      </c>
      <c r="B61" s="249" t="s">
        <v>913</v>
      </c>
    </row>
    <row r="62" spans="1:18">
      <c r="A62" s="247" t="s">
        <v>13</v>
      </c>
      <c r="B62" t="s">
        <v>14</v>
      </c>
    </row>
    <row r="63" spans="1:18">
      <c r="A63" s="247" t="s">
        <v>15</v>
      </c>
      <c r="B63">
        <v>1</v>
      </c>
    </row>
    <row r="64" spans="1:18">
      <c r="A64" s="247" t="s">
        <v>16</v>
      </c>
      <c r="B64" t="s">
        <v>17</v>
      </c>
    </row>
    <row r="65" spans="1:18">
      <c r="A65" s="247" t="s">
        <v>18</v>
      </c>
      <c r="B65" t="s">
        <v>18</v>
      </c>
    </row>
    <row r="66" spans="1:18" ht="15.75">
      <c r="A66" s="252" t="s">
        <v>19</v>
      </c>
    </row>
    <row r="67" spans="1:18" ht="15.75">
      <c r="A67" s="252"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75">
      <c r="A68" s="232" t="s">
        <v>1148</v>
      </c>
      <c r="B68">
        <v>1</v>
      </c>
      <c r="C68" t="s">
        <v>18</v>
      </c>
      <c r="D68" s="326" t="s">
        <v>2</v>
      </c>
      <c r="E68" t="s">
        <v>29</v>
      </c>
      <c r="F68" s="251" t="s">
        <v>14</v>
      </c>
      <c r="G68" t="s">
        <v>30</v>
      </c>
      <c r="H68">
        <v>1</v>
      </c>
      <c r="I68">
        <v>1</v>
      </c>
      <c r="J68" t="s">
        <v>31</v>
      </c>
      <c r="K68" t="s">
        <v>31</v>
      </c>
      <c r="L68" t="s">
        <v>31</v>
      </c>
      <c r="M68" t="s">
        <v>31</v>
      </c>
    </row>
    <row r="69" spans="1:18" ht="15.75">
      <c r="A69" s="232" t="s">
        <v>1151</v>
      </c>
      <c r="B69" s="445">
        <f>B77</f>
        <v>0.11</v>
      </c>
      <c r="C69" t="s">
        <v>37</v>
      </c>
      <c r="D69" s="326" t="s">
        <v>2</v>
      </c>
      <c r="E69" t="s">
        <v>29</v>
      </c>
      <c r="F69" s="251" t="s">
        <v>14</v>
      </c>
      <c r="G69" t="s">
        <v>33</v>
      </c>
      <c r="H69">
        <v>1</v>
      </c>
      <c r="I69" s="445">
        <f>B69</f>
        <v>0.11</v>
      </c>
      <c r="J69" t="s">
        <v>31</v>
      </c>
      <c r="K69" t="s">
        <v>31</v>
      </c>
      <c r="L69" t="s">
        <v>31</v>
      </c>
      <c r="M69" t="s">
        <v>31</v>
      </c>
      <c r="O69" s="437"/>
      <c r="P69" s="447"/>
      <c r="Q69" t="s">
        <v>337</v>
      </c>
      <c r="R69" s="445">
        <v>0.01</v>
      </c>
    </row>
    <row r="70" spans="1:18" ht="15.75">
      <c r="A70" s="232" t="s">
        <v>1152</v>
      </c>
      <c r="B70" s="336">
        <v>1</v>
      </c>
      <c r="C70" t="s">
        <v>18</v>
      </c>
      <c r="D70" s="326" t="s">
        <v>2</v>
      </c>
      <c r="E70" t="s">
        <v>29</v>
      </c>
      <c r="F70" s="251" t="s">
        <v>14</v>
      </c>
      <c r="G70" t="s">
        <v>33</v>
      </c>
      <c r="H70">
        <v>1</v>
      </c>
      <c r="I70">
        <v>1</v>
      </c>
      <c r="J70" t="s">
        <v>31</v>
      </c>
      <c r="K70" t="s">
        <v>31</v>
      </c>
      <c r="L70" t="s">
        <v>31</v>
      </c>
      <c r="M70" t="s">
        <v>31</v>
      </c>
      <c r="O70" s="437"/>
      <c r="P70" s="463"/>
      <c r="R70" s="336"/>
    </row>
    <row r="71" spans="1:18" ht="15.75">
      <c r="A71" s="253" t="s">
        <v>40</v>
      </c>
      <c r="B71" s="336">
        <f>R71</f>
        <v>0.73</v>
      </c>
      <c r="C71" t="s">
        <v>41</v>
      </c>
      <c r="D71" s="17" t="s">
        <v>38</v>
      </c>
      <c r="E71" t="s">
        <v>29</v>
      </c>
      <c r="F71" s="251" t="s">
        <v>35</v>
      </c>
      <c r="G71" t="s">
        <v>33</v>
      </c>
      <c r="H71">
        <v>2</v>
      </c>
      <c r="I71">
        <f t="shared" ref="I71" si="3">LN(B71)</f>
        <v>-0.31471074483970024</v>
      </c>
      <c r="J71">
        <v>7.2284161474004766E-2</v>
      </c>
      <c r="K71" t="s">
        <v>31</v>
      </c>
      <c r="L71" t="s">
        <v>31</v>
      </c>
      <c r="M71" t="s">
        <v>31</v>
      </c>
      <c r="O71" s="437" t="s">
        <v>332</v>
      </c>
      <c r="P71" s="296">
        <v>0.73</v>
      </c>
      <c r="Q71" t="s">
        <v>332</v>
      </c>
      <c r="R71" s="336">
        <f>P71</f>
        <v>0.73</v>
      </c>
    </row>
    <row r="72" spans="1:18" ht="15.75">
      <c r="A72" s="245" t="s">
        <v>5</v>
      </c>
      <c r="B72" s="323" t="s">
        <v>1151</v>
      </c>
      <c r="C72" s="120"/>
      <c r="D72" s="42"/>
      <c r="E72" s="42"/>
      <c r="F72" s="42"/>
      <c r="G72" s="42"/>
      <c r="H72" s="42"/>
      <c r="I72" s="42"/>
      <c r="J72" s="42"/>
      <c r="K72" s="42"/>
      <c r="L72" s="42"/>
      <c r="M72" s="42"/>
    </row>
    <row r="73" spans="1:18">
      <c r="A73" s="247" t="s">
        <v>7</v>
      </c>
      <c r="B73" t="s">
        <v>902</v>
      </c>
      <c r="C73" s="23"/>
    </row>
    <row r="74" spans="1:18">
      <c r="A74" s="433" t="s">
        <v>9</v>
      </c>
      <c r="B74" t="s">
        <v>1153</v>
      </c>
      <c r="C74" s="23"/>
    </row>
    <row r="75" spans="1:18" ht="15" customHeight="1">
      <c r="A75" s="247" t="s">
        <v>11</v>
      </c>
      <c r="B75" s="249" t="s">
        <v>913</v>
      </c>
    </row>
    <row r="76" spans="1:18">
      <c r="A76" s="247" t="s">
        <v>13</v>
      </c>
      <c r="B76" t="s">
        <v>14</v>
      </c>
    </row>
    <row r="77" spans="1:18">
      <c r="A77" s="247" t="s">
        <v>15</v>
      </c>
      <c r="B77" s="22">
        <f>B82</f>
        <v>0.11</v>
      </c>
    </row>
    <row r="78" spans="1:18">
      <c r="A78" s="247" t="s">
        <v>16</v>
      </c>
      <c r="B78" t="s">
        <v>17</v>
      </c>
    </row>
    <row r="79" spans="1:18">
      <c r="A79" s="247" t="s">
        <v>18</v>
      </c>
      <c r="B79" t="s">
        <v>37</v>
      </c>
    </row>
    <row r="80" spans="1:18" ht="15.75">
      <c r="A80" s="252" t="s">
        <v>19</v>
      </c>
    </row>
    <row r="81" spans="1:18" ht="15.75">
      <c r="A81" s="252"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75">
      <c r="A82" s="232" t="s">
        <v>1151</v>
      </c>
      <c r="B82" s="22">
        <v>0.11</v>
      </c>
      <c r="C82" t="s">
        <v>37</v>
      </c>
      <c r="D82" s="326" t="s">
        <v>2</v>
      </c>
      <c r="E82" t="s">
        <v>29</v>
      </c>
      <c r="F82" s="251" t="s">
        <v>14</v>
      </c>
      <c r="G82" t="s">
        <v>30</v>
      </c>
      <c r="H82">
        <v>1</v>
      </c>
      <c r="I82" s="22">
        <f>B82</f>
        <v>0.11</v>
      </c>
      <c r="J82" t="s">
        <v>31</v>
      </c>
      <c r="K82" t="s">
        <v>31</v>
      </c>
      <c r="L82" t="s">
        <v>31</v>
      </c>
      <c r="M82" t="s">
        <v>31</v>
      </c>
      <c r="O82" s="437"/>
      <c r="P82" s="447"/>
      <c r="Q82" t="s">
        <v>337</v>
      </c>
      <c r="R82" s="445">
        <v>0.01</v>
      </c>
    </row>
    <row r="83" spans="1:18" ht="15.75">
      <c r="A83" s="232" t="s">
        <v>918</v>
      </c>
      <c r="B83" s="22">
        <v>0.11</v>
      </c>
      <c r="C83" t="s">
        <v>37</v>
      </c>
      <c r="D83" s="17" t="s">
        <v>38</v>
      </c>
      <c r="E83" t="s">
        <v>29</v>
      </c>
      <c r="F83" s="251" t="s">
        <v>60</v>
      </c>
      <c r="G83" t="s">
        <v>33</v>
      </c>
      <c r="H83">
        <v>1</v>
      </c>
      <c r="I83" s="22">
        <f t="shared" ref="I83:I84" si="4">B83</f>
        <v>0.11</v>
      </c>
      <c r="J83" t="s">
        <v>31</v>
      </c>
      <c r="K83" t="s">
        <v>31</v>
      </c>
      <c r="L83" t="s">
        <v>31</v>
      </c>
      <c r="M83" t="s">
        <v>31</v>
      </c>
      <c r="O83" s="437"/>
      <c r="P83" s="463"/>
      <c r="R83" s="336"/>
    </row>
    <row r="84" spans="1:18">
      <c r="A84" s="232" t="s">
        <v>146</v>
      </c>
      <c r="B84" s="22">
        <v>0.11</v>
      </c>
      <c r="C84" t="s">
        <v>37</v>
      </c>
      <c r="D84" t="s">
        <v>38</v>
      </c>
      <c r="E84" t="s">
        <v>29</v>
      </c>
      <c r="F84" t="s">
        <v>60</v>
      </c>
      <c r="G84" t="s">
        <v>33</v>
      </c>
      <c r="H84">
        <v>1</v>
      </c>
      <c r="I84" s="22">
        <f t="shared" si="4"/>
        <v>0.11</v>
      </c>
      <c r="J84" t="s">
        <v>31</v>
      </c>
      <c r="K84" t="s">
        <v>31</v>
      </c>
      <c r="L84" t="s">
        <v>31</v>
      </c>
      <c r="M84" t="s">
        <v>31</v>
      </c>
    </row>
    <row r="85" spans="1:18" s="42" customFormat="1" ht="15.75">
      <c r="A85" s="245" t="s">
        <v>5</v>
      </c>
      <c r="B85" s="323" t="s">
        <v>1152</v>
      </c>
      <c r="C85" s="120"/>
    </row>
    <row r="86" spans="1:18">
      <c r="A86" s="247" t="s">
        <v>7</v>
      </c>
      <c r="B86" t="s">
        <v>902</v>
      </c>
      <c r="C86" s="23"/>
    </row>
    <row r="87" spans="1:18">
      <c r="A87" s="433" t="s">
        <v>9</v>
      </c>
      <c r="B87" t="s">
        <v>1154</v>
      </c>
      <c r="C87" s="23"/>
    </row>
    <row r="88" spans="1:18" ht="15.75" customHeight="1">
      <c r="A88" s="247" t="s">
        <v>11</v>
      </c>
      <c r="B88" s="249" t="s">
        <v>913</v>
      </c>
    </row>
    <row r="89" spans="1:18">
      <c r="A89" s="247" t="s">
        <v>13</v>
      </c>
      <c r="B89" t="s">
        <v>14</v>
      </c>
    </row>
    <row r="90" spans="1:18">
      <c r="A90" s="247" t="s">
        <v>15</v>
      </c>
      <c r="B90">
        <v>1</v>
      </c>
    </row>
    <row r="91" spans="1:18">
      <c r="A91" s="247" t="s">
        <v>16</v>
      </c>
      <c r="B91" t="s">
        <v>17</v>
      </c>
    </row>
    <row r="92" spans="1:18">
      <c r="A92" s="247" t="s">
        <v>18</v>
      </c>
      <c r="B92" t="s">
        <v>18</v>
      </c>
    </row>
    <row r="93" spans="1:18" ht="15.75">
      <c r="A93" s="252" t="s">
        <v>19</v>
      </c>
    </row>
    <row r="94" spans="1:18" ht="15.75">
      <c r="A94" s="252"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75">
      <c r="A95" s="232" t="s">
        <v>1152</v>
      </c>
      <c r="B95" s="336">
        <v>1</v>
      </c>
      <c r="C95" t="s">
        <v>18</v>
      </c>
      <c r="D95" s="326" t="s">
        <v>2</v>
      </c>
      <c r="E95" t="s">
        <v>29</v>
      </c>
      <c r="F95" s="251" t="s">
        <v>14</v>
      </c>
      <c r="G95" t="s">
        <v>30</v>
      </c>
      <c r="H95">
        <v>1</v>
      </c>
      <c r="I95">
        <v>1</v>
      </c>
      <c r="J95" t="s">
        <v>31</v>
      </c>
      <c r="K95" t="s">
        <v>31</v>
      </c>
      <c r="L95" t="s">
        <v>31</v>
      </c>
      <c r="M95" t="s">
        <v>31</v>
      </c>
      <c r="O95" s="437"/>
      <c r="P95" s="463"/>
      <c r="R95" s="336"/>
    </row>
    <row r="96" spans="1:18" ht="15.75">
      <c r="A96" s="232" t="s">
        <v>1155</v>
      </c>
      <c r="B96">
        <v>1</v>
      </c>
      <c r="C96" t="s">
        <v>18</v>
      </c>
      <c r="D96" s="326" t="s">
        <v>2</v>
      </c>
      <c r="E96" t="s">
        <v>29</v>
      </c>
      <c r="F96" s="251" t="s">
        <v>14</v>
      </c>
      <c r="G96" t="s">
        <v>33</v>
      </c>
      <c r="H96">
        <v>1</v>
      </c>
      <c r="I96">
        <v>1</v>
      </c>
      <c r="J96" t="s">
        <v>31</v>
      </c>
      <c r="K96" t="s">
        <v>31</v>
      </c>
      <c r="L96" t="s">
        <v>31</v>
      </c>
      <c r="M96" t="s">
        <v>31</v>
      </c>
      <c r="O96" s="437"/>
      <c r="P96" s="463"/>
    </row>
    <row r="97" spans="1:18" ht="15.75">
      <c r="A97" s="253" t="s">
        <v>40</v>
      </c>
      <c r="B97" s="336">
        <f>R97</f>
        <v>0.05</v>
      </c>
      <c r="C97" t="s">
        <v>41</v>
      </c>
      <c r="D97" s="17" t="s">
        <v>38</v>
      </c>
      <c r="E97" t="s">
        <v>29</v>
      </c>
      <c r="F97" s="251" t="s">
        <v>35</v>
      </c>
      <c r="G97" t="s">
        <v>33</v>
      </c>
      <c r="H97">
        <v>2</v>
      </c>
      <c r="I97">
        <f t="shared" ref="I97" si="5">LN(B97)</f>
        <v>-2.9957322735539909</v>
      </c>
      <c r="J97">
        <v>7.2284161474004766E-2</v>
      </c>
      <c r="K97" t="s">
        <v>31</v>
      </c>
      <c r="L97" t="s">
        <v>31</v>
      </c>
      <c r="M97" t="s">
        <v>31</v>
      </c>
      <c r="O97" s="437" t="s">
        <v>332</v>
      </c>
      <c r="P97" s="296">
        <v>0.05</v>
      </c>
      <c r="Q97" t="s">
        <v>332</v>
      </c>
      <c r="R97" s="336">
        <f>P97</f>
        <v>0.05</v>
      </c>
    </row>
    <row r="98" spans="1:18" s="42" customFormat="1" ht="15.75">
      <c r="A98" s="245" t="s">
        <v>5</v>
      </c>
      <c r="B98" s="323" t="s">
        <v>1155</v>
      </c>
      <c r="C98" s="120"/>
    </row>
    <row r="99" spans="1:18">
      <c r="A99" s="247" t="s">
        <v>7</v>
      </c>
      <c r="B99" t="s">
        <v>902</v>
      </c>
      <c r="C99" s="23"/>
    </row>
    <row r="100" spans="1:18">
      <c r="A100" s="433" t="s">
        <v>9</v>
      </c>
      <c r="B100" t="s">
        <v>1156</v>
      </c>
      <c r="C100" s="23"/>
    </row>
    <row r="101" spans="1:18" ht="15.75" customHeight="1">
      <c r="A101" s="247" t="s">
        <v>11</v>
      </c>
      <c r="B101" s="249" t="s">
        <v>913</v>
      </c>
    </row>
    <row r="102" spans="1:18">
      <c r="A102" s="247" t="s">
        <v>13</v>
      </c>
      <c r="B102" t="s">
        <v>14</v>
      </c>
    </row>
    <row r="103" spans="1:18">
      <c r="A103" s="247" t="s">
        <v>15</v>
      </c>
      <c r="B103">
        <v>1</v>
      </c>
    </row>
    <row r="104" spans="1:18">
      <c r="A104" s="247" t="s">
        <v>16</v>
      </c>
      <c r="B104" t="s">
        <v>17</v>
      </c>
    </row>
    <row r="105" spans="1:18">
      <c r="A105" s="247" t="s">
        <v>18</v>
      </c>
      <c r="B105" t="s">
        <v>18</v>
      </c>
    </row>
    <row r="106" spans="1:18" ht="15.75">
      <c r="A106" s="252" t="s">
        <v>19</v>
      </c>
    </row>
    <row r="107" spans="1:18" ht="15.75">
      <c r="A107" s="252"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c r="Q107">
        <f>B.Reused!O36</f>
        <v>5.7999999999999989</v>
      </c>
      <c r="R107" t="s">
        <v>985</v>
      </c>
    </row>
    <row r="108" spans="1:18" ht="15.75">
      <c r="A108" s="232" t="s">
        <v>1155</v>
      </c>
      <c r="B108">
        <v>1</v>
      </c>
      <c r="C108" t="s">
        <v>18</v>
      </c>
      <c r="D108" s="17" t="s">
        <v>2</v>
      </c>
      <c r="E108" t="s">
        <v>29</v>
      </c>
      <c r="F108" s="251" t="s">
        <v>14</v>
      </c>
      <c r="G108" t="s">
        <v>30</v>
      </c>
      <c r="H108">
        <v>1</v>
      </c>
      <c r="I108">
        <v>1</v>
      </c>
      <c r="J108" t="s">
        <v>31</v>
      </c>
      <c r="K108" t="s">
        <v>31</v>
      </c>
      <c r="L108" t="s">
        <v>31</v>
      </c>
      <c r="M108" t="s">
        <v>31</v>
      </c>
      <c r="P108" s="464"/>
    </row>
    <row r="109" spans="1:18" ht="15.75">
      <c r="A109" s="253" t="s">
        <v>1157</v>
      </c>
      <c r="B109" s="465">
        <f>B133</f>
        <v>6.9000000000000006E-2</v>
      </c>
      <c r="C109" t="s">
        <v>206</v>
      </c>
      <c r="D109" s="17" t="s">
        <v>2</v>
      </c>
      <c r="E109" t="s">
        <v>29</v>
      </c>
      <c r="F109" s="251" t="s">
        <v>14</v>
      </c>
      <c r="G109" t="s">
        <v>33</v>
      </c>
      <c r="H109">
        <v>1</v>
      </c>
      <c r="I109" s="465">
        <f>B109</f>
        <v>6.9000000000000006E-2</v>
      </c>
      <c r="J109" t="s">
        <v>31</v>
      </c>
      <c r="K109" t="s">
        <v>31</v>
      </c>
      <c r="L109" t="s">
        <v>31</v>
      </c>
      <c r="M109" t="s">
        <v>31</v>
      </c>
      <c r="O109" s="327"/>
      <c r="P109" s="328"/>
      <c r="Q109" s="336"/>
    </row>
    <row r="110" spans="1:18" ht="15.75">
      <c r="A110" t="s">
        <v>1119</v>
      </c>
      <c r="B110" s="445">
        <f>R110</f>
        <v>9.3103448275862078E-3</v>
      </c>
      <c r="C110" s="31" t="s">
        <v>206</v>
      </c>
      <c r="D110" s="17" t="s">
        <v>2</v>
      </c>
      <c r="E110" t="s">
        <v>29</v>
      </c>
      <c r="F110" s="251" t="s">
        <v>14</v>
      </c>
      <c r="G110" t="s">
        <v>33</v>
      </c>
      <c r="H110">
        <v>1</v>
      </c>
      <c r="I110" s="465">
        <f t="shared" ref="I110:I111" si="6">B110</f>
        <v>9.3103448275862078E-3</v>
      </c>
      <c r="J110" t="s">
        <v>31</v>
      </c>
      <c r="K110" t="s">
        <v>31</v>
      </c>
      <c r="L110" t="s">
        <v>31</v>
      </c>
      <c r="M110" t="s">
        <v>31</v>
      </c>
      <c r="O110" s="466" t="s">
        <v>947</v>
      </c>
      <c r="P110" s="371">
        <v>54</v>
      </c>
      <c r="Q110" s="329" t="s">
        <v>1158</v>
      </c>
      <c r="R110" s="445">
        <f>P110*0.001/Q107</f>
        <v>9.3103448275862078E-3</v>
      </c>
    </row>
    <row r="111" spans="1:18" ht="15.75">
      <c r="A111" t="s">
        <v>1159</v>
      </c>
      <c r="B111">
        <v>1</v>
      </c>
      <c r="C111" t="s">
        <v>18</v>
      </c>
      <c r="D111" s="17" t="s">
        <v>2</v>
      </c>
      <c r="E111" t="s">
        <v>29</v>
      </c>
      <c r="F111" s="251" t="s">
        <v>14</v>
      </c>
      <c r="G111" t="s">
        <v>33</v>
      </c>
      <c r="H111">
        <v>1</v>
      </c>
      <c r="I111" s="465">
        <f t="shared" si="6"/>
        <v>1</v>
      </c>
      <c r="J111" t="s">
        <v>31</v>
      </c>
      <c r="K111" t="s">
        <v>31</v>
      </c>
      <c r="L111" t="s">
        <v>31</v>
      </c>
      <c r="M111" t="s">
        <v>31</v>
      </c>
      <c r="O111" s="327"/>
      <c r="P111" s="328"/>
    </row>
    <row r="112" spans="1:18" ht="15.75">
      <c r="A112" s="232" t="s">
        <v>533</v>
      </c>
      <c r="B112" s="445">
        <f>R112</f>
        <v>3.1E-4</v>
      </c>
      <c r="C112" t="s">
        <v>37</v>
      </c>
      <c r="D112" s="17" t="s">
        <v>38</v>
      </c>
      <c r="E112" t="s">
        <v>29</v>
      </c>
      <c r="F112" s="251" t="s">
        <v>35</v>
      </c>
      <c r="G112" t="s">
        <v>33</v>
      </c>
      <c r="H112">
        <v>2</v>
      </c>
      <c r="I112">
        <f>LN(B112)</f>
        <v>-8.0789382604850815</v>
      </c>
      <c r="J112">
        <v>2.8722813232690055E-2</v>
      </c>
      <c r="K112" t="s">
        <v>31</v>
      </c>
      <c r="L112" t="s">
        <v>31</v>
      </c>
      <c r="M112" t="s">
        <v>31</v>
      </c>
      <c r="O112" s="466" t="s">
        <v>947</v>
      </c>
      <c r="P112" s="302">
        <v>0.31</v>
      </c>
      <c r="Q112" t="s">
        <v>337</v>
      </c>
      <c r="R112" s="445">
        <f>P112*10^-3</f>
        <v>3.1E-4</v>
      </c>
    </row>
    <row r="113" spans="1:18" s="42" customFormat="1" ht="15.75">
      <c r="A113" s="245" t="s">
        <v>5</v>
      </c>
      <c r="B113" s="337" t="s">
        <v>1159</v>
      </c>
      <c r="C113" s="120"/>
    </row>
    <row r="114" spans="1:18">
      <c r="A114" s="247" t="s">
        <v>7</v>
      </c>
      <c r="B114" t="s">
        <v>902</v>
      </c>
      <c r="C114" s="23"/>
    </row>
    <row r="115" spans="1:18">
      <c r="A115" s="433" t="s">
        <v>9</v>
      </c>
      <c r="B115" t="s">
        <v>1160</v>
      </c>
      <c r="C115" s="23"/>
    </row>
    <row r="116" spans="1:18" ht="15.75" customHeight="1">
      <c r="A116" s="247" t="s">
        <v>11</v>
      </c>
      <c r="B116" s="249" t="s">
        <v>913</v>
      </c>
    </row>
    <row r="117" spans="1:18">
      <c r="A117" s="247" t="s">
        <v>13</v>
      </c>
      <c r="B117" t="s">
        <v>14</v>
      </c>
    </row>
    <row r="118" spans="1:18">
      <c r="A118" s="247" t="s">
        <v>15</v>
      </c>
      <c r="B118">
        <v>1</v>
      </c>
    </row>
    <row r="119" spans="1:18">
      <c r="A119" s="247" t="s">
        <v>16</v>
      </c>
      <c r="B119" t="s">
        <v>17</v>
      </c>
    </row>
    <row r="120" spans="1:18">
      <c r="A120" s="247" t="s">
        <v>18</v>
      </c>
      <c r="B120" t="s">
        <v>18</v>
      </c>
    </row>
    <row r="121" spans="1:18" ht="15.75">
      <c r="A121" s="252" t="s">
        <v>19</v>
      </c>
    </row>
    <row r="122" spans="1:18" ht="15.75">
      <c r="A122" s="252"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75">
      <c r="A123" t="s">
        <v>1159</v>
      </c>
      <c r="B123">
        <v>1</v>
      </c>
      <c r="C123" t="s">
        <v>18</v>
      </c>
      <c r="D123" s="326" t="s">
        <v>2</v>
      </c>
      <c r="E123" t="s">
        <v>29</v>
      </c>
      <c r="F123" s="251" t="s">
        <v>14</v>
      </c>
      <c r="G123" t="s">
        <v>30</v>
      </c>
      <c r="H123">
        <v>1</v>
      </c>
      <c r="I123">
        <v>1</v>
      </c>
      <c r="J123" t="s">
        <v>31</v>
      </c>
      <c r="K123" t="s">
        <v>31</v>
      </c>
      <c r="L123" t="s">
        <v>31</v>
      </c>
      <c r="M123" t="s">
        <v>31</v>
      </c>
    </row>
    <row r="124" spans="1:18" ht="15.75">
      <c r="A124" s="232" t="s">
        <v>1056</v>
      </c>
      <c r="B124">
        <f>R124</f>
        <v>0.6</v>
      </c>
      <c r="C124" t="s">
        <v>37</v>
      </c>
      <c r="D124" s="17" t="s">
        <v>38</v>
      </c>
      <c r="E124" t="s">
        <v>29</v>
      </c>
      <c r="F124" t="s">
        <v>60</v>
      </c>
      <c r="G124" t="s">
        <v>33</v>
      </c>
      <c r="H124">
        <v>1</v>
      </c>
      <c r="I124">
        <f>B124</f>
        <v>0.6</v>
      </c>
      <c r="J124" t="s">
        <v>31</v>
      </c>
      <c r="K124" t="s">
        <v>31</v>
      </c>
      <c r="L124" t="s">
        <v>31</v>
      </c>
      <c r="M124" t="s">
        <v>31</v>
      </c>
      <c r="P124" s="467">
        <v>0.6</v>
      </c>
      <c r="Q124" t="s">
        <v>337</v>
      </c>
      <c r="R124">
        <f>P124</f>
        <v>0.6</v>
      </c>
    </row>
    <row r="125" spans="1:18">
      <c r="A125" s="232" t="s">
        <v>1057</v>
      </c>
      <c r="B125">
        <f t="shared" ref="B125:B127" si="7">R125</f>
        <v>0.39900000000000002</v>
      </c>
      <c r="C125" t="s">
        <v>37</v>
      </c>
      <c r="D125" t="s">
        <v>38</v>
      </c>
      <c r="E125" t="s">
        <v>29</v>
      </c>
      <c r="F125" t="s">
        <v>60</v>
      </c>
      <c r="G125" t="s">
        <v>33</v>
      </c>
      <c r="H125">
        <v>2</v>
      </c>
      <c r="I125">
        <f>LN(B125)</f>
        <v>-0.91879386209227354</v>
      </c>
      <c r="J125">
        <v>3.7749172176353707E-2</v>
      </c>
      <c r="K125" t="s">
        <v>31</v>
      </c>
      <c r="L125" t="s">
        <v>31</v>
      </c>
      <c r="M125" t="s">
        <v>31</v>
      </c>
      <c r="O125" s="331" t="s">
        <v>947</v>
      </c>
      <c r="P125" s="296">
        <v>399</v>
      </c>
      <c r="Q125" t="s">
        <v>337</v>
      </c>
      <c r="R125">
        <f>P125*0.001</f>
        <v>0.39900000000000002</v>
      </c>
    </row>
    <row r="126" spans="1:18">
      <c r="A126" s="232" t="s">
        <v>1058</v>
      </c>
      <c r="B126">
        <f t="shared" si="7"/>
        <v>2.3800000000000002E-2</v>
      </c>
      <c r="C126" t="s">
        <v>37</v>
      </c>
      <c r="D126" t="s">
        <v>38</v>
      </c>
      <c r="E126" t="s">
        <v>29</v>
      </c>
      <c r="F126" t="s">
        <v>60</v>
      </c>
      <c r="G126" t="s">
        <v>33</v>
      </c>
      <c r="H126">
        <v>2</v>
      </c>
      <c r="I126">
        <f>LN(B126)</f>
        <v>-3.7380696983047081</v>
      </c>
      <c r="J126">
        <v>3.7749172176353707E-2</v>
      </c>
      <c r="K126" t="s">
        <v>31</v>
      </c>
      <c r="L126" t="s">
        <v>31</v>
      </c>
      <c r="M126" t="s">
        <v>31</v>
      </c>
      <c r="O126" s="331" t="s">
        <v>947</v>
      </c>
      <c r="P126" s="296">
        <v>23.8</v>
      </c>
      <c r="Q126" t="s">
        <v>337</v>
      </c>
      <c r="R126">
        <f t="shared" ref="R126:R127" si="8">P126*0.001</f>
        <v>2.3800000000000002E-2</v>
      </c>
    </row>
    <row r="127" spans="1:18">
      <c r="A127" s="232" t="s">
        <v>1059</v>
      </c>
      <c r="B127">
        <f t="shared" si="7"/>
        <v>0.18</v>
      </c>
      <c r="C127" t="s">
        <v>37</v>
      </c>
      <c r="D127" t="s">
        <v>38</v>
      </c>
      <c r="E127" t="s">
        <v>29</v>
      </c>
      <c r="F127" t="s">
        <v>60</v>
      </c>
      <c r="G127" t="s">
        <v>33</v>
      </c>
      <c r="H127">
        <v>2</v>
      </c>
      <c r="I127">
        <f>LN(B127)</f>
        <v>-1.7147984280919266</v>
      </c>
      <c r="J127">
        <v>3.7749172176353707E-2</v>
      </c>
      <c r="K127" t="s">
        <v>31</v>
      </c>
      <c r="L127" t="s">
        <v>31</v>
      </c>
      <c r="M127" t="s">
        <v>31</v>
      </c>
      <c r="O127" s="331" t="s">
        <v>947</v>
      </c>
      <c r="P127" s="296">
        <v>180</v>
      </c>
      <c r="Q127" t="s">
        <v>337</v>
      </c>
      <c r="R127">
        <f t="shared" si="8"/>
        <v>0.18</v>
      </c>
    </row>
    <row r="128" spans="1:18" s="42" customFormat="1" ht="15.75">
      <c r="A128" s="245" t="s">
        <v>5</v>
      </c>
      <c r="B128" s="323" t="s">
        <v>1157</v>
      </c>
      <c r="C128" s="120"/>
    </row>
    <row r="129" spans="1:18">
      <c r="A129" s="247" t="s">
        <v>7</v>
      </c>
      <c r="B129" t="s">
        <v>902</v>
      </c>
      <c r="C129" s="23"/>
    </row>
    <row r="130" spans="1:18">
      <c r="A130" s="433" t="s">
        <v>9</v>
      </c>
      <c r="B130" t="s">
        <v>1161</v>
      </c>
      <c r="C130" s="23"/>
    </row>
    <row r="131" spans="1:18" ht="15.75" customHeight="1">
      <c r="A131" s="247" t="s">
        <v>11</v>
      </c>
      <c r="B131" s="249" t="s">
        <v>913</v>
      </c>
    </row>
    <row r="132" spans="1:18">
      <c r="A132" s="247" t="s">
        <v>13</v>
      </c>
      <c r="B132" t="s">
        <v>14</v>
      </c>
    </row>
    <row r="133" spans="1:18">
      <c r="A133" s="247" t="s">
        <v>15</v>
      </c>
      <c r="B133" s="434">
        <f>B138</f>
        <v>6.9000000000000006E-2</v>
      </c>
    </row>
    <row r="134" spans="1:18">
      <c r="A134" s="247" t="s">
        <v>16</v>
      </c>
      <c r="B134" t="s">
        <v>17</v>
      </c>
    </row>
    <row r="135" spans="1:18">
      <c r="A135" s="247" t="s">
        <v>18</v>
      </c>
      <c r="B135" t="s">
        <v>206</v>
      </c>
    </row>
    <row r="136" spans="1:18" ht="15.75">
      <c r="A136" s="252" t="s">
        <v>19</v>
      </c>
    </row>
    <row r="137" spans="1:18" ht="15.75">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75">
      <c r="A138" s="17" t="s">
        <v>1157</v>
      </c>
      <c r="B138" s="434">
        <f>P138</f>
        <v>6.9000000000000006E-2</v>
      </c>
      <c r="C138" t="s">
        <v>206</v>
      </c>
      <c r="D138" s="326" t="s">
        <v>2</v>
      </c>
      <c r="E138" t="s">
        <v>29</v>
      </c>
      <c r="F138" s="251" t="s">
        <v>14</v>
      </c>
      <c r="G138" t="s">
        <v>30</v>
      </c>
      <c r="H138">
        <v>1</v>
      </c>
      <c r="I138" s="465">
        <f>B138</f>
        <v>6.9000000000000006E-2</v>
      </c>
      <c r="J138" t="s">
        <v>31</v>
      </c>
      <c r="K138" t="s">
        <v>31</v>
      </c>
      <c r="L138" t="s">
        <v>31</v>
      </c>
      <c r="M138" t="s">
        <v>31</v>
      </c>
      <c r="O138" s="327"/>
      <c r="P138" s="358">
        <f>P139</f>
        <v>6.9000000000000006E-2</v>
      </c>
      <c r="Q138" s="336"/>
    </row>
    <row r="139" spans="1:18" ht="15.75">
      <c r="A139" s="30" t="s">
        <v>1162</v>
      </c>
      <c r="B139" s="434">
        <f>P139</f>
        <v>6.9000000000000006E-2</v>
      </c>
      <c r="C139" t="s">
        <v>206</v>
      </c>
      <c r="D139" s="326" t="s">
        <v>2</v>
      </c>
      <c r="E139" t="s">
        <v>29</v>
      </c>
      <c r="F139" s="251" t="s">
        <v>14</v>
      </c>
      <c r="G139" t="s">
        <v>33</v>
      </c>
      <c r="H139">
        <v>1</v>
      </c>
      <c r="I139" s="465">
        <f>B139</f>
        <v>6.9000000000000006E-2</v>
      </c>
      <c r="J139" t="s">
        <v>31</v>
      </c>
      <c r="K139" t="s">
        <v>31</v>
      </c>
      <c r="L139" t="s">
        <v>31</v>
      </c>
      <c r="M139" t="s">
        <v>31</v>
      </c>
      <c r="P139" s="358">
        <f>P152</f>
        <v>6.9000000000000006E-2</v>
      </c>
    </row>
    <row r="140" spans="1:18">
      <c r="A140" s="232" t="s">
        <v>1077</v>
      </c>
      <c r="B140">
        <f>R140</f>
        <v>6.2000000000000006E-3</v>
      </c>
      <c r="C140" t="s">
        <v>37</v>
      </c>
      <c r="D140" t="s">
        <v>38</v>
      </c>
      <c r="E140" t="s">
        <v>29</v>
      </c>
      <c r="F140" t="s">
        <v>35</v>
      </c>
      <c r="G140" t="s">
        <v>33</v>
      </c>
      <c r="H140">
        <v>2</v>
      </c>
      <c r="I140">
        <f>LN(B140)</f>
        <v>-5.083205986931091</v>
      </c>
      <c r="J140">
        <v>0.20928449536456342</v>
      </c>
      <c r="K140" t="s">
        <v>31</v>
      </c>
      <c r="L140" t="s">
        <v>31</v>
      </c>
      <c r="M140" t="s">
        <v>31</v>
      </c>
      <c r="O140" s="331" t="s">
        <v>947</v>
      </c>
      <c r="P140" s="296">
        <v>6.2</v>
      </c>
      <c r="Q140" t="s">
        <v>337</v>
      </c>
      <c r="R140">
        <f>0.001*P140</f>
        <v>6.2000000000000006E-3</v>
      </c>
    </row>
    <row r="141" spans="1:18">
      <c r="A141" s="232" t="s">
        <v>1078</v>
      </c>
      <c r="B141">
        <f>R141</f>
        <v>6.2000000000000006E-3</v>
      </c>
      <c r="C141" t="s">
        <v>37</v>
      </c>
      <c r="D141" t="s">
        <v>38</v>
      </c>
      <c r="E141" t="s">
        <v>29</v>
      </c>
      <c r="F141" t="s">
        <v>35</v>
      </c>
      <c r="G141" t="s">
        <v>33</v>
      </c>
      <c r="H141">
        <v>2</v>
      </c>
      <c r="I141">
        <f>LN(B141)</f>
        <v>-5.083205986931091</v>
      </c>
      <c r="J141">
        <v>0.20928449536456342</v>
      </c>
      <c r="K141" t="s">
        <v>31</v>
      </c>
      <c r="L141" t="s">
        <v>31</v>
      </c>
      <c r="M141" t="s">
        <v>31</v>
      </c>
      <c r="O141" s="331" t="s">
        <v>947</v>
      </c>
      <c r="P141" s="296">
        <v>6.2</v>
      </c>
      <c r="Q141" t="s">
        <v>337</v>
      </c>
      <c r="R141">
        <f>0.001*P141</f>
        <v>6.2000000000000006E-3</v>
      </c>
    </row>
    <row r="142" spans="1:18" s="42" customFormat="1" ht="15.75">
      <c r="A142" s="245" t="s">
        <v>5</v>
      </c>
      <c r="B142" s="468" t="s">
        <v>1162</v>
      </c>
      <c r="C142" s="120"/>
    </row>
    <row r="143" spans="1:18">
      <c r="A143" s="247" t="s">
        <v>7</v>
      </c>
      <c r="B143" t="s">
        <v>902</v>
      </c>
      <c r="C143" s="23"/>
    </row>
    <row r="144" spans="1:18">
      <c r="A144" s="433" t="s">
        <v>9</v>
      </c>
      <c r="B144" t="s">
        <v>1163</v>
      </c>
      <c r="C144" s="23"/>
    </row>
    <row r="145" spans="1:18" ht="15.75" customHeight="1">
      <c r="A145" s="247" t="s">
        <v>11</v>
      </c>
      <c r="B145" s="249" t="s">
        <v>913</v>
      </c>
    </row>
    <row r="146" spans="1:18">
      <c r="A146" s="247" t="s">
        <v>13</v>
      </c>
      <c r="B146" t="s">
        <v>14</v>
      </c>
    </row>
    <row r="147" spans="1:18">
      <c r="A147" s="247" t="s">
        <v>15</v>
      </c>
      <c r="B147" s="434">
        <f>B152</f>
        <v>6.9000000000000006E-2</v>
      </c>
    </row>
    <row r="148" spans="1:18">
      <c r="A148" s="247" t="s">
        <v>16</v>
      </c>
      <c r="B148" t="s">
        <v>17</v>
      </c>
    </row>
    <row r="149" spans="1:18">
      <c r="A149" s="247" t="s">
        <v>18</v>
      </c>
      <c r="B149" t="s">
        <v>206</v>
      </c>
    </row>
    <row r="150" spans="1:18" ht="15.75">
      <c r="A150" s="252" t="s">
        <v>19</v>
      </c>
    </row>
    <row r="151" spans="1:18" ht="15.75">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75">
      <c r="A152" s="30" t="s">
        <v>1162</v>
      </c>
      <c r="B152" s="469">
        <f>P152</f>
        <v>6.9000000000000006E-2</v>
      </c>
      <c r="C152" t="s">
        <v>206</v>
      </c>
      <c r="D152" s="326" t="s">
        <v>2</v>
      </c>
      <c r="E152" t="s">
        <v>29</v>
      </c>
      <c r="F152" s="251" t="s">
        <v>14</v>
      </c>
      <c r="G152" t="s">
        <v>30</v>
      </c>
      <c r="H152">
        <v>1</v>
      </c>
      <c r="I152" s="465">
        <f>B152</f>
        <v>6.9000000000000006E-2</v>
      </c>
      <c r="J152" t="s">
        <v>31</v>
      </c>
      <c r="K152" t="s">
        <v>31</v>
      </c>
      <c r="L152" t="s">
        <v>31</v>
      </c>
      <c r="M152" t="s">
        <v>31</v>
      </c>
      <c r="O152" s="470" t="s">
        <v>945</v>
      </c>
      <c r="P152" s="358">
        <f>P167</f>
        <v>6.9000000000000006E-2</v>
      </c>
    </row>
    <row r="153" spans="1:18" ht="15.75">
      <c r="A153" t="s">
        <v>1164</v>
      </c>
      <c r="B153" s="469">
        <f t="shared" ref="B153:B156" si="9">P153</f>
        <v>2.1000000000000001E-2</v>
      </c>
      <c r="C153" t="s">
        <v>206</v>
      </c>
      <c r="D153" s="326" t="s">
        <v>2</v>
      </c>
      <c r="E153" t="s">
        <v>29</v>
      </c>
      <c r="F153" s="251" t="s">
        <v>14</v>
      </c>
      <c r="G153" t="s">
        <v>33</v>
      </c>
      <c r="H153">
        <v>1</v>
      </c>
      <c r="I153" s="465">
        <f t="shared" ref="I153:I154" si="10">B153</f>
        <v>2.1000000000000001E-2</v>
      </c>
      <c r="J153" t="s">
        <v>31</v>
      </c>
      <c r="K153" t="s">
        <v>31</v>
      </c>
      <c r="L153" t="s">
        <v>31</v>
      </c>
      <c r="M153" t="s">
        <v>31</v>
      </c>
      <c r="O153" s="470" t="s">
        <v>963</v>
      </c>
      <c r="P153" s="372">
        <v>2.1000000000000001E-2</v>
      </c>
    </row>
    <row r="154" spans="1:18" ht="15.75">
      <c r="A154" t="s">
        <v>1165</v>
      </c>
      <c r="B154" s="469">
        <f t="shared" si="9"/>
        <v>6.9000000000000006E-2</v>
      </c>
      <c r="C154" t="s">
        <v>206</v>
      </c>
      <c r="D154" s="326" t="s">
        <v>2</v>
      </c>
      <c r="E154" t="s">
        <v>29</v>
      </c>
      <c r="F154" s="251" t="s">
        <v>14</v>
      </c>
      <c r="G154" t="s">
        <v>33</v>
      </c>
      <c r="H154">
        <v>1</v>
      </c>
      <c r="I154" s="465">
        <f t="shared" si="10"/>
        <v>6.9000000000000006E-2</v>
      </c>
      <c r="J154" t="s">
        <v>31</v>
      </c>
      <c r="K154" t="s">
        <v>31</v>
      </c>
      <c r="L154" t="s">
        <v>31</v>
      </c>
      <c r="M154" t="s">
        <v>31</v>
      </c>
      <c r="O154" s="450" t="s">
        <v>963</v>
      </c>
      <c r="P154" s="358">
        <f>P168</f>
        <v>6.9000000000000006E-2</v>
      </c>
    </row>
    <row r="155" spans="1:18" ht="15.75">
      <c r="A155" s="253" t="s">
        <v>40</v>
      </c>
      <c r="B155" s="469">
        <f t="shared" si="9"/>
        <v>1.66</v>
      </c>
      <c r="C155" t="s">
        <v>41</v>
      </c>
      <c r="D155" s="17" t="s">
        <v>38</v>
      </c>
      <c r="E155" t="s">
        <v>29</v>
      </c>
      <c r="F155" s="251" t="s">
        <v>35</v>
      </c>
      <c r="G155" t="s">
        <v>33</v>
      </c>
      <c r="H155">
        <v>2</v>
      </c>
      <c r="I155">
        <f t="shared" ref="I155:I156" si="11">LN(B155)</f>
        <v>0.50681760236845186</v>
      </c>
      <c r="J155">
        <v>9.7082439194738052E-2</v>
      </c>
      <c r="K155" t="s">
        <v>31</v>
      </c>
      <c r="L155" t="s">
        <v>31</v>
      </c>
      <c r="M155" t="s">
        <v>31</v>
      </c>
      <c r="O155" s="331" t="s">
        <v>332</v>
      </c>
      <c r="P155" s="296">
        <v>1.66</v>
      </c>
      <c r="Q155" t="s">
        <v>332</v>
      </c>
      <c r="R155" s="336">
        <f>P155</f>
        <v>1.66</v>
      </c>
    </row>
    <row r="156" spans="1:18" ht="15.75">
      <c r="A156" s="253" t="s">
        <v>934</v>
      </c>
      <c r="B156" s="469">
        <f t="shared" si="9"/>
        <v>4.4000000000000004</v>
      </c>
      <c r="C156" t="s">
        <v>37</v>
      </c>
      <c r="D156" s="17" t="s">
        <v>38</v>
      </c>
      <c r="E156" t="s">
        <v>29</v>
      </c>
      <c r="F156" s="251" t="s">
        <v>35</v>
      </c>
      <c r="G156" t="s">
        <v>33</v>
      </c>
      <c r="H156">
        <v>2</v>
      </c>
      <c r="I156">
        <f t="shared" si="11"/>
        <v>1.4816045409242156</v>
      </c>
      <c r="J156">
        <v>9.7082439194738052E-2</v>
      </c>
      <c r="K156" t="s">
        <v>31</v>
      </c>
      <c r="L156" t="s">
        <v>31</v>
      </c>
      <c r="M156" t="s">
        <v>31</v>
      </c>
      <c r="O156" s="331" t="s">
        <v>337</v>
      </c>
      <c r="P156" s="296">
        <v>4.4000000000000004</v>
      </c>
    </row>
    <row r="157" spans="1:18" s="42" customFormat="1" ht="15.75">
      <c r="A157" s="245" t="s">
        <v>5</v>
      </c>
      <c r="B157" s="337" t="s">
        <v>1165</v>
      </c>
      <c r="C157" s="120"/>
    </row>
    <row r="158" spans="1:18">
      <c r="A158" s="247" t="s">
        <v>7</v>
      </c>
      <c r="B158" t="s">
        <v>902</v>
      </c>
      <c r="C158" s="23"/>
    </row>
    <row r="159" spans="1:18">
      <c r="A159" s="433" t="s">
        <v>9</v>
      </c>
      <c r="B159" t="s">
        <v>1166</v>
      </c>
      <c r="C159" s="23"/>
    </row>
    <row r="160" spans="1:18" ht="15.75" customHeight="1">
      <c r="A160" s="247" t="s">
        <v>11</v>
      </c>
      <c r="B160" s="249" t="s">
        <v>913</v>
      </c>
    </row>
    <row r="161" spans="1:18">
      <c r="A161" s="247" t="s">
        <v>13</v>
      </c>
      <c r="B161" t="s">
        <v>14</v>
      </c>
    </row>
    <row r="162" spans="1:18">
      <c r="A162" s="247" t="s">
        <v>15</v>
      </c>
      <c r="B162" s="469">
        <f>B167</f>
        <v>6.9000000000000006E-2</v>
      </c>
    </row>
    <row r="163" spans="1:18">
      <c r="A163" s="247" t="s">
        <v>16</v>
      </c>
      <c r="B163" t="s">
        <v>17</v>
      </c>
    </row>
    <row r="164" spans="1:18">
      <c r="A164" s="247" t="s">
        <v>18</v>
      </c>
      <c r="B164" t="s">
        <v>206</v>
      </c>
    </row>
    <row r="165" spans="1:18" ht="15.75">
      <c r="A165" s="252" t="s">
        <v>19</v>
      </c>
    </row>
    <row r="166" spans="1:18" ht="15.75">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75">
      <c r="A167" t="s">
        <v>1165</v>
      </c>
      <c r="B167" s="283">
        <f>P167</f>
        <v>6.9000000000000006E-2</v>
      </c>
      <c r="C167" t="s">
        <v>206</v>
      </c>
      <c r="D167" s="326" t="s">
        <v>2</v>
      </c>
      <c r="E167" t="s">
        <v>29</v>
      </c>
      <c r="F167" s="251" t="s">
        <v>14</v>
      </c>
      <c r="G167" t="s">
        <v>30</v>
      </c>
      <c r="H167">
        <v>1</v>
      </c>
      <c r="I167" s="283">
        <f>B167</f>
        <v>6.9000000000000006E-2</v>
      </c>
      <c r="J167" t="s">
        <v>31</v>
      </c>
      <c r="K167" t="s">
        <v>31</v>
      </c>
      <c r="L167" t="s">
        <v>31</v>
      </c>
      <c r="M167" t="s">
        <v>31</v>
      </c>
      <c r="P167" s="471">
        <f>P185</f>
        <v>6.9000000000000006E-2</v>
      </c>
    </row>
    <row r="168" spans="1:18" ht="15.75">
      <c r="A168" s="30" t="s">
        <v>1167</v>
      </c>
      <c r="B168" s="283">
        <f>P168</f>
        <v>6.9000000000000006E-2</v>
      </c>
      <c r="C168" t="s">
        <v>206</v>
      </c>
      <c r="D168" s="326" t="s">
        <v>2</v>
      </c>
      <c r="E168" t="s">
        <v>29</v>
      </c>
      <c r="F168" s="251" t="s">
        <v>14</v>
      </c>
      <c r="G168" t="s">
        <v>33</v>
      </c>
      <c r="H168">
        <v>1</v>
      </c>
      <c r="I168" s="283">
        <f>B168</f>
        <v>6.9000000000000006E-2</v>
      </c>
      <c r="J168" t="s">
        <v>31</v>
      </c>
      <c r="K168" t="s">
        <v>31</v>
      </c>
      <c r="L168" t="s">
        <v>31</v>
      </c>
      <c r="M168" t="s">
        <v>31</v>
      </c>
      <c r="P168" s="471">
        <f>P185</f>
        <v>6.9000000000000006E-2</v>
      </c>
    </row>
    <row r="169" spans="1:18" ht="15.75">
      <c r="A169" s="253" t="s">
        <v>40</v>
      </c>
      <c r="B169" s="336">
        <f>R169</f>
        <v>0.19</v>
      </c>
      <c r="C169" t="s">
        <v>41</v>
      </c>
      <c r="D169" s="17" t="s">
        <v>38</v>
      </c>
      <c r="E169" t="s">
        <v>29</v>
      </c>
      <c r="F169" s="251" t="s">
        <v>35</v>
      </c>
      <c r="G169" t="s">
        <v>33</v>
      </c>
      <c r="H169">
        <v>2</v>
      </c>
      <c r="I169">
        <f t="shared" ref="I169:I173" si="12">LN(B169)</f>
        <v>-1.6607312068216509</v>
      </c>
      <c r="J169">
        <v>0.20928449536456342</v>
      </c>
      <c r="K169" t="s">
        <v>31</v>
      </c>
      <c r="L169" t="s">
        <v>31</v>
      </c>
      <c r="M169" t="s">
        <v>31</v>
      </c>
      <c r="O169" s="437" t="s">
        <v>332</v>
      </c>
      <c r="P169" s="296">
        <v>0.19</v>
      </c>
      <c r="Q169" t="s">
        <v>332</v>
      </c>
      <c r="R169" s="336">
        <f>P169</f>
        <v>0.19</v>
      </c>
    </row>
    <row r="170" spans="1:18" ht="15.75">
      <c r="A170" s="232" t="s">
        <v>931</v>
      </c>
      <c r="B170">
        <f>R170</f>
        <v>5.9000000000000007E-3</v>
      </c>
      <c r="C170" t="s">
        <v>37</v>
      </c>
      <c r="D170" s="17" t="s">
        <v>38</v>
      </c>
      <c r="E170" t="s">
        <v>29</v>
      </c>
      <c r="F170" s="251" t="s">
        <v>35</v>
      </c>
      <c r="G170" t="s">
        <v>33</v>
      </c>
      <c r="H170">
        <v>2</v>
      </c>
      <c r="I170">
        <f t="shared" si="12"/>
        <v>-5.132802928070463</v>
      </c>
      <c r="J170">
        <v>0.20928449536456342</v>
      </c>
      <c r="K170" t="s">
        <v>31</v>
      </c>
      <c r="L170" t="s">
        <v>31</v>
      </c>
      <c r="M170" t="s">
        <v>31</v>
      </c>
      <c r="O170" s="331" t="s">
        <v>947</v>
      </c>
      <c r="P170" s="296">
        <v>5.9</v>
      </c>
      <c r="Q170" t="s">
        <v>337</v>
      </c>
      <c r="R170">
        <f>0.001*P170</f>
        <v>5.9000000000000007E-3</v>
      </c>
    </row>
    <row r="171" spans="1:18" ht="15.75">
      <c r="A171" s="232" t="s">
        <v>932</v>
      </c>
      <c r="B171">
        <f>R171</f>
        <v>9.0000000000000008E-4</v>
      </c>
      <c r="C171" t="s">
        <v>37</v>
      </c>
      <c r="D171" s="17" t="s">
        <v>38</v>
      </c>
      <c r="E171" t="s">
        <v>29</v>
      </c>
      <c r="F171" s="251" t="s">
        <v>60</v>
      </c>
      <c r="G171" t="s">
        <v>33</v>
      </c>
      <c r="H171">
        <v>2</v>
      </c>
      <c r="I171">
        <f t="shared" si="12"/>
        <v>-7.0131157946399636</v>
      </c>
      <c r="J171">
        <v>0.20928449536456342</v>
      </c>
      <c r="K171" t="s">
        <v>31</v>
      </c>
      <c r="L171" t="s">
        <v>31</v>
      </c>
      <c r="M171" t="s">
        <v>31</v>
      </c>
      <c r="O171" s="331" t="s">
        <v>947</v>
      </c>
      <c r="P171" s="296">
        <v>0.9</v>
      </c>
      <c r="Q171" t="s">
        <v>337</v>
      </c>
      <c r="R171">
        <f t="shared" ref="R171:R173" si="13">0.001*P171</f>
        <v>9.0000000000000008E-4</v>
      </c>
    </row>
    <row r="172" spans="1:18" ht="15.75">
      <c r="A172" s="253" t="s">
        <v>933</v>
      </c>
      <c r="B172">
        <f>R172</f>
        <v>2.9000000000000001E-2</v>
      </c>
      <c r="C172" t="s">
        <v>37</v>
      </c>
      <c r="D172" s="17" t="s">
        <v>38</v>
      </c>
      <c r="E172" t="s">
        <v>29</v>
      </c>
      <c r="F172" s="251" t="s">
        <v>39</v>
      </c>
      <c r="G172" t="s">
        <v>33</v>
      </c>
      <c r="H172">
        <v>2</v>
      </c>
      <c r="I172">
        <f t="shared" si="12"/>
        <v>-3.5404594489956631</v>
      </c>
      <c r="J172">
        <v>0.20928449536456342</v>
      </c>
      <c r="K172" t="s">
        <v>31</v>
      </c>
      <c r="L172" t="s">
        <v>31</v>
      </c>
      <c r="M172" t="s">
        <v>31</v>
      </c>
      <c r="O172" s="331" t="s">
        <v>947</v>
      </c>
      <c r="P172" s="296">
        <v>29</v>
      </c>
      <c r="Q172" t="s">
        <v>337</v>
      </c>
      <c r="R172">
        <f t="shared" si="13"/>
        <v>2.9000000000000001E-2</v>
      </c>
    </row>
    <row r="173" spans="1:18" ht="15.75">
      <c r="A173" s="17" t="s">
        <v>903</v>
      </c>
      <c r="B173">
        <f>R173</f>
        <v>6.7999999999999996E-3</v>
      </c>
      <c r="C173" t="s">
        <v>37</v>
      </c>
      <c r="D173" s="326" t="s">
        <v>2</v>
      </c>
      <c r="E173" t="s">
        <v>29</v>
      </c>
      <c r="F173" s="251" t="s">
        <v>39</v>
      </c>
      <c r="G173" t="s">
        <v>33</v>
      </c>
      <c r="H173">
        <v>2</v>
      </c>
      <c r="I173">
        <f t="shared" si="12"/>
        <v>-4.9908326668000758</v>
      </c>
      <c r="J173">
        <v>0.20928449536456342</v>
      </c>
      <c r="K173" t="s">
        <v>31</v>
      </c>
      <c r="L173" t="s">
        <v>31</v>
      </c>
      <c r="M173" t="s">
        <v>31</v>
      </c>
      <c r="O173" s="472" t="s">
        <v>947</v>
      </c>
      <c r="P173" s="306">
        <v>6.8</v>
      </c>
      <c r="Q173" t="s">
        <v>337</v>
      </c>
      <c r="R173">
        <f t="shared" si="13"/>
        <v>6.7999999999999996E-3</v>
      </c>
    </row>
    <row r="174" spans="1:18" s="42" customFormat="1" ht="15.75">
      <c r="A174" s="245" t="s">
        <v>5</v>
      </c>
      <c r="B174" s="337" t="s">
        <v>1167</v>
      </c>
      <c r="C174" s="120"/>
    </row>
    <row r="175" spans="1:18">
      <c r="A175" s="247" t="s">
        <v>7</v>
      </c>
      <c r="B175" t="s">
        <v>902</v>
      </c>
      <c r="C175" s="23"/>
    </row>
    <row r="176" spans="1:18">
      <c r="A176" s="433" t="s">
        <v>9</v>
      </c>
      <c r="B176" t="s">
        <v>1168</v>
      </c>
      <c r="C176" s="23"/>
    </row>
    <row r="177" spans="1:18" ht="15.75" customHeight="1">
      <c r="A177" s="247" t="s">
        <v>11</v>
      </c>
      <c r="B177" s="249" t="s">
        <v>913</v>
      </c>
    </row>
    <row r="178" spans="1:18">
      <c r="A178" s="247" t="s">
        <v>13</v>
      </c>
      <c r="B178" t="s">
        <v>14</v>
      </c>
    </row>
    <row r="179" spans="1:18">
      <c r="A179" s="247" t="s">
        <v>15</v>
      </c>
      <c r="B179" s="434">
        <f>B184</f>
        <v>6.9000000000000006E-2</v>
      </c>
    </row>
    <row r="180" spans="1:18">
      <c r="A180" s="247" t="s">
        <v>16</v>
      </c>
      <c r="B180" t="s">
        <v>17</v>
      </c>
    </row>
    <row r="181" spans="1:18">
      <c r="A181" s="247" t="s">
        <v>18</v>
      </c>
      <c r="B181" t="s">
        <v>206</v>
      </c>
    </row>
    <row r="182" spans="1:18" ht="15.75">
      <c r="A182" s="252" t="s">
        <v>19</v>
      </c>
    </row>
    <row r="183" spans="1:18" ht="15.75">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75">
      <c r="A184" s="30" t="s">
        <v>1167</v>
      </c>
      <c r="B184" s="473">
        <f>P185</f>
        <v>6.9000000000000006E-2</v>
      </c>
      <c r="C184" t="s">
        <v>206</v>
      </c>
      <c r="D184" s="326" t="s">
        <v>2</v>
      </c>
      <c r="E184" t="s">
        <v>29</v>
      </c>
      <c r="F184" s="251" t="s">
        <v>14</v>
      </c>
      <c r="G184" t="s">
        <v>30</v>
      </c>
      <c r="H184">
        <v>1</v>
      </c>
      <c r="I184" s="283">
        <f>B184</f>
        <v>6.9000000000000006E-2</v>
      </c>
      <c r="J184" t="s">
        <v>31</v>
      </c>
      <c r="K184" t="s">
        <v>31</v>
      </c>
      <c r="L184" t="s">
        <v>31</v>
      </c>
      <c r="M184" t="s">
        <v>31</v>
      </c>
    </row>
    <row r="185" spans="1:18" ht="15.75">
      <c r="A185" t="s">
        <v>1169</v>
      </c>
      <c r="B185" s="473">
        <f>P185</f>
        <v>6.9000000000000006E-2</v>
      </c>
      <c r="C185" t="s">
        <v>206</v>
      </c>
      <c r="D185" s="326" t="s">
        <v>2</v>
      </c>
      <c r="E185" t="s">
        <v>29</v>
      </c>
      <c r="F185" s="251" t="s">
        <v>14</v>
      </c>
      <c r="G185" t="s">
        <v>33</v>
      </c>
      <c r="H185">
        <v>1</v>
      </c>
      <c r="I185" s="283">
        <f>B185</f>
        <v>6.9000000000000006E-2</v>
      </c>
      <c r="J185" t="s">
        <v>31</v>
      </c>
      <c r="K185" t="s">
        <v>31</v>
      </c>
      <c r="L185" t="s">
        <v>31</v>
      </c>
      <c r="M185" t="s">
        <v>31</v>
      </c>
      <c r="P185" s="358">
        <v>6.9000000000000006E-2</v>
      </c>
    </row>
    <row r="186" spans="1:18" ht="15.75">
      <c r="A186" s="253" t="s">
        <v>40</v>
      </c>
      <c r="B186" s="336">
        <f>P186</f>
        <v>4.08</v>
      </c>
      <c r="C186" t="s">
        <v>41</v>
      </c>
      <c r="D186" s="17" t="s">
        <v>38</v>
      </c>
      <c r="E186" t="s">
        <v>29</v>
      </c>
      <c r="F186" s="251" t="s">
        <v>35</v>
      </c>
      <c r="G186" t="s">
        <v>33</v>
      </c>
      <c r="H186">
        <v>2</v>
      </c>
      <c r="I186">
        <f t="shared" ref="I186:I187" si="14">LN(B186)</f>
        <v>1.4060969884160703</v>
      </c>
      <c r="J186">
        <v>0.20928449536456342</v>
      </c>
      <c r="K186" t="s">
        <v>31</v>
      </c>
      <c r="L186" t="s">
        <v>31</v>
      </c>
      <c r="M186" t="s">
        <v>31</v>
      </c>
      <c r="O186" s="331" t="s">
        <v>332</v>
      </c>
      <c r="P186" s="296">
        <f>2.81+1.27</f>
        <v>4.08</v>
      </c>
    </row>
    <row r="187" spans="1:18" ht="15.75">
      <c r="A187" s="253" t="s">
        <v>933</v>
      </c>
      <c r="B187">
        <f>R187</f>
        <v>8.0999999999999996E-3</v>
      </c>
      <c r="C187" t="s">
        <v>37</v>
      </c>
      <c r="D187" s="17" t="s">
        <v>38</v>
      </c>
      <c r="E187" t="s">
        <v>29</v>
      </c>
      <c r="F187" s="251" t="s">
        <v>39</v>
      </c>
      <c r="G187" t="s">
        <v>33</v>
      </c>
      <c r="H187">
        <v>2</v>
      </c>
      <c r="I187">
        <f t="shared" si="14"/>
        <v>-4.8158912173037436</v>
      </c>
      <c r="J187">
        <v>0.20928449536456342</v>
      </c>
      <c r="K187" t="s">
        <v>31</v>
      </c>
      <c r="L187" t="s">
        <v>31</v>
      </c>
      <c r="M187" t="s">
        <v>31</v>
      </c>
      <c r="O187" s="331" t="s">
        <v>947</v>
      </c>
      <c r="P187" s="296">
        <v>8.1</v>
      </c>
      <c r="Q187" t="s">
        <v>337</v>
      </c>
      <c r="R187">
        <f>P187*0.001</f>
        <v>8.0999999999999996E-3</v>
      </c>
    </row>
    <row r="188" spans="1:18">
      <c r="A188" s="232" t="s">
        <v>1078</v>
      </c>
      <c r="B188">
        <f>R188</f>
        <v>0.01</v>
      </c>
      <c r="C188" t="s">
        <v>37</v>
      </c>
      <c r="D188" t="s">
        <v>38</v>
      </c>
      <c r="E188" t="s">
        <v>29</v>
      </c>
      <c r="F188" t="s">
        <v>35</v>
      </c>
      <c r="G188" t="s">
        <v>33</v>
      </c>
      <c r="H188">
        <v>2</v>
      </c>
      <c r="I188">
        <f>LN(B188)</f>
        <v>-4.6051701859880909</v>
      </c>
      <c r="J188">
        <v>0.20928449536456342</v>
      </c>
      <c r="K188" t="s">
        <v>31</v>
      </c>
      <c r="L188" t="s">
        <v>31</v>
      </c>
      <c r="M188" t="s">
        <v>31</v>
      </c>
      <c r="O188" s="331" t="s">
        <v>947</v>
      </c>
      <c r="P188" s="296">
        <v>10</v>
      </c>
      <c r="Q188" t="s">
        <v>337</v>
      </c>
      <c r="R188">
        <f>P188*0.001</f>
        <v>0.01</v>
      </c>
    </row>
    <row r="189" spans="1:18" ht="15.75">
      <c r="A189" s="17" t="s">
        <v>903</v>
      </c>
      <c r="B189">
        <f>R189</f>
        <v>0.01</v>
      </c>
      <c r="C189" t="s">
        <v>37</v>
      </c>
      <c r="D189" s="326" t="s">
        <v>2</v>
      </c>
      <c r="E189" t="s">
        <v>29</v>
      </c>
      <c r="F189" s="251" t="s">
        <v>39</v>
      </c>
      <c r="G189" t="s">
        <v>33</v>
      </c>
      <c r="H189">
        <v>2</v>
      </c>
      <c r="I189">
        <f t="shared" ref="I189" si="15">LN(B189)</f>
        <v>-4.6051701859880909</v>
      </c>
      <c r="J189">
        <v>0.20928449536456342</v>
      </c>
      <c r="K189" t="s">
        <v>31</v>
      </c>
      <c r="L189" t="s">
        <v>31</v>
      </c>
      <c r="M189" t="s">
        <v>31</v>
      </c>
      <c r="O189" s="472" t="s">
        <v>947</v>
      </c>
      <c r="P189" s="306">
        <v>10</v>
      </c>
      <c r="Q189" t="s">
        <v>337</v>
      </c>
      <c r="R189">
        <f t="shared" ref="R189" si="16">0.001*P189</f>
        <v>0.01</v>
      </c>
    </row>
    <row r="190" spans="1:18" s="42" customFormat="1" ht="15.75">
      <c r="A190" s="245" t="s">
        <v>5</v>
      </c>
      <c r="B190" s="337" t="s">
        <v>1169</v>
      </c>
      <c r="C190" s="120"/>
    </row>
    <row r="191" spans="1:18">
      <c r="A191" s="247" t="s">
        <v>7</v>
      </c>
      <c r="B191" t="s">
        <v>902</v>
      </c>
      <c r="C191" s="23"/>
    </row>
    <row r="192" spans="1:18">
      <c r="A192" s="433" t="s">
        <v>9</v>
      </c>
      <c r="B192" t="s">
        <v>1170</v>
      </c>
      <c r="C192" s="23"/>
    </row>
    <row r="193" spans="1:21" ht="15.75" customHeight="1">
      <c r="A193" s="247" t="s">
        <v>11</v>
      </c>
      <c r="B193" s="249" t="s">
        <v>913</v>
      </c>
    </row>
    <row r="194" spans="1:21">
      <c r="A194" s="247" t="s">
        <v>13</v>
      </c>
      <c r="B194" t="s">
        <v>14</v>
      </c>
      <c r="R194" s="28" t="s">
        <v>1023</v>
      </c>
    </row>
    <row r="195" spans="1:21">
      <c r="A195" s="247" t="s">
        <v>15</v>
      </c>
      <c r="B195" s="434">
        <f>B200</f>
        <v>0.73</v>
      </c>
      <c r="R195" t="s">
        <v>1024</v>
      </c>
      <c r="S195">
        <v>8900</v>
      </c>
      <c r="T195" t="s">
        <v>1025</v>
      </c>
    </row>
    <row r="196" spans="1:21">
      <c r="A196" s="247" t="s">
        <v>16</v>
      </c>
      <c r="B196" t="s">
        <v>17</v>
      </c>
      <c r="R196" t="s">
        <v>1026</v>
      </c>
      <c r="S196">
        <f>5*10^-6</f>
        <v>4.9999999999999996E-6</v>
      </c>
      <c r="T196" t="s">
        <v>1027</v>
      </c>
    </row>
    <row r="197" spans="1:21">
      <c r="A197" s="247" t="s">
        <v>18</v>
      </c>
      <c r="B197" t="s">
        <v>206</v>
      </c>
      <c r="R197" s="454" t="s">
        <v>1029</v>
      </c>
      <c r="S197" s="90">
        <f>S196*S195</f>
        <v>4.4499999999999998E-2</v>
      </c>
      <c r="T197" s="455" t="s">
        <v>985</v>
      </c>
    </row>
    <row r="198" spans="1:21" ht="15.75">
      <c r="A198" s="252" t="s">
        <v>19</v>
      </c>
    </row>
    <row r="199" spans="1:21" ht="15.75">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1032</v>
      </c>
      <c r="U199" s="328"/>
    </row>
    <row r="200" spans="1:21" ht="15.75">
      <c r="A200" t="s">
        <v>1169</v>
      </c>
      <c r="B200" s="371">
        <v>0.73</v>
      </c>
      <c r="C200" t="s">
        <v>206</v>
      </c>
      <c r="D200" s="326" t="s">
        <v>2</v>
      </c>
      <c r="E200" t="s">
        <v>29</v>
      </c>
      <c r="F200" t="s">
        <v>14</v>
      </c>
      <c r="G200" t="s">
        <v>30</v>
      </c>
      <c r="H200">
        <v>1</v>
      </c>
      <c r="I200">
        <f>B200</f>
        <v>0.73</v>
      </c>
      <c r="J200" t="s">
        <v>31</v>
      </c>
      <c r="K200" t="s">
        <v>31</v>
      </c>
      <c r="L200" t="s">
        <v>31</v>
      </c>
      <c r="M200" t="s">
        <v>31</v>
      </c>
      <c r="O200" s="475" t="s">
        <v>1031</v>
      </c>
      <c r="P200" s="453">
        <f>B200*100</f>
        <v>73</v>
      </c>
      <c r="R200" s="456">
        <v>0.76</v>
      </c>
      <c r="S200" s="457" t="s">
        <v>945</v>
      </c>
      <c r="T200" s="456">
        <f>R200*S197</f>
        <v>3.3819999999999996E-2</v>
      </c>
      <c r="U200" s="457" t="s">
        <v>337</v>
      </c>
    </row>
    <row r="201" spans="1:21" ht="15.75">
      <c r="A201" t="s">
        <v>1171</v>
      </c>
      <c r="B201" s="371">
        <v>0.73</v>
      </c>
      <c r="C201" t="s">
        <v>206</v>
      </c>
      <c r="D201" s="326" t="s">
        <v>2</v>
      </c>
      <c r="E201" t="s">
        <v>29</v>
      </c>
      <c r="F201" t="s">
        <v>14</v>
      </c>
      <c r="G201" t="s">
        <v>33</v>
      </c>
      <c r="H201">
        <v>1</v>
      </c>
      <c r="I201">
        <f t="shared" ref="I201:I202" si="17">B201</f>
        <v>0.73</v>
      </c>
      <c r="J201">
        <v>7.2284161474004766E-2</v>
      </c>
      <c r="K201" t="s">
        <v>31</v>
      </c>
      <c r="L201" t="s">
        <v>31</v>
      </c>
      <c r="M201" t="s">
        <v>31</v>
      </c>
      <c r="O201" s="331" t="s">
        <v>1031</v>
      </c>
      <c r="P201" s="296">
        <f>B201*100</f>
        <v>73</v>
      </c>
    </row>
    <row r="202" spans="1:21" ht="15.75">
      <c r="A202" s="30" t="s">
        <v>1130</v>
      </c>
      <c r="B202" s="250">
        <f>T200</f>
        <v>3.3819999999999996E-2</v>
      </c>
      <c r="C202" t="s">
        <v>37</v>
      </c>
      <c r="D202" s="326" t="s">
        <v>2</v>
      </c>
      <c r="E202" t="s">
        <v>29</v>
      </c>
      <c r="F202" s="251" t="s">
        <v>14</v>
      </c>
      <c r="G202" t="s">
        <v>33</v>
      </c>
      <c r="H202">
        <v>1</v>
      </c>
      <c r="I202">
        <f t="shared" si="17"/>
        <v>3.3819999999999996E-2</v>
      </c>
      <c r="J202">
        <v>7.2284161474004766E-2</v>
      </c>
      <c r="K202" t="s">
        <v>31</v>
      </c>
      <c r="L202" t="s">
        <v>31</v>
      </c>
      <c r="M202" t="s">
        <v>31</v>
      </c>
      <c r="O202" s="30"/>
      <c r="P202" s="338"/>
    </row>
    <row r="203" spans="1:21" ht="15.75">
      <c r="A203" s="253" t="s">
        <v>933</v>
      </c>
      <c r="B203">
        <f>P203</f>
        <v>6.1</v>
      </c>
      <c r="C203" t="s">
        <v>37</v>
      </c>
      <c r="D203" s="17" t="s">
        <v>38</v>
      </c>
      <c r="E203" t="s">
        <v>29</v>
      </c>
      <c r="F203" s="251" t="s">
        <v>39</v>
      </c>
      <c r="G203" t="s">
        <v>33</v>
      </c>
      <c r="H203">
        <v>2</v>
      </c>
      <c r="I203">
        <f t="shared" ref="I203" si="18">LN(B203)</f>
        <v>1.8082887711792655</v>
      </c>
      <c r="J203">
        <v>7.2284161474004766E-2</v>
      </c>
      <c r="K203" t="s">
        <v>31</v>
      </c>
      <c r="L203" t="s">
        <v>31</v>
      </c>
      <c r="M203" t="s">
        <v>31</v>
      </c>
      <c r="O203" s="331" t="s">
        <v>337</v>
      </c>
      <c r="P203" s="296">
        <v>6.1</v>
      </c>
    </row>
    <row r="204" spans="1:21" ht="15.75">
      <c r="A204" s="232" t="s">
        <v>1021</v>
      </c>
      <c r="B204" s="476">
        <f>R204</f>
        <v>2.9999999999999999E-7</v>
      </c>
      <c r="C204" t="s">
        <v>37</v>
      </c>
      <c r="D204" s="17" t="s">
        <v>38</v>
      </c>
      <c r="E204" t="s">
        <v>29</v>
      </c>
      <c r="F204" s="251" t="s">
        <v>60</v>
      </c>
      <c r="G204" t="s">
        <v>33</v>
      </c>
      <c r="H204">
        <v>2</v>
      </c>
      <c r="I204">
        <f>LN(B204)</f>
        <v>-15.01948336229021</v>
      </c>
      <c r="J204">
        <v>7.2284161474004766E-2</v>
      </c>
      <c r="K204" t="s">
        <v>31</v>
      </c>
      <c r="L204" t="s">
        <v>31</v>
      </c>
      <c r="M204" t="s">
        <v>31</v>
      </c>
      <c r="O204" s="332" t="s">
        <v>952</v>
      </c>
      <c r="P204" s="365">
        <v>0.3</v>
      </c>
      <c r="Q204" t="s">
        <v>337</v>
      </c>
      <c r="R204">
        <f>0.000001*P204</f>
        <v>2.9999999999999999E-7</v>
      </c>
    </row>
    <row r="205" spans="1:21" ht="15.75">
      <c r="A205" s="232" t="s">
        <v>489</v>
      </c>
      <c r="B205" s="476">
        <f>R205</f>
        <v>6.0999999999999995E-3</v>
      </c>
      <c r="C205" t="s">
        <v>50</v>
      </c>
      <c r="D205" s="17" t="s">
        <v>38</v>
      </c>
      <c r="E205" t="s">
        <v>29</v>
      </c>
      <c r="F205" s="251" t="s">
        <v>39</v>
      </c>
      <c r="G205" t="s">
        <v>33</v>
      </c>
      <c r="H205">
        <v>2</v>
      </c>
      <c r="I205">
        <f t="shared" ref="I205" si="19">LN(B205)</f>
        <v>-5.0994665078028714</v>
      </c>
      <c r="J205">
        <v>7.2284161474004766E-2</v>
      </c>
      <c r="K205" t="s">
        <v>31</v>
      </c>
      <c r="L205" t="s">
        <v>31</v>
      </c>
      <c r="M205" t="s">
        <v>31</v>
      </c>
      <c r="O205" s="334" t="s">
        <v>1009</v>
      </c>
      <c r="P205" s="306">
        <v>6.1</v>
      </c>
      <c r="Q205" t="s">
        <v>335</v>
      </c>
      <c r="R205">
        <f>0.001*P205</f>
        <v>6.0999999999999995E-3</v>
      </c>
    </row>
    <row r="206" spans="1:21" s="42" customFormat="1" ht="15.75">
      <c r="A206" s="245" t="s">
        <v>5</v>
      </c>
      <c r="B206" s="337" t="s">
        <v>1171</v>
      </c>
      <c r="C206" s="120"/>
    </row>
    <row r="207" spans="1:21">
      <c r="A207" s="247" t="s">
        <v>7</v>
      </c>
      <c r="B207" t="s">
        <v>902</v>
      </c>
      <c r="C207" s="23"/>
    </row>
    <row r="208" spans="1:21">
      <c r="A208" s="433" t="s">
        <v>9</v>
      </c>
      <c r="B208" t="s">
        <v>1172</v>
      </c>
      <c r="C208" s="23"/>
    </row>
    <row r="209" spans="1:19" ht="15.75" customHeight="1">
      <c r="A209" s="247" t="s">
        <v>11</v>
      </c>
      <c r="B209" s="249" t="s">
        <v>913</v>
      </c>
    </row>
    <row r="210" spans="1:19">
      <c r="A210" s="247" t="s">
        <v>13</v>
      </c>
      <c r="B210" t="s">
        <v>14</v>
      </c>
    </row>
    <row r="211" spans="1:19">
      <c r="A211" s="247" t="s">
        <v>15</v>
      </c>
      <c r="B211" s="434">
        <f>B216</f>
        <v>0.73</v>
      </c>
    </row>
    <row r="212" spans="1:19">
      <c r="A212" s="247" t="s">
        <v>16</v>
      </c>
      <c r="B212" t="s">
        <v>17</v>
      </c>
    </row>
    <row r="213" spans="1:19">
      <c r="A213" s="247" t="s">
        <v>18</v>
      </c>
      <c r="B213" t="s">
        <v>206</v>
      </c>
      <c r="S213" s="283"/>
    </row>
    <row r="214" spans="1:19" ht="15.75">
      <c r="A214" s="252" t="s">
        <v>19</v>
      </c>
    </row>
    <row r="215" spans="1:19" ht="15.75">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75">
      <c r="A216" t="s">
        <v>1171</v>
      </c>
      <c r="B216" s="283">
        <f>P216</f>
        <v>0.73</v>
      </c>
      <c r="C216" t="s">
        <v>206</v>
      </c>
      <c r="D216" s="326" t="s">
        <v>2</v>
      </c>
      <c r="E216" t="s">
        <v>29</v>
      </c>
      <c r="F216" t="s">
        <v>14</v>
      </c>
      <c r="G216" t="s">
        <v>30</v>
      </c>
      <c r="H216">
        <v>1</v>
      </c>
      <c r="I216" s="283">
        <f>B216</f>
        <v>0.73</v>
      </c>
      <c r="J216" t="s">
        <v>31</v>
      </c>
      <c r="K216" t="s">
        <v>31</v>
      </c>
      <c r="L216" t="s">
        <v>31</v>
      </c>
      <c r="M216" t="s">
        <v>31</v>
      </c>
      <c r="O216" s="331" t="s">
        <v>945</v>
      </c>
      <c r="P216" s="371">
        <v>0.73</v>
      </c>
    </row>
    <row r="217" spans="1:19" ht="15.75">
      <c r="A217" t="s">
        <v>915</v>
      </c>
      <c r="B217" s="283">
        <v>4.3899999999999997</v>
      </c>
      <c r="C217" t="s">
        <v>37</v>
      </c>
      <c r="D217" s="326" t="s">
        <v>2</v>
      </c>
      <c r="E217" t="s">
        <v>29</v>
      </c>
      <c r="F217" t="s">
        <v>14</v>
      </c>
      <c r="G217" t="s">
        <v>33</v>
      </c>
      <c r="H217">
        <v>1</v>
      </c>
      <c r="I217" s="283">
        <f>B217</f>
        <v>4.3899999999999997</v>
      </c>
      <c r="J217" t="s">
        <v>31</v>
      </c>
      <c r="K217" t="s">
        <v>31</v>
      </c>
      <c r="L217" t="s">
        <v>31</v>
      </c>
      <c r="M217" t="s">
        <v>31</v>
      </c>
      <c r="O217" s="435"/>
      <c r="P217" s="371">
        <v>0.73</v>
      </c>
      <c r="Q217" t="s">
        <v>1173</v>
      </c>
    </row>
    <row r="218" spans="1:19" ht="15.75">
      <c r="A218" s="253" t="s">
        <v>40</v>
      </c>
      <c r="B218" s="336">
        <f>P218</f>
        <v>0.34</v>
      </c>
      <c r="C218" t="s">
        <v>41</v>
      </c>
      <c r="D218" s="17" t="s">
        <v>38</v>
      </c>
      <c r="E218" t="s">
        <v>29</v>
      </c>
      <c r="F218" s="251" t="s">
        <v>35</v>
      </c>
      <c r="G218" t="s">
        <v>33</v>
      </c>
      <c r="H218">
        <v>2</v>
      </c>
      <c r="I218">
        <f t="shared" ref="I218:I219" si="20">LN(B218)</f>
        <v>-1.0788096613719298</v>
      </c>
      <c r="J218">
        <v>7.2284161474004766E-2</v>
      </c>
      <c r="K218" t="s">
        <v>31</v>
      </c>
      <c r="L218" t="s">
        <v>31</v>
      </c>
      <c r="M218" t="s">
        <v>31</v>
      </c>
      <c r="O218" s="331" t="s">
        <v>332</v>
      </c>
      <c r="P218" s="296">
        <v>0.34</v>
      </c>
    </row>
    <row r="219" spans="1:19" ht="15.75">
      <c r="A219" s="232" t="s">
        <v>1017</v>
      </c>
      <c r="B219">
        <f>R219</f>
        <v>8.0000000000000002E-3</v>
      </c>
      <c r="C219" s="283" t="s">
        <v>37</v>
      </c>
      <c r="D219" s="17" t="s">
        <v>38</v>
      </c>
      <c r="E219" t="s">
        <v>29</v>
      </c>
      <c r="F219" t="s">
        <v>60</v>
      </c>
      <c r="G219" t="s">
        <v>33</v>
      </c>
      <c r="H219">
        <v>2</v>
      </c>
      <c r="I219">
        <f t="shared" si="20"/>
        <v>-4.8283137373023015</v>
      </c>
      <c r="J219">
        <v>7.2284161474004766E-2</v>
      </c>
      <c r="K219" t="s">
        <v>31</v>
      </c>
      <c r="L219" t="s">
        <v>31</v>
      </c>
      <c r="M219" t="s">
        <v>31</v>
      </c>
      <c r="O219" s="331" t="s">
        <v>947</v>
      </c>
      <c r="P219" s="296">
        <v>8</v>
      </c>
      <c r="Q219" t="s">
        <v>337</v>
      </c>
      <c r="R219">
        <f>P219*0.001</f>
        <v>8.0000000000000002E-3</v>
      </c>
    </row>
    <row r="220" spans="1:19" ht="15.75">
      <c r="A220" s="83" t="s">
        <v>1018</v>
      </c>
      <c r="B220">
        <f t="shared" ref="B220:B221" si="21">R220</f>
        <v>1.4999999999999999E-2</v>
      </c>
      <c r="C220" t="s">
        <v>37</v>
      </c>
      <c r="D220" s="17" t="s">
        <v>38</v>
      </c>
      <c r="E220" t="s">
        <v>29</v>
      </c>
      <c r="F220" s="251" t="s">
        <v>35</v>
      </c>
      <c r="G220" t="s">
        <v>33</v>
      </c>
      <c r="H220">
        <v>2</v>
      </c>
      <c r="I220">
        <f>LN(B220)</f>
        <v>-4.1997050778799272</v>
      </c>
      <c r="J220">
        <v>7.2284161474004766E-2</v>
      </c>
      <c r="K220" t="s">
        <v>31</v>
      </c>
      <c r="L220" t="s">
        <v>31</v>
      </c>
      <c r="M220" t="s">
        <v>31</v>
      </c>
      <c r="O220" s="331" t="s">
        <v>947</v>
      </c>
      <c r="P220" s="296">
        <v>15</v>
      </c>
      <c r="Q220" t="s">
        <v>337</v>
      </c>
      <c r="R220">
        <f>P220*0.001</f>
        <v>1.4999999999999999E-2</v>
      </c>
    </row>
    <row r="221" spans="1:19" ht="15.75">
      <c r="A221" s="253" t="s">
        <v>933</v>
      </c>
      <c r="B221">
        <f t="shared" si="21"/>
        <v>13</v>
      </c>
      <c r="C221" t="s">
        <v>37</v>
      </c>
      <c r="D221" s="17" t="s">
        <v>38</v>
      </c>
      <c r="E221" t="s">
        <v>29</v>
      </c>
      <c r="F221" s="251" t="s">
        <v>39</v>
      </c>
      <c r="G221" t="s">
        <v>33</v>
      </c>
      <c r="H221">
        <v>2</v>
      </c>
      <c r="I221">
        <f t="shared" ref="I221:I222" si="22">LN(B221)</f>
        <v>2.5649493574615367</v>
      </c>
      <c r="J221">
        <v>7.2284161474004766E-2</v>
      </c>
      <c r="K221" t="s">
        <v>31</v>
      </c>
      <c r="L221" t="s">
        <v>31</v>
      </c>
      <c r="M221" t="s">
        <v>31</v>
      </c>
      <c r="O221" s="331" t="s">
        <v>337</v>
      </c>
      <c r="P221" s="296">
        <v>13</v>
      </c>
      <c r="Q221" t="s">
        <v>337</v>
      </c>
      <c r="R221">
        <f>P221</f>
        <v>13</v>
      </c>
    </row>
    <row r="222" spans="1:19" ht="15.75">
      <c r="A222" s="232" t="s">
        <v>489</v>
      </c>
      <c r="B222">
        <f>R222</f>
        <v>1.3000000000000001E-2</v>
      </c>
      <c r="C222" t="s">
        <v>50</v>
      </c>
      <c r="D222" s="17" t="s">
        <v>38</v>
      </c>
      <c r="E222" t="s">
        <v>29</v>
      </c>
      <c r="F222" s="251" t="s">
        <v>39</v>
      </c>
      <c r="G222" t="s">
        <v>33</v>
      </c>
      <c r="H222">
        <v>2</v>
      </c>
      <c r="I222">
        <f t="shared" si="22"/>
        <v>-4.3428059215206005</v>
      </c>
      <c r="J222">
        <v>7.2284161474004766E-2</v>
      </c>
      <c r="K222" t="s">
        <v>31</v>
      </c>
      <c r="L222" t="s">
        <v>31</v>
      </c>
      <c r="M222" t="s">
        <v>31</v>
      </c>
      <c r="O222" s="334" t="s">
        <v>1009</v>
      </c>
      <c r="P222" s="306">
        <v>13</v>
      </c>
      <c r="Q222" t="s">
        <v>335</v>
      </c>
      <c r="R222">
        <f>0.001*P222</f>
        <v>1.3000000000000001E-2</v>
      </c>
    </row>
    <row r="223" spans="1:19" s="42" customFormat="1" ht="15.75">
      <c r="A223" s="245" t="s">
        <v>5</v>
      </c>
      <c r="B223" s="468" t="s">
        <v>1164</v>
      </c>
      <c r="C223" s="120"/>
      <c r="P223"/>
    </row>
    <row r="224" spans="1:19">
      <c r="A224" s="247" t="s">
        <v>7</v>
      </c>
      <c r="B224" t="s">
        <v>902</v>
      </c>
      <c r="C224" s="23"/>
    </row>
    <row r="225" spans="1:16">
      <c r="A225" s="433" t="s">
        <v>9</v>
      </c>
      <c r="B225" t="s">
        <v>1174</v>
      </c>
      <c r="C225" s="23"/>
    </row>
    <row r="226" spans="1:16" ht="15.75" customHeight="1">
      <c r="A226" s="247" t="s">
        <v>11</v>
      </c>
      <c r="B226" s="249" t="s">
        <v>913</v>
      </c>
    </row>
    <row r="227" spans="1:16">
      <c r="A227" s="247" t="s">
        <v>13</v>
      </c>
      <c r="B227" t="s">
        <v>14</v>
      </c>
    </row>
    <row r="228" spans="1:16">
      <c r="A228" s="247" t="s">
        <v>15</v>
      </c>
      <c r="B228" s="434">
        <f>B233</f>
        <v>2.1000000000000001E-2</v>
      </c>
    </row>
    <row r="229" spans="1:16">
      <c r="A229" s="247" t="s">
        <v>16</v>
      </c>
      <c r="B229" t="s">
        <v>17</v>
      </c>
    </row>
    <row r="230" spans="1:16">
      <c r="A230" s="247" t="s">
        <v>18</v>
      </c>
      <c r="B230" t="s">
        <v>206</v>
      </c>
    </row>
    <row r="231" spans="1:16" ht="15.75">
      <c r="A231" s="252" t="s">
        <v>19</v>
      </c>
    </row>
    <row r="232" spans="1:16" ht="15.75">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75">
      <c r="A233" t="s">
        <v>1164</v>
      </c>
      <c r="B233" s="283">
        <f>P233</f>
        <v>2.1000000000000001E-2</v>
      </c>
      <c r="C233" t="s">
        <v>206</v>
      </c>
      <c r="D233" s="326" t="s">
        <v>2</v>
      </c>
      <c r="E233" t="s">
        <v>29</v>
      </c>
      <c r="F233" s="251" t="s">
        <v>14</v>
      </c>
      <c r="G233" t="s">
        <v>30</v>
      </c>
      <c r="H233">
        <v>1</v>
      </c>
      <c r="I233" s="283">
        <f t="shared" ref="I233:I235" si="23">B233</f>
        <v>2.1000000000000001E-2</v>
      </c>
      <c r="J233" t="s">
        <v>31</v>
      </c>
      <c r="K233" t="s">
        <v>31</v>
      </c>
      <c r="L233" t="s">
        <v>31</v>
      </c>
      <c r="M233" t="s">
        <v>31</v>
      </c>
      <c r="O233" s="470" t="s">
        <v>963</v>
      </c>
      <c r="P233" s="358">
        <v>2.1000000000000001E-2</v>
      </c>
    </row>
    <row r="234" spans="1:16" ht="15.75">
      <c r="A234" t="s">
        <v>1175</v>
      </c>
      <c r="B234" s="283">
        <f>B254</f>
        <v>2.1000000000000001E-2</v>
      </c>
      <c r="C234" t="s">
        <v>206</v>
      </c>
      <c r="D234" s="326" t="s">
        <v>2</v>
      </c>
      <c r="E234" t="s">
        <v>29</v>
      </c>
      <c r="F234" s="251" t="s">
        <v>14</v>
      </c>
      <c r="G234" t="s">
        <v>33</v>
      </c>
      <c r="H234">
        <v>1</v>
      </c>
      <c r="I234" s="283">
        <f t="shared" si="23"/>
        <v>2.1000000000000001E-2</v>
      </c>
      <c r="J234" t="s">
        <v>31</v>
      </c>
      <c r="K234" t="s">
        <v>31</v>
      </c>
      <c r="L234" t="s">
        <v>31</v>
      </c>
      <c r="M234" t="s">
        <v>31</v>
      </c>
      <c r="O234" s="470" t="s">
        <v>963</v>
      </c>
      <c r="P234" s="372">
        <v>2.1000000000000001E-2</v>
      </c>
    </row>
    <row r="235" spans="1:16" ht="15.75">
      <c r="A235" t="s">
        <v>1176</v>
      </c>
      <c r="B235" s="283">
        <f>B242</f>
        <v>3.6700000000000005E-3</v>
      </c>
      <c r="C235" t="s">
        <v>206</v>
      </c>
      <c r="D235" s="326" t="s">
        <v>2</v>
      </c>
      <c r="E235" t="s">
        <v>29</v>
      </c>
      <c r="F235" s="251" t="s">
        <v>14</v>
      </c>
      <c r="G235" t="s">
        <v>33</v>
      </c>
      <c r="H235">
        <v>1</v>
      </c>
      <c r="I235" s="283">
        <f t="shared" si="23"/>
        <v>3.6700000000000005E-3</v>
      </c>
      <c r="J235" t="s">
        <v>31</v>
      </c>
      <c r="K235" t="s">
        <v>31</v>
      </c>
      <c r="L235" t="s">
        <v>31</v>
      </c>
      <c r="M235" t="s">
        <v>31</v>
      </c>
      <c r="O235" s="450" t="s">
        <v>963</v>
      </c>
      <c r="P235" s="358"/>
    </row>
    <row r="236" spans="1:16" ht="15.75">
      <c r="A236" s="253" t="s">
        <v>40</v>
      </c>
      <c r="B236" s="283">
        <f>P236</f>
        <v>0.51</v>
      </c>
      <c r="C236" t="s">
        <v>41</v>
      </c>
      <c r="D236" s="17" t="s">
        <v>38</v>
      </c>
      <c r="E236" t="s">
        <v>29</v>
      </c>
      <c r="F236" s="251" t="s">
        <v>35</v>
      </c>
      <c r="G236" t="s">
        <v>33</v>
      </c>
      <c r="H236">
        <v>2</v>
      </c>
      <c r="I236">
        <f t="shared" ref="I236" si="24">LN(B236)</f>
        <v>-0.67334455326376563</v>
      </c>
      <c r="J236">
        <v>0.20928449536456342</v>
      </c>
      <c r="K236" t="s">
        <v>31</v>
      </c>
      <c r="L236" t="s">
        <v>31</v>
      </c>
      <c r="M236" t="s">
        <v>31</v>
      </c>
      <c r="O236" s="331" t="s">
        <v>332</v>
      </c>
      <c r="P236" s="296">
        <v>0.51</v>
      </c>
    </row>
    <row r="237" spans="1:16" s="42" customFormat="1" ht="15.75">
      <c r="A237" s="245" t="s">
        <v>5</v>
      </c>
      <c r="B237" s="468" t="s">
        <v>1176</v>
      </c>
      <c r="C237" s="120"/>
    </row>
    <row r="238" spans="1:16">
      <c r="A238" s="247" t="s">
        <v>7</v>
      </c>
      <c r="B238" t="s">
        <v>902</v>
      </c>
      <c r="C238" s="23"/>
    </row>
    <row r="239" spans="1:16">
      <c r="A239" s="433" t="s">
        <v>9</v>
      </c>
      <c r="B239" t="s">
        <v>1177</v>
      </c>
      <c r="C239" s="23"/>
    </row>
    <row r="240" spans="1:16" ht="15.75" customHeight="1">
      <c r="A240" s="247" t="s">
        <v>11</v>
      </c>
      <c r="B240" s="249" t="s">
        <v>913</v>
      </c>
    </row>
    <row r="241" spans="1:19">
      <c r="A241" s="247" t="s">
        <v>13</v>
      </c>
      <c r="B241" t="s">
        <v>14</v>
      </c>
    </row>
    <row r="242" spans="1:19">
      <c r="A242" s="247" t="s">
        <v>15</v>
      </c>
      <c r="B242" s="283">
        <f>B247</f>
        <v>3.6700000000000005E-3</v>
      </c>
    </row>
    <row r="243" spans="1:19">
      <c r="A243" s="247" t="s">
        <v>16</v>
      </c>
      <c r="B243" t="s">
        <v>17</v>
      </c>
    </row>
    <row r="244" spans="1:19">
      <c r="A244" s="247" t="s">
        <v>18</v>
      </c>
      <c r="B244" t="s">
        <v>206</v>
      </c>
    </row>
    <row r="245" spans="1:19" ht="15.75">
      <c r="A245" s="252" t="s">
        <v>19</v>
      </c>
    </row>
    <row r="246" spans="1:19" ht="15.75">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75">
      <c r="A247" t="s">
        <v>1176</v>
      </c>
      <c r="B247" s="283">
        <f>S247</f>
        <v>3.6700000000000005E-3</v>
      </c>
      <c r="C247" t="s">
        <v>206</v>
      </c>
      <c r="D247" s="326" t="s">
        <v>2</v>
      </c>
      <c r="E247" t="s">
        <v>29</v>
      </c>
      <c r="F247" s="251" t="s">
        <v>14</v>
      </c>
      <c r="G247" t="s">
        <v>30</v>
      </c>
      <c r="H247">
        <v>1</v>
      </c>
      <c r="I247" s="283">
        <f>B247</f>
        <v>3.6700000000000005E-3</v>
      </c>
      <c r="J247" t="s">
        <v>31</v>
      </c>
      <c r="K247" t="s">
        <v>31</v>
      </c>
      <c r="L247" t="s">
        <v>31</v>
      </c>
      <c r="M247" t="s">
        <v>31</v>
      </c>
      <c r="P247" s="331" t="s">
        <v>1094</v>
      </c>
      <c r="Q247" s="296">
        <v>36.700000000000003</v>
      </c>
      <c r="R247" t="s">
        <v>945</v>
      </c>
      <c r="S247">
        <f>Q247*0.0001</f>
        <v>3.6700000000000005E-3</v>
      </c>
    </row>
    <row r="248" spans="1:19">
      <c r="A248" s="232" t="s">
        <v>1095</v>
      </c>
      <c r="B248" s="283">
        <f>S248</f>
        <v>3.6700000000000005E-3</v>
      </c>
      <c r="C248" t="s">
        <v>206</v>
      </c>
      <c r="D248" t="s">
        <v>38</v>
      </c>
      <c r="E248" t="s">
        <v>29</v>
      </c>
      <c r="F248" t="s">
        <v>60</v>
      </c>
      <c r="G248" t="s">
        <v>33</v>
      </c>
      <c r="H248">
        <v>2</v>
      </c>
      <c r="I248">
        <f>LN(B248)</f>
        <v>-5.607563616915658</v>
      </c>
      <c r="J248">
        <v>3.7749172176353707E-2</v>
      </c>
      <c r="K248" t="s">
        <v>31</v>
      </c>
      <c r="L248" t="s">
        <v>31</v>
      </c>
      <c r="M248" t="s">
        <v>31</v>
      </c>
      <c r="P248" s="450" t="s">
        <v>1094</v>
      </c>
      <c r="Q248" s="296">
        <v>36.700000000000003</v>
      </c>
      <c r="R248" t="s">
        <v>945</v>
      </c>
      <c r="S248">
        <f>Q248*0.0001</f>
        <v>3.6700000000000005E-3</v>
      </c>
    </row>
    <row r="249" spans="1:19" s="42" customFormat="1" ht="15.75">
      <c r="A249" s="245" t="s">
        <v>5</v>
      </c>
      <c r="B249" s="337" t="s">
        <v>1175</v>
      </c>
    </row>
    <row r="250" spans="1:19">
      <c r="A250" s="247" t="s">
        <v>7</v>
      </c>
      <c r="B250" t="s">
        <v>902</v>
      </c>
      <c r="C250" s="23"/>
    </row>
    <row r="251" spans="1:19">
      <c r="A251" s="433" t="s">
        <v>9</v>
      </c>
      <c r="B251" t="s">
        <v>1178</v>
      </c>
      <c r="C251" s="23"/>
    </row>
    <row r="252" spans="1:19" ht="15.75" customHeight="1">
      <c r="A252" s="247" t="s">
        <v>11</v>
      </c>
      <c r="B252" s="249" t="s">
        <v>913</v>
      </c>
    </row>
    <row r="253" spans="1:19">
      <c r="A253" s="247" t="s">
        <v>13</v>
      </c>
      <c r="B253" t="s">
        <v>14</v>
      </c>
    </row>
    <row r="254" spans="1:19">
      <c r="A254" s="247" t="s">
        <v>15</v>
      </c>
      <c r="B254" s="283">
        <f>B259</f>
        <v>2.1000000000000001E-2</v>
      </c>
    </row>
    <row r="255" spans="1:19">
      <c r="A255" s="247" t="s">
        <v>16</v>
      </c>
      <c r="B255" t="s">
        <v>17</v>
      </c>
    </row>
    <row r="256" spans="1:19">
      <c r="A256" s="247" t="s">
        <v>18</v>
      </c>
      <c r="B256" t="s">
        <v>206</v>
      </c>
    </row>
    <row r="257" spans="1:18" ht="15.75">
      <c r="A257" s="252" t="s">
        <v>19</v>
      </c>
    </row>
    <row r="258" spans="1:18" ht="15.75">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75">
      <c r="A259" t="s">
        <v>1175</v>
      </c>
      <c r="B259" s="283">
        <f>B260</f>
        <v>2.1000000000000001E-2</v>
      </c>
      <c r="C259" t="s">
        <v>206</v>
      </c>
      <c r="D259" s="326" t="s">
        <v>2</v>
      </c>
      <c r="E259" t="s">
        <v>29</v>
      </c>
      <c r="F259" s="251" t="s">
        <v>14</v>
      </c>
      <c r="G259" t="s">
        <v>30</v>
      </c>
      <c r="H259">
        <v>1</v>
      </c>
      <c r="I259" s="283">
        <f t="shared" ref="I259:I260" si="25">B259</f>
        <v>2.1000000000000001E-2</v>
      </c>
      <c r="J259" t="s">
        <v>31</v>
      </c>
      <c r="K259" t="s">
        <v>31</v>
      </c>
      <c r="L259" t="s">
        <v>31</v>
      </c>
      <c r="M259" t="s">
        <v>31</v>
      </c>
    </row>
    <row r="260" spans="1:18" ht="15.75">
      <c r="A260" t="s">
        <v>1179</v>
      </c>
      <c r="B260" s="283">
        <f>P260</f>
        <v>2.1000000000000001E-2</v>
      </c>
      <c r="C260" t="s">
        <v>206</v>
      </c>
      <c r="D260" s="326" t="s">
        <v>2</v>
      </c>
      <c r="E260" t="s">
        <v>29</v>
      </c>
      <c r="F260" t="s">
        <v>14</v>
      </c>
      <c r="G260" t="s">
        <v>33</v>
      </c>
      <c r="H260">
        <v>1</v>
      </c>
      <c r="I260" s="283">
        <f t="shared" si="25"/>
        <v>2.1000000000000001E-2</v>
      </c>
      <c r="J260" t="s">
        <v>31</v>
      </c>
      <c r="K260" t="s">
        <v>31</v>
      </c>
      <c r="L260" t="s">
        <v>31</v>
      </c>
      <c r="M260" t="s">
        <v>31</v>
      </c>
      <c r="P260" s="477">
        <v>2.1000000000000001E-2</v>
      </c>
    </row>
    <row r="261" spans="1:18" ht="15.75">
      <c r="A261" s="253" t="s">
        <v>40</v>
      </c>
      <c r="B261" s="336">
        <f>R261</f>
        <v>0.19</v>
      </c>
      <c r="C261" t="s">
        <v>41</v>
      </c>
      <c r="D261" s="17" t="s">
        <v>38</v>
      </c>
      <c r="E261" t="s">
        <v>29</v>
      </c>
      <c r="F261" s="251" t="s">
        <v>35</v>
      </c>
      <c r="G261" t="s">
        <v>33</v>
      </c>
      <c r="H261">
        <v>2</v>
      </c>
      <c r="I261">
        <f t="shared" ref="I261:I265" si="26">LN(B261)</f>
        <v>-1.6607312068216509</v>
      </c>
      <c r="J261">
        <v>0.20928449536456342</v>
      </c>
      <c r="K261" t="s">
        <v>31</v>
      </c>
      <c r="L261" t="s">
        <v>31</v>
      </c>
      <c r="M261" t="s">
        <v>31</v>
      </c>
      <c r="O261" s="437" t="s">
        <v>332</v>
      </c>
      <c r="P261" s="296">
        <v>0.19</v>
      </c>
      <c r="Q261" t="s">
        <v>332</v>
      </c>
      <c r="R261" s="336">
        <f>P261</f>
        <v>0.19</v>
      </c>
    </row>
    <row r="262" spans="1:18" ht="15.75">
      <c r="A262" s="232" t="s">
        <v>931</v>
      </c>
      <c r="B262">
        <f>R262</f>
        <v>5.9000000000000007E-3</v>
      </c>
      <c r="C262" t="s">
        <v>37</v>
      </c>
      <c r="D262" s="17" t="s">
        <v>38</v>
      </c>
      <c r="E262" t="s">
        <v>29</v>
      </c>
      <c r="F262" s="251" t="s">
        <v>35</v>
      </c>
      <c r="G262" t="s">
        <v>33</v>
      </c>
      <c r="H262">
        <v>2</v>
      </c>
      <c r="I262">
        <f t="shared" si="26"/>
        <v>-5.132802928070463</v>
      </c>
      <c r="J262">
        <v>0.20928449536456342</v>
      </c>
      <c r="K262" t="s">
        <v>31</v>
      </c>
      <c r="L262" t="s">
        <v>31</v>
      </c>
      <c r="M262" t="s">
        <v>31</v>
      </c>
      <c r="O262" s="331" t="s">
        <v>947</v>
      </c>
      <c r="P262" s="296">
        <v>5.9</v>
      </c>
      <c r="Q262" t="s">
        <v>337</v>
      </c>
      <c r="R262">
        <f>0.001*P262</f>
        <v>5.9000000000000007E-3</v>
      </c>
    </row>
    <row r="263" spans="1:18" ht="15.75">
      <c r="A263" s="232" t="s">
        <v>932</v>
      </c>
      <c r="B263">
        <f>R263</f>
        <v>9.0000000000000008E-4</v>
      </c>
      <c r="C263" t="s">
        <v>37</v>
      </c>
      <c r="D263" s="17" t="s">
        <v>38</v>
      </c>
      <c r="E263" t="s">
        <v>29</v>
      </c>
      <c r="F263" s="251" t="s">
        <v>60</v>
      </c>
      <c r="G263" t="s">
        <v>33</v>
      </c>
      <c r="H263">
        <v>2</v>
      </c>
      <c r="I263">
        <f t="shared" si="26"/>
        <v>-7.0131157946399636</v>
      </c>
      <c r="J263">
        <v>0.20928449536456342</v>
      </c>
      <c r="K263" t="s">
        <v>31</v>
      </c>
      <c r="L263" t="s">
        <v>31</v>
      </c>
      <c r="M263" t="s">
        <v>31</v>
      </c>
      <c r="O263" s="331" t="s">
        <v>947</v>
      </c>
      <c r="P263" s="296">
        <v>0.9</v>
      </c>
      <c r="Q263" t="s">
        <v>337</v>
      </c>
      <c r="R263">
        <f>0.001*P263</f>
        <v>9.0000000000000008E-4</v>
      </c>
    </row>
    <row r="264" spans="1:18" ht="15.75">
      <c r="A264" s="253" t="s">
        <v>933</v>
      </c>
      <c r="B264">
        <f>R264</f>
        <v>2.9000000000000001E-2</v>
      </c>
      <c r="C264" t="s">
        <v>37</v>
      </c>
      <c r="D264" s="17" t="s">
        <v>38</v>
      </c>
      <c r="E264" t="s">
        <v>29</v>
      </c>
      <c r="F264" s="251" t="s">
        <v>39</v>
      </c>
      <c r="G264" t="s">
        <v>33</v>
      </c>
      <c r="H264">
        <v>2</v>
      </c>
      <c r="I264">
        <f t="shared" si="26"/>
        <v>-3.5404594489956631</v>
      </c>
      <c r="J264">
        <v>0.20928449536456342</v>
      </c>
      <c r="K264" t="s">
        <v>31</v>
      </c>
      <c r="L264" t="s">
        <v>31</v>
      </c>
      <c r="M264" t="s">
        <v>31</v>
      </c>
      <c r="O264" s="331" t="s">
        <v>947</v>
      </c>
      <c r="P264" s="296">
        <v>29</v>
      </c>
      <c r="Q264" t="s">
        <v>337</v>
      </c>
      <c r="R264">
        <f>0.001*P264</f>
        <v>2.9000000000000001E-2</v>
      </c>
    </row>
    <row r="265" spans="1:18" ht="15.75">
      <c r="A265" s="17" t="s">
        <v>903</v>
      </c>
      <c r="B265">
        <f>R265</f>
        <v>6.7999999999999996E-3</v>
      </c>
      <c r="C265" t="s">
        <v>37</v>
      </c>
      <c r="D265" s="326" t="s">
        <v>2</v>
      </c>
      <c r="E265" t="s">
        <v>29</v>
      </c>
      <c r="F265" s="251" t="s">
        <v>39</v>
      </c>
      <c r="G265" t="s">
        <v>33</v>
      </c>
      <c r="H265">
        <v>2</v>
      </c>
      <c r="I265">
        <f t="shared" si="26"/>
        <v>-4.9908326668000758</v>
      </c>
      <c r="J265">
        <v>0.20928449536456342</v>
      </c>
      <c r="K265" t="s">
        <v>31</v>
      </c>
      <c r="L265" t="s">
        <v>31</v>
      </c>
      <c r="M265" t="s">
        <v>31</v>
      </c>
      <c r="O265" s="472" t="s">
        <v>947</v>
      </c>
      <c r="P265" s="306">
        <v>6.8</v>
      </c>
      <c r="Q265" t="s">
        <v>337</v>
      </c>
      <c r="R265">
        <f>0.001*P265</f>
        <v>6.7999999999999996E-3</v>
      </c>
    </row>
    <row r="266" spans="1:18" s="42" customFormat="1" ht="15.75">
      <c r="A266" s="245" t="s">
        <v>5</v>
      </c>
      <c r="B266" s="337" t="s">
        <v>1179</v>
      </c>
    </row>
    <row r="267" spans="1:18">
      <c r="A267" s="247" t="s">
        <v>7</v>
      </c>
      <c r="B267" t="s">
        <v>902</v>
      </c>
      <c r="C267" s="23"/>
    </row>
    <row r="268" spans="1:18">
      <c r="A268" s="433" t="s">
        <v>9</v>
      </c>
      <c r="B268" t="s">
        <v>1180</v>
      </c>
      <c r="C268" s="23"/>
    </row>
    <row r="269" spans="1:18" ht="15.75" customHeight="1">
      <c r="A269" s="247" t="s">
        <v>11</v>
      </c>
      <c r="B269" s="249" t="s">
        <v>913</v>
      </c>
    </row>
    <row r="270" spans="1:18">
      <c r="A270" s="247" t="s">
        <v>13</v>
      </c>
      <c r="B270" t="s">
        <v>14</v>
      </c>
    </row>
    <row r="271" spans="1:18">
      <c r="A271" s="247" t="s">
        <v>15</v>
      </c>
      <c r="B271" s="283">
        <f>B276</f>
        <v>2.1000000000000001E-2</v>
      </c>
    </row>
    <row r="272" spans="1:18">
      <c r="A272" s="247" t="s">
        <v>16</v>
      </c>
      <c r="B272" t="s">
        <v>17</v>
      </c>
    </row>
    <row r="273" spans="1:18">
      <c r="A273" s="247" t="s">
        <v>18</v>
      </c>
      <c r="B273" t="s">
        <v>206</v>
      </c>
    </row>
    <row r="274" spans="1:18" ht="15.75">
      <c r="A274" s="252" t="s">
        <v>19</v>
      </c>
    </row>
    <row r="275" spans="1:18" ht="15.75">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75">
      <c r="A276" t="s">
        <v>1179</v>
      </c>
      <c r="B276" s="283">
        <f>P277</f>
        <v>2.1000000000000001E-2</v>
      </c>
      <c r="C276" t="s">
        <v>206</v>
      </c>
      <c r="D276" s="326" t="s">
        <v>2</v>
      </c>
      <c r="E276" t="s">
        <v>29</v>
      </c>
      <c r="F276" t="s">
        <v>14</v>
      </c>
      <c r="G276" t="s">
        <v>30</v>
      </c>
      <c r="H276">
        <v>1</v>
      </c>
      <c r="I276" s="283">
        <f t="shared" ref="I276:I277" si="27">B276</f>
        <v>2.1000000000000001E-2</v>
      </c>
      <c r="J276" t="s">
        <v>31</v>
      </c>
      <c r="K276" t="s">
        <v>31</v>
      </c>
      <c r="L276" t="s">
        <v>31</v>
      </c>
      <c r="M276" t="s">
        <v>31</v>
      </c>
    </row>
    <row r="277" spans="1:18" ht="15.75">
      <c r="A277" t="s">
        <v>1181</v>
      </c>
      <c r="B277" s="283">
        <f>P277</f>
        <v>2.1000000000000001E-2</v>
      </c>
      <c r="C277" t="s">
        <v>206</v>
      </c>
      <c r="D277" s="326" t="s">
        <v>2</v>
      </c>
      <c r="E277" t="s">
        <v>29</v>
      </c>
      <c r="F277" t="s">
        <v>14</v>
      </c>
      <c r="G277" t="s">
        <v>33</v>
      </c>
      <c r="H277">
        <v>1</v>
      </c>
      <c r="I277" s="283">
        <f t="shared" si="27"/>
        <v>2.1000000000000001E-2</v>
      </c>
      <c r="J277" t="s">
        <v>31</v>
      </c>
      <c r="K277" t="s">
        <v>31</v>
      </c>
      <c r="L277" t="s">
        <v>31</v>
      </c>
      <c r="M277" t="s">
        <v>31</v>
      </c>
      <c r="P277" s="358">
        <v>2.1000000000000001E-2</v>
      </c>
    </row>
    <row r="278" spans="1:18" ht="15.75">
      <c r="A278" s="253" t="s">
        <v>40</v>
      </c>
      <c r="B278" s="336">
        <f>P278</f>
        <v>4.08</v>
      </c>
      <c r="C278" t="s">
        <v>41</v>
      </c>
      <c r="D278" s="17" t="s">
        <v>38</v>
      </c>
      <c r="E278" t="s">
        <v>29</v>
      </c>
      <c r="F278" s="251" t="s">
        <v>35</v>
      </c>
      <c r="G278" t="s">
        <v>33</v>
      </c>
      <c r="H278">
        <v>2</v>
      </c>
      <c r="I278">
        <f t="shared" ref="I278:I279" si="28">LN(B278)</f>
        <v>1.4060969884160703</v>
      </c>
      <c r="J278">
        <v>0.20928449536456342</v>
      </c>
      <c r="K278" t="s">
        <v>31</v>
      </c>
      <c r="L278" t="s">
        <v>31</v>
      </c>
      <c r="M278" t="s">
        <v>31</v>
      </c>
      <c r="O278" s="331" t="s">
        <v>332</v>
      </c>
      <c r="P278" s="296">
        <f>2.81+1.27</f>
        <v>4.08</v>
      </c>
    </row>
    <row r="279" spans="1:18" ht="15.75">
      <c r="A279" s="253" t="s">
        <v>933</v>
      </c>
      <c r="B279" s="336">
        <f>R279</f>
        <v>8.0999999999999996E-3</v>
      </c>
      <c r="C279" t="s">
        <v>37</v>
      </c>
      <c r="D279" s="17" t="s">
        <v>38</v>
      </c>
      <c r="E279" t="s">
        <v>29</v>
      </c>
      <c r="F279" s="251" t="s">
        <v>39</v>
      </c>
      <c r="G279" t="s">
        <v>33</v>
      </c>
      <c r="H279">
        <v>2</v>
      </c>
      <c r="I279">
        <f t="shared" si="28"/>
        <v>-4.8158912173037436</v>
      </c>
      <c r="J279">
        <v>0.20928449536456342</v>
      </c>
      <c r="K279" t="s">
        <v>31</v>
      </c>
      <c r="L279" t="s">
        <v>31</v>
      </c>
      <c r="M279" t="s">
        <v>31</v>
      </c>
      <c r="O279" s="331" t="s">
        <v>947</v>
      </c>
      <c r="P279" s="296">
        <v>8.1</v>
      </c>
      <c r="Q279" t="s">
        <v>337</v>
      </c>
      <c r="R279">
        <f>P279*0.001</f>
        <v>8.0999999999999996E-3</v>
      </c>
    </row>
    <row r="280" spans="1:18">
      <c r="A280" s="232" t="s">
        <v>1078</v>
      </c>
      <c r="B280" s="336">
        <f>R280</f>
        <v>0.01</v>
      </c>
      <c r="C280" t="s">
        <v>37</v>
      </c>
      <c r="D280" t="s">
        <v>38</v>
      </c>
      <c r="E280" t="s">
        <v>29</v>
      </c>
      <c r="F280" t="s">
        <v>35</v>
      </c>
      <c r="G280" t="s">
        <v>33</v>
      </c>
      <c r="H280">
        <v>2</v>
      </c>
      <c r="I280">
        <f>LN(B280)</f>
        <v>-4.6051701859880909</v>
      </c>
      <c r="J280">
        <v>0.20928449536456342</v>
      </c>
      <c r="K280" t="s">
        <v>31</v>
      </c>
      <c r="L280" t="s">
        <v>31</v>
      </c>
      <c r="M280" t="s">
        <v>31</v>
      </c>
      <c r="O280" s="331" t="s">
        <v>947</v>
      </c>
      <c r="P280" s="296">
        <v>10</v>
      </c>
      <c r="Q280" t="s">
        <v>337</v>
      </c>
      <c r="R280">
        <f>P280*0.001</f>
        <v>0.01</v>
      </c>
    </row>
    <row r="281" spans="1:18" ht="15.75">
      <c r="A281" s="17" t="s">
        <v>903</v>
      </c>
      <c r="B281" s="336">
        <f>R281</f>
        <v>0.01</v>
      </c>
      <c r="C281" t="s">
        <v>37</v>
      </c>
      <c r="D281" s="326" t="s">
        <v>2</v>
      </c>
      <c r="E281" t="s">
        <v>29</v>
      </c>
      <c r="F281" s="251" t="s">
        <v>39</v>
      </c>
      <c r="G281" t="s">
        <v>33</v>
      </c>
      <c r="H281">
        <v>2</v>
      </c>
      <c r="I281">
        <f t="shared" ref="I281" si="29">LN(B281)</f>
        <v>-4.6051701859880909</v>
      </c>
      <c r="J281">
        <v>0.20928449536456342</v>
      </c>
      <c r="K281" t="s">
        <v>31</v>
      </c>
      <c r="L281" t="s">
        <v>31</v>
      </c>
      <c r="M281" t="s">
        <v>31</v>
      </c>
      <c r="O281" s="472" t="s">
        <v>947</v>
      </c>
      <c r="P281" s="306">
        <v>10</v>
      </c>
      <c r="Q281" t="s">
        <v>337</v>
      </c>
      <c r="R281">
        <f>0.001*P281</f>
        <v>0.01</v>
      </c>
    </row>
    <row r="282" spans="1:18" s="42" customFormat="1" ht="15.75">
      <c r="A282" s="245" t="s">
        <v>5</v>
      </c>
      <c r="B282" s="337" t="s">
        <v>1181</v>
      </c>
    </row>
    <row r="283" spans="1:18">
      <c r="A283" s="247" t="s">
        <v>7</v>
      </c>
      <c r="B283" t="s">
        <v>902</v>
      </c>
      <c r="C283" s="23"/>
    </row>
    <row r="284" spans="1:18">
      <c r="A284" s="433" t="s">
        <v>9</v>
      </c>
      <c r="B284" t="s">
        <v>1182</v>
      </c>
      <c r="C284" s="23"/>
    </row>
    <row r="285" spans="1:18" ht="15.75" customHeight="1">
      <c r="A285" s="247" t="s">
        <v>11</v>
      </c>
      <c r="B285" s="249" t="s">
        <v>913</v>
      </c>
    </row>
    <row r="286" spans="1:18">
      <c r="A286" s="247" t="s">
        <v>13</v>
      </c>
      <c r="B286" t="s">
        <v>14</v>
      </c>
    </row>
    <row r="287" spans="1:18">
      <c r="A287" s="247" t="s">
        <v>15</v>
      </c>
      <c r="B287" s="283">
        <f>B292</f>
        <v>0.04</v>
      </c>
    </row>
    <row r="288" spans="1:18">
      <c r="A288" s="247" t="s">
        <v>16</v>
      </c>
      <c r="B288" t="s">
        <v>17</v>
      </c>
      <c r="R288" s="28" t="s">
        <v>1023</v>
      </c>
    </row>
    <row r="289" spans="1:21">
      <c r="A289" s="247" t="s">
        <v>18</v>
      </c>
      <c r="B289" t="s">
        <v>206</v>
      </c>
      <c r="R289" t="s">
        <v>1024</v>
      </c>
      <c r="S289">
        <v>8900</v>
      </c>
      <c r="T289" t="s">
        <v>1025</v>
      </c>
    </row>
    <row r="290" spans="1:21" ht="15.75">
      <c r="A290" s="252" t="s">
        <v>19</v>
      </c>
      <c r="R290" t="s">
        <v>1026</v>
      </c>
      <c r="S290">
        <f>5*10^-6</f>
        <v>4.9999999999999996E-6</v>
      </c>
      <c r="T290" t="s">
        <v>1027</v>
      </c>
    </row>
    <row r="291" spans="1:21" ht="15.75">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454" t="s">
        <v>1029</v>
      </c>
      <c r="S291" s="90">
        <v>0.46</v>
      </c>
      <c r="T291" s="455" t="s">
        <v>985</v>
      </c>
    </row>
    <row r="292" spans="1:21" ht="15.75">
      <c r="A292" t="s">
        <v>1181</v>
      </c>
      <c r="B292" s="283">
        <v>0.04</v>
      </c>
      <c r="C292" t="s">
        <v>206</v>
      </c>
      <c r="D292" s="326" t="s">
        <v>2</v>
      </c>
      <c r="E292" t="s">
        <v>29</v>
      </c>
      <c r="F292" t="s">
        <v>14</v>
      </c>
      <c r="G292" t="s">
        <v>30</v>
      </c>
      <c r="H292">
        <v>1</v>
      </c>
      <c r="I292" s="283">
        <f t="shared" ref="I292:I294" si="30">B292</f>
        <v>0.04</v>
      </c>
      <c r="J292" t="s">
        <v>31</v>
      </c>
      <c r="K292" t="s">
        <v>31</v>
      </c>
      <c r="L292" t="s">
        <v>31</v>
      </c>
      <c r="M292" t="s">
        <v>31</v>
      </c>
      <c r="O292" s="331" t="s">
        <v>1031</v>
      </c>
      <c r="P292" s="296">
        <f>B292*100</f>
        <v>4</v>
      </c>
    </row>
    <row r="293" spans="1:21" ht="15.75">
      <c r="A293" t="s">
        <v>1183</v>
      </c>
      <c r="B293" s="283">
        <v>0.04</v>
      </c>
      <c r="C293" t="s">
        <v>206</v>
      </c>
      <c r="D293" s="326" t="s">
        <v>2</v>
      </c>
      <c r="E293" t="s">
        <v>29</v>
      </c>
      <c r="F293" t="s">
        <v>14</v>
      </c>
      <c r="G293" t="s">
        <v>33</v>
      </c>
      <c r="H293">
        <v>1</v>
      </c>
      <c r="I293" s="283">
        <f t="shared" si="30"/>
        <v>0.04</v>
      </c>
      <c r="J293">
        <v>7.2284161474004766E-2</v>
      </c>
      <c r="K293" t="s">
        <v>31</v>
      </c>
      <c r="L293" t="s">
        <v>31</v>
      </c>
      <c r="M293" t="s">
        <v>31</v>
      </c>
      <c r="O293" s="331" t="s">
        <v>1031</v>
      </c>
      <c r="P293" s="296">
        <f>B293*100</f>
        <v>4</v>
      </c>
      <c r="R293" t="s">
        <v>1032</v>
      </c>
      <c r="U293" s="328"/>
    </row>
    <row r="294" spans="1:21" ht="15.75">
      <c r="A294" s="30" t="s">
        <v>1130</v>
      </c>
      <c r="B294" s="250">
        <f>R294</f>
        <v>0.76</v>
      </c>
      <c r="C294" t="s">
        <v>37</v>
      </c>
      <c r="D294" s="326" t="s">
        <v>2</v>
      </c>
      <c r="E294" t="s">
        <v>29</v>
      </c>
      <c r="F294" s="251" t="s">
        <v>14</v>
      </c>
      <c r="G294" t="s">
        <v>33</v>
      </c>
      <c r="H294">
        <v>1</v>
      </c>
      <c r="I294" s="283">
        <f t="shared" si="30"/>
        <v>0.76</v>
      </c>
      <c r="J294">
        <v>7.2284161474004766E-2</v>
      </c>
      <c r="K294" t="s">
        <v>31</v>
      </c>
      <c r="L294" t="s">
        <v>31</v>
      </c>
      <c r="M294" t="s">
        <v>31</v>
      </c>
      <c r="O294" s="435"/>
      <c r="P294" s="436"/>
      <c r="R294" s="456">
        <v>0.76</v>
      </c>
      <c r="S294" s="457" t="s">
        <v>945</v>
      </c>
      <c r="T294" s="456">
        <f>R294*S291</f>
        <v>0.34960000000000002</v>
      </c>
      <c r="U294" s="457" t="s">
        <v>337</v>
      </c>
    </row>
    <row r="295" spans="1:21" ht="15.75">
      <c r="A295" s="253" t="s">
        <v>933</v>
      </c>
      <c r="B295">
        <f>P295</f>
        <v>6.1</v>
      </c>
      <c r="C295" t="s">
        <v>37</v>
      </c>
      <c r="D295" s="17" t="s">
        <v>38</v>
      </c>
      <c r="E295" t="s">
        <v>29</v>
      </c>
      <c r="F295" s="251" t="s">
        <v>39</v>
      </c>
      <c r="G295" t="s">
        <v>33</v>
      </c>
      <c r="H295">
        <v>2</v>
      </c>
      <c r="I295">
        <f t="shared" ref="I295" si="31">LN(B295)</f>
        <v>1.8082887711792655</v>
      </c>
      <c r="J295">
        <v>7.2284161474004766E-2</v>
      </c>
      <c r="K295" t="s">
        <v>31</v>
      </c>
      <c r="L295" t="s">
        <v>31</v>
      </c>
      <c r="M295" t="s">
        <v>31</v>
      </c>
      <c r="O295" s="331" t="s">
        <v>337</v>
      </c>
      <c r="P295" s="296">
        <v>6.1</v>
      </c>
    </row>
    <row r="296" spans="1:21" ht="15.75">
      <c r="A296" s="232" t="s">
        <v>1021</v>
      </c>
      <c r="B296" s="336">
        <f>R296</f>
        <v>2.9999999999999999E-7</v>
      </c>
      <c r="C296" t="s">
        <v>37</v>
      </c>
      <c r="D296" s="17" t="s">
        <v>38</v>
      </c>
      <c r="E296" t="s">
        <v>29</v>
      </c>
      <c r="F296" s="251" t="s">
        <v>60</v>
      </c>
      <c r="G296" t="s">
        <v>33</v>
      </c>
      <c r="H296">
        <v>2</v>
      </c>
      <c r="I296">
        <f>LN(B296)</f>
        <v>-15.01948336229021</v>
      </c>
      <c r="J296">
        <v>7.2284161474004766E-2</v>
      </c>
      <c r="K296" t="s">
        <v>31</v>
      </c>
      <c r="L296" t="s">
        <v>31</v>
      </c>
      <c r="M296" t="s">
        <v>31</v>
      </c>
      <c r="O296" s="332" t="s">
        <v>952</v>
      </c>
      <c r="P296" s="365">
        <v>0.3</v>
      </c>
      <c r="Q296" s="331" t="s">
        <v>337</v>
      </c>
      <c r="R296">
        <f>P296*0.000001</f>
        <v>2.9999999999999999E-7</v>
      </c>
    </row>
    <row r="297" spans="1:21" ht="15.75">
      <c r="A297" s="232" t="s">
        <v>489</v>
      </c>
      <c r="B297">
        <f>R297</f>
        <v>6.0999999999999995E-3</v>
      </c>
      <c r="C297" t="s">
        <v>50</v>
      </c>
      <c r="D297" s="17" t="s">
        <v>38</v>
      </c>
      <c r="E297" t="s">
        <v>29</v>
      </c>
      <c r="F297" s="251" t="s">
        <v>39</v>
      </c>
      <c r="G297" t="s">
        <v>33</v>
      </c>
      <c r="H297">
        <v>2</v>
      </c>
      <c r="I297">
        <f t="shared" ref="I297" si="32">LN(B297)</f>
        <v>-5.0994665078028714</v>
      </c>
      <c r="J297">
        <v>7.2284161474004766E-2</v>
      </c>
      <c r="K297" t="s">
        <v>31</v>
      </c>
      <c r="L297" t="s">
        <v>31</v>
      </c>
      <c r="M297" t="s">
        <v>31</v>
      </c>
      <c r="O297" s="334" t="s">
        <v>1009</v>
      </c>
      <c r="P297" s="306">
        <v>6.1</v>
      </c>
      <c r="Q297" t="s">
        <v>335</v>
      </c>
      <c r="R297">
        <f>P297*0.001</f>
        <v>6.0999999999999995E-3</v>
      </c>
    </row>
    <row r="298" spans="1:21" s="42" customFormat="1" ht="15.75">
      <c r="A298" s="245" t="s">
        <v>5</v>
      </c>
      <c r="B298" s="337" t="s">
        <v>1183</v>
      </c>
    </row>
    <row r="299" spans="1:21">
      <c r="A299" s="247" t="s">
        <v>7</v>
      </c>
      <c r="B299" t="s">
        <v>902</v>
      </c>
      <c r="C299" s="23"/>
    </row>
    <row r="300" spans="1:21">
      <c r="A300" s="433" t="s">
        <v>9</v>
      </c>
      <c r="B300" t="s">
        <v>1184</v>
      </c>
      <c r="C300" s="23"/>
    </row>
    <row r="301" spans="1:21" ht="15.75" customHeight="1">
      <c r="A301" s="247" t="s">
        <v>11</v>
      </c>
      <c r="B301" s="249" t="s">
        <v>913</v>
      </c>
    </row>
    <row r="302" spans="1:21">
      <c r="A302" s="247" t="s">
        <v>13</v>
      </c>
      <c r="B302" t="s">
        <v>14</v>
      </c>
    </row>
    <row r="303" spans="1:21">
      <c r="A303" s="247" t="s">
        <v>15</v>
      </c>
      <c r="B303" s="283">
        <f>B308</f>
        <v>2.1000000000000001E-2</v>
      </c>
    </row>
    <row r="304" spans="1:21">
      <c r="A304" s="247" t="s">
        <v>16</v>
      </c>
      <c r="B304" t="s">
        <v>17</v>
      </c>
    </row>
    <row r="305" spans="1:20">
      <c r="A305" s="247" t="s">
        <v>18</v>
      </c>
      <c r="B305" t="s">
        <v>206</v>
      </c>
    </row>
    <row r="306" spans="1:20" ht="15.75">
      <c r="A306" s="252" t="s">
        <v>19</v>
      </c>
    </row>
    <row r="307" spans="1:20" ht="15.75">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283"/>
    </row>
    <row r="308" spans="1:20" ht="15.75">
      <c r="A308" t="s">
        <v>1183</v>
      </c>
      <c r="B308" s="283">
        <f t="shared" ref="B308:B318" si="33">P308</f>
        <v>2.1000000000000001E-2</v>
      </c>
      <c r="C308" t="s">
        <v>206</v>
      </c>
      <c r="D308" s="326" t="s">
        <v>2</v>
      </c>
      <c r="E308" t="s">
        <v>29</v>
      </c>
      <c r="F308" t="s">
        <v>14</v>
      </c>
      <c r="G308" t="s">
        <v>30</v>
      </c>
      <c r="H308">
        <v>1</v>
      </c>
      <c r="I308" s="283">
        <f t="shared" ref="I308:I309" si="34">B308</f>
        <v>2.1000000000000001E-2</v>
      </c>
      <c r="J308" t="s">
        <v>31</v>
      </c>
      <c r="K308" t="s">
        <v>31</v>
      </c>
      <c r="L308" t="s">
        <v>31</v>
      </c>
      <c r="M308" t="s">
        <v>31</v>
      </c>
      <c r="P308" s="471">
        <v>2.1000000000000001E-2</v>
      </c>
    </row>
    <row r="309" spans="1:20" ht="15.75">
      <c r="A309" t="s">
        <v>1185</v>
      </c>
      <c r="B309" s="283">
        <f t="shared" si="33"/>
        <v>2.1000000000000001E-2</v>
      </c>
      <c r="C309" t="s">
        <v>206</v>
      </c>
      <c r="D309" s="326" t="s">
        <v>2</v>
      </c>
      <c r="E309" t="s">
        <v>29</v>
      </c>
      <c r="F309" t="s">
        <v>14</v>
      </c>
      <c r="G309" t="s">
        <v>33</v>
      </c>
      <c r="H309">
        <v>1</v>
      </c>
      <c r="I309" s="283">
        <f t="shared" si="34"/>
        <v>2.1000000000000001E-2</v>
      </c>
      <c r="J309" t="s">
        <v>31</v>
      </c>
      <c r="K309" t="s">
        <v>31</v>
      </c>
      <c r="L309" t="s">
        <v>31</v>
      </c>
      <c r="M309" t="s">
        <v>31</v>
      </c>
      <c r="P309" s="471">
        <v>2.1000000000000001E-2</v>
      </c>
    </row>
    <row r="310" spans="1:20" ht="15.75">
      <c r="A310" s="253" t="s">
        <v>40</v>
      </c>
      <c r="B310" s="336">
        <f t="shared" si="33"/>
        <v>0.28000000000000003</v>
      </c>
      <c r="C310" t="s">
        <v>41</v>
      </c>
      <c r="D310" s="17" t="s">
        <v>38</v>
      </c>
      <c r="E310" t="s">
        <v>29</v>
      </c>
      <c r="F310" s="251" t="s">
        <v>35</v>
      </c>
      <c r="G310" t="s">
        <v>33</v>
      </c>
      <c r="H310">
        <v>2</v>
      </c>
      <c r="I310">
        <f t="shared" ref="I310" si="35">LN(B310)</f>
        <v>-1.2729656758128873</v>
      </c>
      <c r="J310">
        <v>0.22500000000000006</v>
      </c>
      <c r="K310" t="s">
        <v>31</v>
      </c>
      <c r="L310" t="s">
        <v>31</v>
      </c>
      <c r="M310" t="s">
        <v>31</v>
      </c>
      <c r="O310" s="331" t="s">
        <v>332</v>
      </c>
      <c r="P310" s="296">
        <v>0.28000000000000003</v>
      </c>
    </row>
    <row r="311" spans="1:20">
      <c r="A311" s="232" t="s">
        <v>1077</v>
      </c>
      <c r="B311" s="283">
        <f t="shared" si="33"/>
        <v>1.2699999999999999E-2</v>
      </c>
      <c r="C311" t="s">
        <v>37</v>
      </c>
      <c r="D311" t="s">
        <v>38</v>
      </c>
      <c r="E311" t="s">
        <v>29</v>
      </c>
      <c r="F311" t="s">
        <v>35</v>
      </c>
      <c r="G311" t="s">
        <v>33</v>
      </c>
      <c r="H311">
        <v>2</v>
      </c>
      <c r="I311">
        <f>LN(B311)</f>
        <v>-4.3661532855175915</v>
      </c>
      <c r="J311">
        <v>0.22500000000000006</v>
      </c>
      <c r="K311" t="s">
        <v>31</v>
      </c>
      <c r="L311" t="s">
        <v>31</v>
      </c>
      <c r="M311" t="s">
        <v>31</v>
      </c>
      <c r="O311" s="331" t="s">
        <v>337</v>
      </c>
      <c r="P311" s="302">
        <v>1.2699999999999999E-2</v>
      </c>
    </row>
    <row r="312" spans="1:20">
      <c r="A312" t="s">
        <v>1104</v>
      </c>
      <c r="B312" s="283">
        <f t="shared" si="33"/>
        <v>2.76E-2</v>
      </c>
      <c r="C312" t="s">
        <v>37</v>
      </c>
      <c r="D312" t="s">
        <v>38</v>
      </c>
      <c r="E312" t="s">
        <v>29</v>
      </c>
      <c r="F312" t="s">
        <v>60</v>
      </c>
      <c r="G312" t="s">
        <v>33</v>
      </c>
      <c r="H312">
        <v>2</v>
      </c>
      <c r="I312">
        <f t="shared" ref="I312:I318" si="36">LN(B312)</f>
        <v>-3.5899395062590327</v>
      </c>
      <c r="J312">
        <v>0.22500000000000006</v>
      </c>
      <c r="K312" t="s">
        <v>31</v>
      </c>
      <c r="L312" t="s">
        <v>31</v>
      </c>
      <c r="M312" t="s">
        <v>31</v>
      </c>
      <c r="O312" s="331" t="s">
        <v>337</v>
      </c>
      <c r="P312" s="302">
        <v>2.76E-2</v>
      </c>
    </row>
    <row r="313" spans="1:20">
      <c r="A313" s="232" t="s">
        <v>1078</v>
      </c>
      <c r="B313" s="283">
        <f t="shared" si="33"/>
        <v>1.2699999999999999E-2</v>
      </c>
      <c r="C313" t="s">
        <v>37</v>
      </c>
      <c r="D313" t="s">
        <v>38</v>
      </c>
      <c r="E313" t="s">
        <v>29</v>
      </c>
      <c r="F313" t="s">
        <v>35</v>
      </c>
      <c r="G313" t="s">
        <v>33</v>
      </c>
      <c r="H313">
        <v>2</v>
      </c>
      <c r="I313">
        <f t="shared" si="36"/>
        <v>-4.3661532855175915</v>
      </c>
      <c r="J313">
        <v>0.22500000000000006</v>
      </c>
      <c r="K313" t="s">
        <v>31</v>
      </c>
      <c r="L313" t="s">
        <v>31</v>
      </c>
      <c r="M313" t="s">
        <v>31</v>
      </c>
      <c r="O313" s="331" t="s">
        <v>337</v>
      </c>
      <c r="P313" s="302">
        <v>1.2699999999999999E-2</v>
      </c>
    </row>
    <row r="314" spans="1:20">
      <c r="A314" s="232" t="s">
        <v>1105</v>
      </c>
      <c r="B314" s="283">
        <f t="shared" si="33"/>
        <v>9.4999999999999998E-3</v>
      </c>
      <c r="C314" t="s">
        <v>37</v>
      </c>
      <c r="D314" t="s">
        <v>38</v>
      </c>
      <c r="E314" t="s">
        <v>29</v>
      </c>
      <c r="F314" t="s">
        <v>60</v>
      </c>
      <c r="G314" t="s">
        <v>33</v>
      </c>
      <c r="H314">
        <v>2</v>
      </c>
      <c r="I314">
        <f t="shared" si="36"/>
        <v>-4.656463480375642</v>
      </c>
      <c r="J314">
        <v>0.22500000000000006</v>
      </c>
      <c r="K314" t="s">
        <v>31</v>
      </c>
      <c r="L314" t="s">
        <v>31</v>
      </c>
      <c r="M314" t="s">
        <v>31</v>
      </c>
      <c r="O314" s="331" t="s">
        <v>337</v>
      </c>
      <c r="P314" s="302">
        <v>9.4999999999999998E-3</v>
      </c>
    </row>
    <row r="315" spans="1:20">
      <c r="A315" s="232" t="s">
        <v>1106</v>
      </c>
      <c r="B315" s="283">
        <f t="shared" si="33"/>
        <v>2.76E-2</v>
      </c>
      <c r="C315" t="s">
        <v>37</v>
      </c>
      <c r="D315" t="s">
        <v>38</v>
      </c>
      <c r="E315" t="s">
        <v>29</v>
      </c>
      <c r="F315" t="s">
        <v>60</v>
      </c>
      <c r="G315" t="s">
        <v>33</v>
      </c>
      <c r="H315">
        <v>2</v>
      </c>
      <c r="I315">
        <f t="shared" si="36"/>
        <v>-3.5899395062590327</v>
      </c>
      <c r="J315">
        <v>0.22500000000000006</v>
      </c>
      <c r="K315" t="s">
        <v>31</v>
      </c>
      <c r="L315" t="s">
        <v>31</v>
      </c>
      <c r="M315" t="s">
        <v>31</v>
      </c>
      <c r="O315" s="331" t="s">
        <v>337</v>
      </c>
      <c r="P315" s="302">
        <v>2.76E-2</v>
      </c>
    </row>
    <row r="316" spans="1:20" ht="15.75">
      <c r="A316" s="253" t="s">
        <v>933</v>
      </c>
      <c r="B316" s="283">
        <f t="shared" si="33"/>
        <v>0.50900000000000001</v>
      </c>
      <c r="C316" t="s">
        <v>37</v>
      </c>
      <c r="D316" s="17" t="s">
        <v>38</v>
      </c>
      <c r="E316" t="s">
        <v>29</v>
      </c>
      <c r="F316" s="251" t="s">
        <v>39</v>
      </c>
      <c r="G316" t="s">
        <v>33</v>
      </c>
      <c r="H316">
        <v>2</v>
      </c>
      <c r="I316">
        <f t="shared" si="36"/>
        <v>-0.67530726243161432</v>
      </c>
      <c r="J316">
        <v>0.22500000000000006</v>
      </c>
      <c r="K316" t="s">
        <v>31</v>
      </c>
      <c r="L316" t="s">
        <v>31</v>
      </c>
      <c r="M316" t="s">
        <v>31</v>
      </c>
      <c r="O316" s="331" t="s">
        <v>337</v>
      </c>
      <c r="P316" s="302">
        <v>0.50900000000000001</v>
      </c>
    </row>
    <row r="317" spans="1:20">
      <c r="A317" s="232" t="s">
        <v>941</v>
      </c>
      <c r="B317" s="283">
        <f t="shared" si="33"/>
        <v>4.8999999999999998E-3</v>
      </c>
      <c r="C317" t="s">
        <v>37</v>
      </c>
      <c r="D317" t="s">
        <v>43</v>
      </c>
      <c r="E317" t="s">
        <v>44</v>
      </c>
      <c r="F317" t="s">
        <v>29</v>
      </c>
      <c r="G317" t="s">
        <v>45</v>
      </c>
      <c r="H317">
        <v>2</v>
      </c>
      <c r="I317">
        <f t="shared" si="36"/>
        <v>-5.3185200738655558</v>
      </c>
      <c r="J317">
        <v>0.22500000000000006</v>
      </c>
      <c r="K317" t="s">
        <v>31</v>
      </c>
      <c r="L317" t="s">
        <v>31</v>
      </c>
      <c r="M317" t="s">
        <v>31</v>
      </c>
      <c r="O317" s="332" t="s">
        <v>337</v>
      </c>
      <c r="P317" s="333">
        <v>4.8999999999999998E-3</v>
      </c>
    </row>
    <row r="318" spans="1:20" ht="15.75">
      <c r="A318" s="17" t="s">
        <v>903</v>
      </c>
      <c r="B318" s="283">
        <f t="shared" si="33"/>
        <v>9.0999999999999998E-2</v>
      </c>
      <c r="C318" t="s">
        <v>37</v>
      </c>
      <c r="D318" s="326" t="s">
        <v>2</v>
      </c>
      <c r="E318" t="s">
        <v>29</v>
      </c>
      <c r="F318" s="251" t="s">
        <v>39</v>
      </c>
      <c r="G318" t="s">
        <v>33</v>
      </c>
      <c r="H318">
        <v>2</v>
      </c>
      <c r="I318">
        <f t="shared" si="36"/>
        <v>-2.3968957724652871</v>
      </c>
      <c r="J318">
        <v>0.22500000000000006</v>
      </c>
      <c r="K318" t="s">
        <v>31</v>
      </c>
      <c r="L318" t="s">
        <v>31</v>
      </c>
      <c r="M318" t="s">
        <v>31</v>
      </c>
      <c r="O318" s="334" t="s">
        <v>337</v>
      </c>
      <c r="P318" s="315">
        <v>9.0999999999999998E-2</v>
      </c>
    </row>
    <row r="319" spans="1:20" s="42" customFormat="1" ht="15.75">
      <c r="A319" s="245" t="s">
        <v>5</v>
      </c>
      <c r="B319" s="337" t="s">
        <v>1185</v>
      </c>
    </row>
    <row r="320" spans="1:20">
      <c r="A320" s="247" t="s">
        <v>7</v>
      </c>
      <c r="B320" t="s">
        <v>902</v>
      </c>
      <c r="C320" s="23"/>
    </row>
    <row r="321" spans="1:20">
      <c r="A321" s="433" t="s">
        <v>9</v>
      </c>
      <c r="B321" t="s">
        <v>1186</v>
      </c>
      <c r="C321" s="23"/>
    </row>
    <row r="322" spans="1:20" ht="15.75" customHeight="1">
      <c r="A322" s="247" t="s">
        <v>11</v>
      </c>
      <c r="B322" s="249" t="s">
        <v>913</v>
      </c>
    </row>
    <row r="323" spans="1:20">
      <c r="A323" s="247" t="s">
        <v>13</v>
      </c>
      <c r="B323" t="s">
        <v>14</v>
      </c>
    </row>
    <row r="324" spans="1:20">
      <c r="A324" s="247" t="s">
        <v>15</v>
      </c>
      <c r="B324" s="283">
        <f>B329</f>
        <v>2.1000000000000001E-2</v>
      </c>
    </row>
    <row r="325" spans="1:20">
      <c r="A325" s="247" t="s">
        <v>16</v>
      </c>
      <c r="B325" t="s">
        <v>17</v>
      </c>
    </row>
    <row r="326" spans="1:20">
      <c r="A326" s="247" t="s">
        <v>18</v>
      </c>
      <c r="B326" t="s">
        <v>206</v>
      </c>
    </row>
    <row r="327" spans="1:20" ht="15.75">
      <c r="A327" s="252" t="s">
        <v>19</v>
      </c>
    </row>
    <row r="328" spans="1:20" ht="15.75">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283"/>
    </row>
    <row r="329" spans="1:20" ht="15.75">
      <c r="A329" t="s">
        <v>1185</v>
      </c>
      <c r="B329" s="283">
        <f>P330</f>
        <v>2.1000000000000001E-2</v>
      </c>
      <c r="C329" t="s">
        <v>206</v>
      </c>
      <c r="D329" s="326" t="s">
        <v>2</v>
      </c>
      <c r="E329" t="s">
        <v>29</v>
      </c>
      <c r="F329" t="s">
        <v>14</v>
      </c>
      <c r="G329" t="s">
        <v>30</v>
      </c>
      <c r="H329">
        <v>1</v>
      </c>
      <c r="I329" s="283">
        <f t="shared" ref="I329:I331" si="37">B329</f>
        <v>2.1000000000000001E-2</v>
      </c>
      <c r="J329" t="s">
        <v>31</v>
      </c>
      <c r="K329" t="s">
        <v>31</v>
      </c>
      <c r="L329" t="s">
        <v>31</v>
      </c>
      <c r="M329" t="s">
        <v>31</v>
      </c>
    </row>
    <row r="330" spans="1:20" ht="15.75">
      <c r="A330" s="30" t="s">
        <v>1187</v>
      </c>
      <c r="B330" s="283">
        <f>P330</f>
        <v>2.1000000000000001E-2</v>
      </c>
      <c r="C330" t="s">
        <v>206</v>
      </c>
      <c r="D330" s="326" t="s">
        <v>2</v>
      </c>
      <c r="E330" t="s">
        <v>29</v>
      </c>
      <c r="F330" t="s">
        <v>14</v>
      </c>
      <c r="G330" t="s">
        <v>33</v>
      </c>
      <c r="H330">
        <v>1</v>
      </c>
      <c r="I330" s="283">
        <f t="shared" si="37"/>
        <v>2.1000000000000001E-2</v>
      </c>
      <c r="J330">
        <v>2.8722813232690055E-2</v>
      </c>
      <c r="K330" t="s">
        <v>31</v>
      </c>
      <c r="L330" t="s">
        <v>31</v>
      </c>
      <c r="M330" t="s">
        <v>31</v>
      </c>
      <c r="O330" s="449" t="s">
        <v>963</v>
      </c>
      <c r="P330" s="471">
        <v>2.1000000000000001E-2</v>
      </c>
    </row>
    <row r="331" spans="1:20" ht="15.75">
      <c r="A331" s="30" t="s">
        <v>915</v>
      </c>
      <c r="B331">
        <f>R331</f>
        <v>0.221</v>
      </c>
      <c r="C331" t="s">
        <v>337</v>
      </c>
      <c r="D331" s="326" t="s">
        <v>2</v>
      </c>
      <c r="E331" t="s">
        <v>29</v>
      </c>
      <c r="F331" t="s">
        <v>14</v>
      </c>
      <c r="G331" t="s">
        <v>33</v>
      </c>
      <c r="H331">
        <v>1</v>
      </c>
      <c r="I331" s="283">
        <f t="shared" si="37"/>
        <v>0.221</v>
      </c>
      <c r="J331">
        <v>2.8722813232690055E-2</v>
      </c>
      <c r="K331" t="s">
        <v>31</v>
      </c>
      <c r="L331" t="s">
        <v>31</v>
      </c>
      <c r="M331" t="s">
        <v>31</v>
      </c>
      <c r="O331" s="449" t="s">
        <v>947</v>
      </c>
      <c r="P331" s="371">
        <v>221</v>
      </c>
      <c r="Q331" t="s">
        <v>337</v>
      </c>
      <c r="R331">
        <f>P331*0.001</f>
        <v>0.221</v>
      </c>
    </row>
    <row r="332" spans="1:20" ht="15.75">
      <c r="A332" s="253" t="s">
        <v>40</v>
      </c>
      <c r="B332" s="336">
        <f>P332</f>
        <v>0.02</v>
      </c>
      <c r="C332" t="s">
        <v>41</v>
      </c>
      <c r="D332" s="17" t="s">
        <v>38</v>
      </c>
      <c r="E332" t="s">
        <v>29</v>
      </c>
      <c r="F332" s="251" t="s">
        <v>35</v>
      </c>
      <c r="G332" t="s">
        <v>33</v>
      </c>
      <c r="H332">
        <v>2</v>
      </c>
      <c r="I332">
        <f t="shared" ref="I332:I334" si="38">LN(B332)</f>
        <v>-3.912023005428146</v>
      </c>
      <c r="J332">
        <v>0.20928449536456342</v>
      </c>
      <c r="K332" t="s">
        <v>31</v>
      </c>
      <c r="L332" t="s">
        <v>31</v>
      </c>
      <c r="M332" t="s">
        <v>31</v>
      </c>
      <c r="O332" s="331" t="s">
        <v>332</v>
      </c>
      <c r="P332" s="302">
        <v>0.02</v>
      </c>
    </row>
    <row r="333" spans="1:20" ht="15.75">
      <c r="A333" s="253" t="s">
        <v>40</v>
      </c>
      <c r="B333" s="336">
        <f>P333</f>
        <v>1.25</v>
      </c>
      <c r="C333" t="s">
        <v>41</v>
      </c>
      <c r="D333" s="17" t="s">
        <v>38</v>
      </c>
      <c r="E333" t="s">
        <v>29</v>
      </c>
      <c r="F333" s="251" t="s">
        <v>35</v>
      </c>
      <c r="G333" t="s">
        <v>33</v>
      </c>
      <c r="H333">
        <v>2</v>
      </c>
      <c r="I333">
        <f t="shared" si="38"/>
        <v>0.22314355131420976</v>
      </c>
      <c r="J333">
        <v>0.20928449536456342</v>
      </c>
      <c r="K333" t="s">
        <v>31</v>
      </c>
      <c r="L333" t="s">
        <v>31</v>
      </c>
      <c r="M333" t="s">
        <v>31</v>
      </c>
      <c r="O333" s="331" t="s">
        <v>332</v>
      </c>
      <c r="P333" s="296">
        <v>1.25</v>
      </c>
    </row>
    <row r="334" spans="1:20" ht="15.75">
      <c r="A334" s="253" t="s">
        <v>40</v>
      </c>
      <c r="B334" s="336">
        <f>P334</f>
        <v>0.32</v>
      </c>
      <c r="C334" t="s">
        <v>41</v>
      </c>
      <c r="D334" s="17" t="s">
        <v>38</v>
      </c>
      <c r="E334" t="s">
        <v>29</v>
      </c>
      <c r="F334" s="251" t="s">
        <v>35</v>
      </c>
      <c r="G334" t="s">
        <v>33</v>
      </c>
      <c r="H334">
        <v>2</v>
      </c>
      <c r="I334">
        <f t="shared" si="38"/>
        <v>-1.1394342831883648</v>
      </c>
      <c r="J334">
        <v>9.6436507609929598E-2</v>
      </c>
      <c r="K334" t="s">
        <v>31</v>
      </c>
      <c r="L334" t="s">
        <v>31</v>
      </c>
      <c r="M334" t="s">
        <v>31</v>
      </c>
      <c r="O334" s="331" t="s">
        <v>332</v>
      </c>
      <c r="P334" s="296">
        <v>0.32</v>
      </c>
    </row>
    <row r="335" spans="1:20">
      <c r="A335" s="232" t="s">
        <v>1077</v>
      </c>
      <c r="B335" s="283">
        <f>R335</f>
        <v>2E-3</v>
      </c>
      <c r="C335" t="s">
        <v>37</v>
      </c>
      <c r="D335" t="s">
        <v>38</v>
      </c>
      <c r="E335" t="s">
        <v>29</v>
      </c>
      <c r="F335" t="s">
        <v>35</v>
      </c>
      <c r="G335" t="s">
        <v>33</v>
      </c>
      <c r="H335">
        <v>2</v>
      </c>
      <c r="I335">
        <f>LN(B335)</f>
        <v>-6.2146080984221914</v>
      </c>
      <c r="J335">
        <v>0.20928449536456342</v>
      </c>
      <c r="K335" t="s">
        <v>31</v>
      </c>
      <c r="L335" t="s">
        <v>31</v>
      </c>
      <c r="M335" t="s">
        <v>31</v>
      </c>
      <c r="O335" s="331" t="s">
        <v>947</v>
      </c>
      <c r="P335" s="296">
        <v>2</v>
      </c>
      <c r="Q335" t="s">
        <v>337</v>
      </c>
      <c r="R335">
        <f>P335*0.001</f>
        <v>2E-3</v>
      </c>
    </row>
    <row r="336" spans="1:20" ht="15.75">
      <c r="A336" s="253" t="s">
        <v>933</v>
      </c>
      <c r="B336" s="283">
        <f>P336</f>
        <v>0.02</v>
      </c>
      <c r="C336" t="s">
        <v>37</v>
      </c>
      <c r="D336" s="17" t="s">
        <v>38</v>
      </c>
      <c r="E336" t="s">
        <v>29</v>
      </c>
      <c r="F336" s="251" t="s">
        <v>39</v>
      </c>
      <c r="G336" t="s">
        <v>33</v>
      </c>
      <c r="H336">
        <v>2</v>
      </c>
      <c r="I336">
        <f>LN(B336)</f>
        <v>-3.912023005428146</v>
      </c>
      <c r="J336">
        <v>0.20928449536456342</v>
      </c>
      <c r="K336" t="s">
        <v>31</v>
      </c>
      <c r="L336" t="s">
        <v>31</v>
      </c>
      <c r="M336" t="s">
        <v>31</v>
      </c>
      <c r="O336" s="331" t="s">
        <v>337</v>
      </c>
      <c r="P336" s="302">
        <v>0.02</v>
      </c>
    </row>
    <row r="337" spans="1:20" ht="15.75">
      <c r="A337" s="232" t="s">
        <v>1109</v>
      </c>
      <c r="B337" s="465">
        <f>R337</f>
        <v>3.2000000000000002E-3</v>
      </c>
      <c r="C337" t="s">
        <v>37</v>
      </c>
      <c r="D337" s="17" t="s">
        <v>38</v>
      </c>
      <c r="E337" t="s">
        <v>29</v>
      </c>
      <c r="F337" s="251" t="s">
        <v>86</v>
      </c>
      <c r="G337" t="s">
        <v>33</v>
      </c>
      <c r="H337">
        <v>2</v>
      </c>
      <c r="I337">
        <f>LN(B337)</f>
        <v>-5.7446044691764557</v>
      </c>
      <c r="J337">
        <v>0.20928449536456342</v>
      </c>
      <c r="K337" t="s">
        <v>31</v>
      </c>
      <c r="L337" t="s">
        <v>31</v>
      </c>
      <c r="M337" t="s">
        <v>31</v>
      </c>
      <c r="O337" s="331" t="s">
        <v>947</v>
      </c>
      <c r="P337" s="296">
        <v>3.2</v>
      </c>
      <c r="Q337" t="s">
        <v>337</v>
      </c>
      <c r="R337">
        <f>P337*0.001</f>
        <v>3.2000000000000002E-3</v>
      </c>
    </row>
    <row r="338" spans="1:20">
      <c r="A338" s="232" t="s">
        <v>1078</v>
      </c>
      <c r="B338">
        <f>R338</f>
        <v>6.0000000000000001E-3</v>
      </c>
      <c r="C338" t="s">
        <v>37</v>
      </c>
      <c r="D338" t="s">
        <v>38</v>
      </c>
      <c r="E338" t="s">
        <v>29</v>
      </c>
      <c r="F338" t="s">
        <v>35</v>
      </c>
      <c r="G338" t="s">
        <v>33</v>
      </c>
      <c r="H338">
        <v>2</v>
      </c>
      <c r="I338">
        <f>LN(B338)</f>
        <v>-5.1159958097540823</v>
      </c>
      <c r="J338">
        <v>0.20928449536456342</v>
      </c>
      <c r="K338" t="s">
        <v>31</v>
      </c>
      <c r="L338" t="s">
        <v>31</v>
      </c>
      <c r="M338" t="s">
        <v>31</v>
      </c>
      <c r="O338" s="331" t="s">
        <v>947</v>
      </c>
      <c r="P338" s="296">
        <v>6</v>
      </c>
      <c r="Q338" t="s">
        <v>337</v>
      </c>
      <c r="R338">
        <f>P338*0.001</f>
        <v>6.0000000000000001E-3</v>
      </c>
    </row>
    <row r="339" spans="1:20" ht="15.75">
      <c r="A339" s="253" t="s">
        <v>934</v>
      </c>
      <c r="B339">
        <f>P339</f>
        <v>3.7</v>
      </c>
      <c r="C339" t="s">
        <v>37</v>
      </c>
      <c r="D339" s="17" t="s">
        <v>38</v>
      </c>
      <c r="E339" t="s">
        <v>29</v>
      </c>
      <c r="F339" s="251" t="s">
        <v>35</v>
      </c>
      <c r="G339" t="s">
        <v>33</v>
      </c>
      <c r="H339">
        <v>2</v>
      </c>
      <c r="I339">
        <f t="shared" ref="I339:I340" si="39">LN(B339)</f>
        <v>1.3083328196501789</v>
      </c>
      <c r="J339">
        <v>0.20928449536456342</v>
      </c>
      <c r="K339" t="s">
        <v>31</v>
      </c>
      <c r="L339" t="s">
        <v>31</v>
      </c>
      <c r="M339" t="s">
        <v>31</v>
      </c>
      <c r="O339" s="331" t="s">
        <v>337</v>
      </c>
      <c r="P339" s="296">
        <v>3.7</v>
      </c>
    </row>
    <row r="340" spans="1:20" ht="15.75">
      <c r="A340" s="17" t="s">
        <v>903</v>
      </c>
      <c r="B340" s="283">
        <f>P340</f>
        <v>1.0999999999999999E-2</v>
      </c>
      <c r="C340" t="s">
        <v>37</v>
      </c>
      <c r="D340" s="326" t="s">
        <v>2</v>
      </c>
      <c r="E340" t="s">
        <v>29</v>
      </c>
      <c r="F340" s="251" t="s">
        <v>39</v>
      </c>
      <c r="G340" t="s">
        <v>33</v>
      </c>
      <c r="H340">
        <v>2</v>
      </c>
      <c r="I340">
        <f t="shared" si="39"/>
        <v>-4.5098600061837661</v>
      </c>
      <c r="J340">
        <v>0.20928449536456342</v>
      </c>
      <c r="K340" t="s">
        <v>31</v>
      </c>
      <c r="L340" t="s">
        <v>31</v>
      </c>
      <c r="M340" t="s">
        <v>31</v>
      </c>
      <c r="O340" s="334" t="s">
        <v>337</v>
      </c>
      <c r="P340" s="315">
        <v>1.0999999999999999E-2</v>
      </c>
    </row>
    <row r="341" spans="1:20" s="42" customFormat="1" ht="15.75">
      <c r="A341" s="245" t="s">
        <v>5</v>
      </c>
      <c r="B341" s="337" t="s">
        <v>1187</v>
      </c>
      <c r="P341" s="358"/>
    </row>
    <row r="342" spans="1:20">
      <c r="A342" s="247" t="s">
        <v>7</v>
      </c>
      <c r="B342" t="s">
        <v>902</v>
      </c>
      <c r="C342" s="23"/>
    </row>
    <row r="343" spans="1:20">
      <c r="A343" s="433" t="s">
        <v>9</v>
      </c>
      <c r="B343" t="s">
        <v>1188</v>
      </c>
      <c r="C343" s="23"/>
    </row>
    <row r="344" spans="1:20" ht="15.75" customHeight="1">
      <c r="A344" s="247" t="s">
        <v>11</v>
      </c>
      <c r="B344" s="249" t="s">
        <v>913</v>
      </c>
    </row>
    <row r="345" spans="1:20">
      <c r="A345" s="247" t="s">
        <v>13</v>
      </c>
      <c r="B345" t="s">
        <v>14</v>
      </c>
    </row>
    <row r="346" spans="1:20">
      <c r="A346" s="247" t="s">
        <v>15</v>
      </c>
      <c r="B346" s="283">
        <f>B351</f>
        <v>2.1000000000000001E-2</v>
      </c>
    </row>
    <row r="347" spans="1:20">
      <c r="A347" s="247" t="s">
        <v>16</v>
      </c>
      <c r="B347" t="s">
        <v>17</v>
      </c>
    </row>
    <row r="348" spans="1:20">
      <c r="A348" s="247" t="s">
        <v>18</v>
      </c>
      <c r="B348" t="s">
        <v>206</v>
      </c>
    </row>
    <row r="349" spans="1:20" ht="15.75">
      <c r="A349" s="252" t="s">
        <v>19</v>
      </c>
    </row>
    <row r="350" spans="1:20" ht="15.75">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283"/>
    </row>
    <row r="351" spans="1:20" ht="15.75">
      <c r="A351" s="30" t="s">
        <v>1187</v>
      </c>
      <c r="B351" s="283">
        <f>P351</f>
        <v>2.1000000000000001E-2</v>
      </c>
      <c r="C351" t="s">
        <v>206</v>
      </c>
      <c r="D351" s="326" t="s">
        <v>2</v>
      </c>
      <c r="E351" t="s">
        <v>29</v>
      </c>
      <c r="F351" t="s">
        <v>14</v>
      </c>
      <c r="G351" t="s">
        <v>30</v>
      </c>
      <c r="H351">
        <v>1</v>
      </c>
      <c r="I351" s="283">
        <f>B351</f>
        <v>2.1000000000000001E-2</v>
      </c>
      <c r="J351" t="s">
        <v>31</v>
      </c>
      <c r="K351" t="s">
        <v>31</v>
      </c>
      <c r="L351" t="s">
        <v>31</v>
      </c>
      <c r="M351" t="s">
        <v>31</v>
      </c>
      <c r="O351" s="449" t="s">
        <v>963</v>
      </c>
      <c r="P351" s="358">
        <v>2.1000000000000001E-2</v>
      </c>
    </row>
    <row r="352" spans="1:20">
      <c r="A352" s="232" t="s">
        <v>995</v>
      </c>
      <c r="B352">
        <f>P352</f>
        <v>0.04</v>
      </c>
      <c r="C352" t="s">
        <v>37</v>
      </c>
      <c r="D352" t="s">
        <v>38</v>
      </c>
      <c r="E352" t="s">
        <v>29</v>
      </c>
      <c r="F352" t="s">
        <v>86</v>
      </c>
      <c r="G352" t="s">
        <v>33</v>
      </c>
      <c r="H352">
        <v>2</v>
      </c>
      <c r="I352">
        <f t="shared" ref="I352:I362" si="40">LN(B352)</f>
        <v>-3.2188758248682006</v>
      </c>
      <c r="J352" s="330">
        <v>0.22516660498395411</v>
      </c>
      <c r="K352" t="s">
        <v>31</v>
      </c>
      <c r="L352" t="s">
        <v>31</v>
      </c>
      <c r="M352" t="s">
        <v>31</v>
      </c>
      <c r="O352" s="331" t="s">
        <v>337</v>
      </c>
      <c r="P352" s="296">
        <v>0.04</v>
      </c>
    </row>
    <row r="353" spans="1:18" ht="15.75">
      <c r="A353" s="253" t="s">
        <v>40</v>
      </c>
      <c r="B353" s="336">
        <f>P353</f>
        <v>0.45</v>
      </c>
      <c r="C353" t="s">
        <v>41</v>
      </c>
      <c r="D353" s="17" t="s">
        <v>38</v>
      </c>
      <c r="E353" t="s">
        <v>29</v>
      </c>
      <c r="F353" s="251" t="s">
        <v>35</v>
      </c>
      <c r="G353" t="s">
        <v>33</v>
      </c>
      <c r="H353">
        <v>2</v>
      </c>
      <c r="I353">
        <f t="shared" si="40"/>
        <v>-0.79850769621777162</v>
      </c>
      <c r="J353" s="330">
        <v>0.22516660498395411</v>
      </c>
      <c r="K353" t="s">
        <v>31</v>
      </c>
      <c r="L353" t="s">
        <v>31</v>
      </c>
      <c r="M353" t="s">
        <v>31</v>
      </c>
      <c r="O353" s="331" t="s">
        <v>332</v>
      </c>
      <c r="P353" s="296">
        <v>0.45</v>
      </c>
    </row>
    <row r="354" spans="1:18" ht="15.75">
      <c r="A354" s="232" t="s">
        <v>1111</v>
      </c>
      <c r="B354" s="283">
        <f>R354</f>
        <v>7.3999999999999999E-4</v>
      </c>
      <c r="C354" t="s">
        <v>37</v>
      </c>
      <c r="D354" s="17" t="s">
        <v>38</v>
      </c>
      <c r="E354" t="s">
        <v>29</v>
      </c>
      <c r="F354" t="s">
        <v>35</v>
      </c>
      <c r="G354" t="s">
        <v>33</v>
      </c>
      <c r="H354">
        <v>2</v>
      </c>
      <c r="I354">
        <f t="shared" si="40"/>
        <v>-7.2088603717660584</v>
      </c>
      <c r="J354" s="330">
        <v>0.22516660498395411</v>
      </c>
      <c r="K354" t="s">
        <v>31</v>
      </c>
      <c r="L354" t="s">
        <v>31</v>
      </c>
      <c r="M354" t="s">
        <v>31</v>
      </c>
      <c r="O354" s="331" t="s">
        <v>947</v>
      </c>
      <c r="P354" s="302">
        <v>0.74</v>
      </c>
      <c r="Q354" t="s">
        <v>337</v>
      </c>
      <c r="R354" s="283">
        <f>0.001*P354</f>
        <v>7.3999999999999999E-4</v>
      </c>
    </row>
    <row r="355" spans="1:18" ht="15.75">
      <c r="A355" s="232" t="s">
        <v>1112</v>
      </c>
      <c r="B355" s="283">
        <f>P355</f>
        <v>3.5999999999999999E-3</v>
      </c>
      <c r="C355" t="s">
        <v>37</v>
      </c>
      <c r="D355" s="17" t="s">
        <v>38</v>
      </c>
      <c r="E355" t="s">
        <v>29</v>
      </c>
      <c r="F355" t="s">
        <v>35</v>
      </c>
      <c r="G355" t="s">
        <v>33</v>
      </c>
      <c r="H355">
        <v>2</v>
      </c>
      <c r="I355">
        <f t="shared" si="40"/>
        <v>-5.6268214335200728</v>
      </c>
      <c r="J355" s="330">
        <v>0.22516660498395411</v>
      </c>
      <c r="K355" t="s">
        <v>31</v>
      </c>
      <c r="L355" t="s">
        <v>31</v>
      </c>
      <c r="M355" t="s">
        <v>31</v>
      </c>
      <c r="O355" s="331" t="s">
        <v>337</v>
      </c>
      <c r="P355" s="302">
        <v>3.5999999999999999E-3</v>
      </c>
    </row>
    <row r="356" spans="1:18" ht="15.75">
      <c r="A356" s="232" t="s">
        <v>1113</v>
      </c>
      <c r="B356" s="283">
        <f>P356</f>
        <v>3.0000000000000001E-3</v>
      </c>
      <c r="C356" t="s">
        <v>37</v>
      </c>
      <c r="D356" s="17" t="s">
        <v>38</v>
      </c>
      <c r="E356" t="s">
        <v>29</v>
      </c>
      <c r="F356" t="s">
        <v>35</v>
      </c>
      <c r="G356" t="s">
        <v>33</v>
      </c>
      <c r="H356">
        <v>2</v>
      </c>
      <c r="I356">
        <f t="shared" si="40"/>
        <v>-5.8091429903140277</v>
      </c>
      <c r="J356" s="330">
        <v>0.22516660498395411</v>
      </c>
      <c r="K356" t="s">
        <v>31</v>
      </c>
      <c r="L356" t="s">
        <v>31</v>
      </c>
      <c r="M356" t="s">
        <v>31</v>
      </c>
      <c r="O356" s="331" t="s">
        <v>337</v>
      </c>
      <c r="P356" s="302">
        <v>3.0000000000000001E-3</v>
      </c>
    </row>
    <row r="357" spans="1:18" ht="15.75">
      <c r="A357" s="232" t="s">
        <v>1114</v>
      </c>
      <c r="B357" s="283">
        <f>P357</f>
        <v>2.5999999999999999E-2</v>
      </c>
      <c r="C357" t="s">
        <v>37</v>
      </c>
      <c r="D357" s="17" t="s">
        <v>38</v>
      </c>
      <c r="E357" t="s">
        <v>29</v>
      </c>
      <c r="F357" t="s">
        <v>35</v>
      </c>
      <c r="G357" t="s">
        <v>33</v>
      </c>
      <c r="H357">
        <v>2</v>
      </c>
      <c r="I357">
        <f t="shared" si="40"/>
        <v>-3.6496587409606551</v>
      </c>
      <c r="J357" s="330">
        <v>0.22516660498395411</v>
      </c>
      <c r="K357" t="s">
        <v>31</v>
      </c>
      <c r="L357" t="s">
        <v>31</v>
      </c>
      <c r="M357" t="s">
        <v>31</v>
      </c>
      <c r="O357" s="331" t="s">
        <v>337</v>
      </c>
      <c r="P357" s="296">
        <v>2.5999999999999999E-2</v>
      </c>
    </row>
    <row r="358" spans="1:18" ht="15.75">
      <c r="A358" s="232" t="s">
        <v>1115</v>
      </c>
      <c r="B358" s="283">
        <f>R358</f>
        <v>1.4999999999999999E-4</v>
      </c>
      <c r="C358" t="s">
        <v>37</v>
      </c>
      <c r="D358" s="17" t="s">
        <v>43</v>
      </c>
      <c r="E358" t="s">
        <v>44</v>
      </c>
      <c r="F358" t="s">
        <v>29</v>
      </c>
      <c r="G358" t="s">
        <v>45</v>
      </c>
      <c r="H358">
        <v>2</v>
      </c>
      <c r="I358">
        <f t="shared" si="40"/>
        <v>-8.8048752638680181</v>
      </c>
      <c r="J358" s="330">
        <v>0.10344080432788608</v>
      </c>
      <c r="K358" t="s">
        <v>31</v>
      </c>
      <c r="L358" t="s">
        <v>31</v>
      </c>
      <c r="M358" t="s">
        <v>31</v>
      </c>
      <c r="O358" s="332" t="s">
        <v>947</v>
      </c>
      <c r="P358" s="333">
        <v>0.15</v>
      </c>
      <c r="Q358" t="s">
        <v>337</v>
      </c>
      <c r="R358" s="283">
        <f>0.001*P358</f>
        <v>1.4999999999999999E-4</v>
      </c>
    </row>
    <row r="359" spans="1:18" ht="15.75">
      <c r="A359" s="232" t="s">
        <v>48</v>
      </c>
      <c r="B359" s="283">
        <f t="shared" ref="B359:B361" si="41">R359</f>
        <v>2E-3</v>
      </c>
      <c r="C359" t="s">
        <v>37</v>
      </c>
      <c r="D359" s="17" t="s">
        <v>43</v>
      </c>
      <c r="E359" t="s">
        <v>44</v>
      </c>
      <c r="F359" t="s">
        <v>29</v>
      </c>
      <c r="G359" t="s">
        <v>45</v>
      </c>
      <c r="H359">
        <v>2</v>
      </c>
      <c r="I359">
        <f t="shared" si="40"/>
        <v>-6.2146080984221914</v>
      </c>
      <c r="J359" s="330">
        <v>0.10344080432788608</v>
      </c>
      <c r="K359" t="s">
        <v>31</v>
      </c>
      <c r="L359" t="s">
        <v>31</v>
      </c>
      <c r="M359" t="s">
        <v>31</v>
      </c>
      <c r="O359" s="332" t="s">
        <v>947</v>
      </c>
      <c r="P359" s="333">
        <v>2</v>
      </c>
      <c r="Q359" t="s">
        <v>337</v>
      </c>
      <c r="R359" s="283">
        <f>0.001*P359</f>
        <v>2E-3</v>
      </c>
    </row>
    <row r="360" spans="1:18" ht="15.75">
      <c r="A360" s="232" t="s">
        <v>46</v>
      </c>
      <c r="B360" s="283">
        <f t="shared" si="41"/>
        <v>1E-3</v>
      </c>
      <c r="C360" t="s">
        <v>37</v>
      </c>
      <c r="D360" s="17" t="s">
        <v>43</v>
      </c>
      <c r="E360" t="s">
        <v>44</v>
      </c>
      <c r="F360" t="s">
        <v>29</v>
      </c>
      <c r="G360" t="s">
        <v>45</v>
      </c>
      <c r="H360">
        <v>2</v>
      </c>
      <c r="I360">
        <f t="shared" si="40"/>
        <v>-6.9077552789821368</v>
      </c>
      <c r="J360" s="330">
        <v>0.10344080432788608</v>
      </c>
      <c r="K360" t="s">
        <v>31</v>
      </c>
      <c r="L360" t="s">
        <v>31</v>
      </c>
      <c r="M360" t="s">
        <v>31</v>
      </c>
      <c r="O360" s="332" t="s">
        <v>947</v>
      </c>
      <c r="P360" s="333">
        <v>1</v>
      </c>
      <c r="Q360" t="s">
        <v>337</v>
      </c>
      <c r="R360" s="283">
        <f>0.001*P360</f>
        <v>1E-3</v>
      </c>
    </row>
    <row r="361" spans="1:18">
      <c r="A361" s="232" t="s">
        <v>941</v>
      </c>
      <c r="B361" s="283">
        <f t="shared" si="41"/>
        <v>5.9000000000000003E-4</v>
      </c>
      <c r="C361" t="s">
        <v>37</v>
      </c>
      <c r="D361" t="s">
        <v>43</v>
      </c>
      <c r="E361" t="s">
        <v>44</v>
      </c>
      <c r="F361" t="s">
        <v>29</v>
      </c>
      <c r="G361" t="s">
        <v>45</v>
      </c>
      <c r="H361">
        <v>2</v>
      </c>
      <c r="I361">
        <f t="shared" si="40"/>
        <v>-7.4353880210645089</v>
      </c>
      <c r="J361" s="330">
        <v>0.10344080432788608</v>
      </c>
      <c r="K361" t="s">
        <v>31</v>
      </c>
      <c r="L361" t="s">
        <v>31</v>
      </c>
      <c r="M361" t="s">
        <v>31</v>
      </c>
      <c r="O361" s="332" t="s">
        <v>947</v>
      </c>
      <c r="P361" s="333">
        <v>0.59</v>
      </c>
      <c r="Q361" t="s">
        <v>337</v>
      </c>
      <c r="R361" s="283">
        <f>0.001*P361</f>
        <v>5.9000000000000003E-4</v>
      </c>
    </row>
    <row r="362" spans="1:18" ht="15.75">
      <c r="A362" s="17" t="s">
        <v>908</v>
      </c>
      <c r="B362" s="283">
        <f>P362</f>
        <v>8.0999999999999996E-3</v>
      </c>
      <c r="C362" t="s">
        <v>37</v>
      </c>
      <c r="D362" s="326" t="s">
        <v>2</v>
      </c>
      <c r="E362" t="s">
        <v>29</v>
      </c>
      <c r="F362" s="251" t="s">
        <v>39</v>
      </c>
      <c r="G362" t="s">
        <v>33</v>
      </c>
      <c r="H362">
        <v>2</v>
      </c>
      <c r="I362">
        <f t="shared" si="40"/>
        <v>-4.8158912173037436</v>
      </c>
      <c r="J362">
        <v>0.11269427669584645</v>
      </c>
      <c r="K362" t="s">
        <v>31</v>
      </c>
      <c r="L362" t="s">
        <v>31</v>
      </c>
      <c r="M362" t="s">
        <v>31</v>
      </c>
      <c r="O362" s="334" t="s">
        <v>337</v>
      </c>
      <c r="P362" s="315">
        <v>8.0999999999999996E-3</v>
      </c>
    </row>
    <row r="363" spans="1:18">
      <c r="P363" s="358"/>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6A075-F5E3-463C-BC12-24D5E38384CF}">
  <sheetPr>
    <tabColor theme="5"/>
  </sheetPr>
  <dimension ref="A1:P14"/>
  <sheetViews>
    <sheetView zoomScale="115" zoomScaleNormal="115" workbookViewId="0">
      <selection activeCell="A36" sqref="A36"/>
    </sheetView>
  </sheetViews>
  <sheetFormatPr defaultRowHeight="15"/>
  <cols>
    <col min="1" max="1" width="62.42578125" customWidth="1"/>
    <col min="2" max="2" width="19" customWidth="1"/>
    <col min="5" max="5" width="12.140625" bestFit="1" customWidth="1"/>
    <col min="8" max="8" width="12.5703125" customWidth="1"/>
    <col min="15" max="15" width="16.85546875" bestFit="1" customWidth="1"/>
  </cols>
  <sheetData>
    <row r="1" spans="1:16" s="173" customFormat="1" ht="12.75">
      <c r="A1" s="173" t="s">
        <v>0</v>
      </c>
      <c r="B1" s="173">
        <v>13</v>
      </c>
    </row>
    <row r="2" spans="1:16" s="173" customFormat="1" ht="12.75">
      <c r="A2" s="174" t="s">
        <v>5</v>
      </c>
      <c r="B2" s="175" t="s">
        <v>1189</v>
      </c>
      <c r="C2" s="175"/>
      <c r="D2" s="176"/>
    </row>
    <row r="3" spans="1:16" s="173" customFormat="1" ht="12.75">
      <c r="A3" s="177" t="s">
        <v>7</v>
      </c>
      <c r="B3" s="173" t="s">
        <v>1190</v>
      </c>
      <c r="D3" s="176"/>
    </row>
    <row r="4" spans="1:16" s="173" customFormat="1" ht="12.75">
      <c r="A4" s="177" t="s">
        <v>9</v>
      </c>
      <c r="B4" s="178" t="s">
        <v>1191</v>
      </c>
      <c r="D4" s="176"/>
    </row>
    <row r="5" spans="1:16" s="173" customFormat="1" ht="12.75" customHeight="1">
      <c r="A5" s="177" t="s">
        <v>11</v>
      </c>
      <c r="B5" s="179" t="s">
        <v>329</v>
      </c>
      <c r="C5" s="179"/>
    </row>
    <row r="6" spans="1:16" s="173" customFormat="1" ht="12.75">
      <c r="A6" s="177" t="s">
        <v>13</v>
      </c>
      <c r="B6" s="173" t="s">
        <v>14</v>
      </c>
    </row>
    <row r="7" spans="1:16" s="173" customFormat="1" ht="12.75">
      <c r="A7" s="177" t="s">
        <v>15</v>
      </c>
      <c r="B7" s="173">
        <v>1</v>
      </c>
    </row>
    <row r="8" spans="1:16" s="173" customFormat="1" ht="12.75">
      <c r="A8" s="177" t="s">
        <v>16</v>
      </c>
      <c r="B8" s="173" t="s">
        <v>17</v>
      </c>
    </row>
    <row r="9" spans="1:16" s="173" customFormat="1" ht="12.75">
      <c r="A9" s="177" t="s">
        <v>18</v>
      </c>
      <c r="B9" s="173" t="s">
        <v>18</v>
      </c>
    </row>
    <row r="10" spans="1:16" s="173" customFormat="1" ht="12.75">
      <c r="A10" s="174" t="s">
        <v>19</v>
      </c>
    </row>
    <row r="11" spans="1:16" s="173" customFormat="1">
      <c r="A11" s="174" t="s">
        <v>20</v>
      </c>
      <c r="B11" s="175" t="s">
        <v>21</v>
      </c>
      <c r="C11" s="180" t="s">
        <v>78</v>
      </c>
      <c r="D11" s="175" t="s">
        <v>18</v>
      </c>
      <c r="E11" s="175" t="s">
        <v>22</v>
      </c>
      <c r="F11" s="175" t="s">
        <v>7</v>
      </c>
      <c r="G11" s="175" t="s">
        <v>13</v>
      </c>
      <c r="H11" s="175" t="s">
        <v>16</v>
      </c>
      <c r="I11" s="175" t="s">
        <v>23</v>
      </c>
      <c r="J11" s="175" t="s">
        <v>24</v>
      </c>
      <c r="K11" s="175" t="s">
        <v>25</v>
      </c>
      <c r="L11" s="175" t="s">
        <v>26</v>
      </c>
      <c r="M11" s="175" t="s">
        <v>27</v>
      </c>
      <c r="N11" s="175" t="s">
        <v>28</v>
      </c>
      <c r="O11" s="175" t="s">
        <v>11</v>
      </c>
    </row>
    <row r="12" spans="1:16" s="181" customFormat="1" ht="12.75">
      <c r="A12" s="181" t="s">
        <v>1189</v>
      </c>
      <c r="B12" s="181">
        <v>1</v>
      </c>
      <c r="D12" s="181" t="s">
        <v>18</v>
      </c>
      <c r="E12" s="181" t="s">
        <v>2</v>
      </c>
      <c r="F12" s="181" t="s">
        <v>29</v>
      </c>
      <c r="G12" s="181" t="s">
        <v>14</v>
      </c>
      <c r="H12" s="181" t="s">
        <v>30</v>
      </c>
      <c r="I12" s="181">
        <v>1</v>
      </c>
      <c r="J12" s="181">
        <v>1</v>
      </c>
      <c r="K12" s="181" t="s">
        <v>31</v>
      </c>
      <c r="L12" s="181" t="s">
        <v>31</v>
      </c>
      <c r="M12" s="181" t="s">
        <v>31</v>
      </c>
      <c r="N12" s="181" t="s">
        <v>31</v>
      </c>
    </row>
    <row r="13" spans="1:16">
      <c r="A13" s="181" t="s">
        <v>1192</v>
      </c>
      <c r="B13" s="181">
        <v>1</v>
      </c>
      <c r="C13" s="181"/>
      <c r="D13" s="181" t="s">
        <v>18</v>
      </c>
      <c r="E13" s="181" t="s">
        <v>2</v>
      </c>
      <c r="F13" s="181" t="s">
        <v>29</v>
      </c>
      <c r="G13" s="181" t="s">
        <v>14</v>
      </c>
      <c r="H13" s="181" t="s">
        <v>33</v>
      </c>
      <c r="I13" s="181">
        <v>1</v>
      </c>
      <c r="J13" s="181">
        <v>1</v>
      </c>
      <c r="K13" s="181" t="s">
        <v>31</v>
      </c>
      <c r="L13" s="181" t="s">
        <v>31</v>
      </c>
      <c r="M13" s="181" t="s">
        <v>31</v>
      </c>
      <c r="N13" s="181" t="s">
        <v>31</v>
      </c>
      <c r="O13" s="181"/>
      <c r="P13" s="181"/>
    </row>
    <row r="14" spans="1:16" s="173" customFormat="1" ht="12.75">
      <c r="A14" s="177" t="s">
        <v>1193</v>
      </c>
      <c r="B14" s="173">
        <v>1</v>
      </c>
      <c r="D14" s="173" t="s">
        <v>18</v>
      </c>
      <c r="E14" s="173" t="s">
        <v>2</v>
      </c>
      <c r="F14" s="173" t="s">
        <v>29</v>
      </c>
      <c r="G14" s="173" t="s">
        <v>14</v>
      </c>
      <c r="H14" s="181" t="s">
        <v>33</v>
      </c>
      <c r="I14" s="173">
        <v>1</v>
      </c>
      <c r="J14" s="173">
        <v>1</v>
      </c>
      <c r="K14" s="173" t="s">
        <v>31</v>
      </c>
      <c r="L14" s="173" t="s">
        <v>31</v>
      </c>
      <c r="M14" s="173" t="s">
        <v>31</v>
      </c>
      <c r="N14" s="173" t="s">
        <v>31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5829-1E33-416B-82C3-2BA69A2906B2}">
  <sheetPr>
    <tabColor theme="5"/>
  </sheetPr>
  <dimension ref="A1:Q208"/>
  <sheetViews>
    <sheetView topLeftCell="A178" zoomScaleNormal="100" workbookViewId="0">
      <selection activeCell="B207" sqref="B207"/>
    </sheetView>
  </sheetViews>
  <sheetFormatPr defaultRowHeight="12.75"/>
  <cols>
    <col min="1" max="1" width="45.42578125" style="173" customWidth="1"/>
    <col min="2" max="2" width="53.42578125" style="173" customWidth="1"/>
    <col min="3" max="3" width="11.140625" style="173" customWidth="1"/>
    <col min="4" max="4" width="11.5703125" style="173" customWidth="1"/>
    <col min="5" max="5" width="28.5703125" style="173" customWidth="1"/>
    <col min="6" max="6" width="21.140625" style="173" customWidth="1"/>
    <col min="7" max="7" width="9.140625" style="173"/>
    <col min="8" max="8" width="16.85546875" style="173" customWidth="1"/>
    <col min="9" max="14" width="9.140625" style="173"/>
    <col min="15" max="16" width="49.140625" style="173" customWidth="1"/>
    <col min="17" max="16384" width="9.140625" style="173"/>
  </cols>
  <sheetData>
    <row r="1" spans="1:15" s="182" customFormat="1">
      <c r="A1" s="182" t="s">
        <v>0</v>
      </c>
      <c r="B1" s="182">
        <v>13</v>
      </c>
    </row>
    <row r="2" spans="1:15">
      <c r="A2" s="174" t="s">
        <v>5</v>
      </c>
      <c r="B2" s="175" t="s">
        <v>1192</v>
      </c>
      <c r="C2" s="175"/>
      <c r="D2" s="176"/>
    </row>
    <row r="3" spans="1:15">
      <c r="A3" s="177" t="s">
        <v>7</v>
      </c>
      <c r="B3" s="173" t="s">
        <v>1194</v>
      </c>
      <c r="D3" s="176"/>
    </row>
    <row r="4" spans="1:15">
      <c r="A4" s="177" t="s">
        <v>9</v>
      </c>
      <c r="B4" s="173" t="s">
        <v>1195</v>
      </c>
      <c r="D4" s="176"/>
    </row>
    <row r="5" spans="1:15" ht="25.5">
      <c r="A5" s="177" t="s">
        <v>11</v>
      </c>
      <c r="B5" s="179" t="s">
        <v>1196</v>
      </c>
      <c r="C5" s="179"/>
    </row>
    <row r="6" spans="1:15">
      <c r="A6" s="177" t="s">
        <v>13</v>
      </c>
      <c r="B6" s="173" t="s">
        <v>14</v>
      </c>
    </row>
    <row r="7" spans="1:15">
      <c r="A7" s="177" t="s">
        <v>15</v>
      </c>
      <c r="B7" s="173">
        <v>1</v>
      </c>
    </row>
    <row r="8" spans="1:15">
      <c r="A8" s="177" t="s">
        <v>16</v>
      </c>
      <c r="B8" s="173" t="s">
        <v>17</v>
      </c>
    </row>
    <row r="9" spans="1:15">
      <c r="A9" s="177" t="s">
        <v>18</v>
      </c>
      <c r="B9" s="173" t="s">
        <v>18</v>
      </c>
    </row>
    <row r="10" spans="1:15">
      <c r="A10" s="174" t="s">
        <v>19</v>
      </c>
    </row>
    <row r="11" spans="1:15" ht="15">
      <c r="A11" s="174" t="s">
        <v>20</v>
      </c>
      <c r="B11" s="175" t="s">
        <v>21</v>
      </c>
      <c r="C11" s="180" t="s">
        <v>78</v>
      </c>
      <c r="D11" s="175" t="s">
        <v>18</v>
      </c>
      <c r="E11" s="175" t="s">
        <v>22</v>
      </c>
      <c r="F11" s="175" t="s">
        <v>7</v>
      </c>
      <c r="G11" s="175" t="s">
        <v>13</v>
      </c>
      <c r="H11" s="175" t="s">
        <v>16</v>
      </c>
      <c r="I11" s="175" t="s">
        <v>23</v>
      </c>
      <c r="J11" s="175" t="s">
        <v>24</v>
      </c>
      <c r="K11" s="175" t="s">
        <v>25</v>
      </c>
      <c r="L11" s="175" t="s">
        <v>26</v>
      </c>
      <c r="M11" s="175" t="s">
        <v>27</v>
      </c>
      <c r="N11" s="175" t="s">
        <v>28</v>
      </c>
      <c r="O11" s="175" t="s">
        <v>11</v>
      </c>
    </row>
    <row r="12" spans="1:15" s="181" customFormat="1">
      <c r="A12" s="181" t="s">
        <v>1192</v>
      </c>
      <c r="B12" s="181">
        <v>1</v>
      </c>
      <c r="D12" s="181" t="s">
        <v>18</v>
      </c>
      <c r="E12" s="181" t="s">
        <v>2</v>
      </c>
      <c r="F12" s="181" t="s">
        <v>29</v>
      </c>
      <c r="G12" s="181" t="s">
        <v>14</v>
      </c>
      <c r="H12" s="181" t="s">
        <v>30</v>
      </c>
      <c r="I12" s="181">
        <v>1</v>
      </c>
      <c r="J12" s="181">
        <v>1</v>
      </c>
      <c r="K12" s="181" t="s">
        <v>31</v>
      </c>
      <c r="L12" s="181" t="s">
        <v>31</v>
      </c>
      <c r="M12" s="181" t="s">
        <v>31</v>
      </c>
      <c r="N12" s="181" t="s">
        <v>31</v>
      </c>
      <c r="O12" s="181" t="s">
        <v>1197</v>
      </c>
    </row>
    <row r="13" spans="1:15">
      <c r="A13" s="173" t="s">
        <v>1198</v>
      </c>
      <c r="B13" s="173">
        <v>2</v>
      </c>
      <c r="D13" s="173" t="s">
        <v>18</v>
      </c>
      <c r="E13" s="173" t="s">
        <v>2</v>
      </c>
      <c r="F13" s="173" t="s">
        <v>29</v>
      </c>
      <c r="G13" s="173" t="s">
        <v>60</v>
      </c>
      <c r="H13" s="173" t="s">
        <v>33</v>
      </c>
      <c r="I13" s="173">
        <v>1</v>
      </c>
      <c r="J13" s="173">
        <v>1</v>
      </c>
      <c r="K13" s="173" t="s">
        <v>31</v>
      </c>
      <c r="L13" s="173" t="s">
        <v>31</v>
      </c>
      <c r="M13" s="173" t="s">
        <v>31</v>
      </c>
      <c r="N13" s="173" t="s">
        <v>31</v>
      </c>
    </row>
    <row r="14" spans="1:15" s="183" customFormat="1" ht="13.5" thickBot="1">
      <c r="A14" s="183" t="s">
        <v>1199</v>
      </c>
      <c r="B14" s="183">
        <v>8</v>
      </c>
      <c r="D14" s="183" t="s">
        <v>18</v>
      </c>
      <c r="E14" s="183" t="s">
        <v>2</v>
      </c>
      <c r="F14" s="183" t="s">
        <v>29</v>
      </c>
      <c r="G14" s="183" t="s">
        <v>60</v>
      </c>
      <c r="H14" s="183" t="s">
        <v>33</v>
      </c>
      <c r="I14" s="183">
        <v>1</v>
      </c>
      <c r="J14" s="183">
        <v>1</v>
      </c>
      <c r="K14" s="183" t="s">
        <v>31</v>
      </c>
      <c r="L14" s="183" t="s">
        <v>31</v>
      </c>
      <c r="M14" s="183" t="s">
        <v>31</v>
      </c>
      <c r="N14" s="183" t="s">
        <v>31</v>
      </c>
    </row>
    <row r="15" spans="1:15">
      <c r="A15" s="174" t="s">
        <v>5</v>
      </c>
      <c r="B15" s="175" t="s">
        <v>1198</v>
      </c>
      <c r="C15" s="175"/>
      <c r="D15" s="176"/>
    </row>
    <row r="16" spans="1:15">
      <c r="A16" s="177" t="s">
        <v>7</v>
      </c>
      <c r="B16" s="173" t="s">
        <v>1194</v>
      </c>
      <c r="D16" s="176"/>
    </row>
    <row r="17" spans="1:15">
      <c r="A17" s="177" t="s">
        <v>9</v>
      </c>
      <c r="B17" s="173" t="s">
        <v>1200</v>
      </c>
      <c r="D17" s="176"/>
    </row>
    <row r="18" spans="1:15" ht="14.25" customHeight="1">
      <c r="A18" s="177" t="s">
        <v>11</v>
      </c>
      <c r="B18" s="179" t="s">
        <v>1201</v>
      </c>
      <c r="C18" s="179"/>
    </row>
    <row r="19" spans="1:15">
      <c r="A19" s="177" t="s">
        <v>13</v>
      </c>
      <c r="B19" s="173" t="s">
        <v>60</v>
      </c>
    </row>
    <row r="20" spans="1:15">
      <c r="A20" s="177" t="s">
        <v>15</v>
      </c>
      <c r="B20" s="173">
        <v>1</v>
      </c>
    </row>
    <row r="21" spans="1:15">
      <c r="A21" s="177" t="s">
        <v>16</v>
      </c>
      <c r="B21" s="173" t="s">
        <v>17</v>
      </c>
    </row>
    <row r="22" spans="1:15">
      <c r="A22" s="177" t="s">
        <v>18</v>
      </c>
      <c r="B22" s="173" t="s">
        <v>18</v>
      </c>
    </row>
    <row r="23" spans="1:15">
      <c r="A23" s="174" t="s">
        <v>19</v>
      </c>
    </row>
    <row r="24" spans="1:15" ht="15">
      <c r="A24" s="174" t="s">
        <v>20</v>
      </c>
      <c r="B24" s="175" t="s">
        <v>21</v>
      </c>
      <c r="C24" s="180" t="s">
        <v>78</v>
      </c>
      <c r="D24" s="175" t="s">
        <v>18</v>
      </c>
      <c r="E24" s="175" t="s">
        <v>22</v>
      </c>
      <c r="F24" s="175" t="s">
        <v>7</v>
      </c>
      <c r="G24" s="175" t="s">
        <v>13</v>
      </c>
      <c r="H24" s="175" t="s">
        <v>16</v>
      </c>
      <c r="I24" s="175" t="s">
        <v>23</v>
      </c>
      <c r="J24" s="175" t="s">
        <v>24</v>
      </c>
      <c r="K24" s="175" t="s">
        <v>25</v>
      </c>
      <c r="L24" s="175" t="s">
        <v>26</v>
      </c>
      <c r="M24" s="175" t="s">
        <v>27</v>
      </c>
      <c r="N24" s="175" t="s">
        <v>28</v>
      </c>
      <c r="O24" s="175" t="s">
        <v>11</v>
      </c>
    </row>
    <row r="25" spans="1:15" s="181" customFormat="1">
      <c r="A25" s="181" t="s">
        <v>1198</v>
      </c>
      <c r="B25" s="181">
        <v>1</v>
      </c>
      <c r="D25" s="181" t="s">
        <v>18</v>
      </c>
      <c r="E25" s="181" t="s">
        <v>2</v>
      </c>
      <c r="F25" s="181" t="s">
        <v>29</v>
      </c>
      <c r="G25" s="181" t="s">
        <v>60</v>
      </c>
      <c r="H25" s="181" t="s">
        <v>30</v>
      </c>
      <c r="I25" s="181">
        <v>1</v>
      </c>
      <c r="J25" s="181">
        <f>B25</f>
        <v>1</v>
      </c>
      <c r="K25" s="181" t="s">
        <v>31</v>
      </c>
      <c r="L25" s="181" t="s">
        <v>31</v>
      </c>
      <c r="M25" s="181" t="s">
        <v>31</v>
      </c>
      <c r="N25" s="181" t="s">
        <v>31</v>
      </c>
    </row>
    <row r="26" spans="1:15">
      <c r="A26" s="173" t="s">
        <v>1202</v>
      </c>
      <c r="B26" s="173">
        <v>118.49</v>
      </c>
      <c r="D26" s="173" t="s">
        <v>37</v>
      </c>
      <c r="E26" s="173" t="s">
        <v>2</v>
      </c>
      <c r="F26" s="173" t="s">
        <v>29</v>
      </c>
      <c r="G26" s="173" t="s">
        <v>60</v>
      </c>
      <c r="H26" s="173" t="s">
        <v>33</v>
      </c>
      <c r="I26" s="173">
        <v>2</v>
      </c>
      <c r="J26" s="173">
        <f>LN(B26)</f>
        <v>4.7748285688286485</v>
      </c>
      <c r="K26" s="173">
        <v>0.34842502800000003</v>
      </c>
      <c r="L26" s="173" t="s">
        <v>31</v>
      </c>
      <c r="M26" s="173" t="s">
        <v>31</v>
      </c>
      <c r="N26" s="173" t="s">
        <v>31</v>
      </c>
    </row>
    <row r="27" spans="1:15">
      <c r="A27" s="173" t="s">
        <v>1203</v>
      </c>
      <c r="B27" s="173">
        <v>4.33</v>
      </c>
      <c r="D27" s="173" t="s">
        <v>37</v>
      </c>
      <c r="E27" s="173" t="s">
        <v>2</v>
      </c>
      <c r="F27" s="173" t="s">
        <v>29</v>
      </c>
      <c r="G27" s="173" t="s">
        <v>60</v>
      </c>
      <c r="H27" s="173" t="s">
        <v>33</v>
      </c>
      <c r="I27" s="173">
        <v>2</v>
      </c>
      <c r="J27" s="173">
        <f t="shared" ref="J27:J28" si="0">LN(B27)</f>
        <v>1.4655675420143985</v>
      </c>
      <c r="K27" s="173">
        <v>0.34842502800000003</v>
      </c>
      <c r="L27" s="173" t="s">
        <v>31</v>
      </c>
      <c r="M27" s="173" t="s">
        <v>31</v>
      </c>
      <c r="N27" s="173" t="s">
        <v>31</v>
      </c>
    </row>
    <row r="28" spans="1:15" s="183" customFormat="1" ht="13.5" thickBot="1">
      <c r="A28" s="183" t="s">
        <v>1204</v>
      </c>
      <c r="B28" s="183">
        <v>26.7</v>
      </c>
      <c r="D28" s="183" t="s">
        <v>37</v>
      </c>
      <c r="E28" s="183" t="s">
        <v>2</v>
      </c>
      <c r="F28" s="183" t="s">
        <v>29</v>
      </c>
      <c r="G28" s="183" t="s">
        <v>60</v>
      </c>
      <c r="H28" s="183" t="s">
        <v>33</v>
      </c>
      <c r="I28" s="183">
        <v>2</v>
      </c>
      <c r="J28" s="183">
        <f t="shared" si="0"/>
        <v>3.2846635654062037</v>
      </c>
      <c r="K28" s="183">
        <v>0.34842502800000003</v>
      </c>
      <c r="L28" s="183" t="s">
        <v>31</v>
      </c>
      <c r="M28" s="183" t="s">
        <v>31</v>
      </c>
      <c r="N28" s="183" t="s">
        <v>31</v>
      </c>
    </row>
    <row r="29" spans="1:15">
      <c r="A29" s="174" t="s">
        <v>5</v>
      </c>
      <c r="B29" s="175" t="s">
        <v>1202</v>
      </c>
      <c r="C29" s="175"/>
      <c r="D29" s="176"/>
    </row>
    <row r="30" spans="1:15">
      <c r="A30" s="177" t="s">
        <v>7</v>
      </c>
      <c r="B30" s="173" t="s">
        <v>1194</v>
      </c>
      <c r="D30" s="176"/>
    </row>
    <row r="31" spans="1:15">
      <c r="A31" s="177" t="s">
        <v>9</v>
      </c>
      <c r="B31" s="173" t="s">
        <v>1205</v>
      </c>
      <c r="D31" s="176"/>
    </row>
    <row r="32" spans="1:15" ht="14.25" customHeight="1">
      <c r="A32" s="177" t="s">
        <v>11</v>
      </c>
      <c r="B32" s="179" t="s">
        <v>1206</v>
      </c>
      <c r="C32" s="179"/>
    </row>
    <row r="33" spans="1:17">
      <c r="A33" s="177" t="s">
        <v>13</v>
      </c>
      <c r="B33" s="173" t="s">
        <v>60</v>
      </c>
    </row>
    <row r="34" spans="1:17">
      <c r="A34" s="177" t="s">
        <v>15</v>
      </c>
      <c r="B34" s="173">
        <f>B26</f>
        <v>118.49</v>
      </c>
    </row>
    <row r="35" spans="1:17">
      <c r="A35" s="177" t="s">
        <v>16</v>
      </c>
      <c r="B35" s="173" t="s">
        <v>17</v>
      </c>
    </row>
    <row r="36" spans="1:17">
      <c r="A36" s="177" t="s">
        <v>18</v>
      </c>
      <c r="B36" s="173" t="s">
        <v>37</v>
      </c>
    </row>
    <row r="37" spans="1:17">
      <c r="A37" s="174" t="s">
        <v>19</v>
      </c>
    </row>
    <row r="38" spans="1:17" ht="15">
      <c r="A38" s="174" t="s">
        <v>20</v>
      </c>
      <c r="B38" s="175" t="s">
        <v>21</v>
      </c>
      <c r="C38" s="180" t="s">
        <v>78</v>
      </c>
      <c r="D38" s="175" t="s">
        <v>18</v>
      </c>
      <c r="E38" s="175" t="s">
        <v>22</v>
      </c>
      <c r="F38" s="175" t="s">
        <v>7</v>
      </c>
      <c r="G38" s="175" t="s">
        <v>13</v>
      </c>
      <c r="H38" s="175" t="s">
        <v>16</v>
      </c>
      <c r="I38" s="175" t="s">
        <v>23</v>
      </c>
      <c r="J38" s="175" t="s">
        <v>24</v>
      </c>
      <c r="K38" s="175" t="s">
        <v>25</v>
      </c>
      <c r="L38" s="175" t="s">
        <v>26</v>
      </c>
      <c r="M38" s="175" t="s">
        <v>27</v>
      </c>
      <c r="N38" s="175" t="s">
        <v>28</v>
      </c>
      <c r="O38" s="175" t="s">
        <v>11</v>
      </c>
      <c r="P38" s="175" t="s">
        <v>79</v>
      </c>
    </row>
    <row r="39" spans="1:17" s="181" customFormat="1">
      <c r="A39" s="181" t="s">
        <v>1202</v>
      </c>
      <c r="B39" s="181">
        <f>B26</f>
        <v>118.49</v>
      </c>
      <c r="D39" s="181" t="s">
        <v>37</v>
      </c>
      <c r="E39" s="181" t="s">
        <v>2</v>
      </c>
      <c r="F39" s="181" t="s">
        <v>29</v>
      </c>
      <c r="G39" s="181" t="s">
        <v>60</v>
      </c>
      <c r="H39" s="181" t="s">
        <v>30</v>
      </c>
      <c r="I39" s="181">
        <v>1</v>
      </c>
      <c r="J39" s="181">
        <f>B39</f>
        <v>118.49</v>
      </c>
      <c r="K39" s="181" t="s">
        <v>31</v>
      </c>
      <c r="L39" s="181" t="s">
        <v>31</v>
      </c>
      <c r="M39" s="181" t="s">
        <v>31</v>
      </c>
      <c r="N39" s="181" t="s">
        <v>31</v>
      </c>
    </row>
    <row r="40" spans="1:17">
      <c r="A40" s="83" t="s">
        <v>137</v>
      </c>
      <c r="B40" s="184">
        <v>52.17</v>
      </c>
      <c r="C40" s="184"/>
      <c r="D40" s="173" t="s">
        <v>37</v>
      </c>
      <c r="E40" s="173" t="s">
        <v>38</v>
      </c>
      <c r="F40" s="173" t="s">
        <v>29</v>
      </c>
      <c r="G40" s="185" t="s">
        <v>60</v>
      </c>
      <c r="H40" s="173" t="s">
        <v>33</v>
      </c>
      <c r="I40" s="173">
        <v>2</v>
      </c>
      <c r="J40" s="173">
        <f>LN(B40)</f>
        <v>3.9545076170343014</v>
      </c>
      <c r="K40" s="173">
        <v>0.362491379</v>
      </c>
      <c r="L40" s="181" t="s">
        <v>31</v>
      </c>
      <c r="M40" s="181" t="s">
        <v>31</v>
      </c>
      <c r="N40" s="181" t="s">
        <v>31</v>
      </c>
      <c r="O40" s="173" t="s">
        <v>1207</v>
      </c>
      <c r="Q40" s="173" t="s">
        <v>329</v>
      </c>
    </row>
    <row r="41" spans="1:17">
      <c r="A41" s="83" t="s">
        <v>137</v>
      </c>
      <c r="B41" s="173">
        <v>34.759799999999998</v>
      </c>
      <c r="D41" s="173" t="s">
        <v>37</v>
      </c>
      <c r="E41" s="173" t="s">
        <v>38</v>
      </c>
      <c r="F41" s="173" t="s">
        <v>29</v>
      </c>
      <c r="G41" s="185" t="s">
        <v>60</v>
      </c>
      <c r="H41" s="173" t="s">
        <v>33</v>
      </c>
      <c r="I41" s="173">
        <v>2</v>
      </c>
      <c r="J41" s="173">
        <f t="shared" ref="J41:J45" si="1">LN(B41)</f>
        <v>3.5484615466407075</v>
      </c>
      <c r="K41" s="173">
        <v>0.362491379</v>
      </c>
      <c r="L41" s="181" t="s">
        <v>31</v>
      </c>
      <c r="M41" s="181" t="s">
        <v>31</v>
      </c>
      <c r="N41" s="181" t="s">
        <v>31</v>
      </c>
      <c r="O41" s="173" t="s">
        <v>1208</v>
      </c>
      <c r="Q41" s="173" t="s">
        <v>329</v>
      </c>
    </row>
    <row r="42" spans="1:17">
      <c r="A42" s="185" t="s">
        <v>918</v>
      </c>
      <c r="B42" s="173">
        <v>19.590479999999999</v>
      </c>
      <c r="D42" s="173" t="s">
        <v>37</v>
      </c>
      <c r="E42" s="173" t="s">
        <v>38</v>
      </c>
      <c r="F42" s="173" t="s">
        <v>29</v>
      </c>
      <c r="G42" s="185" t="s">
        <v>60</v>
      </c>
      <c r="H42" s="173" t="s">
        <v>33</v>
      </c>
      <c r="I42" s="173">
        <v>2</v>
      </c>
      <c r="J42" s="173">
        <f t="shared" si="1"/>
        <v>2.9750437339533633</v>
      </c>
      <c r="K42" s="173">
        <v>0.362491379</v>
      </c>
      <c r="L42" s="181" t="s">
        <v>31</v>
      </c>
      <c r="M42" s="181" t="s">
        <v>31</v>
      </c>
      <c r="N42" s="181" t="s">
        <v>31</v>
      </c>
      <c r="O42" s="173" t="s">
        <v>1209</v>
      </c>
      <c r="Q42" s="173" t="s">
        <v>329</v>
      </c>
    </row>
    <row r="43" spans="1:17">
      <c r="A43" s="185" t="s">
        <v>146</v>
      </c>
      <c r="B43" s="173">
        <v>8.2471300000000003</v>
      </c>
      <c r="D43" s="173" t="s">
        <v>37</v>
      </c>
      <c r="E43" s="173" t="s">
        <v>38</v>
      </c>
      <c r="F43" s="173" t="s">
        <v>29</v>
      </c>
      <c r="G43" s="173" t="s">
        <v>60</v>
      </c>
      <c r="H43" s="173" t="s">
        <v>33</v>
      </c>
      <c r="I43" s="173">
        <v>2</v>
      </c>
      <c r="J43" s="173">
        <f t="shared" si="1"/>
        <v>2.1098652610348485</v>
      </c>
      <c r="K43" s="173">
        <v>0.362491379</v>
      </c>
      <c r="L43" s="181" t="s">
        <v>31</v>
      </c>
      <c r="M43" s="181" t="s">
        <v>31</v>
      </c>
      <c r="N43" s="181" t="s">
        <v>31</v>
      </c>
      <c r="O43" s="173" t="s">
        <v>1209</v>
      </c>
      <c r="Q43" s="173" t="s">
        <v>329</v>
      </c>
    </row>
    <row r="44" spans="1:17">
      <c r="A44" s="185" t="s">
        <v>1210</v>
      </c>
      <c r="B44" s="173">
        <v>3.72349</v>
      </c>
      <c r="D44" s="173" t="s">
        <v>37</v>
      </c>
      <c r="E44" s="173" t="s">
        <v>38</v>
      </c>
      <c r="F44" s="173" t="s">
        <v>29</v>
      </c>
      <c r="G44" s="173" t="s">
        <v>86</v>
      </c>
      <c r="H44" s="173" t="s">
        <v>33</v>
      </c>
      <c r="I44" s="173">
        <v>2</v>
      </c>
      <c r="J44" s="173">
        <f t="shared" si="1"/>
        <v>1.3146614005197306</v>
      </c>
      <c r="K44" s="173">
        <v>0.362491379</v>
      </c>
      <c r="L44" s="181" t="s">
        <v>31</v>
      </c>
      <c r="M44" s="181" t="s">
        <v>31</v>
      </c>
      <c r="N44" s="181" t="s">
        <v>31</v>
      </c>
      <c r="O44" s="173" t="s">
        <v>1211</v>
      </c>
    </row>
    <row r="45" spans="1:17">
      <c r="A45" s="173" t="s">
        <v>308</v>
      </c>
      <c r="B45" s="173">
        <v>6.7664900000000001</v>
      </c>
      <c r="D45" s="173" t="s">
        <v>37</v>
      </c>
      <c r="E45" s="173" t="s">
        <v>38</v>
      </c>
      <c r="F45" s="173" t="s">
        <v>29</v>
      </c>
      <c r="G45" s="173" t="s">
        <v>60</v>
      </c>
      <c r="H45" s="173" t="s">
        <v>33</v>
      </c>
      <c r="I45" s="173">
        <v>2</v>
      </c>
      <c r="J45" s="173">
        <f t="shared" si="1"/>
        <v>1.9119824886644181</v>
      </c>
      <c r="K45" s="173">
        <v>0.362491379</v>
      </c>
      <c r="L45" s="181" t="s">
        <v>31</v>
      </c>
      <c r="M45" s="181" t="s">
        <v>31</v>
      </c>
      <c r="N45" s="181" t="s">
        <v>31</v>
      </c>
      <c r="O45" s="173" t="s">
        <v>1212</v>
      </c>
      <c r="Q45" s="173" t="s">
        <v>329</v>
      </c>
    </row>
    <row r="46" spans="1:17">
      <c r="A46" s="177" t="s">
        <v>168</v>
      </c>
      <c r="B46" s="186">
        <v>1.56</v>
      </c>
      <c r="C46" s="186"/>
      <c r="D46" s="173" t="s">
        <v>41</v>
      </c>
      <c r="E46" s="173" t="s">
        <v>38</v>
      </c>
      <c r="F46" s="173" t="s">
        <v>29</v>
      </c>
      <c r="G46" s="173" t="s">
        <v>60</v>
      </c>
      <c r="H46" s="173" t="s">
        <v>33</v>
      </c>
      <c r="I46" s="173">
        <v>3</v>
      </c>
      <c r="J46" s="173">
        <f>B46</f>
        <v>1.56</v>
      </c>
      <c r="K46" s="173">
        <v>1.0702</v>
      </c>
      <c r="L46" s="173" t="s">
        <v>31</v>
      </c>
      <c r="M46" s="173" t="s">
        <v>31</v>
      </c>
      <c r="N46" s="173" t="s">
        <v>31</v>
      </c>
      <c r="O46" s="173" t="s">
        <v>1213</v>
      </c>
      <c r="P46" s="173" t="s">
        <v>1214</v>
      </c>
      <c r="Q46" s="173" t="s">
        <v>329</v>
      </c>
    </row>
    <row r="47" spans="1:17">
      <c r="A47" s="177" t="s">
        <v>168</v>
      </c>
      <c r="B47" s="186">
        <v>0.15</v>
      </c>
      <c r="C47" s="186"/>
      <c r="D47" s="173" t="s">
        <v>41</v>
      </c>
      <c r="E47" s="173" t="s">
        <v>38</v>
      </c>
      <c r="F47" s="173" t="s">
        <v>29</v>
      </c>
      <c r="G47" s="173" t="s">
        <v>60</v>
      </c>
      <c r="H47" s="173" t="s">
        <v>33</v>
      </c>
      <c r="I47" s="173">
        <v>3</v>
      </c>
      <c r="J47" s="173">
        <f t="shared" ref="J47:J63" si="2">B47</f>
        <v>0.15</v>
      </c>
      <c r="K47" s="173">
        <v>1.0702</v>
      </c>
      <c r="L47" s="173" t="s">
        <v>31</v>
      </c>
      <c r="M47" s="173" t="s">
        <v>31</v>
      </c>
      <c r="N47" s="173" t="s">
        <v>31</v>
      </c>
      <c r="O47" s="173" t="s">
        <v>1215</v>
      </c>
      <c r="P47" s="173" t="s">
        <v>1214</v>
      </c>
      <c r="Q47" s="173" t="s">
        <v>329</v>
      </c>
    </row>
    <row r="48" spans="1:17">
      <c r="A48" s="177" t="s">
        <v>168</v>
      </c>
      <c r="B48" s="186">
        <v>7.1999999999999995E-2</v>
      </c>
      <c r="C48" s="186"/>
      <c r="D48" s="173" t="s">
        <v>41</v>
      </c>
      <c r="E48" s="173" t="s">
        <v>38</v>
      </c>
      <c r="F48" s="173" t="s">
        <v>29</v>
      </c>
      <c r="G48" s="173" t="s">
        <v>60</v>
      </c>
      <c r="H48" s="173" t="s">
        <v>33</v>
      </c>
      <c r="I48" s="173">
        <v>3</v>
      </c>
      <c r="J48" s="173">
        <f t="shared" si="2"/>
        <v>7.1999999999999995E-2</v>
      </c>
      <c r="K48" s="173">
        <v>1.0702</v>
      </c>
      <c r="L48" s="173" t="s">
        <v>31</v>
      </c>
      <c r="M48" s="173" t="s">
        <v>31</v>
      </c>
      <c r="N48" s="173" t="s">
        <v>31</v>
      </c>
      <c r="O48" s="173" t="s">
        <v>1216</v>
      </c>
      <c r="P48" s="173" t="s">
        <v>1214</v>
      </c>
      <c r="Q48" s="173" t="s">
        <v>329</v>
      </c>
    </row>
    <row r="49" spans="1:17">
      <c r="A49" s="177" t="s">
        <v>168</v>
      </c>
      <c r="B49" s="186">
        <v>1.38</v>
      </c>
      <c r="C49" s="186"/>
      <c r="D49" s="173" t="s">
        <v>41</v>
      </c>
      <c r="E49" s="173" t="s">
        <v>38</v>
      </c>
      <c r="F49" s="173" t="s">
        <v>29</v>
      </c>
      <c r="G49" s="173" t="s">
        <v>60</v>
      </c>
      <c r="H49" s="173" t="s">
        <v>33</v>
      </c>
      <c r="I49" s="173">
        <v>3</v>
      </c>
      <c r="J49" s="173">
        <f t="shared" si="2"/>
        <v>1.38</v>
      </c>
      <c r="K49" s="173">
        <v>1.0547</v>
      </c>
      <c r="L49" s="173" t="s">
        <v>31</v>
      </c>
      <c r="M49" s="173" t="s">
        <v>31</v>
      </c>
      <c r="N49" s="173" t="s">
        <v>31</v>
      </c>
      <c r="O49" s="173" t="s">
        <v>1217</v>
      </c>
      <c r="P49" s="173" t="s">
        <v>1214</v>
      </c>
      <c r="Q49" s="173" t="s">
        <v>329</v>
      </c>
    </row>
    <row r="50" spans="1:17">
      <c r="A50" s="177" t="s">
        <v>168</v>
      </c>
      <c r="B50" s="186">
        <v>7.1999999999999995E-2</v>
      </c>
      <c r="C50" s="186"/>
      <c r="D50" s="173" t="s">
        <v>41</v>
      </c>
      <c r="E50" s="173" t="s">
        <v>38</v>
      </c>
      <c r="F50" s="173" t="s">
        <v>29</v>
      </c>
      <c r="G50" s="173" t="s">
        <v>60</v>
      </c>
      <c r="H50" s="173" t="s">
        <v>33</v>
      </c>
      <c r="I50" s="173">
        <v>3</v>
      </c>
      <c r="J50" s="173">
        <f t="shared" si="2"/>
        <v>7.1999999999999995E-2</v>
      </c>
      <c r="K50" s="173">
        <v>1.0754999999999999</v>
      </c>
      <c r="L50" s="173" t="s">
        <v>31</v>
      </c>
      <c r="M50" s="173" t="s">
        <v>31</v>
      </c>
      <c r="N50" s="173" t="s">
        <v>31</v>
      </c>
      <c r="O50" s="173" t="s">
        <v>1218</v>
      </c>
      <c r="P50" s="173" t="s">
        <v>1214</v>
      </c>
      <c r="Q50" s="173" t="s">
        <v>329</v>
      </c>
    </row>
    <row r="51" spans="1:17">
      <c r="A51" s="177" t="s">
        <v>168</v>
      </c>
      <c r="B51" s="186">
        <v>1.839</v>
      </c>
      <c r="C51" s="186"/>
      <c r="D51" s="173" t="s">
        <v>41</v>
      </c>
      <c r="E51" s="173" t="s">
        <v>38</v>
      </c>
      <c r="F51" s="173" t="s">
        <v>29</v>
      </c>
      <c r="G51" s="173" t="s">
        <v>60</v>
      </c>
      <c r="H51" s="173" t="s">
        <v>33</v>
      </c>
      <c r="I51" s="173">
        <v>3</v>
      </c>
      <c r="J51" s="173">
        <f t="shared" si="2"/>
        <v>1.839</v>
      </c>
      <c r="K51" s="173">
        <v>1.0582</v>
      </c>
      <c r="L51" s="173" t="s">
        <v>31</v>
      </c>
      <c r="M51" s="173" t="s">
        <v>31</v>
      </c>
      <c r="N51" s="173" t="s">
        <v>31</v>
      </c>
      <c r="O51" s="173" t="s">
        <v>1219</v>
      </c>
      <c r="P51" s="173" t="s">
        <v>1214</v>
      </c>
      <c r="Q51" s="173" t="s">
        <v>329</v>
      </c>
    </row>
    <row r="52" spans="1:17" s="188" customFormat="1">
      <c r="A52" s="187" t="s">
        <v>134</v>
      </c>
      <c r="B52" s="188">
        <v>110.4</v>
      </c>
      <c r="D52" s="188" t="s">
        <v>37</v>
      </c>
      <c r="E52" s="188" t="s">
        <v>38</v>
      </c>
      <c r="F52" s="188" t="s">
        <v>29</v>
      </c>
      <c r="G52" s="188" t="s">
        <v>86</v>
      </c>
      <c r="H52" s="188" t="s">
        <v>33</v>
      </c>
      <c r="J52" s="189">
        <f t="shared" si="2"/>
        <v>110.4</v>
      </c>
      <c r="K52" s="188">
        <v>1.0582</v>
      </c>
      <c r="L52" s="188" t="s">
        <v>31</v>
      </c>
      <c r="M52" s="188" t="s">
        <v>31</v>
      </c>
      <c r="N52" s="188" t="s">
        <v>31</v>
      </c>
      <c r="O52" s="188" t="s">
        <v>1220</v>
      </c>
      <c r="P52" s="188" t="s">
        <v>1214</v>
      </c>
      <c r="Q52" s="173" t="s">
        <v>329</v>
      </c>
    </row>
    <row r="53" spans="1:17">
      <c r="A53" s="190" t="s">
        <v>137</v>
      </c>
      <c r="B53" s="173">
        <f>B52</f>
        <v>110.4</v>
      </c>
      <c r="D53" s="173" t="s">
        <v>37</v>
      </c>
      <c r="E53" s="173" t="s">
        <v>38</v>
      </c>
      <c r="F53" s="173" t="s">
        <v>29</v>
      </c>
      <c r="G53" s="173" t="s">
        <v>60</v>
      </c>
      <c r="H53" s="173" t="s">
        <v>98</v>
      </c>
      <c r="J53" s="191">
        <f t="shared" si="2"/>
        <v>110.4</v>
      </c>
      <c r="K53" s="173">
        <f>K52</f>
        <v>1.0582</v>
      </c>
      <c r="L53" s="173" t="s">
        <v>31</v>
      </c>
      <c r="M53" s="173" t="s">
        <v>31</v>
      </c>
      <c r="N53" s="173" t="s">
        <v>31</v>
      </c>
      <c r="O53" s="173" t="s">
        <v>1221</v>
      </c>
      <c r="P53" s="173" t="s">
        <v>1214</v>
      </c>
      <c r="Q53" s="173" t="s">
        <v>329</v>
      </c>
    </row>
    <row r="54" spans="1:17" s="188" customFormat="1">
      <c r="A54" s="187" t="s">
        <v>134</v>
      </c>
      <c r="B54" s="188">
        <v>0.69599999999999995</v>
      </c>
      <c r="D54" s="188" t="s">
        <v>37</v>
      </c>
      <c r="E54" s="188" t="s">
        <v>38</v>
      </c>
      <c r="F54" s="188" t="s">
        <v>29</v>
      </c>
      <c r="G54" s="188" t="s">
        <v>86</v>
      </c>
      <c r="H54" s="188" t="s">
        <v>33</v>
      </c>
      <c r="J54" s="188">
        <f t="shared" si="2"/>
        <v>0.69599999999999995</v>
      </c>
      <c r="K54" s="188">
        <v>1.1084000000000001</v>
      </c>
      <c r="L54" s="188" t="s">
        <v>31</v>
      </c>
      <c r="M54" s="188" t="s">
        <v>31</v>
      </c>
      <c r="N54" s="188" t="s">
        <v>31</v>
      </c>
      <c r="O54" s="188" t="s">
        <v>1222</v>
      </c>
      <c r="P54" s="188" t="s">
        <v>1214</v>
      </c>
      <c r="Q54" s="173" t="s">
        <v>329</v>
      </c>
    </row>
    <row r="55" spans="1:17" s="182" customFormat="1">
      <c r="A55" s="192" t="s">
        <v>137</v>
      </c>
      <c r="B55" s="182">
        <f>B54</f>
        <v>0.69599999999999995</v>
      </c>
      <c r="D55" s="182" t="s">
        <v>37</v>
      </c>
      <c r="E55" s="182" t="s">
        <v>38</v>
      </c>
      <c r="F55" s="182" t="s">
        <v>29</v>
      </c>
      <c r="G55" s="182" t="s">
        <v>60</v>
      </c>
      <c r="H55" s="182" t="s">
        <v>98</v>
      </c>
      <c r="J55" s="182">
        <f t="shared" si="2"/>
        <v>0.69599999999999995</v>
      </c>
      <c r="K55" s="173">
        <f>K54</f>
        <v>1.1084000000000001</v>
      </c>
      <c r="L55" s="182" t="s">
        <v>31</v>
      </c>
      <c r="M55" s="182" t="s">
        <v>31</v>
      </c>
      <c r="N55" s="182" t="s">
        <v>31</v>
      </c>
      <c r="O55" s="173" t="s">
        <v>1223</v>
      </c>
      <c r="P55" s="182" t="s">
        <v>1214</v>
      </c>
      <c r="Q55" s="173" t="s">
        <v>329</v>
      </c>
    </row>
    <row r="56" spans="1:17" s="188" customFormat="1">
      <c r="A56" s="187" t="s">
        <v>134</v>
      </c>
      <c r="B56" s="173">
        <v>2.13</v>
      </c>
      <c r="D56" s="188" t="s">
        <v>37</v>
      </c>
      <c r="E56" s="188" t="s">
        <v>38</v>
      </c>
      <c r="F56" s="188" t="s">
        <v>29</v>
      </c>
      <c r="G56" s="188" t="s">
        <v>86</v>
      </c>
      <c r="H56" s="188" t="s">
        <v>33</v>
      </c>
      <c r="J56" s="188">
        <f t="shared" si="2"/>
        <v>2.13</v>
      </c>
      <c r="K56" s="188">
        <v>1.1084000000000001</v>
      </c>
      <c r="L56" s="188" t="s">
        <v>31</v>
      </c>
      <c r="M56" s="188" t="s">
        <v>31</v>
      </c>
      <c r="N56" s="188" t="s">
        <v>31</v>
      </c>
      <c r="O56" s="188" t="s">
        <v>1224</v>
      </c>
      <c r="P56" s="188" t="s">
        <v>1214</v>
      </c>
      <c r="Q56" s="173" t="s">
        <v>329</v>
      </c>
    </row>
    <row r="57" spans="1:17" s="182" customFormat="1">
      <c r="A57" s="192" t="s">
        <v>137</v>
      </c>
      <c r="B57" s="182">
        <f>B56</f>
        <v>2.13</v>
      </c>
      <c r="D57" s="182" t="s">
        <v>37</v>
      </c>
      <c r="E57" s="182" t="s">
        <v>38</v>
      </c>
      <c r="F57" s="182" t="s">
        <v>29</v>
      </c>
      <c r="G57" s="182" t="s">
        <v>60</v>
      </c>
      <c r="H57" s="182" t="s">
        <v>98</v>
      </c>
      <c r="J57" s="182">
        <f t="shared" si="2"/>
        <v>2.13</v>
      </c>
      <c r="K57" s="173">
        <f>K56</f>
        <v>1.1084000000000001</v>
      </c>
      <c r="L57" s="182" t="s">
        <v>31</v>
      </c>
      <c r="M57" s="182" t="s">
        <v>31</v>
      </c>
      <c r="N57" s="182" t="s">
        <v>31</v>
      </c>
      <c r="O57" s="173" t="s">
        <v>1225</v>
      </c>
      <c r="P57" s="182" t="s">
        <v>1214</v>
      </c>
      <c r="Q57" s="173" t="s">
        <v>329</v>
      </c>
    </row>
    <row r="58" spans="1:17" s="188" customFormat="1">
      <c r="A58" s="187" t="s">
        <v>134</v>
      </c>
      <c r="B58" s="188">
        <v>1.29</v>
      </c>
      <c r="D58" s="188" t="s">
        <v>37</v>
      </c>
      <c r="E58" s="188" t="s">
        <v>38</v>
      </c>
      <c r="F58" s="188" t="s">
        <v>29</v>
      </c>
      <c r="G58" s="188" t="s">
        <v>86</v>
      </c>
      <c r="H58" s="188" t="s">
        <v>33</v>
      </c>
      <c r="J58" s="188">
        <f t="shared" si="2"/>
        <v>1.29</v>
      </c>
      <c r="K58" s="188">
        <v>1.0582</v>
      </c>
      <c r="L58" s="188" t="s">
        <v>31</v>
      </c>
      <c r="M58" s="188" t="s">
        <v>31</v>
      </c>
      <c r="N58" s="188" t="s">
        <v>31</v>
      </c>
      <c r="O58" s="188" t="s">
        <v>1226</v>
      </c>
      <c r="P58" s="188" t="s">
        <v>1214</v>
      </c>
      <c r="Q58" s="173" t="s">
        <v>329</v>
      </c>
    </row>
    <row r="59" spans="1:17" s="182" customFormat="1">
      <c r="A59" s="192" t="s">
        <v>137</v>
      </c>
      <c r="B59" s="182">
        <f>B58</f>
        <v>1.29</v>
      </c>
      <c r="D59" s="182" t="s">
        <v>37</v>
      </c>
      <c r="E59" s="182" t="s">
        <v>38</v>
      </c>
      <c r="F59" s="182" t="s">
        <v>29</v>
      </c>
      <c r="G59" s="182" t="s">
        <v>60</v>
      </c>
      <c r="H59" s="182" t="s">
        <v>98</v>
      </c>
      <c r="J59" s="182">
        <f t="shared" si="2"/>
        <v>1.29</v>
      </c>
      <c r="K59" s="173">
        <f>K58</f>
        <v>1.0582</v>
      </c>
      <c r="L59" s="182" t="s">
        <v>31</v>
      </c>
      <c r="M59" s="182" t="s">
        <v>31</v>
      </c>
      <c r="N59" s="182" t="s">
        <v>31</v>
      </c>
      <c r="O59" s="182" t="s">
        <v>1227</v>
      </c>
      <c r="P59" s="182" t="s">
        <v>1214</v>
      </c>
      <c r="Q59" s="173" t="s">
        <v>329</v>
      </c>
    </row>
    <row r="60" spans="1:17">
      <c r="A60" s="193" t="s">
        <v>100</v>
      </c>
      <c r="B60" s="173">
        <v>0.23100000000000001</v>
      </c>
      <c r="C60" s="173" t="s">
        <v>101</v>
      </c>
      <c r="D60" s="173" t="s">
        <v>37</v>
      </c>
      <c r="E60" s="173" t="s">
        <v>38</v>
      </c>
      <c r="F60" s="173" t="s">
        <v>29</v>
      </c>
      <c r="G60" s="173" t="s">
        <v>86</v>
      </c>
      <c r="H60" s="173" t="s">
        <v>33</v>
      </c>
      <c r="J60" s="173">
        <f t="shared" si="2"/>
        <v>0.23100000000000001</v>
      </c>
      <c r="K60" s="173">
        <v>1.1084000000000001</v>
      </c>
      <c r="L60" s="173" t="s">
        <v>31</v>
      </c>
      <c r="M60" s="173" t="s">
        <v>31</v>
      </c>
      <c r="N60" s="173" t="s">
        <v>31</v>
      </c>
      <c r="O60" s="173" t="s">
        <v>1228</v>
      </c>
      <c r="P60" s="173" t="s">
        <v>1214</v>
      </c>
      <c r="Q60" s="173" t="s">
        <v>329</v>
      </c>
    </row>
    <row r="61" spans="1:17">
      <c r="A61" s="194" t="s">
        <v>918</v>
      </c>
      <c r="B61" s="182">
        <f>B60</f>
        <v>0.23100000000000001</v>
      </c>
      <c r="D61" s="173" t="s">
        <v>37</v>
      </c>
      <c r="E61" s="173" t="s">
        <v>38</v>
      </c>
      <c r="F61" s="173" t="s">
        <v>29</v>
      </c>
      <c r="G61" s="185" t="s">
        <v>60</v>
      </c>
      <c r="H61" s="173" t="s">
        <v>98</v>
      </c>
      <c r="J61" s="173">
        <f t="shared" si="2"/>
        <v>0.23100000000000001</v>
      </c>
      <c r="K61" s="173">
        <f>K60</f>
        <v>1.1084000000000001</v>
      </c>
      <c r="L61" s="173" t="s">
        <v>31</v>
      </c>
      <c r="M61" s="173" t="s">
        <v>31</v>
      </c>
      <c r="N61" s="173" t="s">
        <v>31</v>
      </c>
      <c r="O61" s="173" t="s">
        <v>1229</v>
      </c>
      <c r="P61" s="173" t="s">
        <v>1214</v>
      </c>
      <c r="Q61" s="173" t="s">
        <v>329</v>
      </c>
    </row>
    <row r="62" spans="1:17" s="188" customFormat="1">
      <c r="A62" s="187" t="s">
        <v>100</v>
      </c>
      <c r="B62" s="173">
        <v>0.108</v>
      </c>
      <c r="C62" s="188" t="s">
        <v>101</v>
      </c>
      <c r="D62" s="188" t="s">
        <v>37</v>
      </c>
      <c r="E62" s="188" t="s">
        <v>38</v>
      </c>
      <c r="F62" s="188" t="s">
        <v>29</v>
      </c>
      <c r="G62" s="188" t="s">
        <v>86</v>
      </c>
      <c r="H62" s="188" t="s">
        <v>33</v>
      </c>
      <c r="J62" s="188">
        <f t="shared" si="2"/>
        <v>0.108</v>
      </c>
      <c r="K62" s="188">
        <v>1.0702</v>
      </c>
      <c r="L62" s="188" t="s">
        <v>31</v>
      </c>
      <c r="M62" s="188" t="s">
        <v>31</v>
      </c>
      <c r="N62" s="188" t="s">
        <v>31</v>
      </c>
      <c r="O62" s="188" t="s">
        <v>1230</v>
      </c>
      <c r="P62" s="188" t="s">
        <v>1214</v>
      </c>
      <c r="Q62" s="173" t="s">
        <v>329</v>
      </c>
    </row>
    <row r="63" spans="1:17" s="182" customFormat="1">
      <c r="A63" s="195" t="s">
        <v>918</v>
      </c>
      <c r="B63" s="182">
        <f>B62</f>
        <v>0.108</v>
      </c>
      <c r="D63" s="182" t="s">
        <v>37</v>
      </c>
      <c r="E63" s="182" t="s">
        <v>38</v>
      </c>
      <c r="F63" s="182" t="s">
        <v>29</v>
      </c>
      <c r="G63" s="196" t="s">
        <v>60</v>
      </c>
      <c r="H63" s="182" t="s">
        <v>98</v>
      </c>
      <c r="J63" s="182">
        <f t="shared" si="2"/>
        <v>0.108</v>
      </c>
      <c r="K63" s="173">
        <f>K62</f>
        <v>1.0702</v>
      </c>
      <c r="L63" s="182" t="s">
        <v>31</v>
      </c>
      <c r="M63" s="182" t="s">
        <v>31</v>
      </c>
      <c r="N63" s="182" t="s">
        <v>31</v>
      </c>
      <c r="O63" s="182" t="s">
        <v>1231</v>
      </c>
      <c r="P63" s="182" t="s">
        <v>1214</v>
      </c>
      <c r="Q63" s="173" t="s">
        <v>329</v>
      </c>
    </row>
    <row r="64" spans="1:17" s="183" customFormat="1" ht="13.5" thickBot="1">
      <c r="A64" s="197" t="s">
        <v>47</v>
      </c>
      <c r="B64" s="183">
        <v>1.29</v>
      </c>
      <c r="D64" s="183" t="s">
        <v>37</v>
      </c>
      <c r="E64" s="183" t="s">
        <v>43</v>
      </c>
      <c r="F64" s="183" t="s">
        <v>44</v>
      </c>
      <c r="G64" s="183" t="s">
        <v>29</v>
      </c>
      <c r="H64" s="183" t="s">
        <v>45</v>
      </c>
      <c r="J64" s="183">
        <f>B64</f>
        <v>1.29</v>
      </c>
      <c r="K64" s="198">
        <v>1.4302999999999999</v>
      </c>
      <c r="L64" s="183" t="s">
        <v>31</v>
      </c>
      <c r="M64" s="183" t="s">
        <v>31</v>
      </c>
      <c r="N64" s="183" t="s">
        <v>31</v>
      </c>
      <c r="O64" s="183" t="s">
        <v>1232</v>
      </c>
      <c r="P64" s="183" t="s">
        <v>1214</v>
      </c>
      <c r="Q64" s="183" t="s">
        <v>329</v>
      </c>
    </row>
    <row r="65" spans="1:16">
      <c r="A65" s="174" t="s">
        <v>5</v>
      </c>
      <c r="B65" s="175" t="s">
        <v>1203</v>
      </c>
      <c r="C65" s="175"/>
      <c r="D65" s="176"/>
    </row>
    <row r="66" spans="1:16">
      <c r="A66" s="177" t="s">
        <v>7</v>
      </c>
      <c r="B66" s="173" t="s">
        <v>1194</v>
      </c>
      <c r="D66" s="176"/>
    </row>
    <row r="67" spans="1:16">
      <c r="A67" s="177" t="s">
        <v>9</v>
      </c>
      <c r="B67" s="173" t="s">
        <v>1233</v>
      </c>
      <c r="D67" s="176"/>
    </row>
    <row r="68" spans="1:16" ht="14.25" customHeight="1">
      <c r="A68" s="177" t="s">
        <v>11</v>
      </c>
      <c r="B68" s="179" t="s">
        <v>1234</v>
      </c>
      <c r="C68" s="179"/>
    </row>
    <row r="69" spans="1:16">
      <c r="A69" s="177" t="s">
        <v>13</v>
      </c>
      <c r="B69" s="173" t="s">
        <v>60</v>
      </c>
    </row>
    <row r="70" spans="1:16">
      <c r="A70" s="177" t="s">
        <v>15</v>
      </c>
      <c r="B70" s="173">
        <f>B27</f>
        <v>4.33</v>
      </c>
    </row>
    <row r="71" spans="1:16">
      <c r="A71" s="177" t="s">
        <v>16</v>
      </c>
      <c r="B71" s="173" t="s">
        <v>17</v>
      </c>
    </row>
    <row r="72" spans="1:16">
      <c r="A72" s="177" t="s">
        <v>18</v>
      </c>
      <c r="B72" s="173" t="s">
        <v>37</v>
      </c>
    </row>
    <row r="73" spans="1:16">
      <c r="A73" s="174" t="s">
        <v>19</v>
      </c>
    </row>
    <row r="74" spans="1:16" ht="15">
      <c r="A74" s="174" t="s">
        <v>20</v>
      </c>
      <c r="B74" s="175" t="s">
        <v>21</v>
      </c>
      <c r="C74" s="180" t="s">
        <v>78</v>
      </c>
      <c r="D74" s="175" t="s">
        <v>18</v>
      </c>
      <c r="E74" s="175" t="s">
        <v>22</v>
      </c>
      <c r="F74" s="175" t="s">
        <v>7</v>
      </c>
      <c r="G74" s="175" t="s">
        <v>13</v>
      </c>
      <c r="H74" s="175" t="s">
        <v>16</v>
      </c>
      <c r="I74" s="175" t="s">
        <v>23</v>
      </c>
      <c r="J74" s="175" t="s">
        <v>24</v>
      </c>
      <c r="K74" s="175" t="s">
        <v>25</v>
      </c>
      <c r="L74" s="175" t="s">
        <v>26</v>
      </c>
      <c r="M74" s="175" t="s">
        <v>27</v>
      </c>
      <c r="N74" s="175" t="s">
        <v>28</v>
      </c>
      <c r="O74" s="175" t="s">
        <v>11</v>
      </c>
      <c r="P74" s="175" t="s">
        <v>79</v>
      </c>
    </row>
    <row r="75" spans="1:16" s="181" customFormat="1">
      <c r="A75" s="181" t="s">
        <v>1203</v>
      </c>
      <c r="B75" s="181">
        <f>B27</f>
        <v>4.33</v>
      </c>
      <c r="D75" s="181" t="s">
        <v>37</v>
      </c>
      <c r="E75" s="181" t="s">
        <v>2</v>
      </c>
      <c r="F75" s="181" t="s">
        <v>29</v>
      </c>
      <c r="G75" s="181" t="s">
        <v>60</v>
      </c>
      <c r="H75" s="181" t="s">
        <v>30</v>
      </c>
      <c r="I75" s="181">
        <v>1</v>
      </c>
      <c r="J75" s="181">
        <f>B75</f>
        <v>4.33</v>
      </c>
      <c r="K75" s="181" t="s">
        <v>31</v>
      </c>
      <c r="L75" s="181" t="s">
        <v>31</v>
      </c>
      <c r="M75" s="181" t="s">
        <v>31</v>
      </c>
      <c r="N75" s="181" t="s">
        <v>31</v>
      </c>
    </row>
    <row r="76" spans="1:16" ht="12.75" customHeight="1">
      <c r="A76" s="83" t="s">
        <v>137</v>
      </c>
      <c r="B76" s="173">
        <v>4.33</v>
      </c>
      <c r="D76" s="173" t="s">
        <v>37</v>
      </c>
      <c r="E76" s="173" t="s">
        <v>38</v>
      </c>
      <c r="F76" s="173" t="s">
        <v>29</v>
      </c>
      <c r="G76" s="185" t="s">
        <v>60</v>
      </c>
      <c r="H76" s="173" t="s">
        <v>33</v>
      </c>
      <c r="I76" s="173">
        <v>2</v>
      </c>
      <c r="J76" s="173">
        <f>LN(B76)</f>
        <v>1.4655675420143985</v>
      </c>
      <c r="K76" s="173">
        <v>0.34842502800000003</v>
      </c>
      <c r="L76" s="173" t="s">
        <v>31</v>
      </c>
      <c r="M76" s="173" t="s">
        <v>31</v>
      </c>
      <c r="N76" s="173" t="s">
        <v>31</v>
      </c>
      <c r="O76" s="179" t="s">
        <v>1235</v>
      </c>
      <c r="P76" s="173" t="s">
        <v>329</v>
      </c>
    </row>
    <row r="77" spans="1:16">
      <c r="A77" s="177" t="s">
        <v>168</v>
      </c>
      <c r="B77" s="173">
        <v>0.83099999999999996</v>
      </c>
      <c r="D77" s="173" t="s">
        <v>41</v>
      </c>
      <c r="E77" s="173" t="s">
        <v>38</v>
      </c>
      <c r="F77" s="173" t="s">
        <v>29</v>
      </c>
      <c r="G77" s="185" t="s">
        <v>60</v>
      </c>
      <c r="H77" s="173" t="s">
        <v>33</v>
      </c>
      <c r="I77" s="173">
        <v>3</v>
      </c>
      <c r="J77" s="173">
        <f>B77</f>
        <v>0.83099999999999996</v>
      </c>
      <c r="K77" s="173">
        <v>1.2351000000000001</v>
      </c>
      <c r="L77" s="173" t="s">
        <v>31</v>
      </c>
      <c r="M77" s="173" t="s">
        <v>31</v>
      </c>
      <c r="N77" s="173" t="s">
        <v>31</v>
      </c>
      <c r="O77" s="173" t="s">
        <v>1236</v>
      </c>
      <c r="P77" s="173" t="s">
        <v>1214</v>
      </c>
    </row>
    <row r="78" spans="1:16">
      <c r="A78" s="177" t="s">
        <v>168</v>
      </c>
      <c r="B78" s="173">
        <v>0.20699999999999999</v>
      </c>
      <c r="D78" s="173" t="s">
        <v>41</v>
      </c>
      <c r="E78" s="173" t="s">
        <v>38</v>
      </c>
      <c r="F78" s="173" t="s">
        <v>29</v>
      </c>
      <c r="G78" s="185" t="s">
        <v>60</v>
      </c>
      <c r="H78" s="173" t="s">
        <v>33</v>
      </c>
      <c r="I78" s="173">
        <v>3</v>
      </c>
      <c r="J78" s="173">
        <f>B78</f>
        <v>0.20699999999999999</v>
      </c>
      <c r="K78" s="173">
        <v>1.2310000000000001</v>
      </c>
      <c r="L78" s="173" t="s">
        <v>31</v>
      </c>
      <c r="M78" s="173" t="s">
        <v>31</v>
      </c>
      <c r="N78" s="173" t="s">
        <v>31</v>
      </c>
      <c r="O78" s="173" t="s">
        <v>1237</v>
      </c>
      <c r="P78" s="173" t="s">
        <v>1214</v>
      </c>
    </row>
    <row r="79" spans="1:16">
      <c r="A79" s="173" t="s">
        <v>1238</v>
      </c>
      <c r="B79" s="173">
        <v>0.13500000000000001</v>
      </c>
      <c r="D79" s="173" t="s">
        <v>37</v>
      </c>
      <c r="E79" s="173" t="s">
        <v>2</v>
      </c>
      <c r="F79" s="173" t="s">
        <v>29</v>
      </c>
      <c r="G79" s="185" t="s">
        <v>39</v>
      </c>
      <c r="H79" s="173" t="s">
        <v>33</v>
      </c>
      <c r="I79" s="173">
        <v>3</v>
      </c>
      <c r="J79" s="173">
        <f>B79</f>
        <v>0.13500000000000001</v>
      </c>
      <c r="K79" s="173">
        <v>1.0582</v>
      </c>
      <c r="L79" s="173" t="s">
        <v>31</v>
      </c>
      <c r="M79" s="173" t="s">
        <v>31</v>
      </c>
      <c r="N79" s="173" t="s">
        <v>31</v>
      </c>
      <c r="O79" s="173" t="s">
        <v>1239</v>
      </c>
      <c r="P79" s="173" t="s">
        <v>1214</v>
      </c>
    </row>
    <row r="80" spans="1:16" s="183" customFormat="1" ht="13.5" thickBot="1">
      <c r="A80" s="183" t="s">
        <v>1238</v>
      </c>
      <c r="B80" s="183">
        <v>0.13500000000000001</v>
      </c>
      <c r="D80" s="183" t="s">
        <v>37</v>
      </c>
      <c r="E80" s="183" t="s">
        <v>2</v>
      </c>
      <c r="F80" s="183" t="s">
        <v>29</v>
      </c>
      <c r="G80" s="199" t="s">
        <v>39</v>
      </c>
      <c r="H80" s="183" t="s">
        <v>33</v>
      </c>
      <c r="I80" s="183">
        <v>3</v>
      </c>
      <c r="J80" s="183">
        <f>B80</f>
        <v>0.13500000000000001</v>
      </c>
      <c r="K80" s="183">
        <v>1.2351000000000001</v>
      </c>
      <c r="L80" s="183" t="s">
        <v>31</v>
      </c>
      <c r="M80" s="183" t="s">
        <v>31</v>
      </c>
      <c r="N80" s="183" t="s">
        <v>31</v>
      </c>
      <c r="O80" s="183" t="s">
        <v>1240</v>
      </c>
      <c r="P80" s="173" t="s">
        <v>1214</v>
      </c>
    </row>
    <row r="81" spans="1:16">
      <c r="A81" s="174" t="s">
        <v>5</v>
      </c>
      <c r="B81" s="175" t="s">
        <v>1204</v>
      </c>
      <c r="C81" s="175"/>
      <c r="D81" s="176"/>
    </row>
    <row r="82" spans="1:16">
      <c r="A82" s="177" t="s">
        <v>7</v>
      </c>
      <c r="B82" s="173" t="s">
        <v>1194</v>
      </c>
      <c r="D82" s="176"/>
    </row>
    <row r="83" spans="1:16">
      <c r="A83" s="177" t="s">
        <v>9</v>
      </c>
      <c r="B83" s="173" t="s">
        <v>1241</v>
      </c>
      <c r="D83" s="176"/>
    </row>
    <row r="84" spans="1:16" ht="14.25" customHeight="1">
      <c r="A84" s="177" t="s">
        <v>11</v>
      </c>
      <c r="B84" s="179" t="s">
        <v>1242</v>
      </c>
      <c r="C84" s="179"/>
    </row>
    <row r="85" spans="1:16">
      <c r="A85" s="177" t="s">
        <v>13</v>
      </c>
      <c r="B85" s="173" t="s">
        <v>60</v>
      </c>
    </row>
    <row r="86" spans="1:16">
      <c r="A86" s="177" t="s">
        <v>15</v>
      </c>
      <c r="B86" s="173">
        <f>B91</f>
        <v>26.7</v>
      </c>
    </row>
    <row r="87" spans="1:16">
      <c r="A87" s="177" t="s">
        <v>16</v>
      </c>
      <c r="B87" s="173" t="s">
        <v>17</v>
      </c>
    </row>
    <row r="88" spans="1:16">
      <c r="A88" s="177" t="s">
        <v>18</v>
      </c>
      <c r="B88" s="173" t="s">
        <v>37</v>
      </c>
    </row>
    <row r="89" spans="1:16">
      <c r="A89" s="174" t="s">
        <v>19</v>
      </c>
    </row>
    <row r="90" spans="1:16" ht="15">
      <c r="A90" s="174" t="s">
        <v>20</v>
      </c>
      <c r="B90" s="175" t="s">
        <v>21</v>
      </c>
      <c r="C90" s="180" t="s">
        <v>78</v>
      </c>
      <c r="D90" s="175" t="s">
        <v>18</v>
      </c>
      <c r="E90" s="175" t="s">
        <v>22</v>
      </c>
      <c r="F90" s="175" t="s">
        <v>7</v>
      </c>
      <c r="G90" s="175" t="s">
        <v>13</v>
      </c>
      <c r="H90" s="175" t="s">
        <v>16</v>
      </c>
      <c r="I90" s="175" t="s">
        <v>23</v>
      </c>
      <c r="J90" s="175" t="s">
        <v>24</v>
      </c>
      <c r="K90" s="175" t="s">
        <v>25</v>
      </c>
      <c r="L90" s="175" t="s">
        <v>26</v>
      </c>
      <c r="M90" s="175" t="s">
        <v>27</v>
      </c>
      <c r="N90" s="175" t="s">
        <v>28</v>
      </c>
      <c r="O90" s="175" t="s">
        <v>11</v>
      </c>
      <c r="P90" s="175" t="s">
        <v>79</v>
      </c>
    </row>
    <row r="91" spans="1:16" s="181" customFormat="1">
      <c r="A91" s="181" t="s">
        <v>1204</v>
      </c>
      <c r="B91" s="181">
        <f>B28</f>
        <v>26.7</v>
      </c>
      <c r="D91" s="181" t="s">
        <v>37</v>
      </c>
      <c r="E91" s="181" t="s">
        <v>2</v>
      </c>
      <c r="F91" s="181" t="s">
        <v>29</v>
      </c>
      <c r="G91" s="181" t="s">
        <v>60</v>
      </c>
      <c r="H91" s="181" t="s">
        <v>30</v>
      </c>
      <c r="I91" s="181">
        <v>1</v>
      </c>
      <c r="J91" s="181">
        <f>B91</f>
        <v>26.7</v>
      </c>
      <c r="K91" s="181" t="s">
        <v>31</v>
      </c>
      <c r="L91" s="181" t="s">
        <v>31</v>
      </c>
      <c r="M91" s="181" t="s">
        <v>31</v>
      </c>
      <c r="N91" s="181" t="s">
        <v>31</v>
      </c>
    </row>
    <row r="92" spans="1:16" ht="12.75" customHeight="1">
      <c r="A92" s="83" t="s">
        <v>137</v>
      </c>
      <c r="B92" s="173">
        <v>14.73</v>
      </c>
      <c r="D92" s="173" t="s">
        <v>37</v>
      </c>
      <c r="E92" s="173" t="s">
        <v>38</v>
      </c>
      <c r="F92" s="173" t="s">
        <v>29</v>
      </c>
      <c r="G92" s="185" t="s">
        <v>60</v>
      </c>
      <c r="H92" s="173" t="s">
        <v>33</v>
      </c>
      <c r="I92" s="173">
        <v>2</v>
      </c>
      <c r="J92" s="173">
        <f>LN(B92)</f>
        <v>2.689886230474539</v>
      </c>
      <c r="K92" s="173">
        <v>0.34842502800000003</v>
      </c>
      <c r="L92" s="173" t="s">
        <v>31</v>
      </c>
      <c r="M92" s="173" t="s">
        <v>31</v>
      </c>
      <c r="N92" s="173" t="s">
        <v>31</v>
      </c>
      <c r="O92" s="179" t="s">
        <v>1243</v>
      </c>
      <c r="P92" s="173" t="s">
        <v>329</v>
      </c>
    </row>
    <row r="93" spans="1:16" ht="12" customHeight="1">
      <c r="A93" s="173" t="s">
        <v>97</v>
      </c>
      <c r="B93" s="173">
        <v>30.53</v>
      </c>
      <c r="D93" s="173" t="s">
        <v>37</v>
      </c>
      <c r="E93" s="173" t="s">
        <v>38</v>
      </c>
      <c r="F93" s="173" t="s">
        <v>29</v>
      </c>
      <c r="G93" s="185" t="s">
        <v>60</v>
      </c>
      <c r="H93" s="173" t="s">
        <v>33</v>
      </c>
      <c r="I93" s="173">
        <v>2</v>
      </c>
      <c r="J93" s="173">
        <f>LN(B93)</f>
        <v>3.4187098067467865</v>
      </c>
      <c r="K93" s="173">
        <v>0.34842502800000003</v>
      </c>
      <c r="L93" s="173" t="s">
        <v>31</v>
      </c>
      <c r="M93" s="173" t="s">
        <v>31</v>
      </c>
      <c r="N93" s="173" t="s">
        <v>31</v>
      </c>
      <c r="O93" s="179" t="s">
        <v>1244</v>
      </c>
      <c r="P93" s="173" t="s">
        <v>329</v>
      </c>
    </row>
    <row r="94" spans="1:16">
      <c r="A94" s="177" t="s">
        <v>168</v>
      </c>
      <c r="B94" s="173">
        <v>9.5609999999999999</v>
      </c>
      <c r="D94" s="173" t="s">
        <v>41</v>
      </c>
      <c r="E94" s="173" t="s">
        <v>38</v>
      </c>
      <c r="F94" s="173" t="s">
        <v>29</v>
      </c>
      <c r="G94" s="185" t="s">
        <v>60</v>
      </c>
      <c r="H94" s="173" t="s">
        <v>33</v>
      </c>
      <c r="I94" s="173">
        <v>3</v>
      </c>
      <c r="J94" s="173">
        <f>B94</f>
        <v>9.5609999999999999</v>
      </c>
      <c r="K94" s="173">
        <v>1.0748</v>
      </c>
      <c r="L94" s="173" t="s">
        <v>31</v>
      </c>
      <c r="M94" s="173" t="s">
        <v>31</v>
      </c>
      <c r="N94" s="173" t="s">
        <v>31</v>
      </c>
      <c r="O94" s="173" t="s">
        <v>1245</v>
      </c>
      <c r="P94" s="173" t="s">
        <v>1214</v>
      </c>
    </row>
    <row r="95" spans="1:16">
      <c r="A95" s="177" t="s">
        <v>168</v>
      </c>
      <c r="B95" s="173">
        <v>1.4999999999999999E-2</v>
      </c>
      <c r="D95" s="173" t="s">
        <v>41</v>
      </c>
      <c r="E95" s="173" t="s">
        <v>38</v>
      </c>
      <c r="F95" s="173" t="s">
        <v>29</v>
      </c>
      <c r="G95" s="185" t="s">
        <v>60</v>
      </c>
      <c r="H95" s="173" t="s">
        <v>33</v>
      </c>
      <c r="I95" s="173">
        <v>3</v>
      </c>
      <c r="J95" s="173">
        <f t="shared" ref="J95:J100" si="3">B95</f>
        <v>1.4999999999999999E-2</v>
      </c>
      <c r="K95" s="173">
        <v>1.0582</v>
      </c>
      <c r="L95" s="173" t="s">
        <v>31</v>
      </c>
      <c r="M95" s="173" t="s">
        <v>31</v>
      </c>
      <c r="N95" s="173" t="s">
        <v>31</v>
      </c>
      <c r="O95" s="173" t="s">
        <v>1246</v>
      </c>
      <c r="P95" s="173" t="s">
        <v>1214</v>
      </c>
    </row>
    <row r="96" spans="1:16">
      <c r="A96" s="177" t="s">
        <v>168</v>
      </c>
      <c r="B96" s="173">
        <v>0.126</v>
      </c>
      <c r="D96" s="173" t="s">
        <v>41</v>
      </c>
      <c r="E96" s="173" t="s">
        <v>38</v>
      </c>
      <c r="F96" s="173" t="s">
        <v>29</v>
      </c>
      <c r="G96" s="185" t="s">
        <v>60</v>
      </c>
      <c r="H96" s="173" t="s">
        <v>33</v>
      </c>
      <c r="I96" s="173">
        <v>3</v>
      </c>
      <c r="J96" s="173">
        <f t="shared" si="3"/>
        <v>0.126</v>
      </c>
      <c r="K96" s="173">
        <v>1.0702</v>
      </c>
      <c r="L96" s="173" t="s">
        <v>31</v>
      </c>
      <c r="M96" s="173" t="s">
        <v>31</v>
      </c>
      <c r="N96" s="173" t="s">
        <v>31</v>
      </c>
      <c r="O96" s="173" t="s">
        <v>1247</v>
      </c>
      <c r="P96" s="173" t="s">
        <v>1214</v>
      </c>
    </row>
    <row r="97" spans="1:16">
      <c r="A97" s="177" t="s">
        <v>168</v>
      </c>
      <c r="B97" s="173">
        <v>2.4E-2</v>
      </c>
      <c r="D97" s="173" t="s">
        <v>41</v>
      </c>
      <c r="E97" s="173" t="s">
        <v>38</v>
      </c>
      <c r="F97" s="173" t="s">
        <v>29</v>
      </c>
      <c r="G97" s="185" t="s">
        <v>60</v>
      </c>
      <c r="H97" s="173" t="s">
        <v>33</v>
      </c>
      <c r="I97" s="173">
        <v>3</v>
      </c>
      <c r="J97" s="173">
        <f t="shared" si="3"/>
        <v>2.4E-2</v>
      </c>
      <c r="K97" s="173">
        <v>1.0702</v>
      </c>
      <c r="L97" s="173" t="s">
        <v>31</v>
      </c>
      <c r="M97" s="173" t="s">
        <v>31</v>
      </c>
      <c r="N97" s="173" t="s">
        <v>31</v>
      </c>
      <c r="O97" s="173" t="s">
        <v>1248</v>
      </c>
      <c r="P97" s="173" t="s">
        <v>1214</v>
      </c>
    </row>
    <row r="98" spans="1:16">
      <c r="A98" s="177" t="s">
        <v>168</v>
      </c>
      <c r="B98" s="173">
        <v>6.3</v>
      </c>
      <c r="D98" s="173" t="s">
        <v>41</v>
      </c>
      <c r="E98" s="173" t="s">
        <v>38</v>
      </c>
      <c r="F98" s="173" t="s">
        <v>29</v>
      </c>
      <c r="G98" s="185" t="s">
        <v>60</v>
      </c>
      <c r="H98" s="173" t="s">
        <v>33</v>
      </c>
      <c r="I98" s="173">
        <v>3</v>
      </c>
      <c r="J98" s="173">
        <f t="shared" si="3"/>
        <v>6.3</v>
      </c>
      <c r="K98" s="173">
        <v>1.0582</v>
      </c>
      <c r="L98" s="173" t="s">
        <v>31</v>
      </c>
      <c r="M98" s="173" t="s">
        <v>31</v>
      </c>
      <c r="N98" s="173" t="s">
        <v>31</v>
      </c>
      <c r="O98" s="173" t="s">
        <v>1249</v>
      </c>
      <c r="P98" s="173" t="s">
        <v>1214</v>
      </c>
    </row>
    <row r="99" spans="1:16">
      <c r="A99" s="177" t="s">
        <v>168</v>
      </c>
      <c r="B99" s="173">
        <v>2.61</v>
      </c>
      <c r="D99" s="173" t="s">
        <v>41</v>
      </c>
      <c r="E99" s="173" t="s">
        <v>38</v>
      </c>
      <c r="F99" s="173" t="s">
        <v>29</v>
      </c>
      <c r="G99" s="185" t="s">
        <v>60</v>
      </c>
      <c r="H99" s="173" t="s">
        <v>33</v>
      </c>
      <c r="I99" s="173">
        <v>3</v>
      </c>
      <c r="J99" s="173">
        <f t="shared" si="3"/>
        <v>2.61</v>
      </c>
      <c r="K99" s="173">
        <v>1.0702</v>
      </c>
      <c r="L99" s="173" t="s">
        <v>31</v>
      </c>
      <c r="M99" s="173" t="s">
        <v>31</v>
      </c>
      <c r="N99" s="173" t="s">
        <v>31</v>
      </c>
      <c r="O99" s="173" t="s">
        <v>1250</v>
      </c>
      <c r="P99" s="173" t="s">
        <v>1214</v>
      </c>
    </row>
    <row r="100" spans="1:16">
      <c r="A100" s="177" t="s">
        <v>168</v>
      </c>
      <c r="B100" s="173">
        <v>3.87</v>
      </c>
      <c r="D100" s="173" t="s">
        <v>41</v>
      </c>
      <c r="E100" s="173" t="s">
        <v>38</v>
      </c>
      <c r="F100" s="173" t="s">
        <v>29</v>
      </c>
      <c r="G100" s="185" t="s">
        <v>60</v>
      </c>
      <c r="H100" s="173" t="s">
        <v>33</v>
      </c>
      <c r="I100" s="173">
        <v>3</v>
      </c>
      <c r="J100" s="173">
        <f t="shared" si="3"/>
        <v>3.87</v>
      </c>
      <c r="K100" s="173">
        <v>1.0702</v>
      </c>
      <c r="L100" s="173" t="s">
        <v>31</v>
      </c>
      <c r="M100" s="173" t="s">
        <v>31</v>
      </c>
      <c r="N100" s="173" t="s">
        <v>31</v>
      </c>
      <c r="O100" s="173" t="s">
        <v>1251</v>
      </c>
      <c r="P100" s="173" t="s">
        <v>1214</v>
      </c>
    </row>
    <row r="101" spans="1:16">
      <c r="A101" s="177" t="s">
        <v>168</v>
      </c>
      <c r="B101" s="173">
        <v>3.6</v>
      </c>
      <c r="D101" s="173" t="s">
        <v>41</v>
      </c>
      <c r="E101" s="173" t="s">
        <v>38</v>
      </c>
      <c r="F101" s="173" t="s">
        <v>29</v>
      </c>
      <c r="G101" s="185" t="s">
        <v>60</v>
      </c>
      <c r="H101" s="173" t="s">
        <v>33</v>
      </c>
      <c r="I101" s="173">
        <v>2</v>
      </c>
      <c r="J101" s="173">
        <f>B101</f>
        <v>3.6</v>
      </c>
      <c r="K101" s="173">
        <v>0.34928498400000002</v>
      </c>
      <c r="L101" s="173" t="s">
        <v>31</v>
      </c>
      <c r="M101" s="173" t="s">
        <v>31</v>
      </c>
      <c r="N101" s="173" t="s">
        <v>31</v>
      </c>
      <c r="O101" s="173" t="s">
        <v>1252</v>
      </c>
    </row>
    <row r="102" spans="1:16">
      <c r="A102" s="177" t="s">
        <v>168</v>
      </c>
      <c r="B102" s="173">
        <v>2.9</v>
      </c>
      <c r="D102" s="173" t="s">
        <v>41</v>
      </c>
      <c r="E102" s="173" t="s">
        <v>38</v>
      </c>
      <c r="F102" s="173" t="s">
        <v>29</v>
      </c>
      <c r="G102" s="185" t="s">
        <v>60</v>
      </c>
      <c r="H102" s="173" t="s">
        <v>33</v>
      </c>
      <c r="I102" s="173">
        <v>2</v>
      </c>
      <c r="J102" s="173">
        <f t="shared" ref="J102:J110" si="4">B102</f>
        <v>2.9</v>
      </c>
      <c r="K102" s="173">
        <v>0.34928498400000002</v>
      </c>
      <c r="L102" s="173" t="s">
        <v>31</v>
      </c>
      <c r="M102" s="173" t="s">
        <v>31</v>
      </c>
      <c r="N102" s="173" t="s">
        <v>31</v>
      </c>
      <c r="O102" s="173" t="s">
        <v>1253</v>
      </c>
    </row>
    <row r="103" spans="1:16">
      <c r="A103" s="177" t="s">
        <v>168</v>
      </c>
      <c r="B103" s="173">
        <v>1.7</v>
      </c>
      <c r="D103" s="173" t="s">
        <v>41</v>
      </c>
      <c r="E103" s="173" t="s">
        <v>38</v>
      </c>
      <c r="F103" s="173" t="s">
        <v>29</v>
      </c>
      <c r="G103" s="185" t="s">
        <v>60</v>
      </c>
      <c r="H103" s="173" t="s">
        <v>33</v>
      </c>
      <c r="I103" s="173">
        <v>2</v>
      </c>
      <c r="J103" s="173">
        <f t="shared" si="4"/>
        <v>1.7</v>
      </c>
      <c r="K103" s="173">
        <v>0.34928498400000002</v>
      </c>
      <c r="L103" s="173" t="s">
        <v>31</v>
      </c>
      <c r="M103" s="173" t="s">
        <v>31</v>
      </c>
      <c r="N103" s="173" t="s">
        <v>31</v>
      </c>
      <c r="O103" s="173" t="s">
        <v>1254</v>
      </c>
    </row>
    <row r="104" spans="1:16">
      <c r="A104" s="177" t="s">
        <v>168</v>
      </c>
      <c r="B104" s="173">
        <v>0.7</v>
      </c>
      <c r="D104" s="173" t="s">
        <v>41</v>
      </c>
      <c r="E104" s="173" t="s">
        <v>38</v>
      </c>
      <c r="F104" s="173" t="s">
        <v>29</v>
      </c>
      <c r="G104" s="185" t="s">
        <v>60</v>
      </c>
      <c r="H104" s="173" t="s">
        <v>33</v>
      </c>
      <c r="I104" s="173">
        <v>2</v>
      </c>
      <c r="J104" s="173">
        <f t="shared" si="4"/>
        <v>0.7</v>
      </c>
      <c r="K104" s="173">
        <v>0.34928498400000002</v>
      </c>
      <c r="L104" s="173" t="s">
        <v>31</v>
      </c>
      <c r="M104" s="173" t="s">
        <v>31</v>
      </c>
      <c r="N104" s="173" t="s">
        <v>31</v>
      </c>
      <c r="O104" s="173" t="s">
        <v>1255</v>
      </c>
    </row>
    <row r="105" spans="1:16">
      <c r="A105" s="173" t="s">
        <v>1238</v>
      </c>
      <c r="B105" s="173">
        <v>9.36</v>
      </c>
      <c r="D105" s="173" t="s">
        <v>37</v>
      </c>
      <c r="E105" s="173" t="s">
        <v>2</v>
      </c>
      <c r="F105" s="173" t="s">
        <v>29</v>
      </c>
      <c r="G105" s="185" t="s">
        <v>39</v>
      </c>
      <c r="H105" s="173" t="s">
        <v>33</v>
      </c>
      <c r="I105" s="173">
        <v>3</v>
      </c>
      <c r="J105" s="173">
        <f t="shared" si="4"/>
        <v>9.36</v>
      </c>
      <c r="K105" s="173">
        <v>1.2310000000000001</v>
      </c>
      <c r="L105" s="173" t="s">
        <v>31</v>
      </c>
      <c r="M105" s="173" t="s">
        <v>31</v>
      </c>
      <c r="N105" s="173" t="s">
        <v>31</v>
      </c>
      <c r="O105" s="173" t="s">
        <v>1256</v>
      </c>
      <c r="P105" s="173" t="s">
        <v>1214</v>
      </c>
    </row>
    <row r="106" spans="1:16">
      <c r="A106" s="173" t="s">
        <v>97</v>
      </c>
      <c r="B106" s="173">
        <v>3.36</v>
      </c>
      <c r="D106" s="173" t="s">
        <v>37</v>
      </c>
      <c r="E106" s="173" t="s">
        <v>38</v>
      </c>
      <c r="F106" s="173" t="s">
        <v>29</v>
      </c>
      <c r="G106" s="185" t="s">
        <v>60</v>
      </c>
      <c r="H106" s="173" t="s">
        <v>98</v>
      </c>
      <c r="I106" s="173">
        <v>3</v>
      </c>
      <c r="J106" s="173">
        <f t="shared" si="4"/>
        <v>3.36</v>
      </c>
      <c r="K106" s="173">
        <v>1.1115999999999999</v>
      </c>
      <c r="L106" s="173" t="s">
        <v>31</v>
      </c>
      <c r="M106" s="173" t="s">
        <v>31</v>
      </c>
      <c r="N106" s="173" t="s">
        <v>31</v>
      </c>
      <c r="O106" s="173" t="s">
        <v>1257</v>
      </c>
      <c r="P106" s="173" t="s">
        <v>1214</v>
      </c>
    </row>
    <row r="107" spans="1:16">
      <c r="A107" s="173" t="s">
        <v>93</v>
      </c>
      <c r="B107" s="173">
        <v>3.36</v>
      </c>
      <c r="D107" s="173" t="s">
        <v>37</v>
      </c>
      <c r="E107" s="173" t="s">
        <v>38</v>
      </c>
      <c r="F107" s="173" t="s">
        <v>29</v>
      </c>
      <c r="G107" s="173" t="s">
        <v>86</v>
      </c>
      <c r="H107" s="173" t="s">
        <v>33</v>
      </c>
      <c r="I107" s="173">
        <v>3</v>
      </c>
      <c r="J107" s="173">
        <f t="shared" si="4"/>
        <v>3.36</v>
      </c>
      <c r="K107" s="173">
        <v>1.1115999999999999</v>
      </c>
      <c r="L107" s="173" t="s">
        <v>31</v>
      </c>
      <c r="M107" s="173" t="s">
        <v>31</v>
      </c>
      <c r="N107" s="173" t="s">
        <v>31</v>
      </c>
      <c r="O107" s="173" t="s">
        <v>1258</v>
      </c>
      <c r="P107" s="173" t="s">
        <v>1214</v>
      </c>
    </row>
    <row r="108" spans="1:16">
      <c r="A108" s="173" t="s">
        <v>94</v>
      </c>
      <c r="B108" s="173">
        <v>3.36</v>
      </c>
      <c r="C108" s="173" t="s">
        <v>95</v>
      </c>
      <c r="D108" s="173" t="s">
        <v>37</v>
      </c>
      <c r="E108" s="173" t="s">
        <v>38</v>
      </c>
      <c r="F108" s="173" t="s">
        <v>29</v>
      </c>
      <c r="G108" s="173" t="s">
        <v>86</v>
      </c>
      <c r="H108" s="173" t="s">
        <v>33</v>
      </c>
      <c r="I108" s="173">
        <v>3</v>
      </c>
      <c r="J108" s="173">
        <f t="shared" si="4"/>
        <v>3.36</v>
      </c>
      <c r="K108" s="173">
        <v>1.1115999999999999</v>
      </c>
      <c r="L108" s="173" t="s">
        <v>31</v>
      </c>
      <c r="M108" s="173" t="s">
        <v>31</v>
      </c>
      <c r="N108" s="173" t="s">
        <v>31</v>
      </c>
      <c r="O108" s="173" t="s">
        <v>1258</v>
      </c>
      <c r="P108" s="173" t="s">
        <v>1214</v>
      </c>
    </row>
    <row r="109" spans="1:16">
      <c r="A109" s="173" t="s">
        <v>1238</v>
      </c>
      <c r="B109" s="173">
        <v>1.623</v>
      </c>
      <c r="D109" s="173" t="s">
        <v>37</v>
      </c>
      <c r="E109" s="173" t="s">
        <v>2</v>
      </c>
      <c r="F109" s="173" t="s">
        <v>29</v>
      </c>
      <c r="G109" s="185" t="s">
        <v>39</v>
      </c>
      <c r="H109" s="173" t="s">
        <v>33</v>
      </c>
      <c r="I109" s="173">
        <v>3</v>
      </c>
      <c r="J109" s="173">
        <f t="shared" si="4"/>
        <v>1.623</v>
      </c>
      <c r="K109" s="173">
        <v>1.0582</v>
      </c>
      <c r="L109" s="173" t="s">
        <v>31</v>
      </c>
      <c r="M109" s="173" t="s">
        <v>31</v>
      </c>
      <c r="N109" s="173" t="s">
        <v>31</v>
      </c>
      <c r="O109" s="173" t="s">
        <v>1259</v>
      </c>
      <c r="P109" s="173" t="s">
        <v>1214</v>
      </c>
    </row>
    <row r="110" spans="1:16" s="183" customFormat="1" ht="13.5" thickBot="1">
      <c r="A110" s="200" t="s">
        <v>941</v>
      </c>
      <c r="B110" s="183">
        <v>0.318</v>
      </c>
      <c r="D110" s="183" t="s">
        <v>37</v>
      </c>
      <c r="E110" s="183" t="s">
        <v>43</v>
      </c>
      <c r="F110" s="183" t="s">
        <v>44</v>
      </c>
      <c r="G110" s="199" t="s">
        <v>29</v>
      </c>
      <c r="H110" s="183" t="s">
        <v>45</v>
      </c>
      <c r="I110" s="183">
        <v>3</v>
      </c>
      <c r="J110" s="183">
        <f t="shared" si="4"/>
        <v>0.318</v>
      </c>
      <c r="K110" s="183">
        <v>1.2292000000000001</v>
      </c>
      <c r="L110" s="183" t="s">
        <v>31</v>
      </c>
      <c r="M110" s="183" t="s">
        <v>31</v>
      </c>
      <c r="N110" s="183" t="s">
        <v>31</v>
      </c>
      <c r="O110" s="183" t="s">
        <v>1260</v>
      </c>
    </row>
    <row r="111" spans="1:16">
      <c r="A111" s="174" t="s">
        <v>5</v>
      </c>
      <c r="B111" s="175" t="s">
        <v>1199</v>
      </c>
      <c r="C111" s="175"/>
      <c r="D111" s="176"/>
    </row>
    <row r="112" spans="1:16">
      <c r="A112" s="177" t="s">
        <v>7</v>
      </c>
      <c r="B112" s="173" t="s">
        <v>1194</v>
      </c>
      <c r="D112" s="176"/>
    </row>
    <row r="113" spans="1:15">
      <c r="A113" s="177" t="s">
        <v>9</v>
      </c>
      <c r="B113" s="173" t="s">
        <v>1261</v>
      </c>
      <c r="D113" s="176"/>
    </row>
    <row r="114" spans="1:15" ht="14.25" customHeight="1">
      <c r="A114" s="177" t="s">
        <v>11</v>
      </c>
      <c r="B114" s="179" t="s">
        <v>1262</v>
      </c>
      <c r="C114" s="179"/>
    </row>
    <row r="115" spans="1:15">
      <c r="A115" s="177" t="s">
        <v>13</v>
      </c>
      <c r="B115" s="173" t="s">
        <v>60</v>
      </c>
    </row>
    <row r="116" spans="1:15">
      <c r="A116" s="177" t="s">
        <v>15</v>
      </c>
      <c r="B116" s="173">
        <v>1</v>
      </c>
    </row>
    <row r="117" spans="1:15">
      <c r="A117" s="177" t="s">
        <v>16</v>
      </c>
      <c r="B117" s="173" t="s">
        <v>17</v>
      </c>
    </row>
    <row r="118" spans="1:15">
      <c r="A118" s="177" t="s">
        <v>18</v>
      </c>
      <c r="B118" s="173" t="s">
        <v>18</v>
      </c>
    </row>
    <row r="119" spans="1:15">
      <c r="A119" s="174" t="s">
        <v>19</v>
      </c>
    </row>
    <row r="120" spans="1:15" ht="15">
      <c r="A120" s="174" t="s">
        <v>20</v>
      </c>
      <c r="B120" s="175" t="s">
        <v>21</v>
      </c>
      <c r="C120" s="180" t="s">
        <v>78</v>
      </c>
      <c r="D120" s="175" t="s">
        <v>18</v>
      </c>
      <c r="E120" s="175" t="s">
        <v>22</v>
      </c>
      <c r="F120" s="175" t="s">
        <v>7</v>
      </c>
      <c r="G120" s="175" t="s">
        <v>13</v>
      </c>
      <c r="H120" s="175" t="s">
        <v>16</v>
      </c>
      <c r="I120" s="175" t="s">
        <v>23</v>
      </c>
      <c r="J120" s="175" t="s">
        <v>24</v>
      </c>
      <c r="K120" s="175" t="s">
        <v>25</v>
      </c>
      <c r="L120" s="175" t="s">
        <v>26</v>
      </c>
      <c r="M120" s="175" t="s">
        <v>27</v>
      </c>
      <c r="N120" s="175" t="s">
        <v>28</v>
      </c>
      <c r="O120" s="175" t="s">
        <v>11</v>
      </c>
    </row>
    <row r="121" spans="1:15" s="181" customFormat="1">
      <c r="A121" s="181" t="s">
        <v>1199</v>
      </c>
      <c r="B121" s="181">
        <v>1</v>
      </c>
      <c r="D121" s="181" t="s">
        <v>18</v>
      </c>
      <c r="E121" s="181" t="s">
        <v>2</v>
      </c>
      <c r="F121" s="181" t="s">
        <v>29</v>
      </c>
      <c r="G121" s="181" t="s">
        <v>60</v>
      </c>
      <c r="H121" s="181" t="s">
        <v>30</v>
      </c>
      <c r="I121" s="181">
        <v>1</v>
      </c>
      <c r="J121" s="181">
        <f>B121</f>
        <v>1</v>
      </c>
      <c r="K121" s="181" t="s">
        <v>31</v>
      </c>
      <c r="L121" s="181" t="s">
        <v>31</v>
      </c>
      <c r="M121" s="181" t="s">
        <v>31</v>
      </c>
      <c r="N121" s="181" t="s">
        <v>31</v>
      </c>
    </row>
    <row r="122" spans="1:15">
      <c r="A122" s="173" t="s">
        <v>1263</v>
      </c>
      <c r="B122" s="173">
        <v>27.23</v>
      </c>
      <c r="D122" s="173" t="s">
        <v>37</v>
      </c>
      <c r="E122" s="173" t="s">
        <v>2</v>
      </c>
      <c r="F122" s="173" t="s">
        <v>29</v>
      </c>
      <c r="G122" s="173" t="s">
        <v>60</v>
      </c>
      <c r="H122" s="173" t="s">
        <v>33</v>
      </c>
      <c r="I122" s="173">
        <v>2</v>
      </c>
      <c r="J122" s="173">
        <f>LN(B122)</f>
        <v>3.3043193066856684</v>
      </c>
      <c r="K122" s="173">
        <v>0.34842502800000003</v>
      </c>
      <c r="L122" s="173" t="s">
        <v>31</v>
      </c>
      <c r="M122" s="173" t="s">
        <v>31</v>
      </c>
      <c r="N122" s="173" t="s">
        <v>31</v>
      </c>
    </row>
    <row r="123" spans="1:15">
      <c r="A123" s="173" t="s">
        <v>1264</v>
      </c>
      <c r="B123" s="173">
        <v>4.97</v>
      </c>
      <c r="D123" s="173" t="s">
        <v>37</v>
      </c>
      <c r="E123" s="173" t="s">
        <v>2</v>
      </c>
      <c r="F123" s="173" t="s">
        <v>29</v>
      </c>
      <c r="G123" s="173" t="s">
        <v>60</v>
      </c>
      <c r="H123" s="173" t="s">
        <v>33</v>
      </c>
      <c r="I123" s="173">
        <v>2</v>
      </c>
      <c r="J123" s="173">
        <f t="shared" ref="J123:J124" si="5">LN(B123)</f>
        <v>1.6034198401085373</v>
      </c>
      <c r="K123" s="173">
        <v>0.34842502800000003</v>
      </c>
      <c r="L123" s="173" t="s">
        <v>31</v>
      </c>
      <c r="M123" s="173" t="s">
        <v>31</v>
      </c>
      <c r="N123" s="173" t="s">
        <v>31</v>
      </c>
    </row>
    <row r="124" spans="1:15" s="183" customFormat="1" ht="13.5" thickBot="1">
      <c r="A124" s="183" t="s">
        <v>1265</v>
      </c>
      <c r="B124" s="183">
        <v>21.23</v>
      </c>
      <c r="D124" s="183" t="s">
        <v>37</v>
      </c>
      <c r="E124" s="183" t="s">
        <v>2</v>
      </c>
      <c r="F124" s="183" t="s">
        <v>29</v>
      </c>
      <c r="G124" s="183" t="s">
        <v>60</v>
      </c>
      <c r="H124" s="183" t="s">
        <v>33</v>
      </c>
      <c r="I124" s="183">
        <v>2</v>
      </c>
      <c r="J124" s="183">
        <f t="shared" si="5"/>
        <v>3.0554152757151649</v>
      </c>
      <c r="K124" s="183">
        <v>0.34842502800000003</v>
      </c>
      <c r="L124" s="183" t="s">
        <v>31</v>
      </c>
      <c r="M124" s="183" t="s">
        <v>31</v>
      </c>
      <c r="N124" s="183" t="s">
        <v>31</v>
      </c>
    </row>
    <row r="125" spans="1:15">
      <c r="A125" s="174" t="s">
        <v>5</v>
      </c>
      <c r="B125" s="175" t="s">
        <v>1263</v>
      </c>
      <c r="C125" s="175"/>
      <c r="D125" s="176"/>
    </row>
    <row r="126" spans="1:15">
      <c r="A126" s="177" t="s">
        <v>7</v>
      </c>
      <c r="B126" s="173" t="s">
        <v>1194</v>
      </c>
      <c r="D126" s="176"/>
    </row>
    <row r="127" spans="1:15">
      <c r="A127" s="177" t="s">
        <v>9</v>
      </c>
      <c r="B127" s="173" t="s">
        <v>1266</v>
      </c>
      <c r="D127" s="176"/>
    </row>
    <row r="128" spans="1:15" ht="14.25" customHeight="1">
      <c r="A128" s="177" t="s">
        <v>11</v>
      </c>
      <c r="B128" s="179" t="s">
        <v>1267</v>
      </c>
      <c r="C128" s="179"/>
    </row>
    <row r="129" spans="1:17">
      <c r="A129" s="177" t="s">
        <v>13</v>
      </c>
      <c r="B129" s="173" t="s">
        <v>60</v>
      </c>
    </row>
    <row r="130" spans="1:17">
      <c r="A130" s="177" t="s">
        <v>15</v>
      </c>
      <c r="B130" s="173">
        <f>B122</f>
        <v>27.23</v>
      </c>
    </row>
    <row r="131" spans="1:17">
      <c r="A131" s="177" t="s">
        <v>16</v>
      </c>
      <c r="B131" s="173" t="s">
        <v>17</v>
      </c>
    </row>
    <row r="132" spans="1:17">
      <c r="A132" s="177" t="s">
        <v>18</v>
      </c>
      <c r="B132" s="173" t="s">
        <v>37</v>
      </c>
    </row>
    <row r="133" spans="1:17">
      <c r="A133" s="174" t="s">
        <v>19</v>
      </c>
    </row>
    <row r="134" spans="1:17" ht="15">
      <c r="A134" s="174" t="s">
        <v>20</v>
      </c>
      <c r="B134" s="175" t="s">
        <v>21</v>
      </c>
      <c r="C134" s="180" t="s">
        <v>78</v>
      </c>
      <c r="D134" s="175" t="s">
        <v>18</v>
      </c>
      <c r="E134" s="175" t="s">
        <v>22</v>
      </c>
      <c r="F134" s="175" t="s">
        <v>7</v>
      </c>
      <c r="G134" s="175" t="s">
        <v>13</v>
      </c>
      <c r="H134" s="175" t="s">
        <v>16</v>
      </c>
      <c r="I134" s="175" t="s">
        <v>23</v>
      </c>
      <c r="J134" s="175" t="s">
        <v>24</v>
      </c>
      <c r="K134" s="175" t="s">
        <v>25</v>
      </c>
      <c r="L134" s="175" t="s">
        <v>26</v>
      </c>
      <c r="M134" s="175" t="s">
        <v>27</v>
      </c>
      <c r="N134" s="175" t="s">
        <v>28</v>
      </c>
      <c r="O134" s="175" t="s">
        <v>11</v>
      </c>
      <c r="P134" s="175" t="s">
        <v>79</v>
      </c>
    </row>
    <row r="135" spans="1:17" s="181" customFormat="1">
      <c r="A135" s="181" t="s">
        <v>1263</v>
      </c>
      <c r="B135" s="181">
        <f>B122</f>
        <v>27.23</v>
      </c>
      <c r="D135" s="181" t="s">
        <v>37</v>
      </c>
      <c r="E135" s="181" t="s">
        <v>2</v>
      </c>
      <c r="F135" s="181" t="s">
        <v>29</v>
      </c>
      <c r="G135" s="181" t="s">
        <v>60</v>
      </c>
      <c r="H135" s="181" t="s">
        <v>30</v>
      </c>
      <c r="I135" s="181">
        <v>1</v>
      </c>
      <c r="J135" s="181">
        <f>B135</f>
        <v>27.23</v>
      </c>
      <c r="K135" s="181" t="s">
        <v>31</v>
      </c>
      <c r="L135" s="181" t="s">
        <v>31</v>
      </c>
      <c r="M135" s="181" t="s">
        <v>31</v>
      </c>
      <c r="N135" s="181" t="s">
        <v>31</v>
      </c>
    </row>
    <row r="136" spans="1:17">
      <c r="A136" s="83" t="s">
        <v>137</v>
      </c>
      <c r="B136" s="184">
        <v>9.5348000000000006</v>
      </c>
      <c r="C136" s="184"/>
      <c r="D136" s="173" t="s">
        <v>37</v>
      </c>
      <c r="E136" s="173" t="s">
        <v>38</v>
      </c>
      <c r="F136" s="173" t="s">
        <v>29</v>
      </c>
      <c r="G136" s="185" t="s">
        <v>60</v>
      </c>
      <c r="H136" s="173" t="s">
        <v>33</v>
      </c>
      <c r="I136" s="173">
        <v>2</v>
      </c>
      <c r="J136" s="173">
        <f>LN(B136)</f>
        <v>2.2549482634784375</v>
      </c>
      <c r="K136" s="173">
        <v>0.362491379</v>
      </c>
      <c r="L136" s="181" t="s">
        <v>31</v>
      </c>
      <c r="M136" s="181" t="s">
        <v>31</v>
      </c>
      <c r="N136" s="181" t="s">
        <v>31</v>
      </c>
      <c r="O136" s="173" t="s">
        <v>1207</v>
      </c>
      <c r="Q136" s="173" t="s">
        <v>329</v>
      </c>
    </row>
    <row r="137" spans="1:17">
      <c r="A137" s="83" t="s">
        <v>137</v>
      </c>
      <c r="B137" s="173">
        <v>11.4778</v>
      </c>
      <c r="D137" s="173" t="s">
        <v>37</v>
      </c>
      <c r="E137" s="173" t="s">
        <v>38</v>
      </c>
      <c r="F137" s="173" t="s">
        <v>29</v>
      </c>
      <c r="G137" s="185" t="s">
        <v>60</v>
      </c>
      <c r="H137" s="173" t="s">
        <v>33</v>
      </c>
      <c r="I137" s="173">
        <v>2</v>
      </c>
      <c r="J137" s="173">
        <f t="shared" ref="J137:J140" si="6">LN(B137)</f>
        <v>2.4404147348959215</v>
      </c>
      <c r="K137" s="173">
        <v>0.362491379</v>
      </c>
      <c r="L137" s="181" t="s">
        <v>31</v>
      </c>
      <c r="M137" s="181" t="s">
        <v>31</v>
      </c>
      <c r="N137" s="181" t="s">
        <v>31</v>
      </c>
      <c r="O137" s="173" t="s">
        <v>1208</v>
      </c>
      <c r="Q137" s="173" t="s">
        <v>329</v>
      </c>
    </row>
    <row r="138" spans="1:17">
      <c r="A138" s="185" t="s">
        <v>918</v>
      </c>
      <c r="B138" s="173">
        <v>4.476</v>
      </c>
      <c r="D138" s="173" t="s">
        <v>37</v>
      </c>
      <c r="E138" s="173" t="s">
        <v>38</v>
      </c>
      <c r="F138" s="173" t="s">
        <v>29</v>
      </c>
      <c r="G138" s="185" t="s">
        <v>60</v>
      </c>
      <c r="H138" s="173" t="s">
        <v>33</v>
      </c>
      <c r="I138" s="173">
        <v>2</v>
      </c>
      <c r="J138" s="173">
        <f t="shared" si="6"/>
        <v>1.4987297904496788</v>
      </c>
      <c r="K138" s="173">
        <v>0.362491379</v>
      </c>
      <c r="L138" s="181" t="s">
        <v>31</v>
      </c>
      <c r="M138" s="181" t="s">
        <v>31</v>
      </c>
      <c r="N138" s="181" t="s">
        <v>31</v>
      </c>
      <c r="O138" s="173" t="s">
        <v>1209</v>
      </c>
      <c r="Q138" s="173" t="s">
        <v>329</v>
      </c>
    </row>
    <row r="139" spans="1:17">
      <c r="A139" s="185" t="s">
        <v>146</v>
      </c>
      <c r="B139" s="173">
        <v>1.74</v>
      </c>
      <c r="D139" s="173" t="s">
        <v>37</v>
      </c>
      <c r="E139" s="173" t="s">
        <v>38</v>
      </c>
      <c r="F139" s="173" t="s">
        <v>29</v>
      </c>
      <c r="G139" s="173" t="s">
        <v>60</v>
      </c>
      <c r="H139" s="173" t="s">
        <v>33</v>
      </c>
      <c r="I139" s="173">
        <v>2</v>
      </c>
      <c r="J139" s="173">
        <f t="shared" si="6"/>
        <v>0.55388511322643763</v>
      </c>
      <c r="K139" s="173">
        <v>0.362491379</v>
      </c>
      <c r="L139" s="181" t="s">
        <v>31</v>
      </c>
      <c r="M139" s="181" t="s">
        <v>31</v>
      </c>
      <c r="N139" s="181" t="s">
        <v>31</v>
      </c>
      <c r="O139" s="173" t="s">
        <v>1209</v>
      </c>
      <c r="Q139" s="173" t="s">
        <v>329</v>
      </c>
    </row>
    <row r="140" spans="1:17">
      <c r="A140" s="173" t="s">
        <v>308</v>
      </c>
      <c r="B140" s="173">
        <v>6.7664900000000001</v>
      </c>
      <c r="D140" s="173" t="s">
        <v>37</v>
      </c>
      <c r="E140" s="173" t="s">
        <v>38</v>
      </c>
      <c r="F140" s="173" t="s">
        <v>29</v>
      </c>
      <c r="G140" s="173" t="s">
        <v>60</v>
      </c>
      <c r="H140" s="173" t="s">
        <v>33</v>
      </c>
      <c r="I140" s="173">
        <v>2</v>
      </c>
      <c r="J140" s="173">
        <f t="shared" si="6"/>
        <v>1.9119824886644181</v>
      </c>
      <c r="K140" s="173">
        <v>0.362491379</v>
      </c>
      <c r="L140" s="181" t="s">
        <v>31</v>
      </c>
      <c r="M140" s="181" t="s">
        <v>31</v>
      </c>
      <c r="N140" s="181" t="s">
        <v>31</v>
      </c>
      <c r="O140" s="173" t="s">
        <v>1212</v>
      </c>
      <c r="Q140" s="173" t="s">
        <v>329</v>
      </c>
    </row>
    <row r="141" spans="1:17" s="188" customFormat="1">
      <c r="A141" s="201" t="s">
        <v>168</v>
      </c>
      <c r="B141" s="202">
        <v>0.20599999999999999</v>
      </c>
      <c r="C141" s="202"/>
      <c r="D141" s="188" t="s">
        <v>41</v>
      </c>
      <c r="E141" s="188" t="s">
        <v>38</v>
      </c>
      <c r="F141" s="188" t="s">
        <v>29</v>
      </c>
      <c r="G141" s="188" t="s">
        <v>60</v>
      </c>
      <c r="H141" s="188" t="s">
        <v>33</v>
      </c>
      <c r="I141" s="188">
        <v>3</v>
      </c>
      <c r="J141" s="188">
        <f>B141</f>
        <v>0.20599999999999999</v>
      </c>
      <c r="K141" s="188">
        <v>1.0701761910000001</v>
      </c>
      <c r="L141" s="188" t="s">
        <v>31</v>
      </c>
      <c r="M141" s="188" t="s">
        <v>31</v>
      </c>
      <c r="N141" s="188" t="s">
        <v>31</v>
      </c>
      <c r="O141" s="188" t="s">
        <v>1213</v>
      </c>
      <c r="P141" s="188" t="s">
        <v>1214</v>
      </c>
      <c r="Q141" s="188" t="s">
        <v>329</v>
      </c>
    </row>
    <row r="142" spans="1:17">
      <c r="A142" s="177" t="s">
        <v>168</v>
      </c>
      <c r="B142" s="186">
        <v>2.4E-2</v>
      </c>
      <c r="C142" s="186"/>
      <c r="D142" s="173" t="s">
        <v>41</v>
      </c>
      <c r="E142" s="173" t="s">
        <v>38</v>
      </c>
      <c r="F142" s="173" t="s">
        <v>29</v>
      </c>
      <c r="G142" s="173" t="s">
        <v>60</v>
      </c>
      <c r="H142" s="173" t="s">
        <v>33</v>
      </c>
      <c r="I142" s="173">
        <v>3</v>
      </c>
      <c r="J142" s="173">
        <f t="shared" ref="J142:J158" si="7">B142</f>
        <v>2.4E-2</v>
      </c>
      <c r="K142" s="173">
        <v>1.0701761910000001</v>
      </c>
      <c r="L142" s="173" t="s">
        <v>31</v>
      </c>
      <c r="M142" s="173" t="s">
        <v>31</v>
      </c>
      <c r="N142" s="173" t="s">
        <v>31</v>
      </c>
      <c r="O142" s="173" t="s">
        <v>1215</v>
      </c>
      <c r="P142" s="173" t="s">
        <v>1214</v>
      </c>
      <c r="Q142" s="173" t="s">
        <v>329</v>
      </c>
    </row>
    <row r="143" spans="1:17">
      <c r="A143" s="177" t="s">
        <v>168</v>
      </c>
      <c r="B143" s="186">
        <v>2.4E-2</v>
      </c>
      <c r="C143" s="186"/>
      <c r="D143" s="173" t="s">
        <v>41</v>
      </c>
      <c r="E143" s="173" t="s">
        <v>38</v>
      </c>
      <c r="F143" s="173" t="s">
        <v>29</v>
      </c>
      <c r="G143" s="173" t="s">
        <v>60</v>
      </c>
      <c r="H143" s="173" t="s">
        <v>33</v>
      </c>
      <c r="I143" s="173">
        <v>3</v>
      </c>
      <c r="J143" s="173">
        <f t="shared" si="7"/>
        <v>2.4E-2</v>
      </c>
      <c r="K143" s="173">
        <v>1.0701761910000001</v>
      </c>
      <c r="L143" s="173" t="s">
        <v>31</v>
      </c>
      <c r="M143" s="173" t="s">
        <v>31</v>
      </c>
      <c r="N143" s="173" t="s">
        <v>31</v>
      </c>
      <c r="O143" s="173" t="s">
        <v>1216</v>
      </c>
      <c r="P143" s="173" t="s">
        <v>1214</v>
      </c>
      <c r="Q143" s="173" t="s">
        <v>329</v>
      </c>
    </row>
    <row r="144" spans="1:17">
      <c r="A144" s="177" t="s">
        <v>168</v>
      </c>
      <c r="B144" s="186">
        <v>0.434</v>
      </c>
      <c r="C144" s="186"/>
      <c r="D144" s="173" t="s">
        <v>41</v>
      </c>
      <c r="E144" s="173" t="s">
        <v>38</v>
      </c>
      <c r="F144" s="173" t="s">
        <v>29</v>
      </c>
      <c r="G144" s="173" t="s">
        <v>60</v>
      </c>
      <c r="H144" s="173" t="s">
        <v>33</v>
      </c>
      <c r="I144" s="173">
        <v>3</v>
      </c>
      <c r="J144" s="173">
        <f t="shared" si="7"/>
        <v>0.434</v>
      </c>
      <c r="K144" s="173">
        <v>1.045736435</v>
      </c>
      <c r="L144" s="173" t="s">
        <v>31</v>
      </c>
      <c r="M144" s="173" t="s">
        <v>31</v>
      </c>
      <c r="N144" s="173" t="s">
        <v>31</v>
      </c>
      <c r="O144" s="173" t="s">
        <v>1217</v>
      </c>
      <c r="P144" s="173" t="s">
        <v>1214</v>
      </c>
      <c r="Q144" s="173" t="s">
        <v>329</v>
      </c>
    </row>
    <row r="145" spans="1:17">
      <c r="A145" s="177" t="s">
        <v>168</v>
      </c>
      <c r="B145" s="186">
        <v>2.4E-2</v>
      </c>
      <c r="C145" s="186"/>
      <c r="D145" s="173" t="s">
        <v>41</v>
      </c>
      <c r="E145" s="173" t="s">
        <v>38</v>
      </c>
      <c r="F145" s="173" t="s">
        <v>29</v>
      </c>
      <c r="G145" s="173" t="s">
        <v>60</v>
      </c>
      <c r="H145" s="173" t="s">
        <v>33</v>
      </c>
      <c r="I145" s="173">
        <v>3</v>
      </c>
      <c r="J145" s="173">
        <f t="shared" si="7"/>
        <v>2.4E-2</v>
      </c>
      <c r="K145" s="173">
        <v>1.075516594</v>
      </c>
      <c r="L145" s="173" t="s">
        <v>31</v>
      </c>
      <c r="M145" s="173" t="s">
        <v>31</v>
      </c>
      <c r="N145" s="173" t="s">
        <v>31</v>
      </c>
      <c r="O145" s="173" t="s">
        <v>1218</v>
      </c>
      <c r="P145" s="173" t="s">
        <v>1214</v>
      </c>
      <c r="Q145" s="173" t="s">
        <v>329</v>
      </c>
    </row>
    <row r="146" spans="1:17">
      <c r="A146" s="177" t="s">
        <v>168</v>
      </c>
      <c r="B146" s="186">
        <v>0.13600000000000001</v>
      </c>
      <c r="C146" s="186"/>
      <c r="D146" s="173" t="s">
        <v>41</v>
      </c>
      <c r="E146" s="173" t="s">
        <v>38</v>
      </c>
      <c r="F146" s="173" t="s">
        <v>29</v>
      </c>
      <c r="G146" s="173" t="s">
        <v>60</v>
      </c>
      <c r="H146" s="173" t="s">
        <v>33</v>
      </c>
      <c r="I146" s="173">
        <v>3</v>
      </c>
      <c r="J146" s="173">
        <f t="shared" si="7"/>
        <v>0.13600000000000001</v>
      </c>
      <c r="K146" s="173">
        <v>1.058199144</v>
      </c>
      <c r="L146" s="173" t="s">
        <v>31</v>
      </c>
      <c r="M146" s="173" t="s">
        <v>31</v>
      </c>
      <c r="N146" s="173" t="s">
        <v>31</v>
      </c>
      <c r="O146" s="173" t="s">
        <v>1219</v>
      </c>
      <c r="P146" s="173" t="s">
        <v>1214</v>
      </c>
      <c r="Q146" s="173" t="s">
        <v>329</v>
      </c>
    </row>
    <row r="147" spans="1:17" s="188" customFormat="1">
      <c r="A147" s="187" t="s">
        <v>134</v>
      </c>
      <c r="B147" s="188">
        <v>14.6</v>
      </c>
      <c r="D147" s="188" t="s">
        <v>37</v>
      </c>
      <c r="E147" s="188" t="s">
        <v>38</v>
      </c>
      <c r="F147" s="188" t="s">
        <v>29</v>
      </c>
      <c r="G147" s="188" t="s">
        <v>86</v>
      </c>
      <c r="H147" s="188" t="s">
        <v>33</v>
      </c>
      <c r="I147" s="173">
        <v>3</v>
      </c>
      <c r="J147" s="189">
        <f t="shared" si="7"/>
        <v>14.6</v>
      </c>
      <c r="K147" s="188">
        <v>1.0582</v>
      </c>
      <c r="L147" s="188" t="s">
        <v>31</v>
      </c>
      <c r="M147" s="188" t="s">
        <v>31</v>
      </c>
      <c r="N147" s="188" t="s">
        <v>31</v>
      </c>
      <c r="O147" s="188" t="s">
        <v>1220</v>
      </c>
      <c r="P147" s="188" t="s">
        <v>1214</v>
      </c>
      <c r="Q147" s="173" t="s">
        <v>329</v>
      </c>
    </row>
    <row r="148" spans="1:17">
      <c r="A148" s="190" t="s">
        <v>137</v>
      </c>
      <c r="B148" s="173">
        <f>B147</f>
        <v>14.6</v>
      </c>
      <c r="D148" s="173" t="s">
        <v>37</v>
      </c>
      <c r="E148" s="173" t="s">
        <v>38</v>
      </c>
      <c r="F148" s="173" t="s">
        <v>29</v>
      </c>
      <c r="G148" s="173" t="s">
        <v>60</v>
      </c>
      <c r="H148" s="173" t="s">
        <v>98</v>
      </c>
      <c r="I148" s="173">
        <v>3</v>
      </c>
      <c r="J148" s="191">
        <f t="shared" si="7"/>
        <v>14.6</v>
      </c>
      <c r="K148" s="173">
        <f>K147</f>
        <v>1.0582</v>
      </c>
      <c r="L148" s="173" t="s">
        <v>31</v>
      </c>
      <c r="M148" s="173" t="s">
        <v>31</v>
      </c>
      <c r="N148" s="173" t="s">
        <v>31</v>
      </c>
      <c r="O148" s="173" t="s">
        <v>1221</v>
      </c>
      <c r="P148" s="173" t="s">
        <v>1214</v>
      </c>
      <c r="Q148" s="173" t="s">
        <v>329</v>
      </c>
    </row>
    <row r="149" spans="1:17" s="188" customFormat="1">
      <c r="A149" s="187" t="s">
        <v>134</v>
      </c>
      <c r="B149" s="188">
        <v>9.1999999999999998E-2</v>
      </c>
      <c r="D149" s="188" t="s">
        <v>37</v>
      </c>
      <c r="E149" s="188" t="s">
        <v>38</v>
      </c>
      <c r="F149" s="188" t="s">
        <v>29</v>
      </c>
      <c r="G149" s="188" t="s">
        <v>86</v>
      </c>
      <c r="H149" s="188" t="s">
        <v>33</v>
      </c>
      <c r="I149" s="173">
        <v>3</v>
      </c>
      <c r="J149" s="188">
        <f t="shared" si="7"/>
        <v>9.1999999999999998E-2</v>
      </c>
      <c r="K149" s="188">
        <v>1.1084000000000001</v>
      </c>
      <c r="L149" s="188" t="s">
        <v>31</v>
      </c>
      <c r="M149" s="188" t="s">
        <v>31</v>
      </c>
      <c r="N149" s="188" t="s">
        <v>31</v>
      </c>
      <c r="O149" s="188" t="s">
        <v>1222</v>
      </c>
      <c r="P149" s="188" t="s">
        <v>1214</v>
      </c>
      <c r="Q149" s="173" t="s">
        <v>329</v>
      </c>
    </row>
    <row r="150" spans="1:17">
      <c r="A150" s="190" t="s">
        <v>137</v>
      </c>
      <c r="B150" s="173">
        <f>B149</f>
        <v>9.1999999999999998E-2</v>
      </c>
      <c r="D150" s="173" t="s">
        <v>37</v>
      </c>
      <c r="E150" s="173" t="s">
        <v>38</v>
      </c>
      <c r="F150" s="173" t="s">
        <v>29</v>
      </c>
      <c r="G150" s="173" t="s">
        <v>60</v>
      </c>
      <c r="H150" s="173" t="s">
        <v>98</v>
      </c>
      <c r="I150" s="173">
        <v>3</v>
      </c>
      <c r="J150" s="173">
        <f t="shared" si="7"/>
        <v>9.1999999999999998E-2</v>
      </c>
      <c r="K150" s="173">
        <f>K149</f>
        <v>1.1084000000000001</v>
      </c>
      <c r="L150" s="173" t="s">
        <v>31</v>
      </c>
      <c r="M150" s="173" t="s">
        <v>31</v>
      </c>
      <c r="N150" s="173" t="s">
        <v>31</v>
      </c>
      <c r="O150" s="173" t="s">
        <v>1223</v>
      </c>
      <c r="P150" s="173" t="s">
        <v>1214</v>
      </c>
      <c r="Q150" s="173" t="s">
        <v>329</v>
      </c>
    </row>
    <row r="151" spans="1:17" s="188" customFormat="1">
      <c r="A151" s="187" t="s">
        <v>134</v>
      </c>
      <c r="B151" s="188">
        <v>0.315</v>
      </c>
      <c r="D151" s="188" t="s">
        <v>37</v>
      </c>
      <c r="E151" s="188" t="s">
        <v>38</v>
      </c>
      <c r="F151" s="188" t="s">
        <v>29</v>
      </c>
      <c r="G151" s="188" t="s">
        <v>86</v>
      </c>
      <c r="H151" s="188" t="s">
        <v>33</v>
      </c>
      <c r="I151" s="173">
        <v>3</v>
      </c>
      <c r="J151" s="188">
        <f t="shared" si="7"/>
        <v>0.315</v>
      </c>
      <c r="K151" s="188">
        <v>1.1084000000000001</v>
      </c>
      <c r="L151" s="188" t="s">
        <v>31</v>
      </c>
      <c r="M151" s="188" t="s">
        <v>31</v>
      </c>
      <c r="N151" s="188" t="s">
        <v>31</v>
      </c>
      <c r="O151" s="188" t="s">
        <v>1224</v>
      </c>
      <c r="P151" s="188" t="s">
        <v>1214</v>
      </c>
      <c r="Q151" s="188" t="s">
        <v>329</v>
      </c>
    </row>
    <row r="152" spans="1:17" s="182" customFormat="1">
      <c r="A152" s="192" t="s">
        <v>137</v>
      </c>
      <c r="B152" s="173">
        <f>B151</f>
        <v>0.315</v>
      </c>
      <c r="D152" s="182" t="s">
        <v>37</v>
      </c>
      <c r="E152" s="182" t="s">
        <v>38</v>
      </c>
      <c r="F152" s="182" t="s">
        <v>29</v>
      </c>
      <c r="G152" s="182" t="s">
        <v>60</v>
      </c>
      <c r="H152" s="182" t="s">
        <v>98</v>
      </c>
      <c r="I152" s="173">
        <v>3</v>
      </c>
      <c r="J152" s="182">
        <f t="shared" si="7"/>
        <v>0.315</v>
      </c>
      <c r="K152" s="173">
        <f>K151</f>
        <v>1.1084000000000001</v>
      </c>
      <c r="L152" s="182" t="s">
        <v>31</v>
      </c>
      <c r="M152" s="182" t="s">
        <v>31</v>
      </c>
      <c r="N152" s="182" t="s">
        <v>31</v>
      </c>
      <c r="O152" s="173" t="s">
        <v>1225</v>
      </c>
      <c r="P152" s="182" t="s">
        <v>1214</v>
      </c>
      <c r="Q152" s="173" t="s">
        <v>329</v>
      </c>
    </row>
    <row r="153" spans="1:17" s="188" customFormat="1">
      <c r="A153" s="187" t="s">
        <v>134</v>
      </c>
      <c r="B153" s="188">
        <v>0.37</v>
      </c>
      <c r="D153" s="188" t="s">
        <v>37</v>
      </c>
      <c r="E153" s="188" t="s">
        <v>38</v>
      </c>
      <c r="F153" s="188" t="s">
        <v>29</v>
      </c>
      <c r="G153" s="188" t="s">
        <v>86</v>
      </c>
      <c r="H153" s="188" t="s">
        <v>33</v>
      </c>
      <c r="I153" s="173">
        <v>3</v>
      </c>
      <c r="J153" s="188">
        <f t="shared" si="7"/>
        <v>0.37</v>
      </c>
      <c r="K153" s="188">
        <v>1.0582</v>
      </c>
      <c r="L153" s="188" t="s">
        <v>31</v>
      </c>
      <c r="M153" s="188" t="s">
        <v>31</v>
      </c>
      <c r="N153" s="188" t="s">
        <v>31</v>
      </c>
      <c r="O153" s="188" t="s">
        <v>1226</v>
      </c>
      <c r="P153" s="188" t="s">
        <v>1214</v>
      </c>
      <c r="Q153" s="173" t="s">
        <v>329</v>
      </c>
    </row>
    <row r="154" spans="1:17">
      <c r="A154" s="190" t="s">
        <v>137</v>
      </c>
      <c r="B154" s="173">
        <f>B153</f>
        <v>0.37</v>
      </c>
      <c r="D154" s="173" t="s">
        <v>37</v>
      </c>
      <c r="E154" s="173" t="s">
        <v>38</v>
      </c>
      <c r="F154" s="173" t="s">
        <v>29</v>
      </c>
      <c r="G154" s="173" t="s">
        <v>60</v>
      </c>
      <c r="H154" s="173" t="s">
        <v>98</v>
      </c>
      <c r="I154" s="173">
        <v>3</v>
      </c>
      <c r="J154" s="173">
        <f t="shared" si="7"/>
        <v>0.37</v>
      </c>
      <c r="K154" s="173">
        <f>K153</f>
        <v>1.0582</v>
      </c>
      <c r="L154" s="173" t="s">
        <v>31</v>
      </c>
      <c r="M154" s="173" t="s">
        <v>31</v>
      </c>
      <c r="N154" s="173" t="s">
        <v>31</v>
      </c>
      <c r="O154" s="173" t="s">
        <v>1227</v>
      </c>
      <c r="P154" s="173" t="s">
        <v>1214</v>
      </c>
      <c r="Q154" s="173" t="s">
        <v>329</v>
      </c>
    </row>
    <row r="155" spans="1:17" s="188" customFormat="1">
      <c r="A155" s="203" t="s">
        <v>100</v>
      </c>
      <c r="B155" s="188">
        <v>4.1590000000000002E-2</v>
      </c>
      <c r="C155" s="188" t="s">
        <v>101</v>
      </c>
      <c r="D155" s="188" t="s">
        <v>37</v>
      </c>
      <c r="E155" s="188" t="s">
        <v>38</v>
      </c>
      <c r="F155" s="188" t="s">
        <v>29</v>
      </c>
      <c r="G155" s="188" t="s">
        <v>86</v>
      </c>
      <c r="H155" s="188" t="s">
        <v>33</v>
      </c>
      <c r="I155" s="173">
        <v>3</v>
      </c>
      <c r="J155" s="188">
        <f t="shared" si="7"/>
        <v>4.1590000000000002E-2</v>
      </c>
      <c r="K155" s="188">
        <v>1.1084000000000001</v>
      </c>
      <c r="L155" s="188" t="s">
        <v>31</v>
      </c>
      <c r="M155" s="188" t="s">
        <v>31</v>
      </c>
      <c r="N155" s="188" t="s">
        <v>31</v>
      </c>
      <c r="O155" s="188" t="s">
        <v>1228</v>
      </c>
      <c r="P155" s="188" t="s">
        <v>1214</v>
      </c>
      <c r="Q155" s="188" t="s">
        <v>329</v>
      </c>
    </row>
    <row r="156" spans="1:17">
      <c r="A156" s="194" t="s">
        <v>918</v>
      </c>
      <c r="B156" s="173">
        <f>B155</f>
        <v>4.1590000000000002E-2</v>
      </c>
      <c r="D156" s="173" t="s">
        <v>37</v>
      </c>
      <c r="E156" s="173" t="s">
        <v>38</v>
      </c>
      <c r="F156" s="173" t="s">
        <v>29</v>
      </c>
      <c r="G156" s="185" t="s">
        <v>60</v>
      </c>
      <c r="H156" s="173" t="s">
        <v>98</v>
      </c>
      <c r="I156" s="173">
        <v>3</v>
      </c>
      <c r="J156" s="173">
        <f t="shared" si="7"/>
        <v>4.1590000000000002E-2</v>
      </c>
      <c r="K156" s="173">
        <f>K155</f>
        <v>1.1084000000000001</v>
      </c>
      <c r="L156" s="173" t="s">
        <v>31</v>
      </c>
      <c r="M156" s="173" t="s">
        <v>31</v>
      </c>
      <c r="N156" s="173" t="s">
        <v>31</v>
      </c>
      <c r="O156" s="173" t="s">
        <v>1229</v>
      </c>
      <c r="P156" s="173" t="s">
        <v>1214</v>
      </c>
      <c r="Q156" s="173" t="s">
        <v>329</v>
      </c>
    </row>
    <row r="157" spans="1:17" s="188" customFormat="1">
      <c r="A157" s="187" t="s">
        <v>100</v>
      </c>
      <c r="B157" s="188">
        <v>3.5999999999999997E-2</v>
      </c>
      <c r="C157" s="188" t="s">
        <v>101</v>
      </c>
      <c r="D157" s="188" t="s">
        <v>37</v>
      </c>
      <c r="E157" s="188" t="s">
        <v>38</v>
      </c>
      <c r="F157" s="188" t="s">
        <v>29</v>
      </c>
      <c r="G157" s="188" t="s">
        <v>86</v>
      </c>
      <c r="H157" s="188" t="s">
        <v>33</v>
      </c>
      <c r="I157" s="173">
        <v>3</v>
      </c>
      <c r="J157" s="188">
        <f t="shared" si="7"/>
        <v>3.5999999999999997E-2</v>
      </c>
      <c r="K157" s="188">
        <v>1.0702</v>
      </c>
      <c r="L157" s="188" t="s">
        <v>31</v>
      </c>
      <c r="M157" s="188" t="s">
        <v>31</v>
      </c>
      <c r="N157" s="188" t="s">
        <v>31</v>
      </c>
      <c r="O157" s="188" t="s">
        <v>1230</v>
      </c>
      <c r="P157" s="188" t="s">
        <v>1214</v>
      </c>
      <c r="Q157" s="173" t="s">
        <v>329</v>
      </c>
    </row>
    <row r="158" spans="1:17">
      <c r="A158" s="204" t="s">
        <v>918</v>
      </c>
      <c r="B158" s="173">
        <f>B157</f>
        <v>3.5999999999999997E-2</v>
      </c>
      <c r="D158" s="173" t="s">
        <v>37</v>
      </c>
      <c r="E158" s="173" t="s">
        <v>38</v>
      </c>
      <c r="F158" s="173" t="s">
        <v>29</v>
      </c>
      <c r="G158" s="185" t="s">
        <v>60</v>
      </c>
      <c r="H158" s="173" t="s">
        <v>98</v>
      </c>
      <c r="I158" s="173">
        <v>3</v>
      </c>
      <c r="J158" s="173">
        <f t="shared" si="7"/>
        <v>3.5999999999999997E-2</v>
      </c>
      <c r="K158" s="173">
        <f>K157</f>
        <v>1.0702</v>
      </c>
      <c r="L158" s="173" t="s">
        <v>31</v>
      </c>
      <c r="M158" s="173" t="s">
        <v>31</v>
      </c>
      <c r="N158" s="173" t="s">
        <v>31</v>
      </c>
      <c r="O158" s="173" t="s">
        <v>1231</v>
      </c>
      <c r="P158" s="173" t="s">
        <v>1214</v>
      </c>
      <c r="Q158" s="173" t="s">
        <v>329</v>
      </c>
    </row>
    <row r="159" spans="1:17" s="198" customFormat="1" ht="13.5" thickBot="1">
      <c r="A159" s="205" t="s">
        <v>47</v>
      </c>
      <c r="B159" s="198">
        <v>1.2E-2</v>
      </c>
      <c r="D159" s="198" t="s">
        <v>37</v>
      </c>
      <c r="E159" s="198" t="s">
        <v>43</v>
      </c>
      <c r="F159" s="198" t="s">
        <v>44</v>
      </c>
      <c r="G159" s="198" t="s">
        <v>29</v>
      </c>
      <c r="H159" s="198" t="s">
        <v>45</v>
      </c>
      <c r="I159" s="173">
        <v>3</v>
      </c>
      <c r="J159" s="198">
        <f>B159</f>
        <v>1.2E-2</v>
      </c>
      <c r="K159" s="198">
        <v>1.4302999999999999</v>
      </c>
      <c r="L159" s="198" t="s">
        <v>31</v>
      </c>
      <c r="M159" s="198" t="s">
        <v>31</v>
      </c>
      <c r="N159" s="198" t="s">
        <v>31</v>
      </c>
      <c r="O159" s="198" t="s">
        <v>1232</v>
      </c>
      <c r="P159" s="198" t="s">
        <v>1214</v>
      </c>
      <c r="Q159" s="198" t="s">
        <v>329</v>
      </c>
    </row>
    <row r="160" spans="1:17">
      <c r="A160" s="174" t="s">
        <v>5</v>
      </c>
      <c r="B160" s="175" t="s">
        <v>1264</v>
      </c>
      <c r="C160" s="175"/>
      <c r="D160" s="176"/>
    </row>
    <row r="161" spans="1:16">
      <c r="A161" s="177" t="s">
        <v>7</v>
      </c>
      <c r="B161" s="173" t="s">
        <v>1194</v>
      </c>
      <c r="D161" s="176"/>
    </row>
    <row r="162" spans="1:16">
      <c r="A162" s="177" t="s">
        <v>9</v>
      </c>
      <c r="B162" s="173" t="s">
        <v>1268</v>
      </c>
      <c r="D162" s="176"/>
    </row>
    <row r="163" spans="1:16" ht="14.25" customHeight="1">
      <c r="A163" s="177" t="s">
        <v>11</v>
      </c>
      <c r="B163" s="179" t="s">
        <v>1269</v>
      </c>
      <c r="C163" s="179"/>
    </row>
    <row r="164" spans="1:16">
      <c r="A164" s="177" t="s">
        <v>13</v>
      </c>
      <c r="B164" s="173" t="s">
        <v>60</v>
      </c>
    </row>
    <row r="165" spans="1:16">
      <c r="A165" s="177" t="s">
        <v>15</v>
      </c>
      <c r="B165" s="173">
        <f>B123</f>
        <v>4.97</v>
      </c>
    </row>
    <row r="166" spans="1:16">
      <c r="A166" s="177" t="s">
        <v>16</v>
      </c>
      <c r="B166" s="173" t="s">
        <v>17</v>
      </c>
    </row>
    <row r="167" spans="1:16">
      <c r="A167" s="177" t="s">
        <v>18</v>
      </c>
      <c r="B167" s="173" t="s">
        <v>37</v>
      </c>
    </row>
    <row r="168" spans="1:16">
      <c r="A168" s="174" t="s">
        <v>19</v>
      </c>
    </row>
    <row r="169" spans="1:16" ht="15">
      <c r="A169" s="174" t="s">
        <v>20</v>
      </c>
      <c r="B169" s="175" t="s">
        <v>21</v>
      </c>
      <c r="C169" s="180" t="s">
        <v>78</v>
      </c>
      <c r="D169" s="175" t="s">
        <v>18</v>
      </c>
      <c r="E169" s="175" t="s">
        <v>22</v>
      </c>
      <c r="F169" s="175" t="s">
        <v>7</v>
      </c>
      <c r="G169" s="175" t="s">
        <v>13</v>
      </c>
      <c r="H169" s="175" t="s">
        <v>16</v>
      </c>
      <c r="I169" s="175" t="s">
        <v>23</v>
      </c>
      <c r="J169" s="175" t="s">
        <v>24</v>
      </c>
      <c r="K169" s="175" t="s">
        <v>25</v>
      </c>
      <c r="L169" s="175" t="s">
        <v>26</v>
      </c>
      <c r="M169" s="175" t="s">
        <v>27</v>
      </c>
      <c r="N169" s="175" t="s">
        <v>28</v>
      </c>
      <c r="O169" s="175" t="s">
        <v>11</v>
      </c>
      <c r="P169" s="175" t="s">
        <v>79</v>
      </c>
    </row>
    <row r="170" spans="1:16" s="181" customFormat="1">
      <c r="A170" s="181" t="s">
        <v>1264</v>
      </c>
      <c r="B170" s="181">
        <f>B165</f>
        <v>4.97</v>
      </c>
      <c r="D170" s="181" t="s">
        <v>37</v>
      </c>
      <c r="E170" s="181" t="s">
        <v>2</v>
      </c>
      <c r="F170" s="181" t="s">
        <v>29</v>
      </c>
      <c r="G170" s="181" t="s">
        <v>60</v>
      </c>
      <c r="H170" s="181" t="s">
        <v>30</v>
      </c>
      <c r="I170" s="181">
        <v>1</v>
      </c>
      <c r="J170" s="181">
        <f>B170</f>
        <v>4.97</v>
      </c>
      <c r="K170" s="181" t="s">
        <v>31</v>
      </c>
      <c r="L170" s="181" t="s">
        <v>31</v>
      </c>
      <c r="M170" s="181" t="s">
        <v>31</v>
      </c>
      <c r="N170" s="181" t="s">
        <v>31</v>
      </c>
    </row>
    <row r="171" spans="1:16" ht="12.75" customHeight="1">
      <c r="A171" s="83" t="s">
        <v>137</v>
      </c>
      <c r="B171" s="173">
        <v>4.91</v>
      </c>
      <c r="D171" s="173" t="s">
        <v>37</v>
      </c>
      <c r="E171" s="173" t="s">
        <v>38</v>
      </c>
      <c r="F171" s="173" t="s">
        <v>29</v>
      </c>
      <c r="G171" s="185" t="s">
        <v>60</v>
      </c>
      <c r="H171" s="173" t="s">
        <v>33</v>
      </c>
      <c r="I171" s="173">
        <v>2</v>
      </c>
      <c r="J171" s="173">
        <f>LN(B171)</f>
        <v>1.5912739418064292</v>
      </c>
      <c r="K171" s="173">
        <v>0.34842502800000003</v>
      </c>
      <c r="L171" s="173" t="s">
        <v>31</v>
      </c>
      <c r="M171" s="173" t="s">
        <v>31</v>
      </c>
      <c r="N171" s="173" t="s">
        <v>31</v>
      </c>
      <c r="O171" s="179" t="s">
        <v>1235</v>
      </c>
      <c r="P171" s="173" t="s">
        <v>329</v>
      </c>
    </row>
    <row r="172" spans="1:16">
      <c r="A172" s="173" t="s">
        <v>97</v>
      </c>
      <c r="B172" s="173">
        <v>0.05</v>
      </c>
      <c r="D172" s="173" t="s">
        <v>37</v>
      </c>
      <c r="E172" s="173" t="s">
        <v>38</v>
      </c>
      <c r="F172" s="173" t="s">
        <v>29</v>
      </c>
      <c r="G172" s="185" t="s">
        <v>60</v>
      </c>
      <c r="H172" s="173" t="s">
        <v>33</v>
      </c>
      <c r="I172" s="173">
        <v>2</v>
      </c>
      <c r="J172" s="173">
        <f>LN(B172)</f>
        <v>-2.9957322735539909</v>
      </c>
      <c r="K172" s="173">
        <v>0.34842502800000003</v>
      </c>
      <c r="L172" s="173" t="s">
        <v>31</v>
      </c>
      <c r="M172" s="173" t="s">
        <v>31</v>
      </c>
      <c r="N172" s="173" t="s">
        <v>31</v>
      </c>
      <c r="O172" s="173" t="s">
        <v>1270</v>
      </c>
      <c r="P172" s="173" t="s">
        <v>329</v>
      </c>
    </row>
    <row r="173" spans="1:16">
      <c r="A173" s="177" t="s">
        <v>168</v>
      </c>
      <c r="B173" s="173">
        <v>0.161</v>
      </c>
      <c r="D173" s="173" t="s">
        <v>41</v>
      </c>
      <c r="E173" s="173" t="s">
        <v>38</v>
      </c>
      <c r="F173" s="173" t="s">
        <v>29</v>
      </c>
      <c r="G173" s="185" t="s">
        <v>60</v>
      </c>
      <c r="H173" s="173" t="s">
        <v>33</v>
      </c>
      <c r="I173" s="173">
        <v>3</v>
      </c>
      <c r="J173" s="173">
        <f>B173</f>
        <v>0.161</v>
      </c>
      <c r="K173" s="173">
        <v>1.2351000000000001</v>
      </c>
      <c r="L173" s="173" t="s">
        <v>31</v>
      </c>
      <c r="M173" s="173" t="s">
        <v>31</v>
      </c>
      <c r="N173" s="173" t="s">
        <v>31</v>
      </c>
      <c r="O173" s="173" t="s">
        <v>1236</v>
      </c>
      <c r="P173" s="173" t="s">
        <v>1214</v>
      </c>
    </row>
    <row r="174" spans="1:16">
      <c r="A174" s="177" t="s">
        <v>168</v>
      </c>
      <c r="B174" s="173">
        <v>0.04</v>
      </c>
      <c r="D174" s="173" t="s">
        <v>41</v>
      </c>
      <c r="E174" s="173" t="s">
        <v>38</v>
      </c>
      <c r="F174" s="173" t="s">
        <v>29</v>
      </c>
      <c r="G174" s="185" t="s">
        <v>60</v>
      </c>
      <c r="H174" s="173" t="s">
        <v>33</v>
      </c>
      <c r="I174" s="173">
        <v>3</v>
      </c>
      <c r="J174" s="173">
        <f>B174</f>
        <v>0.04</v>
      </c>
      <c r="K174" s="173">
        <v>1.2310000000000001</v>
      </c>
      <c r="L174" s="173" t="s">
        <v>31</v>
      </c>
      <c r="M174" s="173" t="s">
        <v>31</v>
      </c>
      <c r="N174" s="173" t="s">
        <v>31</v>
      </c>
      <c r="O174" s="173" t="s">
        <v>1237</v>
      </c>
      <c r="P174" s="173" t="s">
        <v>1214</v>
      </c>
    </row>
    <row r="175" spans="1:16">
      <c r="A175" s="173" t="s">
        <v>1238</v>
      </c>
      <c r="B175" s="173">
        <v>0.01</v>
      </c>
      <c r="D175" s="173" t="s">
        <v>37</v>
      </c>
      <c r="E175" s="173" t="s">
        <v>2</v>
      </c>
      <c r="F175" s="173" t="s">
        <v>29</v>
      </c>
      <c r="G175" s="185" t="s">
        <v>39</v>
      </c>
      <c r="H175" s="173" t="s">
        <v>33</v>
      </c>
      <c r="I175" s="173">
        <v>3</v>
      </c>
      <c r="J175" s="173">
        <f>B175</f>
        <v>0.01</v>
      </c>
      <c r="K175" s="173">
        <v>1.0582</v>
      </c>
      <c r="L175" s="173" t="s">
        <v>31</v>
      </c>
      <c r="M175" s="173" t="s">
        <v>31</v>
      </c>
      <c r="N175" s="173" t="s">
        <v>31</v>
      </c>
      <c r="O175" s="173" t="s">
        <v>1239</v>
      </c>
      <c r="P175" s="173" t="s">
        <v>1214</v>
      </c>
    </row>
    <row r="176" spans="1:16" s="183" customFormat="1" ht="13.5" thickBot="1">
      <c r="A176" s="183" t="s">
        <v>1238</v>
      </c>
      <c r="B176" s="183">
        <v>2.5999999999999999E-2</v>
      </c>
      <c r="D176" s="183" t="s">
        <v>37</v>
      </c>
      <c r="E176" s="183" t="s">
        <v>2</v>
      </c>
      <c r="F176" s="183" t="s">
        <v>29</v>
      </c>
      <c r="G176" s="199" t="s">
        <v>39</v>
      </c>
      <c r="H176" s="183" t="s">
        <v>33</v>
      </c>
      <c r="I176" s="183">
        <v>3</v>
      </c>
      <c r="J176" s="183">
        <f>B176</f>
        <v>2.5999999999999999E-2</v>
      </c>
      <c r="K176" s="183">
        <v>1.2351000000000001</v>
      </c>
      <c r="L176" s="183" t="s">
        <v>31</v>
      </c>
      <c r="M176" s="183" t="s">
        <v>31</v>
      </c>
      <c r="N176" s="183" t="s">
        <v>31</v>
      </c>
      <c r="O176" s="183" t="s">
        <v>1240</v>
      </c>
      <c r="P176" s="173" t="s">
        <v>1214</v>
      </c>
    </row>
    <row r="177" spans="1:16">
      <c r="A177" s="174" t="s">
        <v>5</v>
      </c>
      <c r="B177" s="175" t="s">
        <v>1265</v>
      </c>
      <c r="C177" s="175"/>
      <c r="D177" s="176"/>
    </row>
    <row r="178" spans="1:16">
      <c r="A178" s="177" t="s">
        <v>7</v>
      </c>
      <c r="B178" s="173" t="s">
        <v>1194</v>
      </c>
      <c r="D178" s="176"/>
    </row>
    <row r="179" spans="1:16">
      <c r="A179" s="177" t="s">
        <v>9</v>
      </c>
      <c r="B179" s="173" t="s">
        <v>1271</v>
      </c>
      <c r="D179" s="176"/>
    </row>
    <row r="180" spans="1:16" ht="14.25" customHeight="1">
      <c r="A180" s="177" t="s">
        <v>11</v>
      </c>
      <c r="B180" s="179" t="s">
        <v>1242</v>
      </c>
      <c r="C180" s="179"/>
    </row>
    <row r="181" spans="1:16">
      <c r="A181" s="177" t="s">
        <v>13</v>
      </c>
      <c r="B181" s="173" t="s">
        <v>60</v>
      </c>
    </row>
    <row r="182" spans="1:16">
      <c r="A182" s="177" t="s">
        <v>15</v>
      </c>
      <c r="B182" s="173">
        <f>B124</f>
        <v>21.23</v>
      </c>
    </row>
    <row r="183" spans="1:16">
      <c r="A183" s="177" t="s">
        <v>16</v>
      </c>
      <c r="B183" s="173" t="s">
        <v>17</v>
      </c>
    </row>
    <row r="184" spans="1:16">
      <c r="A184" s="177" t="s">
        <v>18</v>
      </c>
      <c r="B184" s="173" t="s">
        <v>37</v>
      </c>
    </row>
    <row r="185" spans="1:16">
      <c r="A185" s="174" t="s">
        <v>19</v>
      </c>
    </row>
    <row r="186" spans="1:16" ht="15">
      <c r="A186" s="174" t="s">
        <v>20</v>
      </c>
      <c r="B186" s="175" t="s">
        <v>21</v>
      </c>
      <c r="C186" s="180" t="s">
        <v>78</v>
      </c>
      <c r="D186" s="175" t="s">
        <v>18</v>
      </c>
      <c r="E186" s="175" t="s">
        <v>22</v>
      </c>
      <c r="F186" s="175" t="s">
        <v>7</v>
      </c>
      <c r="G186" s="175" t="s">
        <v>13</v>
      </c>
      <c r="H186" s="175" t="s">
        <v>16</v>
      </c>
      <c r="I186" s="175" t="s">
        <v>23</v>
      </c>
      <c r="J186" s="175" t="s">
        <v>24</v>
      </c>
      <c r="K186" s="175" t="s">
        <v>25</v>
      </c>
      <c r="L186" s="175" t="s">
        <v>26</v>
      </c>
      <c r="M186" s="175" t="s">
        <v>27</v>
      </c>
      <c r="N186" s="175" t="s">
        <v>28</v>
      </c>
      <c r="O186" s="175" t="s">
        <v>11</v>
      </c>
      <c r="P186" s="175" t="s">
        <v>79</v>
      </c>
    </row>
    <row r="187" spans="1:16" s="181" customFormat="1">
      <c r="A187" s="181" t="s">
        <v>1265</v>
      </c>
      <c r="B187" s="181">
        <f>B124</f>
        <v>21.23</v>
      </c>
      <c r="D187" s="181" t="s">
        <v>37</v>
      </c>
      <c r="E187" s="181" t="s">
        <v>2</v>
      </c>
      <c r="F187" s="181" t="s">
        <v>29</v>
      </c>
      <c r="G187" s="181" t="s">
        <v>60</v>
      </c>
      <c r="H187" s="181" t="s">
        <v>30</v>
      </c>
      <c r="I187" s="181">
        <v>1</v>
      </c>
      <c r="J187" s="181">
        <f>B187</f>
        <v>21.23</v>
      </c>
      <c r="K187" s="181" t="s">
        <v>31</v>
      </c>
      <c r="L187" s="181" t="s">
        <v>31</v>
      </c>
      <c r="M187" s="181" t="s">
        <v>31</v>
      </c>
      <c r="N187" s="181" t="s">
        <v>31</v>
      </c>
    </row>
    <row r="188" spans="1:16" ht="12.75" customHeight="1">
      <c r="A188" s="83" t="s">
        <v>137</v>
      </c>
      <c r="B188" s="173">
        <v>6.43</v>
      </c>
      <c r="D188" s="173" t="s">
        <v>37</v>
      </c>
      <c r="E188" s="173" t="s">
        <v>38</v>
      </c>
      <c r="F188" s="173" t="s">
        <v>29</v>
      </c>
      <c r="G188" s="185" t="s">
        <v>60</v>
      </c>
      <c r="H188" s="173" t="s">
        <v>33</v>
      </c>
      <c r="I188" s="173">
        <v>2</v>
      </c>
      <c r="J188" s="173">
        <f>LN(B188)</f>
        <v>1.860974538249528</v>
      </c>
      <c r="K188" s="173">
        <v>0.34842502800000003</v>
      </c>
      <c r="L188" s="173" t="s">
        <v>31</v>
      </c>
      <c r="M188" s="173" t="s">
        <v>31</v>
      </c>
      <c r="N188" s="173" t="s">
        <v>31</v>
      </c>
      <c r="O188" s="179" t="s">
        <v>1243</v>
      </c>
      <c r="P188" s="173" t="s">
        <v>329</v>
      </c>
    </row>
    <row r="189" spans="1:16" ht="12" customHeight="1">
      <c r="A189" s="173" t="s">
        <v>97</v>
      </c>
      <c r="B189" s="173">
        <v>14.81</v>
      </c>
      <c r="D189" s="173" t="s">
        <v>37</v>
      </c>
      <c r="E189" s="173" t="s">
        <v>38</v>
      </c>
      <c r="F189" s="173" t="s">
        <v>29</v>
      </c>
      <c r="G189" s="185" t="s">
        <v>60</v>
      </c>
      <c r="H189" s="173" t="s">
        <v>33</v>
      </c>
      <c r="I189" s="173">
        <v>2</v>
      </c>
      <c r="J189" s="173">
        <f>LN(B189)</f>
        <v>2.6953026282797072</v>
      </c>
      <c r="K189" s="173">
        <v>0.34842502800000003</v>
      </c>
      <c r="L189" s="173" t="s">
        <v>31</v>
      </c>
      <c r="M189" s="173" t="s">
        <v>31</v>
      </c>
      <c r="N189" s="173" t="s">
        <v>31</v>
      </c>
      <c r="O189" s="179" t="s">
        <v>1244</v>
      </c>
      <c r="P189" s="173" t="s">
        <v>329</v>
      </c>
    </row>
    <row r="190" spans="1:16">
      <c r="A190" s="177" t="s">
        <v>168</v>
      </c>
      <c r="B190" s="173">
        <v>1.5249999999999999</v>
      </c>
      <c r="D190" s="173" t="s">
        <v>41</v>
      </c>
      <c r="E190" s="173" t="s">
        <v>38</v>
      </c>
      <c r="F190" s="173" t="s">
        <v>29</v>
      </c>
      <c r="G190" s="185" t="s">
        <v>60</v>
      </c>
      <c r="H190" s="173" t="s">
        <v>33</v>
      </c>
      <c r="I190" s="173">
        <v>3</v>
      </c>
      <c r="J190" s="173">
        <f>B190</f>
        <v>1.5249999999999999</v>
      </c>
      <c r="K190" s="173">
        <v>1.0747746650000001</v>
      </c>
      <c r="L190" s="173" t="s">
        <v>31</v>
      </c>
      <c r="M190" s="173" t="s">
        <v>31</v>
      </c>
      <c r="N190" s="173" t="s">
        <v>31</v>
      </c>
      <c r="O190" s="173" t="s">
        <v>1245</v>
      </c>
      <c r="P190" s="173" t="s">
        <v>1214</v>
      </c>
    </row>
    <row r="191" spans="1:16">
      <c r="A191" s="177" t="s">
        <v>168</v>
      </c>
      <c r="B191" s="173">
        <v>5.0000000000000001E-3</v>
      </c>
      <c r="D191" s="173" t="s">
        <v>41</v>
      </c>
      <c r="E191" s="173" t="s">
        <v>38</v>
      </c>
      <c r="F191" s="173" t="s">
        <v>29</v>
      </c>
      <c r="G191" s="185" t="s">
        <v>60</v>
      </c>
      <c r="H191" s="173" t="s">
        <v>33</v>
      </c>
      <c r="I191" s="173">
        <v>3</v>
      </c>
      <c r="J191" s="173">
        <f t="shared" ref="J191:J196" si="8">B191</f>
        <v>5.0000000000000001E-3</v>
      </c>
      <c r="K191" s="173">
        <v>1.058199144</v>
      </c>
      <c r="L191" s="173" t="s">
        <v>31</v>
      </c>
      <c r="M191" s="173" t="s">
        <v>31</v>
      </c>
      <c r="N191" s="173" t="s">
        <v>31</v>
      </c>
      <c r="O191" s="173" t="s">
        <v>1246</v>
      </c>
      <c r="P191" s="173" t="s">
        <v>1214</v>
      </c>
    </row>
    <row r="192" spans="1:16">
      <c r="A192" s="177" t="s">
        <v>168</v>
      </c>
      <c r="B192" s="173">
        <v>4.2000000000000003E-2</v>
      </c>
      <c r="D192" s="173" t="s">
        <v>41</v>
      </c>
      <c r="E192" s="173" t="s">
        <v>38</v>
      </c>
      <c r="F192" s="173" t="s">
        <v>29</v>
      </c>
      <c r="G192" s="185" t="s">
        <v>60</v>
      </c>
      <c r="H192" s="173" t="s">
        <v>33</v>
      </c>
      <c r="I192" s="173">
        <v>3</v>
      </c>
      <c r="J192" s="173">
        <f t="shared" si="8"/>
        <v>4.2000000000000003E-2</v>
      </c>
      <c r="K192" s="173">
        <v>1.0701761910000001</v>
      </c>
      <c r="L192" s="173" t="s">
        <v>31</v>
      </c>
      <c r="M192" s="173" t="s">
        <v>31</v>
      </c>
      <c r="N192" s="173" t="s">
        <v>31</v>
      </c>
      <c r="O192" s="173" t="s">
        <v>1247</v>
      </c>
      <c r="P192" s="173" t="s">
        <v>1214</v>
      </c>
    </row>
    <row r="193" spans="1:17">
      <c r="A193" s="177" t="s">
        <v>168</v>
      </c>
      <c r="B193" s="173">
        <v>8.0000000000000002E-3</v>
      </c>
      <c r="D193" s="173" t="s">
        <v>41</v>
      </c>
      <c r="E193" s="173" t="s">
        <v>38</v>
      </c>
      <c r="F193" s="173" t="s">
        <v>29</v>
      </c>
      <c r="G193" s="185" t="s">
        <v>60</v>
      </c>
      <c r="H193" s="173" t="s">
        <v>33</v>
      </c>
      <c r="I193" s="173">
        <v>3</v>
      </c>
      <c r="J193" s="173">
        <f t="shared" si="8"/>
        <v>8.0000000000000002E-3</v>
      </c>
      <c r="K193" s="173">
        <v>1.0701761910000001</v>
      </c>
      <c r="L193" s="173" t="s">
        <v>31</v>
      </c>
      <c r="M193" s="173" t="s">
        <v>31</v>
      </c>
      <c r="N193" s="173" t="s">
        <v>31</v>
      </c>
      <c r="O193" s="173" t="s">
        <v>1248</v>
      </c>
      <c r="P193" s="173" t="s">
        <v>1214</v>
      </c>
    </row>
    <row r="194" spans="1:17">
      <c r="A194" s="177" t="s">
        <v>168</v>
      </c>
      <c r="B194" s="173">
        <v>1.3879999999999999</v>
      </c>
      <c r="D194" s="173" t="s">
        <v>41</v>
      </c>
      <c r="E194" s="173" t="s">
        <v>38</v>
      </c>
      <c r="F194" s="173" t="s">
        <v>29</v>
      </c>
      <c r="G194" s="185" t="s">
        <v>60</v>
      </c>
      <c r="H194" s="173" t="s">
        <v>33</v>
      </c>
      <c r="I194" s="173">
        <v>3</v>
      </c>
      <c r="J194" s="173">
        <f t="shared" si="8"/>
        <v>1.3879999999999999</v>
      </c>
      <c r="K194" s="173">
        <v>1.058199144</v>
      </c>
      <c r="L194" s="173" t="s">
        <v>31</v>
      </c>
      <c r="M194" s="173" t="s">
        <v>31</v>
      </c>
      <c r="N194" s="173" t="s">
        <v>31</v>
      </c>
      <c r="O194" s="173" t="s">
        <v>1249</v>
      </c>
      <c r="P194" s="173" t="s">
        <v>1214</v>
      </c>
    </row>
    <row r="195" spans="1:17">
      <c r="A195" s="177" t="s">
        <v>168</v>
      </c>
      <c r="B195" s="173">
        <v>0.87</v>
      </c>
      <c r="D195" s="173" t="s">
        <v>41</v>
      </c>
      <c r="E195" s="173" t="s">
        <v>38</v>
      </c>
      <c r="F195" s="173" t="s">
        <v>29</v>
      </c>
      <c r="G195" s="185" t="s">
        <v>60</v>
      </c>
      <c r="H195" s="173" t="s">
        <v>33</v>
      </c>
      <c r="I195" s="173">
        <v>3</v>
      </c>
      <c r="J195" s="173">
        <f t="shared" si="8"/>
        <v>0.87</v>
      </c>
      <c r="K195" s="173">
        <v>1.0701761910000001</v>
      </c>
      <c r="L195" s="173" t="s">
        <v>31</v>
      </c>
      <c r="M195" s="173" t="s">
        <v>31</v>
      </c>
      <c r="N195" s="173" t="s">
        <v>31</v>
      </c>
      <c r="O195" s="173" t="s">
        <v>1250</v>
      </c>
      <c r="P195" s="173" t="s">
        <v>1214</v>
      </c>
    </row>
    <row r="196" spans="1:17">
      <c r="A196" s="177" t="s">
        <v>168</v>
      </c>
      <c r="B196" s="173">
        <v>0.17</v>
      </c>
      <c r="D196" s="173" t="s">
        <v>41</v>
      </c>
      <c r="E196" s="173" t="s">
        <v>38</v>
      </c>
      <c r="F196" s="173" t="s">
        <v>29</v>
      </c>
      <c r="G196" s="185" t="s">
        <v>60</v>
      </c>
      <c r="H196" s="173" t="s">
        <v>33</v>
      </c>
      <c r="I196" s="173">
        <v>3</v>
      </c>
      <c r="J196" s="173">
        <f t="shared" si="8"/>
        <v>0.17</v>
      </c>
      <c r="K196" s="173">
        <v>1.058199144</v>
      </c>
      <c r="L196" s="173" t="s">
        <v>31</v>
      </c>
      <c r="M196" s="173" t="s">
        <v>31</v>
      </c>
      <c r="N196" s="173" t="s">
        <v>31</v>
      </c>
      <c r="O196" s="173" t="s">
        <v>1251</v>
      </c>
      <c r="P196" s="173" t="s">
        <v>1214</v>
      </c>
    </row>
    <row r="197" spans="1:17">
      <c r="A197" s="177" t="s">
        <v>168</v>
      </c>
      <c r="B197" s="173">
        <v>0.86199999999999999</v>
      </c>
      <c r="D197" s="173" t="s">
        <v>41</v>
      </c>
      <c r="E197" s="173" t="s">
        <v>38</v>
      </c>
      <c r="F197" s="173" t="s">
        <v>29</v>
      </c>
      <c r="G197" s="185" t="s">
        <v>60</v>
      </c>
      <c r="H197" s="173" t="s">
        <v>33</v>
      </c>
      <c r="I197" s="173">
        <v>2</v>
      </c>
      <c r="J197" s="173">
        <f>B197</f>
        <v>0.86199999999999999</v>
      </c>
      <c r="K197" s="173">
        <v>1.0701761910000001</v>
      </c>
      <c r="L197" s="173" t="s">
        <v>31</v>
      </c>
      <c r="M197" s="173" t="s">
        <v>31</v>
      </c>
      <c r="N197" s="173" t="s">
        <v>31</v>
      </c>
      <c r="O197" s="173" t="s">
        <v>1252</v>
      </c>
    </row>
    <row r="198" spans="1:17">
      <c r="A198" s="177" t="s">
        <v>168</v>
      </c>
      <c r="B198" s="173">
        <v>3.6</v>
      </c>
      <c r="D198" s="173" t="s">
        <v>41</v>
      </c>
      <c r="E198" s="173" t="s">
        <v>38</v>
      </c>
      <c r="F198" s="173" t="s">
        <v>29</v>
      </c>
      <c r="G198" s="185" t="s">
        <v>60</v>
      </c>
      <c r="H198" s="173" t="s">
        <v>33</v>
      </c>
      <c r="I198" s="173">
        <v>2</v>
      </c>
      <c r="J198" s="173">
        <f t="shared" ref="J198:J200" si="9">B198</f>
        <v>3.6</v>
      </c>
      <c r="K198" s="173">
        <v>1.058199144</v>
      </c>
      <c r="L198" s="173" t="s">
        <v>31</v>
      </c>
      <c r="M198" s="173" t="s">
        <v>31</v>
      </c>
      <c r="N198" s="173" t="s">
        <v>31</v>
      </c>
      <c r="O198" s="173" t="s">
        <v>1253</v>
      </c>
    </row>
    <row r="199" spans="1:17">
      <c r="A199" s="177" t="s">
        <v>168</v>
      </c>
      <c r="B199" s="173">
        <v>2.9</v>
      </c>
      <c r="D199" s="173" t="s">
        <v>41</v>
      </c>
      <c r="E199" s="173" t="s">
        <v>38</v>
      </c>
      <c r="F199" s="173" t="s">
        <v>29</v>
      </c>
      <c r="G199" s="185" t="s">
        <v>60</v>
      </c>
      <c r="H199" s="173" t="s">
        <v>33</v>
      </c>
      <c r="I199" s="173">
        <v>2</v>
      </c>
      <c r="J199" s="173">
        <f t="shared" si="9"/>
        <v>2.9</v>
      </c>
      <c r="K199" s="173">
        <v>1.058199144</v>
      </c>
      <c r="L199" s="173" t="s">
        <v>31</v>
      </c>
      <c r="M199" s="173" t="s">
        <v>31</v>
      </c>
      <c r="N199" s="173" t="s">
        <v>31</v>
      </c>
      <c r="O199" s="173" t="s">
        <v>1254</v>
      </c>
    </row>
    <row r="200" spans="1:17">
      <c r="A200" s="177" t="s">
        <v>168</v>
      </c>
      <c r="B200" s="173">
        <v>1.7</v>
      </c>
      <c r="D200" s="173" t="s">
        <v>41</v>
      </c>
      <c r="E200" s="173" t="s">
        <v>38</v>
      </c>
      <c r="F200" s="173" t="s">
        <v>29</v>
      </c>
      <c r="G200" s="185" t="s">
        <v>60</v>
      </c>
      <c r="H200" s="173" t="s">
        <v>33</v>
      </c>
      <c r="I200" s="173">
        <v>2</v>
      </c>
      <c r="J200" s="173">
        <f t="shared" si="9"/>
        <v>1.7</v>
      </c>
      <c r="K200" s="173">
        <v>1.058199144</v>
      </c>
      <c r="L200" s="173" t="s">
        <v>31</v>
      </c>
      <c r="M200" s="173" t="s">
        <v>31</v>
      </c>
      <c r="N200" s="173" t="s">
        <v>31</v>
      </c>
      <c r="O200" s="173" t="s">
        <v>1255</v>
      </c>
    </row>
    <row r="201" spans="1:17">
      <c r="A201" s="173" t="s">
        <v>1238</v>
      </c>
      <c r="B201" s="173">
        <v>1.82</v>
      </c>
      <c r="D201" s="173" t="s">
        <v>37</v>
      </c>
      <c r="E201" s="173" t="s">
        <v>2</v>
      </c>
      <c r="F201" s="173" t="s">
        <v>29</v>
      </c>
      <c r="G201" s="185" t="s">
        <v>39</v>
      </c>
      <c r="H201" s="173" t="s">
        <v>33</v>
      </c>
      <c r="I201" s="173">
        <v>3</v>
      </c>
      <c r="J201" s="173">
        <f>B201</f>
        <v>1.82</v>
      </c>
      <c r="K201" s="173">
        <v>1.2310236969999999</v>
      </c>
      <c r="L201" s="173" t="s">
        <v>31</v>
      </c>
      <c r="M201" s="173" t="s">
        <v>31</v>
      </c>
      <c r="N201" s="173" t="s">
        <v>31</v>
      </c>
      <c r="O201" s="173" t="s">
        <v>1256</v>
      </c>
      <c r="P201" s="173" t="s">
        <v>1214</v>
      </c>
    </row>
    <row r="202" spans="1:17" s="188" customFormat="1">
      <c r="A202" s="187" t="s">
        <v>134</v>
      </c>
      <c r="B202" s="188">
        <v>0.37</v>
      </c>
      <c r="D202" s="188" t="s">
        <v>37</v>
      </c>
      <c r="E202" s="188" t="s">
        <v>38</v>
      </c>
      <c r="F202" s="188" t="s">
        <v>29</v>
      </c>
      <c r="G202" s="188" t="s">
        <v>86</v>
      </c>
      <c r="H202" s="188" t="s">
        <v>33</v>
      </c>
      <c r="I202" s="188">
        <v>3</v>
      </c>
      <c r="J202" s="189">
        <f t="shared" ref="J202:J203" si="10">B202</f>
        <v>0.37</v>
      </c>
      <c r="K202" s="188">
        <v>1.058199144</v>
      </c>
      <c r="L202" s="188" t="s">
        <v>31</v>
      </c>
      <c r="M202" s="188" t="s">
        <v>31</v>
      </c>
      <c r="N202" s="188" t="s">
        <v>31</v>
      </c>
      <c r="O202" s="188" t="s">
        <v>1220</v>
      </c>
      <c r="P202" s="188" t="s">
        <v>1214</v>
      </c>
      <c r="Q202" s="173" t="s">
        <v>329</v>
      </c>
    </row>
    <row r="203" spans="1:17">
      <c r="A203" s="190" t="s">
        <v>137</v>
      </c>
      <c r="B203" s="173">
        <f>B202</f>
        <v>0.37</v>
      </c>
      <c r="D203" s="173" t="s">
        <v>37</v>
      </c>
      <c r="E203" s="173" t="s">
        <v>38</v>
      </c>
      <c r="F203" s="173" t="s">
        <v>29</v>
      </c>
      <c r="G203" s="173" t="s">
        <v>60</v>
      </c>
      <c r="H203" s="173" t="s">
        <v>98</v>
      </c>
      <c r="I203" s="173">
        <v>3</v>
      </c>
      <c r="J203" s="191">
        <f t="shared" si="10"/>
        <v>0.37</v>
      </c>
      <c r="K203" s="182">
        <v>1.058199144</v>
      </c>
      <c r="L203" s="173" t="s">
        <v>31</v>
      </c>
      <c r="M203" s="173" t="s">
        <v>31</v>
      </c>
      <c r="N203" s="173" t="s">
        <v>31</v>
      </c>
      <c r="O203" s="173" t="s">
        <v>1221</v>
      </c>
      <c r="P203" s="173" t="s">
        <v>1214</v>
      </c>
      <c r="Q203" s="173" t="s">
        <v>329</v>
      </c>
    </row>
    <row r="204" spans="1:17" s="188" customFormat="1">
      <c r="A204" s="187" t="s">
        <v>97</v>
      </c>
      <c r="B204" s="188">
        <v>0.65100000000000002</v>
      </c>
      <c r="D204" s="188" t="s">
        <v>37</v>
      </c>
      <c r="E204" s="188" t="s">
        <v>38</v>
      </c>
      <c r="F204" s="188" t="s">
        <v>29</v>
      </c>
      <c r="G204" s="206" t="s">
        <v>60</v>
      </c>
      <c r="H204" s="188" t="s">
        <v>98</v>
      </c>
      <c r="I204" s="188">
        <v>3</v>
      </c>
      <c r="J204" s="188">
        <f>B204</f>
        <v>0.65100000000000002</v>
      </c>
      <c r="K204" s="173">
        <v>1.1116329410000001</v>
      </c>
      <c r="L204" s="188" t="s">
        <v>31</v>
      </c>
      <c r="M204" s="188" t="s">
        <v>31</v>
      </c>
      <c r="N204" s="188" t="s">
        <v>31</v>
      </c>
      <c r="O204" s="188" t="s">
        <v>1257</v>
      </c>
      <c r="P204" s="188" t="s">
        <v>1214</v>
      </c>
    </row>
    <row r="205" spans="1:17">
      <c r="A205" s="207" t="s">
        <v>93</v>
      </c>
      <c r="B205" s="173">
        <v>0.65100000000000002</v>
      </c>
      <c r="D205" s="173" t="s">
        <v>37</v>
      </c>
      <c r="E205" s="173" t="s">
        <v>38</v>
      </c>
      <c r="F205" s="173" t="s">
        <v>29</v>
      </c>
      <c r="G205" s="173" t="s">
        <v>86</v>
      </c>
      <c r="H205" s="173" t="s">
        <v>33</v>
      </c>
      <c r="I205" s="173">
        <v>3</v>
      </c>
      <c r="J205" s="173">
        <f>B205</f>
        <v>0.65100000000000002</v>
      </c>
      <c r="K205" s="173">
        <v>1.1116329410000001</v>
      </c>
      <c r="L205" s="173" t="s">
        <v>31</v>
      </c>
      <c r="M205" s="173" t="s">
        <v>31</v>
      </c>
      <c r="N205" s="173" t="s">
        <v>31</v>
      </c>
      <c r="O205" s="173" t="s">
        <v>1258</v>
      </c>
      <c r="P205" s="173" t="s">
        <v>1214</v>
      </c>
    </row>
    <row r="206" spans="1:17" s="182" customFormat="1">
      <c r="A206" s="208" t="s">
        <v>94</v>
      </c>
      <c r="B206" s="182">
        <v>0.65100000000000002</v>
      </c>
      <c r="C206" s="182" t="s">
        <v>95</v>
      </c>
      <c r="D206" s="182" t="s">
        <v>37</v>
      </c>
      <c r="E206" s="182" t="s">
        <v>38</v>
      </c>
      <c r="F206" s="182" t="s">
        <v>29</v>
      </c>
      <c r="G206" s="182" t="s">
        <v>86</v>
      </c>
      <c r="H206" s="182" t="s">
        <v>33</v>
      </c>
      <c r="I206" s="182">
        <v>3</v>
      </c>
      <c r="J206" s="182">
        <f>B206</f>
        <v>0.65100000000000002</v>
      </c>
      <c r="K206" s="182">
        <v>1.1116329410000001</v>
      </c>
      <c r="L206" s="182" t="s">
        <v>31</v>
      </c>
      <c r="M206" s="182" t="s">
        <v>31</v>
      </c>
      <c r="N206" s="182" t="s">
        <v>31</v>
      </c>
      <c r="O206" s="182" t="s">
        <v>1258</v>
      </c>
      <c r="P206" s="182" t="s">
        <v>1214</v>
      </c>
    </row>
    <row r="207" spans="1:17">
      <c r="A207" s="173" t="s">
        <v>1238</v>
      </c>
      <c r="B207" s="173">
        <v>0.35799999999999998</v>
      </c>
      <c r="D207" s="173" t="s">
        <v>37</v>
      </c>
      <c r="E207" s="173" t="s">
        <v>2</v>
      </c>
      <c r="F207" s="173" t="s">
        <v>29</v>
      </c>
      <c r="G207" s="185" t="s">
        <v>39</v>
      </c>
      <c r="H207" s="173" t="s">
        <v>33</v>
      </c>
      <c r="I207" s="173">
        <v>3</v>
      </c>
      <c r="J207" s="173">
        <f>B207</f>
        <v>0.35799999999999998</v>
      </c>
      <c r="K207" s="173">
        <v>1.058199144</v>
      </c>
      <c r="L207" s="173" t="s">
        <v>31</v>
      </c>
      <c r="M207" s="173" t="s">
        <v>31</v>
      </c>
      <c r="N207" s="173" t="s">
        <v>31</v>
      </c>
      <c r="O207" s="173" t="s">
        <v>1259</v>
      </c>
      <c r="P207" s="173" t="s">
        <v>1214</v>
      </c>
    </row>
    <row r="208" spans="1:17" s="183" customFormat="1" ht="13.5" thickBot="1">
      <c r="A208" s="200" t="s">
        <v>941</v>
      </c>
      <c r="B208" s="183">
        <v>0.14199999999999999</v>
      </c>
      <c r="D208" s="183" t="s">
        <v>37</v>
      </c>
      <c r="E208" s="183" t="s">
        <v>43</v>
      </c>
      <c r="F208" s="183" t="s">
        <v>44</v>
      </c>
      <c r="G208" s="199" t="s">
        <v>29</v>
      </c>
      <c r="H208" s="183" t="s">
        <v>45</v>
      </c>
      <c r="I208" s="183">
        <v>3</v>
      </c>
      <c r="J208" s="183">
        <f>B208</f>
        <v>0.14199999999999999</v>
      </c>
      <c r="K208" s="183">
        <v>1.2292419450000001</v>
      </c>
      <c r="L208" s="183" t="s">
        <v>31</v>
      </c>
      <c r="M208" s="183" t="s">
        <v>31</v>
      </c>
      <c r="N208" s="183" t="s">
        <v>31</v>
      </c>
      <c r="O208" s="183" t="s">
        <v>1260</v>
      </c>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DD46A-344C-49A9-8DE9-582AC6D827B3}">
  <sheetPr>
    <tabColor theme="5"/>
  </sheetPr>
  <dimension ref="A1:P26"/>
  <sheetViews>
    <sheetView topLeftCell="P1" zoomScale="85" zoomScaleNormal="85" workbookViewId="0">
      <selection activeCell="A36" sqref="A36"/>
    </sheetView>
  </sheetViews>
  <sheetFormatPr defaultRowHeight="12.75"/>
  <cols>
    <col min="1" max="1" width="68.42578125" style="173" bestFit="1" customWidth="1"/>
    <col min="2" max="2" width="40.7109375" style="173" bestFit="1" customWidth="1"/>
    <col min="3" max="3" width="5" style="173" bestFit="1" customWidth="1"/>
    <col min="4" max="4" width="14.5703125" style="173" bestFit="1" customWidth="1"/>
    <col min="5" max="5" width="11" style="173" bestFit="1" customWidth="1"/>
    <col min="6" max="6" width="9" style="173" bestFit="1" customWidth="1"/>
    <col min="7" max="7" width="13.42578125" style="173" bestFit="1" customWidth="1"/>
    <col min="8" max="8" width="17.7109375" style="173" bestFit="1" customWidth="1"/>
    <col min="9" max="9" width="10" style="173" customWidth="1"/>
    <col min="10" max="13" width="10.85546875" style="173" bestFit="1" customWidth="1"/>
    <col min="14" max="14" width="9.140625" style="173"/>
    <col min="15" max="15" width="11" style="173" customWidth="1"/>
    <col min="16" max="16384" width="9.140625" style="173"/>
  </cols>
  <sheetData>
    <row r="1" spans="1:16">
      <c r="A1" s="173" t="s">
        <v>0</v>
      </c>
      <c r="B1" s="173">
        <v>13</v>
      </c>
    </row>
    <row r="2" spans="1:16">
      <c r="A2" s="209" t="s">
        <v>5</v>
      </c>
      <c r="B2" s="210" t="s">
        <v>1193</v>
      </c>
      <c r="C2" s="211"/>
      <c r="D2" s="188"/>
      <c r="E2" s="188"/>
      <c r="F2" s="188"/>
      <c r="G2" s="188"/>
      <c r="H2" s="188"/>
      <c r="I2" s="188"/>
      <c r="J2" s="188"/>
      <c r="K2" s="188"/>
      <c r="L2" s="188"/>
      <c r="M2" s="188"/>
    </row>
    <row r="3" spans="1:16">
      <c r="A3" s="177" t="s">
        <v>7</v>
      </c>
      <c r="B3" s="173" t="s">
        <v>556</v>
      </c>
      <c r="C3" s="176"/>
    </row>
    <row r="4" spans="1:16">
      <c r="A4" s="177" t="s">
        <v>9</v>
      </c>
      <c r="B4" s="173" t="s">
        <v>1272</v>
      </c>
      <c r="C4" s="176"/>
    </row>
    <row r="5" spans="1:16" ht="51">
      <c r="A5" s="177" t="s">
        <v>11</v>
      </c>
      <c r="B5" s="179" t="s">
        <v>1273</v>
      </c>
    </row>
    <row r="6" spans="1:16">
      <c r="A6" s="177" t="s">
        <v>13</v>
      </c>
      <c r="B6" s="173" t="s">
        <v>14</v>
      </c>
    </row>
    <row r="7" spans="1:16">
      <c r="A7" s="177" t="s">
        <v>15</v>
      </c>
      <c r="B7" s="173">
        <v>1</v>
      </c>
    </row>
    <row r="8" spans="1:16">
      <c r="A8" s="177" t="s">
        <v>16</v>
      </c>
      <c r="B8" s="173" t="s">
        <v>17</v>
      </c>
    </row>
    <row r="9" spans="1:16">
      <c r="A9" s="177" t="s">
        <v>18</v>
      </c>
      <c r="B9" s="173" t="s">
        <v>18</v>
      </c>
    </row>
    <row r="10" spans="1:16">
      <c r="A10" s="174" t="s">
        <v>19</v>
      </c>
    </row>
    <row r="11" spans="1:16">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row>
    <row r="12" spans="1:16">
      <c r="A12" s="177" t="s">
        <v>1193</v>
      </c>
      <c r="B12" s="173">
        <v>1</v>
      </c>
      <c r="C12" s="173" t="s">
        <v>18</v>
      </c>
      <c r="D12" s="173" t="s">
        <v>2</v>
      </c>
      <c r="E12" s="173" t="s">
        <v>29</v>
      </c>
      <c r="F12" s="173" t="s">
        <v>14</v>
      </c>
      <c r="G12" s="173" t="s">
        <v>30</v>
      </c>
      <c r="H12" s="173">
        <v>1</v>
      </c>
      <c r="I12" s="173">
        <v>1</v>
      </c>
      <c r="J12" s="173" t="s">
        <v>31</v>
      </c>
      <c r="K12" s="173" t="s">
        <v>31</v>
      </c>
      <c r="L12" s="173" t="s">
        <v>31</v>
      </c>
      <c r="M12" s="173" t="s">
        <v>31</v>
      </c>
      <c r="O12" s="173" t="s">
        <v>1274</v>
      </c>
    </row>
    <row r="13" spans="1:16">
      <c r="A13" s="212" t="s">
        <v>1275</v>
      </c>
      <c r="B13" s="173">
        <v>2</v>
      </c>
      <c r="C13" s="173" t="s">
        <v>18</v>
      </c>
      <c r="D13" s="173" t="s">
        <v>2</v>
      </c>
      <c r="E13" s="173" t="s">
        <v>29</v>
      </c>
      <c r="F13" s="173" t="s">
        <v>14</v>
      </c>
      <c r="G13" s="173" t="s">
        <v>33</v>
      </c>
      <c r="H13" s="173">
        <v>2</v>
      </c>
      <c r="I13" s="173">
        <f>LN(B13)</f>
        <v>0.69314718055994529</v>
      </c>
      <c r="J13" s="173">
        <v>3.9051247999999997E-2</v>
      </c>
      <c r="K13" s="173" t="s">
        <v>31</v>
      </c>
      <c r="L13" s="173" t="s">
        <v>31</v>
      </c>
      <c r="M13" s="173" t="s">
        <v>31</v>
      </c>
      <c r="N13" s="213" t="s">
        <v>1276</v>
      </c>
      <c r="O13" s="173">
        <v>16.670000000000002</v>
      </c>
      <c r="P13" s="173" t="s">
        <v>337</v>
      </c>
    </row>
    <row r="14" spans="1:16">
      <c r="A14" s="214" t="s">
        <v>1277</v>
      </c>
      <c r="B14" s="173">
        <v>2</v>
      </c>
      <c r="C14" s="173" t="s">
        <v>18</v>
      </c>
      <c r="D14" s="173" t="s">
        <v>2</v>
      </c>
      <c r="E14" s="173" t="s">
        <v>29</v>
      </c>
      <c r="F14" s="173" t="s">
        <v>14</v>
      </c>
      <c r="G14" s="173" t="s">
        <v>33</v>
      </c>
      <c r="H14" s="173">
        <v>2</v>
      </c>
      <c r="I14" s="173">
        <f>LN(B14)</f>
        <v>0.69314718055994529</v>
      </c>
      <c r="J14" s="173">
        <v>3.9051247999999997E-2</v>
      </c>
      <c r="K14" s="173" t="s">
        <v>31</v>
      </c>
      <c r="L14" s="173" t="s">
        <v>31</v>
      </c>
      <c r="M14" s="173" t="s">
        <v>31</v>
      </c>
      <c r="N14" s="214" t="s">
        <v>1278</v>
      </c>
      <c r="O14" s="173">
        <f>4.4</f>
        <v>4.4000000000000004</v>
      </c>
      <c r="P14" s="173" t="s">
        <v>337</v>
      </c>
    </row>
    <row r="15" spans="1:16">
      <c r="A15" s="215" t="s">
        <v>1279</v>
      </c>
      <c r="B15" s="173">
        <v>5</v>
      </c>
      <c r="C15" s="173" t="s">
        <v>18</v>
      </c>
      <c r="D15" s="173" t="s">
        <v>2</v>
      </c>
      <c r="E15" s="173" t="s">
        <v>29</v>
      </c>
      <c r="F15" s="173" t="s">
        <v>14</v>
      </c>
      <c r="G15" s="173" t="s">
        <v>33</v>
      </c>
      <c r="H15" s="173">
        <v>2</v>
      </c>
      <c r="I15" s="173">
        <f t="shared" ref="I15:I17" si="0">LN(B15)</f>
        <v>1.6094379124341003</v>
      </c>
      <c r="J15" s="173">
        <v>3.9051247999999997E-2</v>
      </c>
      <c r="K15" s="173" t="s">
        <v>31</v>
      </c>
      <c r="L15" s="173" t="s">
        <v>31</v>
      </c>
      <c r="M15" s="173" t="s">
        <v>31</v>
      </c>
      <c r="N15" s="215" t="s">
        <v>1280</v>
      </c>
      <c r="O15" s="173">
        <v>4.4000000000000004</v>
      </c>
      <c r="P15" s="173" t="s">
        <v>337</v>
      </c>
    </row>
    <row r="16" spans="1:16">
      <c r="A16" s="216" t="s">
        <v>1281</v>
      </c>
      <c r="B16" s="173">
        <v>8</v>
      </c>
      <c r="C16" s="173" t="s">
        <v>18</v>
      </c>
      <c r="D16" s="173" t="s">
        <v>2</v>
      </c>
      <c r="E16" s="173" t="s">
        <v>29</v>
      </c>
      <c r="F16" s="173" t="s">
        <v>14</v>
      </c>
      <c r="G16" s="173" t="s">
        <v>33</v>
      </c>
      <c r="H16" s="173">
        <v>2</v>
      </c>
      <c r="I16" s="173">
        <f t="shared" si="0"/>
        <v>2.0794415416798357</v>
      </c>
      <c r="J16" s="173">
        <v>3.9051247999999997E-2</v>
      </c>
      <c r="K16" s="173" t="s">
        <v>31</v>
      </c>
      <c r="L16" s="173" t="s">
        <v>31</v>
      </c>
      <c r="M16" s="173" t="s">
        <v>31</v>
      </c>
      <c r="N16" s="216" t="s">
        <v>1282</v>
      </c>
      <c r="O16" s="173">
        <v>11.6</v>
      </c>
      <c r="P16" s="173" t="s">
        <v>337</v>
      </c>
    </row>
    <row r="17" spans="1:16">
      <c r="A17" s="217" t="s">
        <v>1283</v>
      </c>
      <c r="B17" s="173">
        <v>2</v>
      </c>
      <c r="C17" s="173" t="s">
        <v>18</v>
      </c>
      <c r="D17" s="173" t="s">
        <v>2</v>
      </c>
      <c r="E17" s="173" t="s">
        <v>29</v>
      </c>
      <c r="F17" s="173" t="s">
        <v>14</v>
      </c>
      <c r="G17" s="173" t="s">
        <v>33</v>
      </c>
      <c r="H17" s="173">
        <v>2</v>
      </c>
      <c r="I17" s="173">
        <f t="shared" si="0"/>
        <v>0.69314718055994529</v>
      </c>
      <c r="J17" s="173">
        <v>3.9051247999999997E-2</v>
      </c>
      <c r="K17" s="173" t="s">
        <v>31</v>
      </c>
      <c r="L17" s="173" t="s">
        <v>31</v>
      </c>
      <c r="M17" s="173" t="s">
        <v>31</v>
      </c>
      <c r="N17" s="217" t="s">
        <v>1284</v>
      </c>
      <c r="O17" s="173">
        <v>25.3</v>
      </c>
      <c r="P17" s="173" t="s">
        <v>337</v>
      </c>
    </row>
    <row r="21" spans="1:16">
      <c r="A21" s="210"/>
    </row>
    <row r="23" spans="1:16" ht="15">
      <c r="A23" s="218"/>
    </row>
    <row r="25" spans="1:16" ht="15">
      <c r="A25" s="219"/>
    </row>
    <row r="26" spans="1:16" ht="15">
      <c r="A26" s="22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8F78A-432D-4CF3-8AF0-E3C42E601532}">
  <dimension ref="A1:P72"/>
  <sheetViews>
    <sheetView zoomScale="85" zoomScaleNormal="85" workbookViewId="0">
      <selection activeCell="A43" sqref="A4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399" customFormat="1" ht="15.75">
      <c r="A2" s="396" t="s">
        <v>5</v>
      </c>
      <c r="B2" s="396" t="s">
        <v>81</v>
      </c>
      <c r="C2" s="396"/>
      <c r="D2" s="397"/>
      <c r="E2" s="398"/>
      <c r="F2" s="398"/>
      <c r="G2" s="398"/>
      <c r="H2" s="398"/>
      <c r="I2" s="398"/>
      <c r="J2" s="398"/>
      <c r="K2" s="398"/>
      <c r="L2" s="398"/>
      <c r="M2" s="398"/>
      <c r="N2" s="398"/>
      <c r="O2" s="398"/>
      <c r="P2" s="398"/>
    </row>
    <row r="3" spans="1:16">
      <c r="A3" s="30" t="s">
        <v>7</v>
      </c>
      <c r="B3" s="30" t="s">
        <v>82</v>
      </c>
      <c r="C3" s="30"/>
      <c r="D3" s="30"/>
      <c r="E3" s="30"/>
      <c r="F3" s="30"/>
      <c r="G3" s="30"/>
      <c r="H3" s="30"/>
      <c r="I3" s="30"/>
      <c r="J3" s="30"/>
      <c r="K3" s="30"/>
      <c r="L3" s="30"/>
      <c r="M3" s="30"/>
      <c r="N3" s="30"/>
      <c r="O3" s="30"/>
      <c r="P3" s="30"/>
    </row>
    <row r="4" spans="1:16">
      <c r="A4" s="30" t="s">
        <v>9</v>
      </c>
      <c r="B4" s="394" t="s">
        <v>83</v>
      </c>
      <c r="C4" s="30"/>
      <c r="D4" s="30"/>
      <c r="E4" s="30"/>
      <c r="F4" s="30"/>
      <c r="G4" s="30"/>
      <c r="H4" s="30"/>
      <c r="I4" s="30"/>
      <c r="J4" s="30"/>
      <c r="K4" s="30"/>
      <c r="L4" s="30"/>
      <c r="M4" s="30"/>
      <c r="N4" s="30"/>
      <c r="O4" s="30"/>
      <c r="P4" s="30"/>
    </row>
    <row r="5" spans="1:16">
      <c r="A5" s="30" t="s">
        <v>11</v>
      </c>
      <c r="B5" s="30" t="s">
        <v>84</v>
      </c>
      <c r="C5" s="30"/>
      <c r="D5" s="30"/>
      <c r="E5" s="30"/>
      <c r="F5" s="30"/>
      <c r="G5" s="30"/>
      <c r="H5" s="30"/>
      <c r="I5" s="30"/>
      <c r="J5" s="30"/>
      <c r="K5" s="30"/>
      <c r="L5" s="30"/>
      <c r="M5" s="30"/>
      <c r="N5" s="30"/>
      <c r="O5" s="30"/>
      <c r="P5" s="30"/>
    </row>
    <row r="6" spans="1:16">
      <c r="A6" s="30" t="s">
        <v>13</v>
      </c>
      <c r="B6" s="30" t="s">
        <v>60</v>
      </c>
      <c r="C6" s="30"/>
      <c r="D6" s="30"/>
      <c r="E6" s="30"/>
      <c r="F6" s="30"/>
      <c r="G6" s="30"/>
      <c r="H6" s="30"/>
      <c r="I6" s="30"/>
      <c r="J6" s="30"/>
      <c r="K6" s="30"/>
      <c r="L6" s="30"/>
      <c r="M6" s="30"/>
      <c r="N6" s="30"/>
      <c r="O6" s="30"/>
      <c r="P6" s="30"/>
    </row>
    <row r="7" spans="1:16">
      <c r="A7" s="30" t="s">
        <v>15</v>
      </c>
      <c r="B7" s="30">
        <v>1</v>
      </c>
      <c r="C7" s="30"/>
      <c r="D7" s="30"/>
      <c r="E7" s="30"/>
      <c r="F7" s="30"/>
      <c r="G7" s="30"/>
      <c r="H7" s="30"/>
      <c r="I7" s="30"/>
      <c r="J7" s="30"/>
      <c r="K7" s="30"/>
      <c r="L7" s="30"/>
      <c r="M7" s="30"/>
      <c r="N7" s="30"/>
      <c r="O7" s="232"/>
      <c r="P7" s="30"/>
    </row>
    <row r="8" spans="1:16">
      <c r="A8" s="30" t="s">
        <v>16</v>
      </c>
      <c r="B8" s="30" t="s">
        <v>17</v>
      </c>
      <c r="C8" s="30"/>
      <c r="D8" s="30"/>
      <c r="E8" s="30"/>
      <c r="F8" s="30"/>
      <c r="G8" s="30"/>
      <c r="H8" s="30"/>
      <c r="I8" s="30"/>
      <c r="J8" s="30"/>
      <c r="K8" s="30"/>
      <c r="L8" s="30"/>
      <c r="M8" s="30"/>
      <c r="N8" s="30"/>
      <c r="O8" s="30"/>
      <c r="P8" s="30"/>
    </row>
    <row r="9" spans="1:16">
      <c r="A9" s="30" t="s">
        <v>18</v>
      </c>
      <c r="B9" s="479" t="s">
        <v>18</v>
      </c>
      <c r="C9" s="30"/>
      <c r="D9" s="30"/>
      <c r="E9" s="30" t="s">
        <v>77</v>
      </c>
      <c r="F9" s="30"/>
      <c r="G9" s="30"/>
      <c r="H9" s="30"/>
      <c r="I9" s="30"/>
      <c r="J9" s="30"/>
      <c r="K9" s="30"/>
      <c r="L9" s="30"/>
      <c r="M9" s="30"/>
      <c r="N9" s="30"/>
      <c r="O9" s="30"/>
      <c r="P9" s="30"/>
    </row>
    <row r="10" spans="1:16" ht="15.75">
      <c r="A10" s="395" t="s">
        <v>19</v>
      </c>
      <c r="B10" s="30"/>
      <c r="C10" s="30"/>
      <c r="D10" s="30"/>
      <c r="E10" s="30"/>
      <c r="F10" s="30"/>
      <c r="G10" s="30"/>
      <c r="H10" s="30"/>
      <c r="I10" s="30"/>
      <c r="J10" s="30"/>
      <c r="K10" s="30"/>
      <c r="L10" s="30"/>
      <c r="M10" s="30"/>
      <c r="N10" s="30"/>
      <c r="O10" s="30"/>
      <c r="P10" s="30"/>
    </row>
    <row r="11" spans="1:16" ht="15.75">
      <c r="A11" s="395" t="s">
        <v>20</v>
      </c>
      <c r="B11" s="395" t="s">
        <v>21</v>
      </c>
      <c r="C11" s="395" t="s">
        <v>78</v>
      </c>
      <c r="D11" s="395" t="s">
        <v>18</v>
      </c>
      <c r="E11" s="395" t="s">
        <v>22</v>
      </c>
      <c r="F11" s="395" t="s">
        <v>7</v>
      </c>
      <c r="G11" s="395" t="s">
        <v>13</v>
      </c>
      <c r="H11" s="395" t="s">
        <v>16</v>
      </c>
      <c r="I11" s="395" t="s">
        <v>23</v>
      </c>
      <c r="J11" s="395" t="s">
        <v>24</v>
      </c>
      <c r="K11" s="395" t="s">
        <v>25</v>
      </c>
      <c r="L11" s="395" t="s">
        <v>26</v>
      </c>
      <c r="M11" s="395" t="s">
        <v>27</v>
      </c>
      <c r="N11" s="395" t="s">
        <v>28</v>
      </c>
      <c r="O11" s="395" t="s">
        <v>11</v>
      </c>
      <c r="P11" s="395" t="s">
        <v>79</v>
      </c>
    </row>
    <row r="12" spans="1:16" ht="15.75">
      <c r="A12" s="274" t="s">
        <v>81</v>
      </c>
      <c r="B12" s="274">
        <v>1</v>
      </c>
      <c r="C12" s="274"/>
      <c r="D12" s="274" t="s">
        <v>18</v>
      </c>
      <c r="E12" s="30" t="s">
        <v>2</v>
      </c>
      <c r="F12" s="30" t="s">
        <v>80</v>
      </c>
      <c r="G12" s="274" t="s">
        <v>60</v>
      </c>
      <c r="H12" s="30" t="s">
        <v>30</v>
      </c>
      <c r="I12" s="30">
        <v>0</v>
      </c>
      <c r="J12" s="274" t="s">
        <v>31</v>
      </c>
      <c r="K12" s="274" t="s">
        <v>31</v>
      </c>
      <c r="L12" s="274" t="s">
        <v>31</v>
      </c>
      <c r="M12" s="274" t="s">
        <v>31</v>
      </c>
      <c r="N12" s="274" t="s">
        <v>31</v>
      </c>
      <c r="O12" s="30"/>
      <c r="P12" s="30"/>
    </row>
    <row r="13" spans="1:16" ht="15.75">
      <c r="A13" t="s">
        <v>85</v>
      </c>
      <c r="B13" s="22">
        <f>-0.308</f>
        <v>-0.308</v>
      </c>
      <c r="C13" s="274"/>
      <c r="D13" s="274" t="s">
        <v>37</v>
      </c>
      <c r="E13" s="232" t="s">
        <v>38</v>
      </c>
      <c r="F13" s="30" t="s">
        <v>80</v>
      </c>
      <c r="G13" s="274" t="s">
        <v>86</v>
      </c>
      <c r="H13" s="30" t="s">
        <v>33</v>
      </c>
      <c r="I13" s="30">
        <v>0</v>
      </c>
      <c r="J13" s="274" t="s">
        <v>31</v>
      </c>
      <c r="K13" s="274" t="s">
        <v>31</v>
      </c>
      <c r="L13" s="274" t="s">
        <v>31</v>
      </c>
      <c r="M13" s="274" t="s">
        <v>31</v>
      </c>
      <c r="N13" s="274" t="s">
        <v>31</v>
      </c>
      <c r="O13" s="30" t="s">
        <v>87</v>
      </c>
      <c r="P13" s="30" t="s">
        <v>88</v>
      </c>
    </row>
    <row r="14" spans="1:16" s="399" customFormat="1" ht="15.75">
      <c r="A14" s="396" t="s">
        <v>5</v>
      </c>
      <c r="B14" s="396" t="s">
        <v>89</v>
      </c>
      <c r="C14" s="396"/>
      <c r="D14" s="397"/>
      <c r="E14" s="398"/>
      <c r="F14" s="398"/>
      <c r="G14" s="398"/>
      <c r="H14" s="398"/>
      <c r="I14" s="398"/>
      <c r="J14" s="398"/>
      <c r="K14" s="398"/>
      <c r="L14" s="398"/>
      <c r="M14" s="398"/>
      <c r="N14" s="398"/>
      <c r="O14" s="398"/>
      <c r="P14" s="398"/>
    </row>
    <row r="15" spans="1:16">
      <c r="A15" s="30" t="s">
        <v>7</v>
      </c>
      <c r="B15" s="30" t="s">
        <v>82</v>
      </c>
      <c r="C15" s="30"/>
      <c r="D15" s="30"/>
      <c r="E15" s="30"/>
      <c r="F15" s="30"/>
      <c r="G15" s="30"/>
      <c r="H15" s="30"/>
      <c r="I15" s="30"/>
      <c r="J15" s="30"/>
      <c r="K15" s="30"/>
      <c r="L15" s="30"/>
      <c r="M15" s="30"/>
      <c r="N15" s="30"/>
      <c r="O15" s="30"/>
      <c r="P15" s="30"/>
    </row>
    <row r="16" spans="1:16">
      <c r="A16" s="30" t="s">
        <v>9</v>
      </c>
      <c r="B16" s="394" t="s">
        <v>90</v>
      </c>
      <c r="C16" s="30"/>
      <c r="D16" s="30"/>
      <c r="E16" s="30"/>
      <c r="F16" s="30"/>
      <c r="G16" s="30"/>
      <c r="H16" s="30"/>
      <c r="I16" s="30"/>
      <c r="J16" s="30"/>
      <c r="K16" s="30"/>
      <c r="L16" s="30"/>
      <c r="M16" s="30"/>
      <c r="N16" s="30"/>
      <c r="O16" s="30"/>
      <c r="P16" s="30"/>
    </row>
    <row r="17" spans="1:16">
      <c r="A17" s="30" t="s">
        <v>11</v>
      </c>
      <c r="B17" s="30" t="s">
        <v>91</v>
      </c>
      <c r="C17" s="30"/>
      <c r="D17" s="30"/>
      <c r="E17" s="30"/>
      <c r="F17" s="30"/>
      <c r="G17" s="30"/>
      <c r="H17" s="30"/>
      <c r="I17" s="30"/>
      <c r="J17" s="30"/>
      <c r="K17" s="30"/>
      <c r="L17" s="30"/>
      <c r="M17" s="30"/>
      <c r="N17" s="30"/>
      <c r="O17" s="30"/>
      <c r="P17" s="30"/>
    </row>
    <row r="18" spans="1:16">
      <c r="A18" s="30" t="s">
        <v>13</v>
      </c>
      <c r="B18" s="30" t="s">
        <v>60</v>
      </c>
      <c r="C18" s="30"/>
      <c r="D18" s="30"/>
      <c r="E18" s="30"/>
      <c r="F18" s="30"/>
      <c r="G18" s="30"/>
      <c r="H18" s="30"/>
      <c r="I18" s="30"/>
      <c r="J18" s="30"/>
      <c r="K18" s="30"/>
      <c r="L18" s="30"/>
      <c r="M18" s="30"/>
      <c r="N18" s="30"/>
      <c r="O18" s="30"/>
      <c r="P18" s="30"/>
    </row>
    <row r="19" spans="1:16">
      <c r="A19" s="30" t="s">
        <v>15</v>
      </c>
      <c r="B19" s="30">
        <v>1</v>
      </c>
      <c r="C19" s="30"/>
      <c r="D19" s="30"/>
      <c r="E19" s="30"/>
      <c r="F19" s="30"/>
      <c r="G19" s="30"/>
      <c r="H19" s="30"/>
      <c r="I19" s="30"/>
      <c r="J19" s="30"/>
      <c r="K19" s="30"/>
      <c r="L19" s="30"/>
      <c r="M19" s="30"/>
      <c r="N19" s="30"/>
      <c r="O19" s="30"/>
      <c r="P19" s="30"/>
    </row>
    <row r="20" spans="1:16">
      <c r="A20" s="30" t="s">
        <v>16</v>
      </c>
      <c r="B20" s="30" t="s">
        <v>17</v>
      </c>
      <c r="C20" s="30"/>
      <c r="D20" s="30"/>
      <c r="E20" s="30"/>
      <c r="F20" s="30"/>
      <c r="G20" s="30"/>
      <c r="H20" s="30"/>
      <c r="I20" s="30"/>
      <c r="J20" s="30"/>
      <c r="K20" s="30"/>
      <c r="L20" s="30"/>
      <c r="M20" s="30"/>
      <c r="N20" s="30"/>
      <c r="O20" s="30"/>
      <c r="P20" s="30"/>
    </row>
    <row r="21" spans="1:16">
      <c r="A21" s="30" t="s">
        <v>18</v>
      </c>
      <c r="B21" s="30" t="s">
        <v>18</v>
      </c>
      <c r="C21" s="30"/>
      <c r="D21" s="30"/>
      <c r="E21" s="30" t="s">
        <v>77</v>
      </c>
      <c r="F21" s="30"/>
      <c r="G21" s="30"/>
      <c r="H21" s="30"/>
      <c r="I21" s="30"/>
      <c r="J21" s="30"/>
      <c r="K21" s="30"/>
      <c r="L21" s="30"/>
      <c r="M21" s="30"/>
      <c r="N21" s="30"/>
      <c r="O21" s="30"/>
      <c r="P21" s="30"/>
    </row>
    <row r="22" spans="1:16" ht="15.75">
      <c r="A22" s="395" t="s">
        <v>19</v>
      </c>
      <c r="B22" s="30"/>
      <c r="C22" s="30"/>
      <c r="D22" s="30"/>
      <c r="E22" s="30"/>
      <c r="F22" s="30"/>
      <c r="G22" s="30"/>
      <c r="H22" s="30"/>
      <c r="I22" s="30"/>
      <c r="J22" s="30"/>
      <c r="K22" s="30"/>
      <c r="L22" s="30"/>
      <c r="M22" s="30"/>
      <c r="N22" s="30"/>
      <c r="O22" s="30"/>
      <c r="P22" s="30"/>
    </row>
    <row r="23" spans="1:16" ht="15.75">
      <c r="A23" s="395" t="s">
        <v>20</v>
      </c>
      <c r="B23" s="395" t="s">
        <v>21</v>
      </c>
      <c r="C23" s="395" t="s">
        <v>78</v>
      </c>
      <c r="D23" s="395" t="s">
        <v>18</v>
      </c>
      <c r="E23" s="395" t="s">
        <v>22</v>
      </c>
      <c r="F23" s="395" t="s">
        <v>7</v>
      </c>
      <c r="G23" s="395" t="s">
        <v>13</v>
      </c>
      <c r="H23" s="395" t="s">
        <v>16</v>
      </c>
      <c r="I23" s="395" t="s">
        <v>23</v>
      </c>
      <c r="J23" s="395" t="s">
        <v>24</v>
      </c>
      <c r="K23" s="395" t="s">
        <v>25</v>
      </c>
      <c r="L23" s="395" t="s">
        <v>26</v>
      </c>
      <c r="M23" s="395" t="s">
        <v>27</v>
      </c>
      <c r="N23" s="395" t="s">
        <v>28</v>
      </c>
      <c r="O23" s="395" t="s">
        <v>11</v>
      </c>
      <c r="P23" s="395" t="s">
        <v>79</v>
      </c>
    </row>
    <row r="24" spans="1:16" ht="15.75">
      <c r="A24" s="274" t="s">
        <v>89</v>
      </c>
      <c r="B24" s="274">
        <v>1</v>
      </c>
      <c r="C24" s="274"/>
      <c r="D24" s="274" t="s">
        <v>18</v>
      </c>
      <c r="E24" s="30" t="s">
        <v>2</v>
      </c>
      <c r="F24" s="30" t="s">
        <v>80</v>
      </c>
      <c r="G24" s="274" t="s">
        <v>60</v>
      </c>
      <c r="H24" s="30" t="s">
        <v>30</v>
      </c>
      <c r="I24" s="30">
        <v>0</v>
      </c>
      <c r="J24" s="274" t="s">
        <v>31</v>
      </c>
      <c r="K24" s="274" t="s">
        <v>31</v>
      </c>
      <c r="L24" s="274" t="s">
        <v>31</v>
      </c>
      <c r="M24" s="274" t="s">
        <v>31</v>
      </c>
      <c r="N24" s="274" t="s">
        <v>31</v>
      </c>
      <c r="O24" s="30" t="s">
        <v>92</v>
      </c>
      <c r="P24" s="30"/>
    </row>
    <row r="25" spans="1:16" ht="15.75">
      <c r="A25" t="s">
        <v>93</v>
      </c>
      <c r="B25" s="22">
        <v>17.3081</v>
      </c>
      <c r="C25" s="274"/>
      <c r="D25" s="274" t="s">
        <v>37</v>
      </c>
      <c r="E25" s="185" t="s">
        <v>38</v>
      </c>
      <c r="F25" s="30" t="s">
        <v>80</v>
      </c>
      <c r="G25" t="s">
        <v>86</v>
      </c>
      <c r="H25" s="30" t="s">
        <v>33</v>
      </c>
      <c r="I25" s="30">
        <v>0</v>
      </c>
      <c r="J25" s="274" t="s">
        <v>31</v>
      </c>
      <c r="K25" s="274" t="s">
        <v>31</v>
      </c>
      <c r="L25" s="274" t="s">
        <v>31</v>
      </c>
      <c r="M25" s="274" t="s">
        <v>31</v>
      </c>
      <c r="N25" s="274" t="s">
        <v>31</v>
      </c>
      <c r="O25" s="30"/>
      <c r="P25" s="30"/>
    </row>
    <row r="26" spans="1:16" ht="15.75">
      <c r="A26" t="s">
        <v>94</v>
      </c>
      <c r="B26" s="22">
        <v>17.3081</v>
      </c>
      <c r="C26" s="31" t="s">
        <v>95</v>
      </c>
      <c r="D26" t="s">
        <v>37</v>
      </c>
      <c r="E26" s="173" t="s">
        <v>38</v>
      </c>
      <c r="F26" s="30" t="s">
        <v>80</v>
      </c>
      <c r="G26" t="s">
        <v>86</v>
      </c>
      <c r="H26" s="30" t="s">
        <v>33</v>
      </c>
      <c r="I26" s="30">
        <v>0</v>
      </c>
      <c r="J26" s="274" t="s">
        <v>31</v>
      </c>
      <c r="K26" s="274" t="s">
        <v>31</v>
      </c>
      <c r="L26" s="274" t="s">
        <v>31</v>
      </c>
      <c r="M26" s="274" t="s">
        <v>31</v>
      </c>
      <c r="N26" s="274" t="s">
        <v>31</v>
      </c>
      <c r="O26" t="s">
        <v>96</v>
      </c>
    </row>
    <row r="27" spans="1:16" ht="15.75">
      <c r="A27" t="s">
        <v>97</v>
      </c>
      <c r="B27" s="22">
        <v>17.3081</v>
      </c>
      <c r="D27" t="s">
        <v>37</v>
      </c>
      <c r="E27" s="173" t="s">
        <v>38</v>
      </c>
      <c r="F27" s="30" t="s">
        <v>80</v>
      </c>
      <c r="G27" t="s">
        <v>60</v>
      </c>
      <c r="H27" s="30" t="s">
        <v>98</v>
      </c>
      <c r="I27" s="30">
        <v>0</v>
      </c>
      <c r="J27" s="274" t="s">
        <v>31</v>
      </c>
      <c r="K27" s="274" t="s">
        <v>31</v>
      </c>
      <c r="L27" s="274" t="s">
        <v>31</v>
      </c>
      <c r="M27" s="274" t="s">
        <v>31</v>
      </c>
      <c r="N27" s="274" t="s">
        <v>31</v>
      </c>
      <c r="O27" s="30" t="s">
        <v>99</v>
      </c>
    </row>
    <row r="28" spans="1:16" ht="15.75">
      <c r="A28" t="s">
        <v>100</v>
      </c>
      <c r="B28">
        <v>11.56</v>
      </c>
      <c r="C28" t="s">
        <v>101</v>
      </c>
      <c r="D28" t="s">
        <v>37</v>
      </c>
      <c r="E28" s="173" t="s">
        <v>38</v>
      </c>
      <c r="F28" s="30" t="s">
        <v>80</v>
      </c>
      <c r="G28" t="s">
        <v>86</v>
      </c>
      <c r="H28" t="s">
        <v>33</v>
      </c>
      <c r="I28" s="30">
        <v>0</v>
      </c>
      <c r="J28" s="274" t="s">
        <v>31</v>
      </c>
      <c r="K28" s="274" t="s">
        <v>31</v>
      </c>
      <c r="L28" s="274" t="s">
        <v>31</v>
      </c>
      <c r="M28" s="274" t="s">
        <v>31</v>
      </c>
      <c r="N28" s="274" t="s">
        <v>31</v>
      </c>
    </row>
    <row r="29" spans="1:16" ht="15.75">
      <c r="A29" t="s">
        <v>102</v>
      </c>
      <c r="B29">
        <f>0.9*B28</f>
        <v>10.404</v>
      </c>
      <c r="D29" t="s">
        <v>37</v>
      </c>
      <c r="E29" s="173" t="s">
        <v>38</v>
      </c>
      <c r="F29" s="30" t="s">
        <v>80</v>
      </c>
      <c r="G29" t="s">
        <v>60</v>
      </c>
      <c r="H29" t="s">
        <v>98</v>
      </c>
      <c r="I29" s="30">
        <v>0</v>
      </c>
      <c r="J29" s="274" t="s">
        <v>31</v>
      </c>
      <c r="K29" s="274" t="s">
        <v>31</v>
      </c>
      <c r="L29" s="274" t="s">
        <v>31</v>
      </c>
      <c r="M29" s="274" t="s">
        <v>31</v>
      </c>
      <c r="N29" s="274" t="s">
        <v>31</v>
      </c>
      <c r="O29" s="30" t="s">
        <v>99</v>
      </c>
    </row>
    <row r="30" spans="1:16" ht="16.5" customHeight="1">
      <c r="A30" t="s">
        <v>103</v>
      </c>
      <c r="B30" s="22">
        <f>-((B28-B29)+(B26-B27)+3.215)</f>
        <v>-4.3710000000000004</v>
      </c>
      <c r="D30" t="s">
        <v>37</v>
      </c>
      <c r="E30" s="232" t="s">
        <v>38</v>
      </c>
      <c r="F30" s="30" t="s">
        <v>80</v>
      </c>
      <c r="G30" t="s">
        <v>60</v>
      </c>
      <c r="H30" t="s">
        <v>33</v>
      </c>
      <c r="I30">
        <v>0</v>
      </c>
      <c r="J30" t="s">
        <v>31</v>
      </c>
      <c r="K30" t="s">
        <v>31</v>
      </c>
      <c r="L30" t="s">
        <v>31</v>
      </c>
      <c r="M30" t="s">
        <v>31</v>
      </c>
      <c r="N30" t="s">
        <v>31</v>
      </c>
      <c r="O30" s="17" t="s">
        <v>104</v>
      </c>
    </row>
    <row r="31" spans="1:16" s="399" customFormat="1" ht="15.75">
      <c r="A31" s="396" t="s">
        <v>5</v>
      </c>
      <c r="B31" s="396" t="s">
        <v>105</v>
      </c>
      <c r="C31" s="396"/>
      <c r="D31" s="397"/>
      <c r="E31" s="398"/>
      <c r="F31" s="398"/>
      <c r="G31" s="398"/>
      <c r="H31" s="398"/>
      <c r="I31" s="398"/>
      <c r="J31" s="398"/>
      <c r="K31" s="398"/>
      <c r="L31" s="398"/>
      <c r="M31" s="398"/>
      <c r="N31" s="398"/>
      <c r="O31" s="398"/>
      <c r="P31" s="398"/>
    </row>
    <row r="32" spans="1:16">
      <c r="A32" s="30" t="s">
        <v>7</v>
      </c>
      <c r="B32" s="30" t="s">
        <v>82</v>
      </c>
      <c r="C32" s="30"/>
      <c r="D32" s="30"/>
      <c r="E32" s="30"/>
      <c r="F32" s="30"/>
      <c r="G32" s="30"/>
      <c r="H32" s="30"/>
      <c r="I32" s="30"/>
      <c r="J32" s="30"/>
      <c r="K32" s="30"/>
      <c r="L32" s="30"/>
      <c r="M32" s="30"/>
      <c r="N32" s="30"/>
      <c r="O32" s="30"/>
      <c r="P32" s="30"/>
    </row>
    <row r="33" spans="1:16">
      <c r="A33" s="30" t="s">
        <v>9</v>
      </c>
      <c r="B33" s="394" t="s">
        <v>106</v>
      </c>
      <c r="C33" s="30"/>
      <c r="D33" s="30"/>
      <c r="E33" s="30"/>
      <c r="F33" s="30"/>
      <c r="G33" s="30"/>
      <c r="H33" s="30"/>
      <c r="I33" s="30"/>
      <c r="J33" s="30"/>
      <c r="K33" s="30"/>
      <c r="L33" s="30"/>
      <c r="M33" s="30"/>
      <c r="N33" s="30"/>
      <c r="O33" s="30"/>
      <c r="P33" s="30"/>
    </row>
    <row r="34" spans="1:16">
      <c r="A34" s="30" t="s">
        <v>11</v>
      </c>
      <c r="B34" s="30" t="s">
        <v>107</v>
      </c>
      <c r="C34" s="30"/>
      <c r="D34" s="30"/>
      <c r="E34" s="30"/>
      <c r="F34" s="30"/>
      <c r="G34" s="30"/>
      <c r="H34" s="30"/>
      <c r="I34" s="30"/>
      <c r="J34" s="30"/>
      <c r="K34" s="30"/>
      <c r="L34" s="30"/>
      <c r="M34" s="30"/>
      <c r="N34" s="30"/>
      <c r="O34" s="30"/>
      <c r="P34" s="30"/>
    </row>
    <row r="35" spans="1:16">
      <c r="A35" s="30" t="s">
        <v>13</v>
      </c>
      <c r="B35" s="30" t="s">
        <v>60</v>
      </c>
      <c r="C35" s="30"/>
      <c r="D35" s="30"/>
      <c r="E35" s="30"/>
      <c r="F35" s="30"/>
      <c r="G35" s="30"/>
      <c r="H35" s="30"/>
      <c r="I35" s="30"/>
      <c r="J35" s="30"/>
      <c r="K35" s="30"/>
      <c r="L35" s="30"/>
      <c r="M35" s="30"/>
      <c r="N35" s="30"/>
      <c r="O35" s="30"/>
      <c r="P35" s="30"/>
    </row>
    <row r="36" spans="1:16">
      <c r="A36" s="30" t="s">
        <v>15</v>
      </c>
      <c r="B36" s="30">
        <v>1</v>
      </c>
      <c r="C36" s="30"/>
      <c r="D36" s="30"/>
      <c r="E36" s="30"/>
      <c r="F36" s="30"/>
      <c r="G36" s="30"/>
      <c r="H36" s="30"/>
      <c r="I36" s="30"/>
      <c r="J36" s="30"/>
      <c r="K36" s="30"/>
      <c r="L36" s="30"/>
      <c r="M36" s="30"/>
      <c r="N36" s="30"/>
      <c r="O36" s="30"/>
      <c r="P36" s="30"/>
    </row>
    <row r="37" spans="1:16">
      <c r="A37" s="30" t="s">
        <v>16</v>
      </c>
      <c r="B37" s="30" t="s">
        <v>17</v>
      </c>
      <c r="C37" s="30"/>
      <c r="D37" s="30"/>
      <c r="E37" s="30"/>
      <c r="F37" s="30"/>
      <c r="G37" s="30"/>
      <c r="H37" s="30"/>
      <c r="I37" s="30"/>
      <c r="J37" s="30"/>
      <c r="K37" s="30"/>
      <c r="L37" s="30"/>
      <c r="M37" s="30"/>
      <c r="N37" s="30"/>
      <c r="O37" s="30"/>
      <c r="P37" s="30"/>
    </row>
    <row r="38" spans="1:16">
      <c r="A38" s="30" t="s">
        <v>18</v>
      </c>
      <c r="B38" s="30" t="s">
        <v>18</v>
      </c>
      <c r="C38" s="30"/>
      <c r="D38" s="30"/>
      <c r="E38" s="30" t="s">
        <v>77</v>
      </c>
      <c r="F38" s="30"/>
      <c r="G38" s="30"/>
      <c r="H38" s="30"/>
      <c r="I38" s="30"/>
      <c r="J38" s="30"/>
      <c r="K38" s="30"/>
      <c r="L38" s="30"/>
      <c r="M38" s="30"/>
      <c r="N38" s="30"/>
      <c r="O38" s="30"/>
      <c r="P38" s="30"/>
    </row>
    <row r="39" spans="1:16" ht="15.75">
      <c r="A39" s="395" t="s">
        <v>19</v>
      </c>
      <c r="B39" s="30"/>
      <c r="C39" s="30"/>
      <c r="D39" s="30"/>
      <c r="E39" s="30"/>
      <c r="F39" s="30"/>
      <c r="G39" s="30"/>
      <c r="H39" s="30"/>
      <c r="I39" s="30"/>
      <c r="J39" s="30"/>
      <c r="K39" s="30"/>
      <c r="L39" s="30"/>
      <c r="M39" s="30"/>
      <c r="N39" s="30"/>
      <c r="O39" s="30"/>
      <c r="P39" s="30"/>
    </row>
    <row r="40" spans="1:16" ht="15.75">
      <c r="A40" s="395" t="s">
        <v>20</v>
      </c>
      <c r="B40" s="395" t="s">
        <v>21</v>
      </c>
      <c r="C40" s="395" t="s">
        <v>78</v>
      </c>
      <c r="D40" s="395" t="s">
        <v>18</v>
      </c>
      <c r="E40" s="395" t="s">
        <v>22</v>
      </c>
      <c r="F40" s="395" t="s">
        <v>7</v>
      </c>
      <c r="G40" s="395" t="s">
        <v>13</v>
      </c>
      <c r="H40" s="395" t="s">
        <v>16</v>
      </c>
      <c r="I40" s="395" t="s">
        <v>23</v>
      </c>
      <c r="J40" s="395" t="s">
        <v>24</v>
      </c>
      <c r="K40" s="395" t="s">
        <v>25</v>
      </c>
      <c r="L40" s="395" t="s">
        <v>26</v>
      </c>
      <c r="M40" s="395" t="s">
        <v>27</v>
      </c>
      <c r="N40" s="395" t="s">
        <v>28</v>
      </c>
      <c r="O40" s="395" t="s">
        <v>11</v>
      </c>
      <c r="P40" s="395" t="s">
        <v>79</v>
      </c>
    </row>
    <row r="41" spans="1:16" ht="15.75">
      <c r="A41" s="274" t="s">
        <v>105</v>
      </c>
      <c r="B41" s="274">
        <v>1</v>
      </c>
      <c r="C41" s="274"/>
      <c r="D41" s="274" t="s">
        <v>18</v>
      </c>
      <c r="E41" s="30" t="s">
        <v>2</v>
      </c>
      <c r="F41" s="30" t="s">
        <v>80</v>
      </c>
      <c r="G41" s="274" t="s">
        <v>60</v>
      </c>
      <c r="H41" s="30" t="s">
        <v>30</v>
      </c>
      <c r="I41" s="30">
        <v>0</v>
      </c>
      <c r="J41" s="274" t="s">
        <v>31</v>
      </c>
      <c r="K41" s="274" t="s">
        <v>31</v>
      </c>
      <c r="L41" s="274" t="s">
        <v>31</v>
      </c>
      <c r="M41" s="274" t="s">
        <v>31</v>
      </c>
      <c r="N41" s="274" t="s">
        <v>31</v>
      </c>
      <c r="O41" s="30" t="s">
        <v>108</v>
      </c>
      <c r="P41" s="30"/>
    </row>
    <row r="42" spans="1:16" ht="15.75">
      <c r="A42" s="232" t="s">
        <v>109</v>
      </c>
      <c r="B42">
        <v>-5.09</v>
      </c>
      <c r="D42" t="s">
        <v>37</v>
      </c>
      <c r="E42" s="173" t="s">
        <v>38</v>
      </c>
      <c r="F42" s="30" t="s">
        <v>80</v>
      </c>
      <c r="G42" t="s">
        <v>86</v>
      </c>
      <c r="H42" t="s">
        <v>33</v>
      </c>
      <c r="I42" s="30">
        <v>0</v>
      </c>
      <c r="J42" s="274" t="s">
        <v>31</v>
      </c>
      <c r="K42" s="274" t="s">
        <v>31</v>
      </c>
      <c r="L42" s="274" t="s">
        <v>31</v>
      </c>
      <c r="M42" s="274" t="s">
        <v>31</v>
      </c>
      <c r="N42" s="274" t="s">
        <v>31</v>
      </c>
      <c r="O42" s="30" t="s">
        <v>108</v>
      </c>
      <c r="P42" s="274" t="s">
        <v>110</v>
      </c>
    </row>
    <row r="43" spans="1:16" ht="15.75">
      <c r="A43" t="s">
        <v>40</v>
      </c>
      <c r="B43">
        <f>B44*0.277777777</f>
        <v>24.587527708932701</v>
      </c>
      <c r="D43" t="s">
        <v>41</v>
      </c>
      <c r="E43" s="173" t="s">
        <v>38</v>
      </c>
      <c r="F43" s="30" t="s">
        <v>80</v>
      </c>
      <c r="G43" t="s">
        <v>60</v>
      </c>
      <c r="H43" s="30" t="s">
        <v>98</v>
      </c>
      <c r="I43" s="30">
        <v>0</v>
      </c>
      <c r="J43" s="274" t="s">
        <v>31</v>
      </c>
      <c r="K43" s="274" t="s">
        <v>31</v>
      </c>
      <c r="L43" s="274" t="s">
        <v>31</v>
      </c>
      <c r="M43" s="274" t="s">
        <v>31</v>
      </c>
      <c r="N43" s="274" t="s">
        <v>31</v>
      </c>
      <c r="O43" t="s">
        <v>111</v>
      </c>
    </row>
    <row r="44" spans="1:16" ht="15.75">
      <c r="A44" t="s">
        <v>112</v>
      </c>
      <c r="B44">
        <f>-B42*0.5*34.78</f>
        <v>88.515100000000004</v>
      </c>
      <c r="D44" t="s">
        <v>113</v>
      </c>
      <c r="E44" s="173" t="s">
        <v>38</v>
      </c>
      <c r="F44" s="30" t="s">
        <v>80</v>
      </c>
      <c r="G44" t="s">
        <v>60</v>
      </c>
      <c r="H44" s="30" t="s">
        <v>98</v>
      </c>
      <c r="I44" s="30">
        <v>0</v>
      </c>
      <c r="J44" s="274" t="s">
        <v>31</v>
      </c>
      <c r="K44" s="274" t="s">
        <v>31</v>
      </c>
      <c r="L44" s="274" t="s">
        <v>31</v>
      </c>
      <c r="M44" s="274" t="s">
        <v>31</v>
      </c>
      <c r="N44" s="274" t="s">
        <v>31</v>
      </c>
      <c r="O44" t="s">
        <v>114</v>
      </c>
    </row>
    <row r="45" spans="1:16" s="399" customFormat="1" ht="15.75">
      <c r="A45" s="396" t="s">
        <v>5</v>
      </c>
      <c r="B45" s="396" t="s">
        <v>115</v>
      </c>
      <c r="C45" s="396"/>
      <c r="D45" s="397"/>
      <c r="E45" s="398"/>
      <c r="F45" s="398"/>
      <c r="G45" s="398"/>
      <c r="H45" s="398"/>
      <c r="I45" s="398"/>
      <c r="J45" s="398"/>
      <c r="K45" s="398"/>
      <c r="L45" s="398"/>
      <c r="M45" s="398"/>
      <c r="N45" s="398"/>
      <c r="O45" s="398"/>
      <c r="P45" s="398"/>
    </row>
    <row r="46" spans="1:16">
      <c r="A46" s="30" t="s">
        <v>7</v>
      </c>
      <c r="B46" s="30" t="s">
        <v>82</v>
      </c>
      <c r="C46" s="30"/>
      <c r="D46" s="30"/>
      <c r="E46" s="30"/>
      <c r="F46" s="30"/>
      <c r="G46" s="30"/>
      <c r="H46" s="30"/>
      <c r="I46" s="30"/>
      <c r="J46" s="30"/>
      <c r="K46" s="30"/>
      <c r="L46" s="30"/>
      <c r="M46" s="30"/>
      <c r="N46" s="30"/>
      <c r="O46" s="30"/>
      <c r="P46" s="30"/>
    </row>
    <row r="47" spans="1:16">
      <c r="A47" s="30" t="s">
        <v>9</v>
      </c>
      <c r="B47" s="394" t="s">
        <v>116</v>
      </c>
      <c r="C47" s="30"/>
      <c r="D47" s="30"/>
      <c r="E47" s="30"/>
      <c r="F47" s="30"/>
      <c r="G47" s="30"/>
      <c r="H47" s="30"/>
      <c r="I47" s="30"/>
      <c r="J47" s="30"/>
      <c r="K47" s="30"/>
      <c r="L47" s="30"/>
      <c r="M47" s="30"/>
      <c r="N47" s="30"/>
      <c r="O47" s="30"/>
      <c r="P47" s="30"/>
    </row>
    <row r="48" spans="1:16">
      <c r="A48" s="30" t="s">
        <v>11</v>
      </c>
      <c r="B48" s="30" t="s">
        <v>117</v>
      </c>
      <c r="C48" s="30"/>
      <c r="D48" s="30"/>
      <c r="E48" s="30"/>
      <c r="F48" s="30"/>
      <c r="G48" s="30"/>
      <c r="H48" s="30"/>
      <c r="I48" s="30"/>
      <c r="J48" s="30"/>
      <c r="K48" s="30"/>
      <c r="L48" s="30"/>
      <c r="M48" s="30"/>
      <c r="N48" s="30"/>
      <c r="O48" s="30"/>
      <c r="P48" s="30"/>
    </row>
    <row r="49" spans="1:16">
      <c r="A49" s="30" t="s">
        <v>13</v>
      </c>
      <c r="B49" s="30" t="s">
        <v>60</v>
      </c>
      <c r="C49" s="30"/>
      <c r="D49" s="30"/>
      <c r="E49" s="30"/>
      <c r="F49" s="30"/>
      <c r="G49" s="30"/>
      <c r="H49" s="30"/>
      <c r="I49" s="30"/>
      <c r="J49" s="30"/>
      <c r="K49" s="30"/>
      <c r="L49" s="30"/>
      <c r="M49" s="30"/>
      <c r="N49" s="30"/>
      <c r="O49" s="30"/>
      <c r="P49" s="30"/>
    </row>
    <row r="50" spans="1:16">
      <c r="A50" s="30" t="s">
        <v>15</v>
      </c>
      <c r="B50" s="30">
        <v>1</v>
      </c>
      <c r="C50" s="30"/>
      <c r="D50" s="30"/>
      <c r="E50" s="30"/>
      <c r="F50" s="30"/>
      <c r="G50" s="30"/>
      <c r="H50" s="30"/>
      <c r="I50" s="30"/>
      <c r="J50" s="30"/>
      <c r="K50" s="30"/>
      <c r="L50" s="30"/>
      <c r="M50" s="30"/>
      <c r="N50" s="30"/>
      <c r="O50" s="30"/>
      <c r="P50" s="30"/>
    </row>
    <row r="51" spans="1:16">
      <c r="A51" s="30" t="s">
        <v>16</v>
      </c>
      <c r="B51" s="30" t="s">
        <v>17</v>
      </c>
      <c r="C51" s="30"/>
      <c r="D51" s="30"/>
      <c r="E51" s="30"/>
      <c r="F51" s="30"/>
      <c r="G51" s="30"/>
      <c r="H51" s="30"/>
      <c r="I51" s="30"/>
      <c r="J51" s="30"/>
      <c r="K51" s="30"/>
      <c r="L51" s="30"/>
      <c r="M51" s="30"/>
      <c r="N51" s="30"/>
      <c r="O51" s="30"/>
      <c r="P51" s="30"/>
    </row>
    <row r="52" spans="1:16">
      <c r="A52" s="30" t="s">
        <v>18</v>
      </c>
      <c r="B52" s="30" t="s">
        <v>18</v>
      </c>
      <c r="C52" s="30"/>
      <c r="D52" s="30"/>
      <c r="E52" s="30" t="s">
        <v>77</v>
      </c>
      <c r="F52" s="30"/>
      <c r="G52" s="30"/>
      <c r="H52" s="30"/>
      <c r="I52" s="30"/>
      <c r="J52" s="30"/>
      <c r="K52" s="30"/>
      <c r="L52" s="30"/>
      <c r="M52" s="30"/>
      <c r="N52" s="30"/>
      <c r="O52" s="30"/>
      <c r="P52" s="30"/>
    </row>
    <row r="53" spans="1:16" ht="15.75">
      <c r="A53" s="395" t="s">
        <v>19</v>
      </c>
      <c r="B53" s="30"/>
      <c r="C53" s="30"/>
      <c r="D53" s="30"/>
      <c r="E53" s="30"/>
      <c r="F53" s="30"/>
      <c r="G53" s="30"/>
      <c r="H53" s="30"/>
      <c r="I53" s="30"/>
      <c r="J53" s="30"/>
      <c r="K53" s="30"/>
      <c r="L53" s="30"/>
      <c r="M53" s="30"/>
      <c r="N53" s="30"/>
      <c r="O53" s="30"/>
      <c r="P53" s="30"/>
    </row>
    <row r="54" spans="1:16" ht="15.75">
      <c r="A54" s="395" t="s">
        <v>20</v>
      </c>
      <c r="B54" s="395" t="s">
        <v>21</v>
      </c>
      <c r="C54" s="395" t="s">
        <v>78</v>
      </c>
      <c r="D54" s="395" t="s">
        <v>18</v>
      </c>
      <c r="E54" s="395" t="s">
        <v>22</v>
      </c>
      <c r="F54" s="395" t="s">
        <v>7</v>
      </c>
      <c r="G54" s="395" t="s">
        <v>13</v>
      </c>
      <c r="H54" s="395" t="s">
        <v>16</v>
      </c>
      <c r="I54" s="395" t="s">
        <v>23</v>
      </c>
      <c r="J54" s="395" t="s">
        <v>24</v>
      </c>
      <c r="K54" s="395" t="s">
        <v>25</v>
      </c>
      <c r="L54" s="395" t="s">
        <v>26</v>
      </c>
      <c r="M54" s="395" t="s">
        <v>27</v>
      </c>
      <c r="N54" s="395" t="s">
        <v>28</v>
      </c>
      <c r="O54" s="395" t="s">
        <v>11</v>
      </c>
      <c r="P54" s="395" t="s">
        <v>79</v>
      </c>
    </row>
    <row r="55" spans="1:16" ht="15.75">
      <c r="A55" s="274" t="s">
        <v>115</v>
      </c>
      <c r="B55" s="274">
        <v>1</v>
      </c>
      <c r="C55" s="274"/>
      <c r="D55" s="274" t="s">
        <v>18</v>
      </c>
      <c r="E55" s="30" t="s">
        <v>2</v>
      </c>
      <c r="F55" s="30" t="s">
        <v>80</v>
      </c>
      <c r="G55" s="274" t="s">
        <v>60</v>
      </c>
      <c r="H55" s="30" t="s">
        <v>30</v>
      </c>
      <c r="I55" s="30">
        <v>0</v>
      </c>
      <c r="J55" s="274" t="s">
        <v>31</v>
      </c>
      <c r="K55" s="274" t="s">
        <v>31</v>
      </c>
      <c r="L55" s="274" t="s">
        <v>31</v>
      </c>
      <c r="M55" s="274" t="s">
        <v>31</v>
      </c>
      <c r="N55" s="274" t="s">
        <v>31</v>
      </c>
      <c r="O55" s="30"/>
      <c r="P55" s="30"/>
    </row>
    <row r="56" spans="1:16" ht="15.75">
      <c r="A56" s="232" t="s">
        <v>118</v>
      </c>
      <c r="B56" s="30">
        <f>-1.03</f>
        <v>-1.03</v>
      </c>
      <c r="D56" t="s">
        <v>37</v>
      </c>
      <c r="E56" s="173" t="s">
        <v>38</v>
      </c>
      <c r="F56" s="30" t="s">
        <v>80</v>
      </c>
      <c r="G56" t="s">
        <v>86</v>
      </c>
      <c r="H56" t="s">
        <v>33</v>
      </c>
      <c r="I56" s="30">
        <v>0</v>
      </c>
      <c r="J56" s="274" t="s">
        <v>31</v>
      </c>
      <c r="K56" s="274" t="s">
        <v>31</v>
      </c>
      <c r="L56" s="274" t="s">
        <v>31</v>
      </c>
      <c r="M56" s="274" t="s">
        <v>31</v>
      </c>
      <c r="N56" s="274" t="s">
        <v>31</v>
      </c>
      <c r="O56" s="274" t="s">
        <v>119</v>
      </c>
    </row>
    <row r="57" spans="1:16" s="399" customFormat="1" ht="15.75">
      <c r="A57" s="396" t="s">
        <v>5</v>
      </c>
      <c r="B57" s="396" t="s">
        <v>120</v>
      </c>
      <c r="C57" s="396"/>
      <c r="D57" s="397"/>
      <c r="E57" s="398"/>
      <c r="F57" s="398"/>
      <c r="G57" s="398"/>
      <c r="H57" s="398"/>
      <c r="I57" s="398"/>
      <c r="J57" s="398"/>
      <c r="K57" s="398"/>
      <c r="L57" s="398"/>
      <c r="M57" s="398"/>
      <c r="N57" s="398"/>
      <c r="O57" s="398"/>
      <c r="P57" s="398"/>
    </row>
    <row r="58" spans="1:16">
      <c r="A58" s="30" t="s">
        <v>7</v>
      </c>
      <c r="B58" s="30" t="s">
        <v>82</v>
      </c>
      <c r="C58" s="30"/>
      <c r="D58" s="30"/>
      <c r="E58" s="30"/>
      <c r="F58" s="30"/>
      <c r="G58" s="30"/>
      <c r="H58" s="30"/>
      <c r="I58" s="30"/>
      <c r="J58" s="30"/>
      <c r="K58" s="30"/>
      <c r="L58" s="30"/>
      <c r="M58" s="30"/>
      <c r="N58" s="30"/>
      <c r="O58" s="30"/>
      <c r="P58" s="30"/>
    </row>
    <row r="59" spans="1:16">
      <c r="A59" s="30" t="s">
        <v>9</v>
      </c>
      <c r="B59" s="394" t="s">
        <v>121</v>
      </c>
      <c r="C59" s="30"/>
      <c r="D59" s="30"/>
      <c r="E59" s="30"/>
      <c r="F59" s="30"/>
      <c r="G59" s="30"/>
      <c r="H59" s="30"/>
      <c r="I59" s="30"/>
      <c r="J59" s="30"/>
      <c r="K59" s="30"/>
      <c r="L59" s="30"/>
      <c r="M59" s="30"/>
      <c r="N59" s="30"/>
      <c r="O59" s="30"/>
      <c r="P59" s="30"/>
    </row>
    <row r="60" spans="1:16">
      <c r="A60" s="30" t="s">
        <v>11</v>
      </c>
      <c r="B60" s="30" t="s">
        <v>122</v>
      </c>
      <c r="C60" s="30"/>
      <c r="D60" s="30"/>
      <c r="E60" s="30"/>
      <c r="F60" s="30"/>
      <c r="G60" s="30"/>
      <c r="H60" s="30"/>
      <c r="I60" s="30"/>
      <c r="J60" s="30"/>
      <c r="K60" s="30"/>
      <c r="L60" s="30"/>
      <c r="M60" s="30"/>
      <c r="N60" s="30"/>
      <c r="O60" s="30"/>
      <c r="P60" s="30"/>
    </row>
    <row r="61" spans="1:16">
      <c r="A61" s="30" t="s">
        <v>13</v>
      </c>
      <c r="B61" s="30" t="s">
        <v>60</v>
      </c>
      <c r="C61" s="30"/>
      <c r="D61" s="30"/>
      <c r="E61" s="30"/>
      <c r="F61" s="30"/>
      <c r="G61" s="30"/>
      <c r="H61" s="30"/>
      <c r="I61" s="30"/>
      <c r="J61" s="30"/>
      <c r="K61" s="30"/>
      <c r="L61" s="30"/>
      <c r="M61" s="30"/>
      <c r="N61" s="30"/>
      <c r="O61" s="30"/>
      <c r="P61" s="30"/>
    </row>
    <row r="62" spans="1:16">
      <c r="A62" s="30" t="s">
        <v>15</v>
      </c>
      <c r="B62" s="30">
        <v>1</v>
      </c>
      <c r="C62" s="30"/>
      <c r="D62" s="30"/>
      <c r="E62" s="30"/>
      <c r="F62" s="30"/>
      <c r="G62" s="30"/>
      <c r="H62" s="30"/>
      <c r="I62" s="30"/>
      <c r="J62" s="30"/>
      <c r="K62" s="30"/>
      <c r="L62" s="30"/>
      <c r="M62" s="30"/>
      <c r="N62" s="30"/>
      <c r="O62" s="30"/>
      <c r="P62" s="30"/>
    </row>
    <row r="63" spans="1:16">
      <c r="A63" s="30" t="s">
        <v>16</v>
      </c>
      <c r="B63" s="30" t="s">
        <v>17</v>
      </c>
      <c r="C63" s="30"/>
      <c r="D63" s="30"/>
      <c r="E63" s="30"/>
      <c r="F63" s="30"/>
      <c r="G63" s="30"/>
      <c r="H63" s="30"/>
      <c r="I63" s="30"/>
      <c r="J63" s="30"/>
      <c r="K63" s="30"/>
      <c r="L63" s="30"/>
      <c r="M63" s="30"/>
      <c r="N63" s="30"/>
      <c r="O63" s="30"/>
      <c r="P63" s="30"/>
    </row>
    <row r="64" spans="1:16">
      <c r="A64" s="30" t="s">
        <v>18</v>
      </c>
      <c r="B64" s="30" t="s">
        <v>18</v>
      </c>
      <c r="C64" s="30"/>
      <c r="D64" s="30"/>
      <c r="E64" s="30" t="s">
        <v>77</v>
      </c>
      <c r="F64" s="30"/>
      <c r="G64" s="30"/>
      <c r="H64" s="30"/>
      <c r="I64" s="30"/>
      <c r="J64" s="30"/>
      <c r="K64" s="30"/>
      <c r="L64" s="30"/>
      <c r="M64" s="30"/>
      <c r="N64" s="30"/>
      <c r="O64" s="30"/>
      <c r="P64" s="30"/>
    </row>
    <row r="65" spans="1:16" ht="15.75">
      <c r="A65" s="395" t="s">
        <v>19</v>
      </c>
      <c r="B65" s="30"/>
      <c r="C65" s="30"/>
      <c r="D65" s="30"/>
      <c r="E65" s="30"/>
      <c r="F65" s="30"/>
      <c r="G65" s="30"/>
      <c r="H65" s="30"/>
      <c r="I65" s="30"/>
      <c r="J65" s="30"/>
      <c r="K65" s="30"/>
      <c r="L65" s="30"/>
      <c r="M65" s="30"/>
      <c r="N65" s="30"/>
      <c r="O65" s="30"/>
      <c r="P65" s="30"/>
    </row>
    <row r="66" spans="1:16" ht="15.75">
      <c r="A66" s="395" t="s">
        <v>20</v>
      </c>
      <c r="B66" s="395" t="s">
        <v>21</v>
      </c>
      <c r="C66" s="395" t="s">
        <v>78</v>
      </c>
      <c r="D66" s="395" t="s">
        <v>18</v>
      </c>
      <c r="E66" s="395" t="s">
        <v>22</v>
      </c>
      <c r="F66" s="395" t="s">
        <v>7</v>
      </c>
      <c r="G66" s="395" t="s">
        <v>13</v>
      </c>
      <c r="H66" s="395" t="s">
        <v>16</v>
      </c>
      <c r="I66" s="395" t="s">
        <v>23</v>
      </c>
      <c r="J66" s="395" t="s">
        <v>24</v>
      </c>
      <c r="K66" s="395" t="s">
        <v>25</v>
      </c>
      <c r="L66" s="395" t="s">
        <v>26</v>
      </c>
      <c r="M66" s="395" t="s">
        <v>27</v>
      </c>
      <c r="N66" s="395" t="s">
        <v>28</v>
      </c>
      <c r="O66" s="395" t="s">
        <v>11</v>
      </c>
      <c r="P66" s="395" t="s">
        <v>79</v>
      </c>
    </row>
    <row r="67" spans="1:16" ht="15.75">
      <c r="A67" s="274" t="str">
        <f>B57</f>
        <v>treatment of power electronics,Battery charging station, GT-bat, Medium-Term</v>
      </c>
      <c r="B67" s="274">
        <v>1</v>
      </c>
      <c r="C67" s="274"/>
      <c r="D67" s="274" t="s">
        <v>18</v>
      </c>
      <c r="E67" s="30" t="s">
        <v>2</v>
      </c>
      <c r="F67" s="30" t="s">
        <v>80</v>
      </c>
      <c r="G67" s="274" t="s">
        <v>60</v>
      </c>
      <c r="H67" s="30" t="s">
        <v>30</v>
      </c>
      <c r="I67" s="30">
        <v>0</v>
      </c>
      <c r="J67" s="274" t="s">
        <v>31</v>
      </c>
      <c r="K67" s="274" t="s">
        <v>31</v>
      </c>
      <c r="L67" s="274" t="s">
        <v>31</v>
      </c>
      <c r="M67" s="274" t="s">
        <v>31</v>
      </c>
      <c r="N67" s="274" t="s">
        <v>31</v>
      </c>
      <c r="O67" s="30" t="s">
        <v>123</v>
      </c>
      <c r="P67" s="30"/>
    </row>
    <row r="68" spans="1:16" ht="15.75">
      <c r="A68" t="str">
        <f>B2</f>
        <v>treatment of circuit components,Battery charging station, GT-bat, Medium-Term</v>
      </c>
      <c r="B68" s="274">
        <v>48</v>
      </c>
      <c r="D68" s="274" t="s">
        <v>18</v>
      </c>
      <c r="E68" s="30" t="s">
        <v>2</v>
      </c>
      <c r="F68" s="30" t="s">
        <v>80</v>
      </c>
      <c r="G68" s="274" t="s">
        <v>60</v>
      </c>
      <c r="H68" t="s">
        <v>33</v>
      </c>
      <c r="I68" s="30">
        <v>0</v>
      </c>
      <c r="J68" s="274" t="s">
        <v>31</v>
      </c>
      <c r="K68" s="274" t="s">
        <v>31</v>
      </c>
      <c r="L68" s="274" t="s">
        <v>31</v>
      </c>
      <c r="M68" s="274" t="s">
        <v>31</v>
      </c>
      <c r="N68" s="274" t="s">
        <v>31</v>
      </c>
    </row>
    <row r="69" spans="1:16" ht="15.75">
      <c r="A69" t="str">
        <f>B14</f>
        <v>treatment of metals,Battery charging station, GT-bat, Medium-Term</v>
      </c>
      <c r="B69" s="274">
        <v>48</v>
      </c>
      <c r="D69" s="274" t="s">
        <v>18</v>
      </c>
      <c r="E69" s="30" t="s">
        <v>2</v>
      </c>
      <c r="F69" s="30" t="s">
        <v>80</v>
      </c>
      <c r="G69" s="274" t="s">
        <v>60</v>
      </c>
      <c r="H69" t="s">
        <v>33</v>
      </c>
      <c r="I69" s="30">
        <v>0</v>
      </c>
      <c r="J69" s="274" t="s">
        <v>31</v>
      </c>
      <c r="K69" s="274" t="s">
        <v>31</v>
      </c>
      <c r="L69" s="274" t="s">
        <v>31</v>
      </c>
      <c r="M69" s="274" t="s">
        <v>31</v>
      </c>
      <c r="N69" s="274" t="s">
        <v>31</v>
      </c>
    </row>
    <row r="70" spans="1:16" ht="15.75">
      <c r="A70" t="str">
        <f>B31</f>
        <v>treatment of plastics,Battery charging station, GT-bat, Medium-Term</v>
      </c>
      <c r="B70" s="274">
        <v>48</v>
      </c>
      <c r="D70" s="274" t="s">
        <v>18</v>
      </c>
      <c r="E70" s="30" t="s">
        <v>2</v>
      </c>
      <c r="F70" s="30" t="s">
        <v>80</v>
      </c>
      <c r="G70" s="274" t="s">
        <v>60</v>
      </c>
      <c r="H70" t="s">
        <v>33</v>
      </c>
      <c r="I70" s="30">
        <v>0</v>
      </c>
      <c r="J70" s="274" t="s">
        <v>31</v>
      </c>
      <c r="K70" s="274" t="s">
        <v>31</v>
      </c>
      <c r="L70" s="274" t="s">
        <v>31</v>
      </c>
      <c r="M70" s="274" t="s">
        <v>31</v>
      </c>
      <c r="N70" s="274" t="s">
        <v>31</v>
      </c>
    </row>
    <row r="71" spans="1:16" ht="15.75">
      <c r="A71" t="str">
        <f>B45</f>
        <v>treatment of remaining material components,Battery charging station, GT-bat, Medium-Term</v>
      </c>
      <c r="B71" s="274">
        <v>48</v>
      </c>
      <c r="D71" s="274" t="s">
        <v>18</v>
      </c>
      <c r="E71" s="30" t="s">
        <v>2</v>
      </c>
      <c r="F71" s="30" t="s">
        <v>80</v>
      </c>
      <c r="G71" s="274" t="s">
        <v>60</v>
      </c>
      <c r="H71" t="s">
        <v>33</v>
      </c>
      <c r="I71" s="30">
        <v>0</v>
      </c>
      <c r="J71" s="274" t="s">
        <v>31</v>
      </c>
      <c r="K71" s="274" t="s">
        <v>31</v>
      </c>
      <c r="L71" s="274" t="s">
        <v>31</v>
      </c>
      <c r="M71" s="274" t="s">
        <v>31</v>
      </c>
      <c r="N71" s="274" t="s">
        <v>31</v>
      </c>
    </row>
    <row r="72" spans="1:16" ht="15.75">
      <c r="A72" s="232" t="s">
        <v>124</v>
      </c>
      <c r="B72">
        <f>48*-38.5</f>
        <v>-1848</v>
      </c>
      <c r="D72" s="274" t="s">
        <v>37</v>
      </c>
      <c r="E72" s="30" t="s">
        <v>38</v>
      </c>
      <c r="F72" s="30" t="s">
        <v>80</v>
      </c>
      <c r="G72" s="274" t="s">
        <v>86</v>
      </c>
      <c r="H72" t="s">
        <v>33</v>
      </c>
      <c r="I72" s="30">
        <v>0</v>
      </c>
      <c r="J72" s="274" t="s">
        <v>31</v>
      </c>
      <c r="K72" s="274" t="s">
        <v>31</v>
      </c>
      <c r="L72" s="274" t="s">
        <v>31</v>
      </c>
      <c r="M72" s="274" t="s">
        <v>31</v>
      </c>
      <c r="N72" s="274" t="s">
        <v>31</v>
      </c>
      <c r="O72" s="274" t="s">
        <v>125</v>
      </c>
    </row>
  </sheetData>
  <pageMargins left="0.7" right="0.7"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3C3C-2DB4-41E1-8DA6-99C24AE1F0B4}">
  <sheetPr>
    <tabColor theme="5"/>
  </sheetPr>
  <dimension ref="A1:Q37"/>
  <sheetViews>
    <sheetView topLeftCell="A13" zoomScale="85" zoomScaleNormal="85" workbookViewId="0">
      <selection activeCell="A36" sqref="A36"/>
    </sheetView>
  </sheetViews>
  <sheetFormatPr defaultRowHeight="15.75"/>
  <cols>
    <col min="1" max="1" width="43.140625" style="17" bestFit="1" customWidth="1"/>
    <col min="2" max="3" width="9.140625" style="17"/>
    <col min="4" max="4" width="34.42578125" style="17" bestFit="1" customWidth="1"/>
    <col min="5" max="16384" width="9.140625" style="17"/>
  </cols>
  <sheetData>
    <row r="1" spans="1:17">
      <c r="A1" s="173" t="s">
        <v>0</v>
      </c>
      <c r="B1" s="173">
        <v>13</v>
      </c>
      <c r="C1" s="173"/>
      <c r="D1" s="173"/>
      <c r="E1" s="173"/>
      <c r="F1" s="173"/>
      <c r="G1" s="173"/>
      <c r="H1" s="173"/>
      <c r="I1" s="173"/>
      <c r="J1" s="173"/>
      <c r="K1" s="173"/>
      <c r="L1" s="173"/>
      <c r="M1" s="173"/>
      <c r="N1" s="173"/>
    </row>
    <row r="2" spans="1:17">
      <c r="A2" s="209" t="s">
        <v>5</v>
      </c>
      <c r="B2" s="210" t="s">
        <v>1285</v>
      </c>
      <c r="C2" s="211"/>
      <c r="D2" s="188"/>
      <c r="E2" s="188"/>
      <c r="F2" s="188"/>
      <c r="G2" s="188"/>
      <c r="H2" s="188"/>
      <c r="I2" s="188"/>
      <c r="J2" s="188"/>
      <c r="K2" s="188"/>
      <c r="L2" s="188"/>
      <c r="M2" s="188"/>
      <c r="N2" s="173"/>
      <c r="Q2" s="17" t="s">
        <v>904</v>
      </c>
    </row>
    <row r="3" spans="1:17">
      <c r="A3" s="177" t="s">
        <v>7</v>
      </c>
      <c r="B3" s="173" t="s">
        <v>566</v>
      </c>
      <c r="C3" s="176"/>
      <c r="D3" s="173"/>
      <c r="E3" s="173"/>
      <c r="F3" s="173"/>
      <c r="G3" s="173"/>
      <c r="H3" s="173"/>
      <c r="I3" s="173"/>
      <c r="J3" s="173"/>
      <c r="K3" s="173"/>
      <c r="L3" s="173"/>
      <c r="M3" s="173"/>
      <c r="N3" s="173"/>
    </row>
    <row r="4" spans="1:17">
      <c r="A4" s="177" t="s">
        <v>9</v>
      </c>
      <c r="B4" s="173" t="s">
        <v>1286</v>
      </c>
      <c r="C4" s="176"/>
      <c r="D4" s="173"/>
      <c r="E4" s="173"/>
      <c r="F4" s="173"/>
      <c r="G4" s="173"/>
      <c r="H4" s="173"/>
      <c r="I4" s="173"/>
      <c r="J4" s="173"/>
      <c r="K4" s="173"/>
      <c r="L4" s="173"/>
      <c r="M4" s="173"/>
      <c r="N4" s="173"/>
    </row>
    <row r="5" spans="1:17">
      <c r="A5" s="177" t="s">
        <v>11</v>
      </c>
      <c r="B5" s="179" t="s">
        <v>906</v>
      </c>
      <c r="C5" s="173"/>
      <c r="D5" s="173"/>
      <c r="E5" s="173"/>
      <c r="F5" s="173"/>
      <c r="G5" s="173"/>
      <c r="H5" s="173"/>
      <c r="I5" s="173"/>
      <c r="J5" s="173"/>
      <c r="K5" s="173"/>
      <c r="L5" s="173"/>
      <c r="M5" s="173"/>
      <c r="N5" s="173"/>
    </row>
    <row r="6" spans="1:17">
      <c r="A6" s="177" t="s">
        <v>13</v>
      </c>
      <c r="B6" s="185" t="s">
        <v>39</v>
      </c>
      <c r="C6" s="173"/>
      <c r="D6" s="173"/>
      <c r="E6" s="173"/>
      <c r="F6" s="173"/>
      <c r="G6" s="173"/>
      <c r="H6" s="173"/>
      <c r="I6" s="173"/>
      <c r="J6" s="173"/>
      <c r="K6" s="173"/>
      <c r="L6" s="173"/>
      <c r="M6" s="173"/>
      <c r="N6" s="173"/>
    </row>
    <row r="7" spans="1:17">
      <c r="A7" s="177" t="s">
        <v>15</v>
      </c>
      <c r="B7" s="173">
        <v>1</v>
      </c>
      <c r="C7" s="173"/>
      <c r="D7" s="173"/>
      <c r="E7" s="173"/>
      <c r="F7" s="173"/>
      <c r="G7" s="173"/>
      <c r="H7" s="173"/>
      <c r="I7" s="173"/>
      <c r="J7" s="173"/>
      <c r="K7" s="173"/>
      <c r="L7" s="173"/>
      <c r="M7" s="173"/>
      <c r="N7" s="173"/>
    </row>
    <row r="8" spans="1:17">
      <c r="A8" s="177" t="s">
        <v>16</v>
      </c>
      <c r="B8" s="173" t="s">
        <v>17</v>
      </c>
      <c r="C8" s="173"/>
      <c r="D8" s="173"/>
      <c r="E8" s="173"/>
      <c r="F8" s="173"/>
      <c r="G8" s="173"/>
      <c r="H8" s="173"/>
      <c r="I8" s="173"/>
      <c r="J8" s="173"/>
      <c r="K8" s="173"/>
      <c r="L8" s="173"/>
      <c r="M8" s="173"/>
      <c r="N8" s="173"/>
    </row>
    <row r="9" spans="1:17">
      <c r="A9" s="177" t="s">
        <v>18</v>
      </c>
      <c r="B9" s="173" t="s">
        <v>37</v>
      </c>
      <c r="C9" s="173"/>
      <c r="D9" s="173"/>
      <c r="E9" s="173"/>
      <c r="F9" s="173"/>
      <c r="G9" s="173"/>
      <c r="H9" s="173"/>
      <c r="I9" s="173"/>
      <c r="J9" s="173"/>
      <c r="K9" s="173"/>
      <c r="L9" s="173"/>
      <c r="M9" s="173"/>
      <c r="N9" s="173"/>
    </row>
    <row r="10" spans="1:17">
      <c r="A10" s="174" t="s">
        <v>19</v>
      </c>
      <c r="B10" s="173"/>
      <c r="C10" s="173"/>
      <c r="D10" s="173"/>
      <c r="E10" s="173"/>
      <c r="F10" s="173"/>
      <c r="G10" s="173"/>
      <c r="H10" s="173"/>
      <c r="I10" s="173"/>
      <c r="J10" s="173"/>
      <c r="K10" s="173"/>
      <c r="L10" s="173"/>
      <c r="M10" s="173"/>
      <c r="N10" s="173"/>
    </row>
    <row r="11" spans="1:17">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row>
    <row r="12" spans="1:17">
      <c r="A12" s="173" t="s">
        <v>1285</v>
      </c>
      <c r="B12" s="173">
        <v>1</v>
      </c>
      <c r="C12" s="173" t="s">
        <v>37</v>
      </c>
      <c r="D12" s="173" t="s">
        <v>2</v>
      </c>
      <c r="E12" s="173" t="s">
        <v>29</v>
      </c>
      <c r="F12" s="185" t="s">
        <v>39</v>
      </c>
      <c r="G12" s="173" t="s">
        <v>30</v>
      </c>
      <c r="H12" s="173">
        <v>1</v>
      </c>
      <c r="I12" s="173">
        <v>1</v>
      </c>
      <c r="J12" s="173" t="s">
        <v>31</v>
      </c>
      <c r="K12" s="173" t="s">
        <v>31</v>
      </c>
      <c r="L12" s="173" t="s">
        <v>31</v>
      </c>
      <c r="M12" s="173" t="s">
        <v>31</v>
      </c>
      <c r="N12" s="173"/>
    </row>
    <row r="13" spans="1:17">
      <c r="A13" s="177" t="s">
        <v>907</v>
      </c>
      <c r="B13" s="173">
        <v>-1</v>
      </c>
      <c r="C13" s="173" t="s">
        <v>37</v>
      </c>
      <c r="D13" s="173" t="s">
        <v>38</v>
      </c>
      <c r="E13" s="173" t="s">
        <v>29</v>
      </c>
      <c r="F13" s="185" t="s">
        <v>39</v>
      </c>
      <c r="G13" s="173" t="s">
        <v>33</v>
      </c>
      <c r="H13" s="173">
        <v>1</v>
      </c>
      <c r="I13" s="173">
        <v>1</v>
      </c>
      <c r="J13" s="173" t="s">
        <v>31</v>
      </c>
      <c r="K13" s="173" t="s">
        <v>31</v>
      </c>
      <c r="L13" s="173" t="s">
        <v>31</v>
      </c>
      <c r="M13" s="173" t="s">
        <v>31</v>
      </c>
      <c r="N13" s="173"/>
    </row>
    <row r="14" spans="1:17">
      <c r="A14" s="209" t="s">
        <v>5</v>
      </c>
      <c r="B14" s="210" t="s">
        <v>1287</v>
      </c>
      <c r="C14" s="211"/>
      <c r="D14" s="188"/>
      <c r="E14" s="188"/>
      <c r="F14" s="188"/>
      <c r="G14" s="188"/>
      <c r="H14" s="188"/>
      <c r="I14" s="188"/>
      <c r="J14" s="188"/>
      <c r="K14" s="188"/>
      <c r="L14" s="188"/>
      <c r="M14" s="188"/>
      <c r="N14" s="173"/>
    </row>
    <row r="15" spans="1:17">
      <c r="A15" s="177" t="s">
        <v>7</v>
      </c>
      <c r="B15" s="173" t="s">
        <v>566</v>
      </c>
      <c r="C15" s="176"/>
      <c r="D15" s="173"/>
      <c r="E15" s="173"/>
      <c r="F15" s="173"/>
      <c r="G15" s="173"/>
      <c r="H15" s="173"/>
      <c r="I15" s="173"/>
      <c r="J15" s="173"/>
      <c r="K15" s="173"/>
      <c r="L15" s="173"/>
      <c r="M15" s="173"/>
      <c r="N15" s="173"/>
    </row>
    <row r="16" spans="1:17">
      <c r="A16" s="177" t="s">
        <v>9</v>
      </c>
      <c r="B16" s="178" t="s">
        <v>1288</v>
      </c>
      <c r="C16" s="176"/>
      <c r="D16" s="173"/>
      <c r="E16" s="173"/>
      <c r="F16" s="173"/>
      <c r="G16" s="173"/>
      <c r="H16" s="173"/>
      <c r="I16" s="173"/>
      <c r="J16" s="173"/>
      <c r="K16" s="173"/>
      <c r="L16" s="173"/>
      <c r="M16" s="173"/>
      <c r="N16" s="173"/>
    </row>
    <row r="17" spans="1:14">
      <c r="A17" s="177" t="s">
        <v>11</v>
      </c>
      <c r="B17" s="179" t="s">
        <v>906</v>
      </c>
      <c r="C17" s="173"/>
      <c r="D17" s="173"/>
      <c r="E17" s="173"/>
      <c r="F17" s="173"/>
      <c r="G17" s="173"/>
      <c r="H17" s="173"/>
      <c r="I17" s="173"/>
      <c r="J17" s="173"/>
      <c r="K17" s="173"/>
      <c r="L17" s="173"/>
      <c r="M17" s="173"/>
      <c r="N17" s="173"/>
    </row>
    <row r="18" spans="1:14">
      <c r="A18" s="177" t="s">
        <v>13</v>
      </c>
      <c r="B18" s="185" t="s">
        <v>39</v>
      </c>
      <c r="C18" s="173"/>
      <c r="D18" s="173"/>
      <c r="E18" s="173"/>
      <c r="F18" s="173"/>
      <c r="G18" s="173"/>
      <c r="H18" s="173"/>
      <c r="I18" s="173"/>
      <c r="J18" s="173"/>
      <c r="K18" s="173"/>
      <c r="L18" s="173"/>
      <c r="M18" s="173"/>
      <c r="N18" s="173"/>
    </row>
    <row r="19" spans="1:14">
      <c r="A19" s="177" t="s">
        <v>15</v>
      </c>
      <c r="B19" s="173">
        <v>1</v>
      </c>
      <c r="C19" s="173"/>
      <c r="D19" s="173"/>
      <c r="E19" s="173"/>
      <c r="F19" s="173"/>
      <c r="G19" s="173"/>
      <c r="H19" s="173"/>
      <c r="I19" s="173"/>
      <c r="J19" s="173"/>
      <c r="K19" s="173"/>
      <c r="L19" s="173"/>
      <c r="M19" s="173"/>
      <c r="N19" s="173"/>
    </row>
    <row r="20" spans="1:14">
      <c r="A20" s="177" t="s">
        <v>16</v>
      </c>
      <c r="B20" s="173" t="s">
        <v>17</v>
      </c>
      <c r="C20" s="173"/>
      <c r="D20" s="173"/>
      <c r="E20" s="173"/>
      <c r="F20" s="173"/>
      <c r="G20" s="173"/>
      <c r="H20" s="173"/>
      <c r="I20" s="173"/>
      <c r="J20" s="173"/>
      <c r="K20" s="173"/>
      <c r="L20" s="173"/>
      <c r="M20" s="173"/>
      <c r="N20" s="173"/>
    </row>
    <row r="21" spans="1:14">
      <c r="A21" s="177" t="s">
        <v>18</v>
      </c>
      <c r="B21" s="173" t="s">
        <v>37</v>
      </c>
      <c r="C21" s="173"/>
      <c r="D21" s="173"/>
      <c r="E21" s="173"/>
      <c r="F21" s="173"/>
      <c r="G21" s="173"/>
      <c r="H21" s="173"/>
      <c r="I21" s="173"/>
      <c r="J21" s="173"/>
      <c r="K21" s="173"/>
      <c r="L21" s="173"/>
      <c r="M21" s="173"/>
      <c r="N21" s="173"/>
    </row>
    <row r="22" spans="1:14">
      <c r="A22" s="174" t="s">
        <v>19</v>
      </c>
      <c r="B22" s="173"/>
      <c r="C22" s="173"/>
      <c r="D22" s="173"/>
      <c r="E22" s="173"/>
      <c r="F22" s="173"/>
      <c r="G22" s="173"/>
      <c r="H22" s="173"/>
      <c r="I22" s="173"/>
      <c r="J22" s="173"/>
      <c r="K22" s="173"/>
      <c r="L22" s="173"/>
      <c r="M22" s="173"/>
      <c r="N22" s="173"/>
    </row>
    <row r="23" spans="1:14">
      <c r="A23" s="174" t="s">
        <v>20</v>
      </c>
      <c r="B23" s="175" t="s">
        <v>21</v>
      </c>
      <c r="C23" s="175" t="s">
        <v>18</v>
      </c>
      <c r="D23" s="175" t="s">
        <v>22</v>
      </c>
      <c r="E23" s="175" t="s">
        <v>7</v>
      </c>
      <c r="F23" s="175" t="s">
        <v>13</v>
      </c>
      <c r="G23" s="175" t="s">
        <v>16</v>
      </c>
      <c r="H23" s="175" t="s">
        <v>23</v>
      </c>
      <c r="I23" s="175" t="s">
        <v>24</v>
      </c>
      <c r="J23" s="175" t="s">
        <v>25</v>
      </c>
      <c r="K23" s="175" t="s">
        <v>26</v>
      </c>
      <c r="L23" s="175" t="s">
        <v>27</v>
      </c>
      <c r="M23" s="175" t="s">
        <v>28</v>
      </c>
      <c r="N23" s="175" t="s">
        <v>11</v>
      </c>
    </row>
    <row r="24" spans="1:14">
      <c r="A24" s="173" t="s">
        <v>1287</v>
      </c>
      <c r="B24" s="173">
        <v>1</v>
      </c>
      <c r="C24" s="173" t="s">
        <v>37</v>
      </c>
      <c r="D24" s="173" t="s">
        <v>2</v>
      </c>
      <c r="E24" s="173" t="s">
        <v>29</v>
      </c>
      <c r="F24" s="185" t="s">
        <v>39</v>
      </c>
      <c r="G24" s="173" t="s">
        <v>30</v>
      </c>
      <c r="H24" s="173">
        <v>1</v>
      </c>
      <c r="I24" s="173">
        <v>1</v>
      </c>
      <c r="J24" s="173" t="s">
        <v>31</v>
      </c>
      <c r="K24" s="173" t="s">
        <v>31</v>
      </c>
      <c r="L24" s="173" t="s">
        <v>31</v>
      </c>
      <c r="M24" s="173" t="s">
        <v>31</v>
      </c>
      <c r="N24" s="173"/>
    </row>
    <row r="25" spans="1:14">
      <c r="A25" s="177" t="s">
        <v>118</v>
      </c>
      <c r="B25" s="173">
        <v>-1</v>
      </c>
      <c r="C25" s="173" t="s">
        <v>37</v>
      </c>
      <c r="D25" s="173" t="s">
        <v>38</v>
      </c>
      <c r="E25" s="173" t="s">
        <v>29</v>
      </c>
      <c r="F25" s="173" t="s">
        <v>39</v>
      </c>
      <c r="G25" s="173" t="s">
        <v>33</v>
      </c>
      <c r="H25" s="173">
        <v>1</v>
      </c>
      <c r="I25" s="173">
        <v>1</v>
      </c>
      <c r="J25" s="173" t="s">
        <v>31</v>
      </c>
      <c r="K25" s="173" t="s">
        <v>31</v>
      </c>
      <c r="L25" s="173" t="s">
        <v>31</v>
      </c>
      <c r="M25" s="173" t="s">
        <v>31</v>
      </c>
      <c r="N25" s="173"/>
    </row>
    <row r="26" spans="1:14">
      <c r="A26" s="209" t="s">
        <v>5</v>
      </c>
      <c r="B26" s="210" t="s">
        <v>1238</v>
      </c>
      <c r="C26" s="211"/>
      <c r="D26" s="188"/>
      <c r="E26" s="188"/>
      <c r="F26" s="188"/>
      <c r="G26" s="188"/>
      <c r="H26" s="188"/>
      <c r="I26" s="188"/>
      <c r="J26" s="188"/>
      <c r="K26" s="188"/>
      <c r="L26" s="188"/>
      <c r="M26" s="188"/>
      <c r="N26" s="173"/>
    </row>
    <row r="27" spans="1:14">
      <c r="A27" s="177" t="s">
        <v>7</v>
      </c>
      <c r="B27" s="173" t="s">
        <v>566</v>
      </c>
      <c r="C27" s="176"/>
      <c r="D27" s="173"/>
      <c r="E27" s="173"/>
      <c r="F27" s="173"/>
      <c r="G27" s="173"/>
      <c r="H27" s="173"/>
      <c r="I27" s="173"/>
      <c r="J27" s="173"/>
      <c r="K27" s="173"/>
      <c r="L27" s="173"/>
      <c r="M27" s="173"/>
      <c r="N27" s="173"/>
    </row>
    <row r="28" spans="1:14">
      <c r="A28" s="177" t="s">
        <v>9</v>
      </c>
      <c r="B28" s="178" t="s">
        <v>1289</v>
      </c>
      <c r="C28" s="176"/>
      <c r="D28" s="173"/>
      <c r="E28" s="173"/>
      <c r="F28" s="173"/>
      <c r="G28" s="173"/>
      <c r="H28" s="173"/>
      <c r="I28" s="173"/>
      <c r="J28" s="173"/>
      <c r="K28" s="173"/>
      <c r="L28" s="173"/>
      <c r="M28" s="173"/>
      <c r="N28" s="173"/>
    </row>
    <row r="29" spans="1:14">
      <c r="A29" s="177" t="s">
        <v>11</v>
      </c>
      <c r="B29" s="179" t="s">
        <v>906</v>
      </c>
      <c r="C29" s="173"/>
      <c r="D29" s="173"/>
      <c r="E29" s="173"/>
      <c r="F29" s="173"/>
      <c r="G29" s="173"/>
      <c r="H29" s="173"/>
      <c r="I29" s="173"/>
      <c r="J29" s="173"/>
      <c r="K29" s="173"/>
      <c r="L29" s="173"/>
      <c r="M29" s="173"/>
      <c r="N29" s="173"/>
    </row>
    <row r="30" spans="1:14">
      <c r="A30" s="177" t="s">
        <v>13</v>
      </c>
      <c r="B30" s="185" t="s">
        <v>39</v>
      </c>
      <c r="C30" s="173"/>
      <c r="D30" s="173"/>
      <c r="E30" s="173"/>
      <c r="F30" s="173"/>
      <c r="G30" s="173"/>
      <c r="H30" s="173"/>
      <c r="I30" s="173"/>
      <c r="J30" s="173"/>
      <c r="K30" s="173"/>
      <c r="L30" s="173"/>
      <c r="M30" s="173"/>
      <c r="N30" s="173"/>
    </row>
    <row r="31" spans="1:14">
      <c r="A31" s="177" t="s">
        <v>15</v>
      </c>
      <c r="B31" s="173">
        <v>1</v>
      </c>
      <c r="C31" s="173"/>
      <c r="D31" s="173"/>
      <c r="E31" s="173"/>
      <c r="F31" s="173"/>
      <c r="G31" s="173"/>
      <c r="H31" s="173"/>
      <c r="I31" s="173"/>
      <c r="J31" s="173"/>
      <c r="K31" s="173"/>
      <c r="L31" s="173"/>
      <c r="M31" s="173"/>
      <c r="N31" s="173"/>
    </row>
    <row r="32" spans="1:14">
      <c r="A32" s="177" t="s">
        <v>16</v>
      </c>
      <c r="B32" s="173" t="s">
        <v>17</v>
      </c>
      <c r="C32" s="173"/>
      <c r="D32" s="173"/>
      <c r="E32" s="173"/>
      <c r="F32" s="173"/>
      <c r="G32" s="173"/>
      <c r="H32" s="173"/>
      <c r="I32" s="173"/>
      <c r="J32" s="173"/>
      <c r="K32" s="173"/>
      <c r="L32" s="173"/>
      <c r="M32" s="173"/>
      <c r="N32" s="173"/>
    </row>
    <row r="33" spans="1:14">
      <c r="A33" s="177" t="s">
        <v>18</v>
      </c>
      <c r="B33" s="173" t="s">
        <v>37</v>
      </c>
      <c r="C33" s="173"/>
      <c r="D33" s="173"/>
      <c r="E33" s="173"/>
      <c r="F33" s="173"/>
      <c r="G33" s="173"/>
      <c r="H33" s="173"/>
      <c r="I33" s="173"/>
      <c r="J33" s="173"/>
      <c r="K33" s="173"/>
      <c r="L33" s="173"/>
      <c r="M33" s="173"/>
      <c r="N33" s="173"/>
    </row>
    <row r="34" spans="1:14">
      <c r="A34" s="174" t="s">
        <v>19</v>
      </c>
      <c r="B34" s="173"/>
      <c r="C34" s="173"/>
      <c r="D34" s="173"/>
      <c r="E34" s="173"/>
      <c r="F34" s="173"/>
      <c r="G34" s="173"/>
      <c r="H34" s="173"/>
      <c r="I34" s="173"/>
      <c r="J34" s="173"/>
      <c r="K34" s="173"/>
      <c r="L34" s="173"/>
      <c r="M34" s="173"/>
      <c r="N34" s="173"/>
    </row>
    <row r="35" spans="1:14">
      <c r="A35" s="174" t="s">
        <v>20</v>
      </c>
      <c r="B35" s="175" t="s">
        <v>21</v>
      </c>
      <c r="C35" s="175" t="s">
        <v>18</v>
      </c>
      <c r="D35" s="175" t="s">
        <v>22</v>
      </c>
      <c r="E35" s="175" t="s">
        <v>7</v>
      </c>
      <c r="F35" s="175" t="s">
        <v>13</v>
      </c>
      <c r="G35" s="175" t="s">
        <v>16</v>
      </c>
      <c r="H35" s="175" t="s">
        <v>23</v>
      </c>
      <c r="I35" s="175" t="s">
        <v>24</v>
      </c>
      <c r="J35" s="175" t="s">
        <v>25</v>
      </c>
      <c r="K35" s="175" t="s">
        <v>26</v>
      </c>
      <c r="L35" s="175" t="s">
        <v>27</v>
      </c>
      <c r="M35" s="175" t="s">
        <v>28</v>
      </c>
      <c r="N35" s="175" t="s">
        <v>11</v>
      </c>
    </row>
    <row r="36" spans="1:14">
      <c r="A36" s="173" t="s">
        <v>1238</v>
      </c>
      <c r="B36" s="173">
        <v>1</v>
      </c>
      <c r="C36" s="173" t="s">
        <v>37</v>
      </c>
      <c r="D36" s="173" t="s">
        <v>2</v>
      </c>
      <c r="E36" s="173" t="s">
        <v>29</v>
      </c>
      <c r="F36" s="185" t="s">
        <v>39</v>
      </c>
      <c r="G36" s="173" t="s">
        <v>30</v>
      </c>
      <c r="H36" s="173">
        <v>1</v>
      </c>
      <c r="I36" s="173">
        <v>1</v>
      </c>
      <c r="J36" s="173" t="s">
        <v>31</v>
      </c>
      <c r="K36" s="173" t="s">
        <v>31</v>
      </c>
      <c r="L36" s="173" t="s">
        <v>31</v>
      </c>
      <c r="M36" s="173" t="s">
        <v>31</v>
      </c>
      <c r="N36" s="173"/>
    </row>
    <row r="37" spans="1:14">
      <c r="A37" s="185" t="s">
        <v>1044</v>
      </c>
      <c r="B37" s="173">
        <v>-1</v>
      </c>
      <c r="C37" s="173" t="s">
        <v>37</v>
      </c>
      <c r="D37" s="173" t="s">
        <v>38</v>
      </c>
      <c r="E37" s="173" t="s">
        <v>29</v>
      </c>
      <c r="F37" s="185" t="s">
        <v>86</v>
      </c>
      <c r="G37" s="173" t="s">
        <v>33</v>
      </c>
      <c r="H37" s="173">
        <v>1</v>
      </c>
      <c r="I37" s="173">
        <v>1</v>
      </c>
      <c r="J37" s="173" t="s">
        <v>31</v>
      </c>
      <c r="K37" s="173" t="s">
        <v>31</v>
      </c>
      <c r="L37" s="173" t="s">
        <v>31</v>
      </c>
      <c r="M37" s="173" t="s">
        <v>31</v>
      </c>
      <c r="N37" s="173"/>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61AD-B3BF-46AE-B50E-C09A4B245DEF}">
  <sheetPr>
    <tabColor theme="5"/>
  </sheetPr>
  <dimension ref="A1:T52"/>
  <sheetViews>
    <sheetView zoomScale="85" zoomScaleNormal="85" workbookViewId="0">
      <selection activeCell="A25" sqref="A25"/>
    </sheetView>
  </sheetViews>
  <sheetFormatPr defaultRowHeight="12.75"/>
  <cols>
    <col min="1" max="1" width="67.140625" style="173" customWidth="1"/>
    <col min="2" max="3" width="9.140625" style="173" customWidth="1"/>
    <col min="4" max="4" width="13.28515625" style="173" customWidth="1"/>
    <col min="5" max="5" width="39.5703125" style="173" customWidth="1"/>
    <col min="6" max="6" width="12.28515625" style="173" customWidth="1"/>
    <col min="7" max="7" width="27.85546875" style="173" customWidth="1"/>
    <col min="8" max="8" width="13.7109375" style="173" customWidth="1"/>
    <col min="9" max="18" width="9.140625" style="173"/>
    <col min="19" max="20" width="5.7109375" style="173" customWidth="1"/>
    <col min="21" max="16384" width="9.140625" style="173"/>
  </cols>
  <sheetData>
    <row r="1" spans="1:16">
      <c r="A1" s="173" t="s">
        <v>0</v>
      </c>
      <c r="B1" s="173">
        <v>14</v>
      </c>
    </row>
    <row r="2" spans="1:16">
      <c r="A2" s="209" t="s">
        <v>5</v>
      </c>
      <c r="B2" s="210" t="s">
        <v>1290</v>
      </c>
      <c r="C2" s="210"/>
      <c r="D2" s="211"/>
      <c r="E2" s="188"/>
      <c r="F2" s="188"/>
      <c r="G2" s="188"/>
      <c r="H2" s="188"/>
      <c r="I2" s="188"/>
      <c r="J2" s="188"/>
      <c r="K2" s="188"/>
      <c r="L2" s="188"/>
      <c r="M2" s="188"/>
      <c r="N2" s="188"/>
      <c r="P2" s="173" t="s">
        <v>904</v>
      </c>
    </row>
    <row r="3" spans="1:16">
      <c r="A3" s="177" t="s">
        <v>7</v>
      </c>
      <c r="B3" s="173" t="s">
        <v>566</v>
      </c>
      <c r="D3" s="176"/>
    </row>
    <row r="4" spans="1:16">
      <c r="A4" s="177" t="s">
        <v>9</v>
      </c>
      <c r="B4" s="173" t="s">
        <v>1291</v>
      </c>
      <c r="D4" s="176"/>
    </row>
    <row r="5" spans="1:16" ht="15" customHeight="1">
      <c r="A5" s="177" t="s">
        <v>11</v>
      </c>
      <c r="B5" s="179" t="s">
        <v>913</v>
      </c>
      <c r="C5" s="179"/>
    </row>
    <row r="6" spans="1:16">
      <c r="A6" s="177" t="s">
        <v>13</v>
      </c>
      <c r="B6" s="173" t="s">
        <v>14</v>
      </c>
    </row>
    <row r="7" spans="1:16">
      <c r="A7" s="177" t="s">
        <v>15</v>
      </c>
      <c r="B7" s="173">
        <v>7.7843999999999997E-2</v>
      </c>
    </row>
    <row r="8" spans="1:16">
      <c r="A8" s="177" t="s">
        <v>16</v>
      </c>
      <c r="B8" s="173" t="s">
        <v>17</v>
      </c>
    </row>
    <row r="9" spans="1:16">
      <c r="A9" s="177" t="s">
        <v>18</v>
      </c>
      <c r="B9" s="173" t="s">
        <v>37</v>
      </c>
    </row>
    <row r="10" spans="1:16">
      <c r="A10" s="174" t="s">
        <v>19</v>
      </c>
    </row>
    <row r="11" spans="1:16">
      <c r="A11" s="174" t="s">
        <v>20</v>
      </c>
      <c r="B11" s="175" t="s">
        <v>21</v>
      </c>
      <c r="C11" s="221" t="s">
        <v>78</v>
      </c>
      <c r="D11" s="175" t="s">
        <v>18</v>
      </c>
      <c r="E11" s="175" t="s">
        <v>22</v>
      </c>
      <c r="F11" s="175" t="s">
        <v>7</v>
      </c>
      <c r="G11" s="175" t="s">
        <v>13</v>
      </c>
      <c r="H11" s="175" t="s">
        <v>16</v>
      </c>
      <c r="I11" s="175" t="s">
        <v>23</v>
      </c>
      <c r="J11" s="175" t="s">
        <v>24</v>
      </c>
      <c r="K11" s="175" t="s">
        <v>25</v>
      </c>
      <c r="L11" s="175" t="s">
        <v>26</v>
      </c>
      <c r="M11" s="175" t="s">
        <v>27</v>
      </c>
      <c r="N11" s="175" t="s">
        <v>28</v>
      </c>
      <c r="O11" s="175" t="s">
        <v>11</v>
      </c>
    </row>
    <row r="12" spans="1:16">
      <c r="A12" s="177" t="s">
        <v>1290</v>
      </c>
      <c r="B12" s="173">
        <v>7.7843999999999997E-2</v>
      </c>
      <c r="D12" s="173" t="s">
        <v>37</v>
      </c>
      <c r="E12" s="173" t="s">
        <v>2</v>
      </c>
      <c r="F12" s="173" t="s">
        <v>29</v>
      </c>
      <c r="G12" s="185" t="s">
        <v>14</v>
      </c>
      <c r="H12" s="173" t="s">
        <v>30</v>
      </c>
      <c r="I12" s="173">
        <v>1</v>
      </c>
      <c r="J12" s="173">
        <f>B12</f>
        <v>7.7843999999999997E-2</v>
      </c>
      <c r="K12" s="173" t="s">
        <v>31</v>
      </c>
      <c r="L12" s="173" t="s">
        <v>31</v>
      </c>
      <c r="M12" s="173" t="s">
        <v>31</v>
      </c>
      <c r="N12" s="173" t="s">
        <v>31</v>
      </c>
    </row>
    <row r="13" spans="1:16">
      <c r="A13" s="177" t="s">
        <v>1292</v>
      </c>
      <c r="B13" s="173">
        <v>1</v>
      </c>
      <c r="D13" s="173" t="s">
        <v>18</v>
      </c>
      <c r="E13" s="173" t="s">
        <v>2</v>
      </c>
      <c r="F13" s="173" t="s">
        <v>29</v>
      </c>
      <c r="G13" s="185" t="s">
        <v>14</v>
      </c>
      <c r="H13" s="173" t="s">
        <v>33</v>
      </c>
      <c r="I13" s="173">
        <v>1</v>
      </c>
      <c r="J13" s="173">
        <f>B13</f>
        <v>1</v>
      </c>
      <c r="K13" s="173" t="s">
        <v>31</v>
      </c>
      <c r="L13" s="173" t="s">
        <v>31</v>
      </c>
      <c r="M13" s="173" t="s">
        <v>31</v>
      </c>
      <c r="N13" s="173" t="s">
        <v>31</v>
      </c>
    </row>
    <row r="14" spans="1:16">
      <c r="A14" s="177" t="s">
        <v>168</v>
      </c>
      <c r="B14" s="173">
        <v>1.02</v>
      </c>
      <c r="D14" s="173" t="s">
        <v>41</v>
      </c>
      <c r="E14" s="173" t="s">
        <v>38</v>
      </c>
      <c r="F14" s="173" t="s">
        <v>29</v>
      </c>
      <c r="G14" s="185" t="s">
        <v>14</v>
      </c>
      <c r="H14" s="173" t="s">
        <v>33</v>
      </c>
      <c r="I14" s="173">
        <v>2</v>
      </c>
      <c r="J14" s="173">
        <f>LN(B14)</f>
        <v>1.980262729617973E-2</v>
      </c>
      <c r="K14" s="173">
        <v>3.7749171999999998E-2</v>
      </c>
      <c r="L14" s="173" t="s">
        <v>31</v>
      </c>
      <c r="M14" s="173" t="s">
        <v>31</v>
      </c>
      <c r="N14" s="173" t="s">
        <v>31</v>
      </c>
    </row>
    <row r="15" spans="1:16">
      <c r="A15" s="177" t="s">
        <v>931</v>
      </c>
      <c r="B15" s="173">
        <f>1.4/1000</f>
        <v>1.4E-3</v>
      </c>
      <c r="D15" s="173" t="s">
        <v>37</v>
      </c>
      <c r="E15" s="173" t="s">
        <v>38</v>
      </c>
      <c r="F15" s="173" t="s">
        <v>29</v>
      </c>
      <c r="G15" s="185" t="s">
        <v>35</v>
      </c>
      <c r="H15" s="173" t="s">
        <v>33</v>
      </c>
      <c r="I15" s="173">
        <v>2</v>
      </c>
      <c r="J15" s="173">
        <f t="shared" ref="J15:J27" si="0">LN(B15)</f>
        <v>-6.5712830423609239</v>
      </c>
      <c r="K15" s="173">
        <v>3.7749171999999998E-2</v>
      </c>
      <c r="L15" s="173" t="s">
        <v>31</v>
      </c>
      <c r="M15" s="173" t="s">
        <v>31</v>
      </c>
      <c r="N15" s="173" t="s">
        <v>31</v>
      </c>
    </row>
    <row r="16" spans="1:16">
      <c r="A16" s="177" t="s">
        <v>932</v>
      </c>
      <c r="B16" s="173">
        <f>0.2/1000</f>
        <v>2.0000000000000001E-4</v>
      </c>
      <c r="D16" s="173" t="s">
        <v>37</v>
      </c>
      <c r="E16" s="173" t="s">
        <v>38</v>
      </c>
      <c r="F16" s="173" t="s">
        <v>29</v>
      </c>
      <c r="G16" s="185" t="s">
        <v>60</v>
      </c>
      <c r="H16" s="173" t="s">
        <v>33</v>
      </c>
      <c r="I16" s="173">
        <v>2</v>
      </c>
      <c r="J16" s="173">
        <f t="shared" si="0"/>
        <v>-8.5171931914162382</v>
      </c>
      <c r="K16" s="173">
        <v>3.7749171999999998E-2</v>
      </c>
      <c r="L16" s="173" t="s">
        <v>31</v>
      </c>
      <c r="M16" s="173" t="s">
        <v>31</v>
      </c>
      <c r="N16" s="173" t="s">
        <v>31</v>
      </c>
    </row>
    <row r="17" spans="1:14">
      <c r="A17" s="177" t="s">
        <v>933</v>
      </c>
      <c r="B17" s="173">
        <f>7.1/1000</f>
        <v>7.0999999999999995E-3</v>
      </c>
      <c r="D17" s="173" t="s">
        <v>37</v>
      </c>
      <c r="E17" s="173" t="s">
        <v>38</v>
      </c>
      <c r="F17" s="173" t="s">
        <v>29</v>
      </c>
      <c r="G17" s="185" t="s">
        <v>39</v>
      </c>
      <c r="H17" s="173" t="s">
        <v>33</v>
      </c>
      <c r="I17" s="173">
        <v>2</v>
      </c>
      <c r="J17" s="173">
        <f t="shared" si="0"/>
        <v>-4.9476604949348673</v>
      </c>
      <c r="K17" s="173">
        <v>3.7749171999999998E-2</v>
      </c>
      <c r="L17" s="173" t="s">
        <v>31</v>
      </c>
      <c r="M17" s="173" t="s">
        <v>31</v>
      </c>
      <c r="N17" s="173" t="s">
        <v>31</v>
      </c>
    </row>
    <row r="18" spans="1:14">
      <c r="A18" s="177" t="s">
        <v>934</v>
      </c>
      <c r="B18" s="173">
        <v>1.4</v>
      </c>
      <c r="D18" s="173" t="s">
        <v>37</v>
      </c>
      <c r="E18" s="173" t="s">
        <v>38</v>
      </c>
      <c r="F18" s="173" t="s">
        <v>29</v>
      </c>
      <c r="G18" s="185" t="s">
        <v>35</v>
      </c>
      <c r="H18" s="173" t="s">
        <v>33</v>
      </c>
      <c r="I18" s="173">
        <v>2</v>
      </c>
      <c r="J18" s="173">
        <f t="shared" si="0"/>
        <v>0.33647223662121289</v>
      </c>
      <c r="K18" s="173">
        <v>3.7749171999999998E-2</v>
      </c>
      <c r="L18" s="173" t="s">
        <v>31</v>
      </c>
      <c r="M18" s="173" t="s">
        <v>31</v>
      </c>
      <c r="N18" s="173" t="s">
        <v>31</v>
      </c>
    </row>
    <row r="19" spans="1:14">
      <c r="A19" s="177" t="s">
        <v>935</v>
      </c>
      <c r="B19" s="173">
        <v>2E-3</v>
      </c>
      <c r="D19" s="173" t="s">
        <v>37</v>
      </c>
      <c r="E19" s="173" t="s">
        <v>38</v>
      </c>
      <c r="F19" s="173" t="s">
        <v>29</v>
      </c>
      <c r="G19" s="185" t="s">
        <v>60</v>
      </c>
      <c r="H19" s="173" t="s">
        <v>33</v>
      </c>
      <c r="I19" s="173">
        <v>2</v>
      </c>
      <c r="J19" s="173">
        <f t="shared" si="0"/>
        <v>-6.2146080984221914</v>
      </c>
      <c r="K19" s="173">
        <v>3.7749171999999998E-2</v>
      </c>
      <c r="L19" s="173" t="s">
        <v>31</v>
      </c>
      <c r="M19" s="173" t="s">
        <v>31</v>
      </c>
      <c r="N19" s="173" t="s">
        <v>31</v>
      </c>
    </row>
    <row r="20" spans="1:14">
      <c r="A20" s="177" t="s">
        <v>936</v>
      </c>
      <c r="B20" s="173">
        <v>3.0000000000000001E-3</v>
      </c>
      <c r="D20" s="173" t="s">
        <v>37</v>
      </c>
      <c r="E20" s="173" t="s">
        <v>38</v>
      </c>
      <c r="F20" s="173" t="s">
        <v>29</v>
      </c>
      <c r="G20" s="185" t="s">
        <v>60</v>
      </c>
      <c r="H20" s="173" t="s">
        <v>33</v>
      </c>
      <c r="I20" s="173">
        <v>2</v>
      </c>
      <c r="J20" s="173">
        <f t="shared" si="0"/>
        <v>-5.8091429903140277</v>
      </c>
      <c r="K20" s="173">
        <v>3.7749171999999998E-2</v>
      </c>
      <c r="L20" s="173" t="s">
        <v>31</v>
      </c>
      <c r="M20" s="173" t="s">
        <v>31</v>
      </c>
      <c r="N20" s="173" t="s">
        <v>31</v>
      </c>
    </row>
    <row r="21" spans="1:14">
      <c r="A21" s="177" t="s">
        <v>937</v>
      </c>
      <c r="B21" s="173">
        <v>2.9999999999999997E-4</v>
      </c>
      <c r="D21" s="173" t="s">
        <v>37</v>
      </c>
      <c r="E21" s="173" t="s">
        <v>38</v>
      </c>
      <c r="F21" s="173" t="s">
        <v>29</v>
      </c>
      <c r="G21" s="185" t="s">
        <v>35</v>
      </c>
      <c r="H21" s="173" t="s">
        <v>33</v>
      </c>
      <c r="I21" s="173">
        <v>2</v>
      </c>
      <c r="J21" s="173">
        <f t="shared" si="0"/>
        <v>-8.1117280833080727</v>
      </c>
      <c r="K21" s="173">
        <v>3.7749171999999998E-2</v>
      </c>
      <c r="L21" s="173" t="s">
        <v>31</v>
      </c>
      <c r="M21" s="173" t="s">
        <v>31</v>
      </c>
      <c r="N21" s="173" t="s">
        <v>31</v>
      </c>
    </row>
    <row r="22" spans="1:14">
      <c r="A22" s="177" t="s">
        <v>938</v>
      </c>
      <c r="B22" s="173">
        <v>1.5E-3</v>
      </c>
      <c r="D22" s="173" t="s">
        <v>37</v>
      </c>
      <c r="E22" s="173" t="s">
        <v>38</v>
      </c>
      <c r="F22" s="173" t="s">
        <v>29</v>
      </c>
      <c r="G22" s="185" t="s">
        <v>60</v>
      </c>
      <c r="H22" s="173" t="s">
        <v>33</v>
      </c>
      <c r="I22" s="173">
        <v>2</v>
      </c>
      <c r="J22" s="173">
        <f t="shared" si="0"/>
        <v>-6.5022901708739722</v>
      </c>
      <c r="K22" s="173">
        <v>3.7749171999999998E-2</v>
      </c>
      <c r="L22" s="173" t="s">
        <v>31</v>
      </c>
      <c r="M22" s="173" t="s">
        <v>31</v>
      </c>
      <c r="N22" s="173" t="s">
        <v>31</v>
      </c>
    </row>
    <row r="23" spans="1:14">
      <c r="A23" s="177" t="s">
        <v>939</v>
      </c>
      <c r="B23" s="173">
        <v>5.0000000000000001E-4</v>
      </c>
      <c r="D23" s="173" t="s">
        <v>37</v>
      </c>
      <c r="E23" s="173" t="s">
        <v>38</v>
      </c>
      <c r="F23" s="173" t="s">
        <v>29</v>
      </c>
      <c r="G23" s="185" t="s">
        <v>35</v>
      </c>
      <c r="H23" s="173" t="s">
        <v>33</v>
      </c>
      <c r="I23" s="173">
        <v>2</v>
      </c>
      <c r="J23" s="173">
        <f t="shared" si="0"/>
        <v>-7.6009024595420822</v>
      </c>
      <c r="K23" s="173">
        <v>3.7749171999999998E-2</v>
      </c>
      <c r="L23" s="173" t="s">
        <v>31</v>
      </c>
      <c r="M23" s="173" t="s">
        <v>31</v>
      </c>
      <c r="N23" s="173" t="s">
        <v>31</v>
      </c>
    </row>
    <row r="24" spans="1:14">
      <c r="A24" s="177" t="s">
        <v>940</v>
      </c>
      <c r="B24" s="173">
        <v>8.9999999999999992E-5</v>
      </c>
      <c r="D24" s="173" t="s">
        <v>37</v>
      </c>
      <c r="E24" s="173" t="s">
        <v>43</v>
      </c>
      <c r="F24" s="173" t="s">
        <v>44</v>
      </c>
      <c r="G24" s="185" t="s">
        <v>29</v>
      </c>
      <c r="H24" s="173" t="s">
        <v>45</v>
      </c>
      <c r="I24" s="173">
        <v>2</v>
      </c>
      <c r="J24" s="173">
        <f t="shared" si="0"/>
        <v>-9.3157008876340086</v>
      </c>
      <c r="K24" s="173">
        <v>3.7749171999999998E-2</v>
      </c>
      <c r="L24" s="173" t="s">
        <v>31</v>
      </c>
      <c r="M24" s="173" t="s">
        <v>31</v>
      </c>
      <c r="N24" s="173" t="s">
        <v>31</v>
      </c>
    </row>
    <row r="25" spans="1:14">
      <c r="A25" s="177" t="s">
        <v>941</v>
      </c>
      <c r="B25" s="173">
        <v>3.3999999999999998E-3</v>
      </c>
      <c r="D25" s="173" t="s">
        <v>37</v>
      </c>
      <c r="E25" s="173" t="s">
        <v>43</v>
      </c>
      <c r="F25" s="173" t="s">
        <v>44</v>
      </c>
      <c r="G25" s="185" t="s">
        <v>29</v>
      </c>
      <c r="H25" s="173" t="s">
        <v>45</v>
      </c>
      <c r="I25" s="173">
        <v>2</v>
      </c>
      <c r="J25" s="173">
        <f t="shared" si="0"/>
        <v>-5.6839798473600212</v>
      </c>
      <c r="K25" s="173">
        <v>3.7749171999999998E-2</v>
      </c>
      <c r="L25" s="173" t="s">
        <v>31</v>
      </c>
      <c r="M25" s="173" t="s">
        <v>31</v>
      </c>
      <c r="N25" s="173" t="s">
        <v>31</v>
      </c>
    </row>
    <row r="26" spans="1:14">
      <c r="A26" s="173" t="s">
        <v>1285</v>
      </c>
      <c r="B26" s="173">
        <v>1.4E-3</v>
      </c>
      <c r="D26" s="173" t="s">
        <v>37</v>
      </c>
      <c r="E26" s="173" t="s">
        <v>2</v>
      </c>
      <c r="F26" s="173" t="s">
        <v>29</v>
      </c>
      <c r="G26" s="185" t="s">
        <v>39</v>
      </c>
      <c r="H26" s="173" t="s">
        <v>33</v>
      </c>
      <c r="I26" s="173">
        <v>2</v>
      </c>
      <c r="J26" s="173">
        <f t="shared" si="0"/>
        <v>-6.5712830423609239</v>
      </c>
      <c r="K26" s="173">
        <v>3.7749171999999998E-2</v>
      </c>
      <c r="L26" s="173" t="s">
        <v>31</v>
      </c>
      <c r="M26" s="173" t="s">
        <v>31</v>
      </c>
      <c r="N26" s="173" t="s">
        <v>31</v>
      </c>
    </row>
    <row r="27" spans="1:14">
      <c r="A27" s="173" t="s">
        <v>1287</v>
      </c>
      <c r="B27" s="173">
        <v>6.0000000000000002E-5</v>
      </c>
      <c r="D27" s="173" t="s">
        <v>37</v>
      </c>
      <c r="E27" s="173" t="s">
        <v>2</v>
      </c>
      <c r="F27" s="173" t="s">
        <v>29</v>
      </c>
      <c r="G27" s="173" t="s">
        <v>39</v>
      </c>
      <c r="H27" s="173" t="s">
        <v>33</v>
      </c>
      <c r="I27" s="173">
        <v>2</v>
      </c>
      <c r="J27" s="173">
        <f t="shared" si="0"/>
        <v>-9.7211659957421741</v>
      </c>
      <c r="K27" s="173">
        <v>3.7749171999999998E-2</v>
      </c>
      <c r="L27" s="173" t="s">
        <v>31</v>
      </c>
      <c r="M27" s="173" t="s">
        <v>31</v>
      </c>
      <c r="N27" s="173" t="s">
        <v>31</v>
      </c>
    </row>
    <row r="28" spans="1:14">
      <c r="A28" s="209" t="s">
        <v>5</v>
      </c>
      <c r="B28" s="210" t="s">
        <v>1292</v>
      </c>
      <c r="C28" s="210"/>
      <c r="D28" s="211"/>
      <c r="E28" s="188"/>
      <c r="F28" s="188"/>
      <c r="G28" s="188"/>
      <c r="H28" s="188"/>
      <c r="I28" s="188"/>
      <c r="J28" s="188"/>
      <c r="K28" s="188"/>
      <c r="L28" s="188"/>
      <c r="M28" s="188"/>
      <c r="N28" s="188"/>
    </row>
    <row r="29" spans="1:14">
      <c r="A29" s="177" t="s">
        <v>7</v>
      </c>
      <c r="B29" s="173" t="s">
        <v>566</v>
      </c>
      <c r="D29" s="176"/>
    </row>
    <row r="30" spans="1:14">
      <c r="A30" s="177" t="s">
        <v>9</v>
      </c>
      <c r="B30" s="173" t="s">
        <v>1293</v>
      </c>
      <c r="D30" s="176"/>
    </row>
    <row r="31" spans="1:14" ht="15.75" customHeight="1">
      <c r="A31" s="177" t="s">
        <v>11</v>
      </c>
      <c r="B31" s="179" t="s">
        <v>913</v>
      </c>
      <c r="C31" s="179"/>
    </row>
    <row r="32" spans="1:14">
      <c r="A32" s="177" t="s">
        <v>13</v>
      </c>
      <c r="B32" s="173" t="s">
        <v>14</v>
      </c>
    </row>
    <row r="33" spans="1:20">
      <c r="A33" s="177" t="s">
        <v>15</v>
      </c>
      <c r="B33" s="173">
        <v>1</v>
      </c>
    </row>
    <row r="34" spans="1:20">
      <c r="A34" s="177" t="s">
        <v>16</v>
      </c>
      <c r="B34" s="173" t="s">
        <v>17</v>
      </c>
    </row>
    <row r="35" spans="1:20">
      <c r="A35" s="177" t="s">
        <v>18</v>
      </c>
      <c r="B35" s="173" t="s">
        <v>18</v>
      </c>
    </row>
    <row r="36" spans="1:20">
      <c r="A36" s="174" t="s">
        <v>19</v>
      </c>
    </row>
    <row r="37" spans="1:20">
      <c r="A37" s="174" t="s">
        <v>20</v>
      </c>
      <c r="B37" s="175" t="s">
        <v>21</v>
      </c>
      <c r="C37" s="221" t="s">
        <v>78</v>
      </c>
      <c r="D37" s="175" t="s">
        <v>18</v>
      </c>
      <c r="E37" s="175" t="s">
        <v>22</v>
      </c>
      <c r="F37" s="175" t="s">
        <v>7</v>
      </c>
      <c r="G37" s="175" t="s">
        <v>13</v>
      </c>
      <c r="H37" s="175" t="s">
        <v>16</v>
      </c>
      <c r="I37" s="175" t="s">
        <v>23</v>
      </c>
      <c r="J37" s="175" t="s">
        <v>24</v>
      </c>
      <c r="K37" s="175" t="s">
        <v>25</v>
      </c>
      <c r="L37" s="175" t="s">
        <v>26</v>
      </c>
      <c r="M37" s="175" t="s">
        <v>27</v>
      </c>
      <c r="N37" s="175" t="s">
        <v>28</v>
      </c>
      <c r="O37" s="175" t="s">
        <v>11</v>
      </c>
    </row>
    <row r="38" spans="1:20">
      <c r="A38" s="177" t="s">
        <v>1292</v>
      </c>
      <c r="B38" s="173">
        <v>1</v>
      </c>
      <c r="D38" s="173" t="s">
        <v>18</v>
      </c>
      <c r="E38" s="173" t="s">
        <v>2</v>
      </c>
      <c r="F38" s="173" t="s">
        <v>29</v>
      </c>
      <c r="G38" s="185" t="s">
        <v>14</v>
      </c>
      <c r="H38" s="173" t="s">
        <v>30</v>
      </c>
      <c r="I38" s="173">
        <v>1</v>
      </c>
      <c r="J38" s="173">
        <f>B38</f>
        <v>1</v>
      </c>
      <c r="K38" s="173" t="s">
        <v>31</v>
      </c>
      <c r="L38" s="173" t="s">
        <v>31</v>
      </c>
      <c r="M38" s="173" t="s">
        <v>31</v>
      </c>
      <c r="N38" s="173" t="s">
        <v>31</v>
      </c>
    </row>
    <row r="39" spans="1:20">
      <c r="A39" s="177" t="s">
        <v>943</v>
      </c>
      <c r="B39" s="173">
        <f>T39</f>
        <v>1.4999999999999999E-2</v>
      </c>
      <c r="D39" s="173" t="s">
        <v>206</v>
      </c>
      <c r="E39" s="173" t="s">
        <v>38</v>
      </c>
      <c r="F39" s="173" t="s">
        <v>29</v>
      </c>
      <c r="G39" s="185" t="s">
        <v>60</v>
      </c>
      <c r="H39" s="173" t="s">
        <v>33</v>
      </c>
      <c r="I39" s="173">
        <v>2</v>
      </c>
      <c r="J39" s="173">
        <f>LN(B39)</f>
        <v>-4.1997050778799272</v>
      </c>
      <c r="K39" s="173">
        <v>2.8722813232690055E-2</v>
      </c>
      <c r="L39" s="173" t="s">
        <v>31</v>
      </c>
      <c r="M39" s="173" t="s">
        <v>31</v>
      </c>
      <c r="N39" s="173" t="s">
        <v>31</v>
      </c>
      <c r="Q39" s="222" t="s">
        <v>944</v>
      </c>
      <c r="R39" s="223">
        <v>1.5</v>
      </c>
      <c r="S39" s="173" t="s">
        <v>945</v>
      </c>
      <c r="T39" s="173">
        <f>R39*0.01</f>
        <v>1.4999999999999999E-2</v>
      </c>
    </row>
    <row r="40" spans="1:20">
      <c r="A40" s="177" t="s">
        <v>946</v>
      </c>
      <c r="B40" s="173">
        <f>T40</f>
        <v>2.8E-3</v>
      </c>
      <c r="D40" s="173" t="s">
        <v>37</v>
      </c>
      <c r="E40" s="173" t="s">
        <v>38</v>
      </c>
      <c r="F40" s="173" t="s">
        <v>29</v>
      </c>
      <c r="G40" s="185" t="s">
        <v>60</v>
      </c>
      <c r="H40" s="173" t="s">
        <v>33</v>
      </c>
      <c r="I40" s="173">
        <v>2</v>
      </c>
      <c r="J40" s="173">
        <f t="shared" ref="J40:J50" si="1">LN(B40)</f>
        <v>-5.8781358618009785</v>
      </c>
      <c r="K40" s="173">
        <v>2.8722813232690055E-2</v>
      </c>
      <c r="L40" s="173" t="s">
        <v>31</v>
      </c>
      <c r="M40" s="173" t="s">
        <v>31</v>
      </c>
      <c r="N40" s="173" t="s">
        <v>31</v>
      </c>
      <c r="Q40" s="224" t="s">
        <v>947</v>
      </c>
      <c r="R40" s="225">
        <v>2.8</v>
      </c>
      <c r="S40" s="173" t="s">
        <v>337</v>
      </c>
      <c r="T40" s="173">
        <f>R40*0.001</f>
        <v>2.8E-3</v>
      </c>
    </row>
    <row r="41" spans="1:20">
      <c r="A41" s="177" t="s">
        <v>948</v>
      </c>
      <c r="B41" s="173">
        <f t="shared" ref="B41:B50" si="2">T41</f>
        <v>2.2000000000000001E-3</v>
      </c>
      <c r="D41" s="173" t="s">
        <v>37</v>
      </c>
      <c r="E41" s="173" t="s">
        <v>38</v>
      </c>
      <c r="F41" s="173" t="s">
        <v>29</v>
      </c>
      <c r="G41" s="185" t="s">
        <v>60</v>
      </c>
      <c r="H41" s="173" t="s">
        <v>33</v>
      </c>
      <c r="I41" s="173">
        <v>2</v>
      </c>
      <c r="J41" s="173">
        <f t="shared" si="1"/>
        <v>-6.1192979186178666</v>
      </c>
      <c r="K41" s="173">
        <v>2.8722813232690055E-2</v>
      </c>
      <c r="L41" s="173" t="s">
        <v>31</v>
      </c>
      <c r="M41" s="173" t="s">
        <v>31</v>
      </c>
      <c r="N41" s="173" t="s">
        <v>31</v>
      </c>
      <c r="Q41" s="222" t="s">
        <v>947</v>
      </c>
      <c r="R41" s="223">
        <v>2.2000000000000002</v>
      </c>
      <c r="S41" s="173" t="s">
        <v>337</v>
      </c>
      <c r="T41" s="173">
        <f t="shared" ref="T41:T50" si="3">R41*0.001</f>
        <v>2.2000000000000001E-3</v>
      </c>
    </row>
    <row r="42" spans="1:20">
      <c r="A42" s="177" t="s">
        <v>949</v>
      </c>
      <c r="B42" s="173">
        <f t="shared" si="2"/>
        <v>2.2000000000000001E-3</v>
      </c>
      <c r="D42" s="173" t="s">
        <v>37</v>
      </c>
      <c r="E42" s="173" t="s">
        <v>38</v>
      </c>
      <c r="F42" s="173" t="s">
        <v>29</v>
      </c>
      <c r="G42" s="185" t="s">
        <v>60</v>
      </c>
      <c r="H42" s="173" t="s">
        <v>33</v>
      </c>
      <c r="I42" s="173">
        <v>2</v>
      </c>
      <c r="J42" s="173">
        <f t="shared" si="1"/>
        <v>-6.1192979186178666</v>
      </c>
      <c r="K42" s="173">
        <v>2.8722813232690055E-2</v>
      </c>
      <c r="L42" s="173" t="s">
        <v>31</v>
      </c>
      <c r="M42" s="173" t="s">
        <v>31</v>
      </c>
      <c r="N42" s="173" t="s">
        <v>31</v>
      </c>
      <c r="Q42" s="224" t="s">
        <v>947</v>
      </c>
      <c r="R42" s="225">
        <v>2.2000000000000002</v>
      </c>
      <c r="S42" s="173" t="s">
        <v>337</v>
      </c>
      <c r="T42" s="173">
        <f t="shared" si="3"/>
        <v>2.2000000000000001E-3</v>
      </c>
    </row>
    <row r="43" spans="1:20">
      <c r="A43" s="177" t="s">
        <v>950</v>
      </c>
      <c r="B43" s="173">
        <f t="shared" si="2"/>
        <v>1.8000000000000002E-2</v>
      </c>
      <c r="D43" s="173" t="s">
        <v>37</v>
      </c>
      <c r="E43" s="173" t="s">
        <v>38</v>
      </c>
      <c r="F43" s="173" t="s">
        <v>29</v>
      </c>
      <c r="G43" s="185" t="s">
        <v>60</v>
      </c>
      <c r="H43" s="173" t="s">
        <v>33</v>
      </c>
      <c r="I43" s="173">
        <v>2</v>
      </c>
      <c r="J43" s="173">
        <f t="shared" si="1"/>
        <v>-4.0173835210859723</v>
      </c>
      <c r="K43" s="173">
        <v>2.8722813232690055E-2</v>
      </c>
      <c r="L43" s="173" t="s">
        <v>31</v>
      </c>
      <c r="M43" s="173" t="s">
        <v>31</v>
      </c>
      <c r="N43" s="173" t="s">
        <v>31</v>
      </c>
      <c r="Q43" s="222" t="s">
        <v>947</v>
      </c>
      <c r="R43" s="226">
        <v>18</v>
      </c>
      <c r="S43" s="173" t="s">
        <v>337</v>
      </c>
      <c r="T43" s="173">
        <f t="shared" si="3"/>
        <v>1.8000000000000002E-2</v>
      </c>
    </row>
    <row r="44" spans="1:20">
      <c r="A44" s="177" t="s">
        <v>951</v>
      </c>
      <c r="B44" s="173">
        <f t="shared" si="2"/>
        <v>9.0000000000000002E-6</v>
      </c>
      <c r="D44" s="173" t="s">
        <v>37</v>
      </c>
      <c r="E44" s="173" t="s">
        <v>38</v>
      </c>
      <c r="F44" s="173" t="s">
        <v>29</v>
      </c>
      <c r="G44" s="185" t="s">
        <v>60</v>
      </c>
      <c r="H44" s="173" t="s">
        <v>33</v>
      </c>
      <c r="I44" s="173">
        <v>2</v>
      </c>
      <c r="J44" s="173">
        <f t="shared" si="1"/>
        <v>-11.618285980628055</v>
      </c>
      <c r="K44" s="173">
        <v>2.8722813232690055E-2</v>
      </c>
      <c r="L44" s="173" t="s">
        <v>31</v>
      </c>
      <c r="M44" s="173" t="s">
        <v>31</v>
      </c>
      <c r="N44" s="173" t="s">
        <v>31</v>
      </c>
      <c r="Q44" s="224" t="s">
        <v>952</v>
      </c>
      <c r="R44" s="225">
        <v>9</v>
      </c>
      <c r="S44" s="173" t="s">
        <v>337</v>
      </c>
      <c r="T44" s="173">
        <f>R44*0.000001</f>
        <v>9.0000000000000002E-6</v>
      </c>
    </row>
    <row r="45" spans="1:20">
      <c r="A45" s="177" t="s">
        <v>953</v>
      </c>
      <c r="B45" s="173">
        <f t="shared" si="2"/>
        <v>3.8E-3</v>
      </c>
      <c r="D45" s="173" t="s">
        <v>37</v>
      </c>
      <c r="E45" s="173" t="s">
        <v>38</v>
      </c>
      <c r="F45" s="173" t="s">
        <v>29</v>
      </c>
      <c r="G45" s="185" t="s">
        <v>60</v>
      </c>
      <c r="H45" s="173" t="s">
        <v>33</v>
      </c>
      <c r="I45" s="173">
        <v>2</v>
      </c>
      <c r="J45" s="173">
        <f t="shared" si="1"/>
        <v>-5.5727542122497971</v>
      </c>
      <c r="K45" s="173">
        <v>2.8722813232690055E-2</v>
      </c>
      <c r="L45" s="173" t="s">
        <v>31</v>
      </c>
      <c r="M45" s="173" t="s">
        <v>31</v>
      </c>
      <c r="N45" s="173" t="s">
        <v>31</v>
      </c>
      <c r="Q45" s="222" t="s">
        <v>947</v>
      </c>
      <c r="R45" s="223">
        <v>3.8</v>
      </c>
      <c r="S45" s="173" t="s">
        <v>337</v>
      </c>
      <c r="T45" s="173">
        <f t="shared" si="3"/>
        <v>3.8E-3</v>
      </c>
    </row>
    <row r="46" spans="1:20">
      <c r="A46" s="177" t="s">
        <v>954</v>
      </c>
      <c r="B46" s="173">
        <f t="shared" si="2"/>
        <v>3.7000000000000002E-3</v>
      </c>
      <c r="D46" s="173" t="s">
        <v>37</v>
      </c>
      <c r="E46" s="173" t="s">
        <v>38</v>
      </c>
      <c r="F46" s="173" t="s">
        <v>29</v>
      </c>
      <c r="G46" s="185" t="s">
        <v>60</v>
      </c>
      <c r="H46" s="173" t="s">
        <v>33</v>
      </c>
      <c r="I46" s="173">
        <v>2</v>
      </c>
      <c r="J46" s="173">
        <f t="shared" si="1"/>
        <v>-5.5994224593319579</v>
      </c>
      <c r="K46" s="173">
        <v>2.8722813232690055E-2</v>
      </c>
      <c r="L46" s="173" t="s">
        <v>31</v>
      </c>
      <c r="M46" s="173" t="s">
        <v>31</v>
      </c>
      <c r="N46" s="173" t="s">
        <v>31</v>
      </c>
      <c r="Q46" s="224" t="s">
        <v>947</v>
      </c>
      <c r="R46" s="225">
        <v>3.7</v>
      </c>
      <c r="S46" s="173" t="s">
        <v>337</v>
      </c>
      <c r="T46" s="173">
        <f t="shared" si="3"/>
        <v>3.7000000000000002E-3</v>
      </c>
    </row>
    <row r="47" spans="1:20">
      <c r="A47" s="177" t="s">
        <v>955</v>
      </c>
      <c r="B47" s="173">
        <f t="shared" si="2"/>
        <v>3.4999999999999997E-5</v>
      </c>
      <c r="D47" s="173" t="s">
        <v>37</v>
      </c>
      <c r="E47" s="173" t="s">
        <v>38</v>
      </c>
      <c r="F47" s="173" t="s">
        <v>29</v>
      </c>
      <c r="G47" s="185" t="s">
        <v>60</v>
      </c>
      <c r="H47" s="173" t="s">
        <v>33</v>
      </c>
      <c r="I47" s="173">
        <v>2</v>
      </c>
      <c r="J47" s="173">
        <f t="shared" si="1"/>
        <v>-10.260162496474861</v>
      </c>
      <c r="K47" s="173">
        <v>2.8722813232690055E-2</v>
      </c>
      <c r="L47" s="173" t="s">
        <v>31</v>
      </c>
      <c r="M47" s="173" t="s">
        <v>31</v>
      </c>
      <c r="N47" s="173" t="s">
        <v>31</v>
      </c>
      <c r="Q47" s="222" t="s">
        <v>952</v>
      </c>
      <c r="R47" s="227">
        <v>35</v>
      </c>
      <c r="S47" s="173" t="s">
        <v>337</v>
      </c>
      <c r="T47" s="173">
        <f>R47*0.000001</f>
        <v>3.4999999999999997E-5</v>
      </c>
    </row>
    <row r="48" spans="1:20">
      <c r="A48" s="177" t="s">
        <v>956</v>
      </c>
      <c r="B48" s="173">
        <f t="shared" si="2"/>
        <v>1E-3</v>
      </c>
      <c r="D48" s="173" t="s">
        <v>37</v>
      </c>
      <c r="E48" s="173" t="s">
        <v>38</v>
      </c>
      <c r="F48" s="173" t="s">
        <v>29</v>
      </c>
      <c r="G48" s="185" t="s">
        <v>60</v>
      </c>
      <c r="H48" s="173" t="s">
        <v>33</v>
      </c>
      <c r="I48" s="173">
        <v>2</v>
      </c>
      <c r="J48" s="173">
        <f t="shared" si="1"/>
        <v>-6.9077552789821368</v>
      </c>
      <c r="K48" s="173">
        <v>2.8722813232690055E-2</v>
      </c>
      <c r="L48" s="173" t="s">
        <v>31</v>
      </c>
      <c r="M48" s="173" t="s">
        <v>31</v>
      </c>
      <c r="N48" s="173" t="s">
        <v>31</v>
      </c>
      <c r="Q48" s="224" t="s">
        <v>947</v>
      </c>
      <c r="R48" s="225">
        <v>1</v>
      </c>
      <c r="S48" s="173" t="s">
        <v>337</v>
      </c>
      <c r="T48" s="173">
        <f t="shared" si="3"/>
        <v>1E-3</v>
      </c>
    </row>
    <row r="49" spans="1:20">
      <c r="A49" s="177" t="s">
        <v>957</v>
      </c>
      <c r="B49" s="173">
        <f t="shared" si="2"/>
        <v>0.03</v>
      </c>
      <c r="D49" s="173" t="s">
        <v>37</v>
      </c>
      <c r="E49" s="173" t="s">
        <v>38</v>
      </c>
      <c r="F49" s="173" t="s">
        <v>29</v>
      </c>
      <c r="G49" s="185" t="s">
        <v>60</v>
      </c>
      <c r="H49" s="173" t="s">
        <v>33</v>
      </c>
      <c r="I49" s="173">
        <v>2</v>
      </c>
      <c r="J49" s="173">
        <f t="shared" si="1"/>
        <v>-3.5065578973199818</v>
      </c>
      <c r="K49" s="173">
        <v>2.8722813232690055E-2</v>
      </c>
      <c r="L49" s="173" t="s">
        <v>31</v>
      </c>
      <c r="M49" s="173" t="s">
        <v>31</v>
      </c>
      <c r="N49" s="173" t="s">
        <v>31</v>
      </c>
      <c r="Q49" s="222" t="s">
        <v>947</v>
      </c>
      <c r="R49" s="227">
        <v>30</v>
      </c>
      <c r="S49" s="173" t="s">
        <v>337</v>
      </c>
      <c r="T49" s="173">
        <f t="shared" si="3"/>
        <v>0.03</v>
      </c>
    </row>
    <row r="50" spans="1:20">
      <c r="A50" s="177" t="s">
        <v>958</v>
      </c>
      <c r="B50" s="173">
        <f t="shared" si="2"/>
        <v>1.3000000000000002E-3</v>
      </c>
      <c r="D50" s="173" t="s">
        <v>37</v>
      </c>
      <c r="E50" s="173" t="s">
        <v>38</v>
      </c>
      <c r="F50" s="173" t="s">
        <v>29</v>
      </c>
      <c r="G50" s="185" t="s">
        <v>60</v>
      </c>
      <c r="H50" s="173" t="s">
        <v>33</v>
      </c>
      <c r="I50" s="173">
        <v>2</v>
      </c>
      <c r="J50" s="173">
        <f t="shared" si="1"/>
        <v>-6.6453910145146455</v>
      </c>
      <c r="K50" s="173">
        <v>2.8722813232690055E-2</v>
      </c>
      <c r="L50" s="173" t="s">
        <v>31</v>
      </c>
      <c r="M50" s="173" t="s">
        <v>31</v>
      </c>
      <c r="N50" s="173" t="s">
        <v>31</v>
      </c>
      <c r="Q50" s="224" t="s">
        <v>947</v>
      </c>
      <c r="R50" s="225">
        <v>1.3</v>
      </c>
      <c r="S50" s="173" t="s">
        <v>337</v>
      </c>
      <c r="T50" s="173">
        <f t="shared" si="3"/>
        <v>1.3000000000000002E-3</v>
      </c>
    </row>
    <row r="51" spans="1:20">
      <c r="A51" s="177"/>
      <c r="G51" s="185"/>
    </row>
    <row r="52" spans="1:20">
      <c r="G52" s="185"/>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5F82E-5794-410E-A3D6-B524112A9D62}">
  <sheetPr>
    <tabColor theme="5"/>
  </sheetPr>
  <dimension ref="A1:T75"/>
  <sheetViews>
    <sheetView topLeftCell="A36" workbookViewId="0">
      <selection activeCell="A36" sqref="A36"/>
    </sheetView>
  </sheetViews>
  <sheetFormatPr defaultRowHeight="12.75"/>
  <cols>
    <col min="1" max="1" width="70" style="173" customWidth="1"/>
    <col min="2" max="3" width="9.140625" style="173"/>
    <col min="4" max="4" width="13.5703125" style="173" customWidth="1"/>
    <col min="5" max="5" width="34.5703125" style="173" customWidth="1"/>
    <col min="6" max="6" width="12.7109375" style="173" customWidth="1"/>
    <col min="7" max="7" width="9.140625" style="173"/>
    <col min="8" max="8" width="14.7109375" style="173" customWidth="1"/>
    <col min="9" max="16384" width="9.140625" style="173"/>
  </cols>
  <sheetData>
    <row r="1" spans="1:20">
      <c r="A1" s="173" t="s">
        <v>0</v>
      </c>
      <c r="B1" s="173">
        <v>14</v>
      </c>
    </row>
    <row r="2" spans="1:20">
      <c r="A2" s="209" t="s">
        <v>5</v>
      </c>
      <c r="B2" s="210" t="s">
        <v>1294</v>
      </c>
      <c r="C2" s="210"/>
      <c r="D2" s="211"/>
      <c r="E2" s="188"/>
      <c r="F2" s="188"/>
      <c r="G2" s="188"/>
      <c r="H2" s="188"/>
      <c r="I2" s="188"/>
      <c r="J2" s="188"/>
      <c r="K2" s="188"/>
      <c r="L2" s="188"/>
      <c r="M2" s="188"/>
      <c r="N2" s="188"/>
      <c r="P2" s="173" t="s">
        <v>904</v>
      </c>
    </row>
    <row r="3" spans="1:20">
      <c r="A3" s="177" t="s">
        <v>7</v>
      </c>
      <c r="B3" s="173" t="s">
        <v>566</v>
      </c>
      <c r="D3" s="176"/>
    </row>
    <row r="4" spans="1:20">
      <c r="A4" s="177" t="s">
        <v>9</v>
      </c>
      <c r="B4" s="178" t="s">
        <v>1295</v>
      </c>
      <c r="C4" s="178"/>
      <c r="D4" s="176"/>
    </row>
    <row r="5" spans="1:20" ht="16.5" customHeight="1">
      <c r="A5" s="177" t="s">
        <v>11</v>
      </c>
      <c r="B5" s="179" t="s">
        <v>913</v>
      </c>
      <c r="C5" s="179"/>
    </row>
    <row r="6" spans="1:20">
      <c r="A6" s="177" t="s">
        <v>13</v>
      </c>
      <c r="B6" s="173" t="s">
        <v>14</v>
      </c>
    </row>
    <row r="7" spans="1:20">
      <c r="A7" s="177" t="s">
        <v>15</v>
      </c>
      <c r="B7" s="173">
        <v>9.8095000000000002E-2</v>
      </c>
    </row>
    <row r="8" spans="1:20">
      <c r="A8" s="177" t="s">
        <v>16</v>
      </c>
      <c r="B8" s="173" t="s">
        <v>17</v>
      </c>
    </row>
    <row r="9" spans="1:20">
      <c r="A9" s="177" t="s">
        <v>18</v>
      </c>
      <c r="B9" s="173" t="s">
        <v>37</v>
      </c>
    </row>
    <row r="10" spans="1:20">
      <c r="A10" s="174" t="s">
        <v>19</v>
      </c>
    </row>
    <row r="11" spans="1:20">
      <c r="A11" s="174" t="s">
        <v>20</v>
      </c>
      <c r="B11" s="175" t="s">
        <v>21</v>
      </c>
      <c r="C11" s="221" t="s">
        <v>78</v>
      </c>
      <c r="D11" s="175" t="s">
        <v>18</v>
      </c>
      <c r="E11" s="175" t="s">
        <v>22</v>
      </c>
      <c r="F11" s="175" t="s">
        <v>7</v>
      </c>
      <c r="G11" s="175" t="s">
        <v>13</v>
      </c>
      <c r="H11" s="175" t="s">
        <v>16</v>
      </c>
      <c r="I11" s="175" t="s">
        <v>23</v>
      </c>
      <c r="J11" s="175" t="s">
        <v>24</v>
      </c>
      <c r="K11" s="175" t="s">
        <v>25</v>
      </c>
      <c r="L11" s="175" t="s">
        <v>26</v>
      </c>
      <c r="M11" s="175" t="s">
        <v>27</v>
      </c>
      <c r="N11" s="175" t="s">
        <v>28</v>
      </c>
      <c r="O11" s="175" t="s">
        <v>11</v>
      </c>
    </row>
    <row r="12" spans="1:20">
      <c r="A12" s="177" t="s">
        <v>1294</v>
      </c>
      <c r="B12" s="173">
        <v>9.8095000000000002E-2</v>
      </c>
      <c r="D12" s="173" t="s">
        <v>37</v>
      </c>
      <c r="E12" s="173" t="s">
        <v>2</v>
      </c>
      <c r="F12" s="173" t="s">
        <v>29</v>
      </c>
      <c r="G12" s="185" t="s">
        <v>14</v>
      </c>
      <c r="H12" s="173" t="s">
        <v>30</v>
      </c>
      <c r="I12" s="173">
        <v>1</v>
      </c>
      <c r="J12" s="173">
        <f>B12</f>
        <v>9.8095000000000002E-2</v>
      </c>
      <c r="K12" s="173" t="s">
        <v>31</v>
      </c>
      <c r="L12" s="173" t="s">
        <v>31</v>
      </c>
      <c r="M12" s="173" t="s">
        <v>31</v>
      </c>
      <c r="N12" s="173" t="s">
        <v>31</v>
      </c>
      <c r="Q12" s="228" t="s">
        <v>961</v>
      </c>
    </row>
    <row r="13" spans="1:20">
      <c r="A13" s="177" t="s">
        <v>1296</v>
      </c>
      <c r="B13" s="173">
        <f>S13</f>
        <v>6.9999999999999999E-4</v>
      </c>
      <c r="D13" s="173" t="s">
        <v>206</v>
      </c>
      <c r="E13" s="173" t="s">
        <v>2</v>
      </c>
      <c r="F13" s="173" t="s">
        <v>29</v>
      </c>
      <c r="G13" s="185" t="s">
        <v>14</v>
      </c>
      <c r="H13" s="173" t="s">
        <v>33</v>
      </c>
      <c r="I13" s="173">
        <v>2</v>
      </c>
      <c r="J13" s="173">
        <f>LN(B13)</f>
        <v>-7.2644302229208693</v>
      </c>
      <c r="K13" s="173">
        <v>2.8722813232690055E-2</v>
      </c>
      <c r="L13" s="173" t="s">
        <v>31</v>
      </c>
      <c r="M13" s="173" t="s">
        <v>31</v>
      </c>
      <c r="N13" s="173" t="s">
        <v>31</v>
      </c>
      <c r="Q13" s="229" t="s">
        <v>963</v>
      </c>
      <c r="R13" s="230">
        <v>6.9999999999999999E-4</v>
      </c>
      <c r="S13" s="231">
        <f>R13</f>
        <v>6.9999999999999999E-4</v>
      </c>
      <c r="T13" s="173" t="s">
        <v>945</v>
      </c>
    </row>
    <row r="14" spans="1:20">
      <c r="A14" s="232" t="s">
        <v>964</v>
      </c>
      <c r="B14" s="173">
        <f t="shared" ref="B14:B19" si="0">S14</f>
        <v>4.9000000000000002E-2</v>
      </c>
      <c r="D14" s="173" t="s">
        <v>37</v>
      </c>
      <c r="E14" s="173" t="s">
        <v>38</v>
      </c>
      <c r="F14" s="173" t="s">
        <v>29</v>
      </c>
      <c r="G14" s="185" t="s">
        <v>60</v>
      </c>
      <c r="H14" s="173" t="s">
        <v>33</v>
      </c>
      <c r="I14" s="173">
        <v>2</v>
      </c>
      <c r="J14" s="173">
        <f>LN(B14)</f>
        <v>-3.0159349808715104</v>
      </c>
      <c r="K14" s="173">
        <v>5.8523499553598146E-2</v>
      </c>
      <c r="L14" s="173" t="s">
        <v>31</v>
      </c>
      <c r="M14" s="173" t="s">
        <v>31</v>
      </c>
      <c r="N14" s="173" t="s">
        <v>31</v>
      </c>
      <c r="Q14" s="222" t="s">
        <v>947</v>
      </c>
      <c r="R14" s="227">
        <v>49</v>
      </c>
      <c r="S14" s="173">
        <f>R14*0.001</f>
        <v>4.9000000000000002E-2</v>
      </c>
      <c r="T14" s="173" t="s">
        <v>337</v>
      </c>
    </row>
    <row r="15" spans="1:20">
      <c r="A15" s="232" t="s">
        <v>935</v>
      </c>
      <c r="B15" s="173">
        <f t="shared" si="0"/>
        <v>3.1E-4</v>
      </c>
      <c r="D15" s="173" t="s">
        <v>37</v>
      </c>
      <c r="E15" s="173" t="s">
        <v>38</v>
      </c>
      <c r="F15" s="173" t="s">
        <v>29</v>
      </c>
      <c r="G15" s="185" t="s">
        <v>60</v>
      </c>
      <c r="H15" s="173" t="s">
        <v>33</v>
      </c>
      <c r="I15" s="173">
        <v>2</v>
      </c>
      <c r="J15" s="173">
        <f t="shared" ref="J15:J19" si="1">LN(B15)</f>
        <v>-8.0789382604850815</v>
      </c>
      <c r="K15" s="173">
        <v>5.8523499553598146E-2</v>
      </c>
      <c r="L15" s="173" t="s">
        <v>31</v>
      </c>
      <c r="M15" s="173" t="s">
        <v>31</v>
      </c>
      <c r="N15" s="173" t="s">
        <v>31</v>
      </c>
      <c r="Q15" s="222" t="s">
        <v>947</v>
      </c>
      <c r="R15" s="233">
        <v>0.31</v>
      </c>
      <c r="S15" s="173">
        <f>R15*0.001</f>
        <v>3.1E-4</v>
      </c>
      <c r="T15" s="173" t="s">
        <v>337</v>
      </c>
    </row>
    <row r="16" spans="1:20">
      <c r="A16" s="177" t="s">
        <v>168</v>
      </c>
      <c r="B16" s="173">
        <f t="shared" si="0"/>
        <v>0.05</v>
      </c>
      <c r="D16" s="173" t="s">
        <v>41</v>
      </c>
      <c r="E16" s="173" t="s">
        <v>38</v>
      </c>
      <c r="F16" s="173" t="s">
        <v>29</v>
      </c>
      <c r="G16" s="185" t="s">
        <v>35</v>
      </c>
      <c r="H16" s="173" t="s">
        <v>33</v>
      </c>
      <c r="I16" s="173">
        <v>2</v>
      </c>
      <c r="J16" s="173">
        <f t="shared" si="1"/>
        <v>-2.9957322735539909</v>
      </c>
      <c r="K16" s="173">
        <v>3.7749172176353707E-2</v>
      </c>
      <c r="L16" s="173" t="s">
        <v>31</v>
      </c>
      <c r="M16" s="173" t="s">
        <v>31</v>
      </c>
      <c r="N16" s="173" t="s">
        <v>31</v>
      </c>
      <c r="Q16" s="222" t="s">
        <v>332</v>
      </c>
      <c r="R16" s="233">
        <v>0.05</v>
      </c>
      <c r="S16" s="191">
        <f>R16</f>
        <v>0.05</v>
      </c>
      <c r="T16" s="173" t="s">
        <v>332</v>
      </c>
    </row>
    <row r="17" spans="1:20">
      <c r="A17" s="232" t="s">
        <v>965</v>
      </c>
      <c r="B17" s="173">
        <f t="shared" si="0"/>
        <v>6.9999999999999999E-6</v>
      </c>
      <c r="D17" s="173" t="s">
        <v>37</v>
      </c>
      <c r="E17" s="173" t="s">
        <v>38</v>
      </c>
      <c r="F17" s="173" t="s">
        <v>29</v>
      </c>
      <c r="G17" s="185" t="s">
        <v>60</v>
      </c>
      <c r="H17" s="173" t="s">
        <v>33</v>
      </c>
      <c r="I17" s="173">
        <v>2</v>
      </c>
      <c r="J17" s="173">
        <f t="shared" si="1"/>
        <v>-11.86960040890896</v>
      </c>
      <c r="K17" s="173">
        <v>3.7749172176353707E-2</v>
      </c>
      <c r="L17" s="173" t="s">
        <v>31</v>
      </c>
      <c r="M17" s="173" t="s">
        <v>31</v>
      </c>
      <c r="N17" s="173" t="s">
        <v>31</v>
      </c>
      <c r="Q17" s="222" t="s">
        <v>947</v>
      </c>
      <c r="R17" s="234">
        <v>7.0000000000000001E-3</v>
      </c>
      <c r="S17" s="173">
        <f>R17*0.001</f>
        <v>6.9999999999999999E-6</v>
      </c>
      <c r="T17" s="173" t="s">
        <v>337</v>
      </c>
    </row>
    <row r="18" spans="1:20">
      <c r="A18" s="232" t="s">
        <v>933</v>
      </c>
      <c r="B18" s="173">
        <f t="shared" si="0"/>
        <v>1.26E-4</v>
      </c>
      <c r="D18" s="173" t="s">
        <v>37</v>
      </c>
      <c r="E18" s="173" t="s">
        <v>38</v>
      </c>
      <c r="F18" s="173" t="s">
        <v>29</v>
      </c>
      <c r="G18" s="185" t="s">
        <v>39</v>
      </c>
      <c r="H18" s="173" t="s">
        <v>33</v>
      </c>
      <c r="I18" s="173">
        <v>2</v>
      </c>
      <c r="J18" s="173">
        <f t="shared" si="1"/>
        <v>-8.9792286510127965</v>
      </c>
      <c r="K18" s="173">
        <v>3.7749172176353707E-2</v>
      </c>
      <c r="L18" s="173" t="s">
        <v>31</v>
      </c>
      <c r="M18" s="173" t="s">
        <v>31</v>
      </c>
      <c r="N18" s="173" t="s">
        <v>31</v>
      </c>
      <c r="Q18" s="222" t="s">
        <v>947</v>
      </c>
      <c r="R18" s="234">
        <v>0.126</v>
      </c>
      <c r="S18" s="173">
        <f>R18*0.001</f>
        <v>1.26E-4</v>
      </c>
      <c r="T18" s="173" t="s">
        <v>337</v>
      </c>
    </row>
    <row r="19" spans="1:20">
      <c r="A19" s="232" t="s">
        <v>934</v>
      </c>
      <c r="B19" s="173">
        <f t="shared" si="0"/>
        <v>1.4999999999999999E-2</v>
      </c>
      <c r="D19" s="173" t="s">
        <v>37</v>
      </c>
      <c r="E19" s="173" t="s">
        <v>38</v>
      </c>
      <c r="F19" s="173" t="s">
        <v>29</v>
      </c>
      <c r="G19" s="185" t="s">
        <v>35</v>
      </c>
      <c r="H19" s="173" t="s">
        <v>33</v>
      </c>
      <c r="I19" s="173">
        <v>2</v>
      </c>
      <c r="J19" s="173">
        <f t="shared" si="1"/>
        <v>-4.1997050778799272</v>
      </c>
      <c r="K19" s="173">
        <v>3.7749172176353707E-2</v>
      </c>
      <c r="L19" s="173" t="s">
        <v>31</v>
      </c>
      <c r="M19" s="173" t="s">
        <v>31</v>
      </c>
      <c r="N19" s="173" t="s">
        <v>31</v>
      </c>
      <c r="Q19" s="222" t="s">
        <v>337</v>
      </c>
      <c r="R19" s="234">
        <v>1.4999999999999999E-2</v>
      </c>
      <c r="S19" s="231">
        <f>R19</f>
        <v>1.4999999999999999E-2</v>
      </c>
      <c r="T19" s="173" t="s">
        <v>337</v>
      </c>
    </row>
    <row r="20" spans="1:20">
      <c r="A20" s="209" t="s">
        <v>5</v>
      </c>
      <c r="B20" s="210" t="s">
        <v>1296</v>
      </c>
      <c r="C20" s="210"/>
      <c r="D20" s="211"/>
      <c r="E20" s="188"/>
      <c r="F20" s="188"/>
      <c r="G20" s="188"/>
      <c r="H20" s="188"/>
      <c r="I20" s="188"/>
      <c r="J20" s="188"/>
      <c r="K20" s="188"/>
      <c r="L20" s="188"/>
      <c r="M20" s="188"/>
      <c r="N20" s="188"/>
    </row>
    <row r="21" spans="1:20">
      <c r="A21" s="177" t="s">
        <v>7</v>
      </c>
      <c r="B21" s="173" t="s">
        <v>566</v>
      </c>
      <c r="D21" s="176"/>
    </row>
    <row r="22" spans="1:20">
      <c r="A22" s="177" t="s">
        <v>9</v>
      </c>
      <c r="B22" s="178" t="s">
        <v>1297</v>
      </c>
      <c r="C22" s="178"/>
      <c r="D22" s="176"/>
    </row>
    <row r="23" spans="1:20" ht="14.25" customHeight="1">
      <c r="A23" s="177" t="s">
        <v>11</v>
      </c>
      <c r="B23" s="179" t="s">
        <v>913</v>
      </c>
      <c r="C23" s="179"/>
    </row>
    <row r="24" spans="1:20">
      <c r="A24" s="177" t="s">
        <v>13</v>
      </c>
      <c r="B24" s="173" t="s">
        <v>14</v>
      </c>
    </row>
    <row r="25" spans="1:20">
      <c r="A25" s="177" t="s">
        <v>15</v>
      </c>
      <c r="B25" s="173">
        <v>7.0000000000000001E-3</v>
      </c>
    </row>
    <row r="26" spans="1:20">
      <c r="A26" s="177" t="s">
        <v>16</v>
      </c>
      <c r="B26" s="173" t="s">
        <v>17</v>
      </c>
    </row>
    <row r="27" spans="1:20">
      <c r="A27" s="177" t="s">
        <v>18</v>
      </c>
      <c r="B27" s="173" t="s">
        <v>206</v>
      </c>
    </row>
    <row r="28" spans="1:20">
      <c r="A28" s="174" t="s">
        <v>19</v>
      </c>
    </row>
    <row r="29" spans="1:20">
      <c r="A29" s="174" t="s">
        <v>20</v>
      </c>
      <c r="B29" s="175" t="s">
        <v>21</v>
      </c>
      <c r="C29" s="221" t="s">
        <v>78</v>
      </c>
      <c r="D29" s="175" t="s">
        <v>18</v>
      </c>
      <c r="E29" s="175" t="s">
        <v>22</v>
      </c>
      <c r="F29" s="175" t="s">
        <v>7</v>
      </c>
      <c r="G29" s="175" t="s">
        <v>13</v>
      </c>
      <c r="H29" s="175" t="s">
        <v>16</v>
      </c>
      <c r="I29" s="175" t="s">
        <v>23</v>
      </c>
      <c r="J29" s="175" t="s">
        <v>24</v>
      </c>
      <c r="K29" s="175" t="s">
        <v>25</v>
      </c>
      <c r="L29" s="175" t="s">
        <v>26</v>
      </c>
      <c r="M29" s="175" t="s">
        <v>27</v>
      </c>
      <c r="N29" s="175" t="s">
        <v>28</v>
      </c>
      <c r="O29" s="175" t="s">
        <v>11</v>
      </c>
    </row>
    <row r="30" spans="1:20">
      <c r="A30" s="177" t="s">
        <v>1296</v>
      </c>
      <c r="B30" s="173">
        <v>7.0000000000000001E-3</v>
      </c>
      <c r="D30" s="173" t="s">
        <v>206</v>
      </c>
      <c r="E30" s="173" t="s">
        <v>2</v>
      </c>
      <c r="F30" s="173" t="s">
        <v>29</v>
      </c>
      <c r="G30" s="185" t="s">
        <v>14</v>
      </c>
      <c r="H30" s="173" t="s">
        <v>30</v>
      </c>
      <c r="I30" s="173">
        <v>1</v>
      </c>
      <c r="J30" s="173">
        <f>B30</f>
        <v>7.0000000000000001E-3</v>
      </c>
      <c r="K30" s="173" t="s">
        <v>31</v>
      </c>
      <c r="L30" s="173" t="s">
        <v>31</v>
      </c>
      <c r="M30" s="173" t="s">
        <v>31</v>
      </c>
      <c r="N30" s="173" t="s">
        <v>31</v>
      </c>
    </row>
    <row r="31" spans="1:20">
      <c r="A31" s="177" t="s">
        <v>1298</v>
      </c>
      <c r="B31" s="173">
        <v>1</v>
      </c>
      <c r="D31" s="173" t="s">
        <v>18</v>
      </c>
      <c r="E31" s="173" t="s">
        <v>2</v>
      </c>
      <c r="F31" s="173" t="s">
        <v>29</v>
      </c>
      <c r="G31" s="185" t="s">
        <v>14</v>
      </c>
      <c r="H31" s="173" t="s">
        <v>33</v>
      </c>
      <c r="I31" s="173">
        <v>1</v>
      </c>
      <c r="J31" s="173">
        <f>B31</f>
        <v>1</v>
      </c>
      <c r="K31" s="173" t="s">
        <v>31</v>
      </c>
      <c r="L31" s="173" t="s">
        <v>31</v>
      </c>
      <c r="M31" s="173" t="s">
        <v>31</v>
      </c>
      <c r="N31" s="173" t="s">
        <v>31</v>
      </c>
    </row>
    <row r="32" spans="1:20">
      <c r="A32" s="177" t="s">
        <v>168</v>
      </c>
      <c r="B32" s="173">
        <v>1.02</v>
      </c>
      <c r="D32" s="173" t="s">
        <v>41</v>
      </c>
      <c r="E32" s="173" t="s">
        <v>38</v>
      </c>
      <c r="F32" s="173" t="s">
        <v>29</v>
      </c>
      <c r="G32" s="185" t="s">
        <v>14</v>
      </c>
      <c r="H32" s="173" t="s">
        <v>33</v>
      </c>
      <c r="I32" s="173">
        <v>2</v>
      </c>
      <c r="J32" s="173">
        <f>LN(B32)</f>
        <v>1.980262729617973E-2</v>
      </c>
      <c r="K32" s="173">
        <v>3.7749171999999998E-2</v>
      </c>
      <c r="L32" s="173" t="s">
        <v>31</v>
      </c>
      <c r="M32" s="173" t="s">
        <v>31</v>
      </c>
      <c r="N32" s="173" t="s">
        <v>31</v>
      </c>
    </row>
    <row r="33" spans="1:14">
      <c r="A33" s="177" t="s">
        <v>931</v>
      </c>
      <c r="B33" s="173">
        <f>1.4/1000</f>
        <v>1.4E-3</v>
      </c>
      <c r="D33" s="173" t="s">
        <v>37</v>
      </c>
      <c r="E33" s="173" t="s">
        <v>38</v>
      </c>
      <c r="F33" s="173" t="s">
        <v>29</v>
      </c>
      <c r="G33" s="185" t="s">
        <v>35</v>
      </c>
      <c r="H33" s="173" t="s">
        <v>33</v>
      </c>
      <c r="I33" s="173">
        <v>2</v>
      </c>
      <c r="J33" s="173">
        <f t="shared" ref="J33:J45" si="2">LN(B33)</f>
        <v>-6.5712830423609239</v>
      </c>
      <c r="K33" s="173">
        <v>3.7749171999999998E-2</v>
      </c>
      <c r="L33" s="173" t="s">
        <v>31</v>
      </c>
      <c r="M33" s="173" t="s">
        <v>31</v>
      </c>
      <c r="N33" s="173" t="s">
        <v>31</v>
      </c>
    </row>
    <row r="34" spans="1:14">
      <c r="A34" s="177" t="s">
        <v>932</v>
      </c>
      <c r="B34" s="173">
        <f>0.2/1000</f>
        <v>2.0000000000000001E-4</v>
      </c>
      <c r="D34" s="173" t="s">
        <v>37</v>
      </c>
      <c r="E34" s="173" t="s">
        <v>38</v>
      </c>
      <c r="F34" s="173" t="s">
        <v>29</v>
      </c>
      <c r="G34" s="185" t="s">
        <v>60</v>
      </c>
      <c r="H34" s="173" t="s">
        <v>33</v>
      </c>
      <c r="I34" s="173">
        <v>2</v>
      </c>
      <c r="J34" s="173">
        <f t="shared" si="2"/>
        <v>-8.5171931914162382</v>
      </c>
      <c r="K34" s="173">
        <v>3.7749171999999998E-2</v>
      </c>
      <c r="L34" s="173" t="s">
        <v>31</v>
      </c>
      <c r="M34" s="173" t="s">
        <v>31</v>
      </c>
      <c r="N34" s="173" t="s">
        <v>31</v>
      </c>
    </row>
    <row r="35" spans="1:14">
      <c r="A35" s="177" t="s">
        <v>933</v>
      </c>
      <c r="B35" s="173">
        <f>7.1/1000</f>
        <v>7.0999999999999995E-3</v>
      </c>
      <c r="D35" s="173" t="s">
        <v>37</v>
      </c>
      <c r="E35" s="173" t="s">
        <v>38</v>
      </c>
      <c r="F35" s="173" t="s">
        <v>29</v>
      </c>
      <c r="G35" s="185" t="s">
        <v>39</v>
      </c>
      <c r="H35" s="173" t="s">
        <v>33</v>
      </c>
      <c r="I35" s="173">
        <v>2</v>
      </c>
      <c r="J35" s="173">
        <f t="shared" si="2"/>
        <v>-4.9476604949348673</v>
      </c>
      <c r="K35" s="173">
        <v>3.7749171999999998E-2</v>
      </c>
      <c r="L35" s="173" t="s">
        <v>31</v>
      </c>
      <c r="M35" s="173" t="s">
        <v>31</v>
      </c>
      <c r="N35" s="173" t="s">
        <v>31</v>
      </c>
    </row>
    <row r="36" spans="1:14">
      <c r="A36" s="177" t="s">
        <v>934</v>
      </c>
      <c r="B36" s="173">
        <v>1.4</v>
      </c>
      <c r="D36" s="173" t="s">
        <v>37</v>
      </c>
      <c r="E36" s="173" t="s">
        <v>38</v>
      </c>
      <c r="F36" s="173" t="s">
        <v>29</v>
      </c>
      <c r="G36" s="185" t="s">
        <v>35</v>
      </c>
      <c r="H36" s="173" t="s">
        <v>33</v>
      </c>
      <c r="I36" s="173">
        <v>2</v>
      </c>
      <c r="J36" s="173">
        <f t="shared" si="2"/>
        <v>0.33647223662121289</v>
      </c>
      <c r="K36" s="173">
        <v>3.7749171999999998E-2</v>
      </c>
      <c r="L36" s="173" t="s">
        <v>31</v>
      </c>
      <c r="M36" s="173" t="s">
        <v>31</v>
      </c>
      <c r="N36" s="173" t="s">
        <v>31</v>
      </c>
    </row>
    <row r="37" spans="1:14">
      <c r="A37" s="177" t="s">
        <v>935</v>
      </c>
      <c r="B37" s="173">
        <v>2E-3</v>
      </c>
      <c r="D37" s="173" t="s">
        <v>37</v>
      </c>
      <c r="E37" s="173" t="s">
        <v>38</v>
      </c>
      <c r="F37" s="173" t="s">
        <v>29</v>
      </c>
      <c r="G37" s="185" t="s">
        <v>60</v>
      </c>
      <c r="H37" s="173" t="s">
        <v>33</v>
      </c>
      <c r="I37" s="173">
        <v>2</v>
      </c>
      <c r="J37" s="173">
        <f t="shared" si="2"/>
        <v>-6.2146080984221914</v>
      </c>
      <c r="K37" s="173">
        <v>3.7749171999999998E-2</v>
      </c>
      <c r="L37" s="173" t="s">
        <v>31</v>
      </c>
      <c r="M37" s="173" t="s">
        <v>31</v>
      </c>
      <c r="N37" s="173" t="s">
        <v>31</v>
      </c>
    </row>
    <row r="38" spans="1:14">
      <c r="A38" s="177" t="s">
        <v>936</v>
      </c>
      <c r="B38" s="173">
        <v>3.0000000000000001E-3</v>
      </c>
      <c r="D38" s="173" t="s">
        <v>37</v>
      </c>
      <c r="E38" s="173" t="s">
        <v>38</v>
      </c>
      <c r="F38" s="173" t="s">
        <v>29</v>
      </c>
      <c r="G38" s="185" t="s">
        <v>60</v>
      </c>
      <c r="H38" s="173" t="s">
        <v>33</v>
      </c>
      <c r="I38" s="173">
        <v>2</v>
      </c>
      <c r="J38" s="173">
        <f t="shared" si="2"/>
        <v>-5.8091429903140277</v>
      </c>
      <c r="K38" s="173">
        <v>3.7749171999999998E-2</v>
      </c>
      <c r="L38" s="173" t="s">
        <v>31</v>
      </c>
      <c r="M38" s="173" t="s">
        <v>31</v>
      </c>
      <c r="N38" s="173" t="s">
        <v>31</v>
      </c>
    </row>
    <row r="39" spans="1:14">
      <c r="A39" s="177" t="s">
        <v>937</v>
      </c>
      <c r="B39" s="173">
        <v>2.9999999999999997E-4</v>
      </c>
      <c r="D39" s="173" t="s">
        <v>37</v>
      </c>
      <c r="E39" s="173" t="s">
        <v>38</v>
      </c>
      <c r="F39" s="173" t="s">
        <v>29</v>
      </c>
      <c r="G39" s="185" t="s">
        <v>35</v>
      </c>
      <c r="H39" s="173" t="s">
        <v>33</v>
      </c>
      <c r="I39" s="173">
        <v>2</v>
      </c>
      <c r="J39" s="173">
        <f t="shared" si="2"/>
        <v>-8.1117280833080727</v>
      </c>
      <c r="K39" s="173">
        <v>3.7749171999999998E-2</v>
      </c>
      <c r="L39" s="173" t="s">
        <v>31</v>
      </c>
      <c r="M39" s="173" t="s">
        <v>31</v>
      </c>
      <c r="N39" s="173" t="s">
        <v>31</v>
      </c>
    </row>
    <row r="40" spans="1:14">
      <c r="A40" s="177" t="s">
        <v>938</v>
      </c>
      <c r="B40" s="173">
        <v>1.5E-3</v>
      </c>
      <c r="D40" s="173" t="s">
        <v>37</v>
      </c>
      <c r="E40" s="173" t="s">
        <v>38</v>
      </c>
      <c r="F40" s="173" t="s">
        <v>29</v>
      </c>
      <c r="G40" s="185" t="s">
        <v>60</v>
      </c>
      <c r="H40" s="173" t="s">
        <v>33</v>
      </c>
      <c r="I40" s="173">
        <v>2</v>
      </c>
      <c r="J40" s="173">
        <f t="shared" si="2"/>
        <v>-6.5022901708739722</v>
      </c>
      <c r="K40" s="173">
        <v>3.7749171999999998E-2</v>
      </c>
      <c r="L40" s="173" t="s">
        <v>31</v>
      </c>
      <c r="M40" s="173" t="s">
        <v>31</v>
      </c>
      <c r="N40" s="173" t="s">
        <v>31</v>
      </c>
    </row>
    <row r="41" spans="1:14">
      <c r="A41" s="177" t="s">
        <v>939</v>
      </c>
      <c r="B41" s="173">
        <v>5.0000000000000001E-4</v>
      </c>
      <c r="D41" s="173" t="s">
        <v>37</v>
      </c>
      <c r="E41" s="173" t="s">
        <v>38</v>
      </c>
      <c r="F41" s="173" t="s">
        <v>29</v>
      </c>
      <c r="G41" s="185" t="s">
        <v>35</v>
      </c>
      <c r="H41" s="173" t="s">
        <v>33</v>
      </c>
      <c r="I41" s="173">
        <v>2</v>
      </c>
      <c r="J41" s="173">
        <f t="shared" si="2"/>
        <v>-7.6009024595420822</v>
      </c>
      <c r="K41" s="173">
        <v>3.7749171999999998E-2</v>
      </c>
      <c r="L41" s="173" t="s">
        <v>31</v>
      </c>
      <c r="M41" s="173" t="s">
        <v>31</v>
      </c>
      <c r="N41" s="173" t="s">
        <v>31</v>
      </c>
    </row>
    <row r="42" spans="1:14">
      <c r="A42" s="177" t="s">
        <v>940</v>
      </c>
      <c r="B42" s="173">
        <v>8.9999999999999992E-5</v>
      </c>
      <c r="D42" s="173" t="s">
        <v>37</v>
      </c>
      <c r="E42" s="173" t="s">
        <v>43</v>
      </c>
      <c r="F42" s="173" t="s">
        <v>44</v>
      </c>
      <c r="G42" s="185" t="s">
        <v>29</v>
      </c>
      <c r="H42" s="173" t="s">
        <v>45</v>
      </c>
      <c r="I42" s="173">
        <v>2</v>
      </c>
      <c r="J42" s="173">
        <f t="shared" si="2"/>
        <v>-9.3157008876340086</v>
      </c>
      <c r="K42" s="173">
        <v>3.7749171999999998E-2</v>
      </c>
      <c r="L42" s="173" t="s">
        <v>31</v>
      </c>
      <c r="M42" s="173" t="s">
        <v>31</v>
      </c>
      <c r="N42" s="173" t="s">
        <v>31</v>
      </c>
    </row>
    <row r="43" spans="1:14">
      <c r="A43" s="177" t="s">
        <v>941</v>
      </c>
      <c r="B43" s="173">
        <v>3.3999999999999998E-3</v>
      </c>
      <c r="D43" s="173" t="s">
        <v>37</v>
      </c>
      <c r="E43" s="173" t="s">
        <v>43</v>
      </c>
      <c r="F43" s="173" t="s">
        <v>44</v>
      </c>
      <c r="G43" s="185" t="s">
        <v>29</v>
      </c>
      <c r="H43" s="173" t="s">
        <v>45</v>
      </c>
      <c r="I43" s="173">
        <v>2</v>
      </c>
      <c r="J43" s="173">
        <f t="shared" si="2"/>
        <v>-5.6839798473600212</v>
      </c>
      <c r="K43" s="173">
        <v>3.7749171999999998E-2</v>
      </c>
      <c r="L43" s="173" t="s">
        <v>31</v>
      </c>
      <c r="M43" s="173" t="s">
        <v>31</v>
      </c>
      <c r="N43" s="173" t="s">
        <v>31</v>
      </c>
    </row>
    <row r="44" spans="1:14">
      <c r="A44" s="173" t="s">
        <v>1285</v>
      </c>
      <c r="B44" s="173">
        <v>1.4E-3</v>
      </c>
      <c r="D44" s="173" t="s">
        <v>37</v>
      </c>
      <c r="E44" s="173" t="s">
        <v>2</v>
      </c>
      <c r="F44" s="173" t="s">
        <v>29</v>
      </c>
      <c r="G44" s="185" t="s">
        <v>39</v>
      </c>
      <c r="H44" s="173" t="s">
        <v>33</v>
      </c>
      <c r="I44" s="173">
        <v>2</v>
      </c>
      <c r="J44" s="173">
        <f t="shared" si="2"/>
        <v>-6.5712830423609239</v>
      </c>
      <c r="K44" s="173">
        <v>3.7749171999999998E-2</v>
      </c>
      <c r="L44" s="173" t="s">
        <v>31</v>
      </c>
      <c r="M44" s="173" t="s">
        <v>31</v>
      </c>
      <c r="N44" s="173" t="s">
        <v>31</v>
      </c>
    </row>
    <row r="45" spans="1:14">
      <c r="A45" s="173" t="s">
        <v>1287</v>
      </c>
      <c r="B45" s="173">
        <v>6.0000000000000002E-5</v>
      </c>
      <c r="D45" s="173" t="s">
        <v>37</v>
      </c>
      <c r="E45" s="173" t="s">
        <v>2</v>
      </c>
      <c r="F45" s="173" t="s">
        <v>29</v>
      </c>
      <c r="G45" s="173" t="s">
        <v>39</v>
      </c>
      <c r="H45" s="173" t="s">
        <v>33</v>
      </c>
      <c r="I45" s="173">
        <v>2</v>
      </c>
      <c r="J45" s="173">
        <f t="shared" si="2"/>
        <v>-9.7211659957421741</v>
      </c>
      <c r="K45" s="173">
        <v>3.7749171999999998E-2</v>
      </c>
      <c r="L45" s="173" t="s">
        <v>31</v>
      </c>
      <c r="M45" s="173" t="s">
        <v>31</v>
      </c>
      <c r="N45" s="173" t="s">
        <v>31</v>
      </c>
    </row>
    <row r="46" spans="1:14">
      <c r="A46" s="209" t="s">
        <v>5</v>
      </c>
      <c r="B46" s="210" t="s">
        <v>1298</v>
      </c>
      <c r="C46" s="210"/>
      <c r="D46" s="211"/>
      <c r="E46" s="188"/>
      <c r="F46" s="188"/>
      <c r="G46" s="188"/>
      <c r="H46" s="188"/>
      <c r="I46" s="188"/>
      <c r="J46" s="188"/>
      <c r="K46" s="188"/>
      <c r="L46" s="188"/>
      <c r="M46" s="188"/>
      <c r="N46" s="188"/>
    </row>
    <row r="47" spans="1:14">
      <c r="A47" s="177" t="s">
        <v>7</v>
      </c>
      <c r="B47" s="173" t="s">
        <v>566</v>
      </c>
      <c r="D47" s="176"/>
    </row>
    <row r="48" spans="1:14">
      <c r="A48" s="177" t="s">
        <v>9</v>
      </c>
      <c r="B48" s="173" t="s">
        <v>1299</v>
      </c>
      <c r="D48" s="176"/>
    </row>
    <row r="49" spans="1:20" ht="14.25" customHeight="1">
      <c r="A49" s="177" t="s">
        <v>11</v>
      </c>
      <c r="B49" s="179" t="s">
        <v>913</v>
      </c>
      <c r="C49" s="179"/>
    </row>
    <row r="50" spans="1:20">
      <c r="A50" s="177" t="s">
        <v>13</v>
      </c>
      <c r="B50" s="173" t="s">
        <v>14</v>
      </c>
    </row>
    <row r="51" spans="1:20">
      <c r="A51" s="177" t="s">
        <v>15</v>
      </c>
      <c r="B51" s="173">
        <v>1</v>
      </c>
    </row>
    <row r="52" spans="1:20">
      <c r="A52" s="177" t="s">
        <v>16</v>
      </c>
      <c r="B52" s="173" t="s">
        <v>17</v>
      </c>
    </row>
    <row r="53" spans="1:20">
      <c r="A53" s="177" t="s">
        <v>18</v>
      </c>
      <c r="B53" s="173" t="s">
        <v>18</v>
      </c>
    </row>
    <row r="54" spans="1:20">
      <c r="A54" s="174" t="s">
        <v>19</v>
      </c>
    </row>
    <row r="55" spans="1:20">
      <c r="A55" s="174" t="s">
        <v>20</v>
      </c>
      <c r="B55" s="175" t="s">
        <v>21</v>
      </c>
      <c r="C55" s="221" t="s">
        <v>78</v>
      </c>
      <c r="D55" s="175" t="s">
        <v>18</v>
      </c>
      <c r="E55" s="175" t="s">
        <v>22</v>
      </c>
      <c r="F55" s="175" t="s">
        <v>7</v>
      </c>
      <c r="G55" s="175" t="s">
        <v>13</v>
      </c>
      <c r="H55" s="175" t="s">
        <v>16</v>
      </c>
      <c r="I55" s="175" t="s">
        <v>23</v>
      </c>
      <c r="J55" s="175" t="s">
        <v>24</v>
      </c>
      <c r="K55" s="175" t="s">
        <v>25</v>
      </c>
      <c r="L55" s="175" t="s">
        <v>26</v>
      </c>
      <c r="M55" s="175" t="s">
        <v>27</v>
      </c>
      <c r="N55" s="175" t="s">
        <v>28</v>
      </c>
      <c r="O55" s="175" t="s">
        <v>11</v>
      </c>
    </row>
    <row r="56" spans="1:20">
      <c r="A56" s="177" t="s">
        <v>1298</v>
      </c>
      <c r="B56" s="173">
        <v>1</v>
      </c>
      <c r="D56" s="173" t="s">
        <v>18</v>
      </c>
      <c r="E56" s="173" t="s">
        <v>2</v>
      </c>
      <c r="F56" s="173" t="s">
        <v>29</v>
      </c>
      <c r="G56" s="185" t="s">
        <v>14</v>
      </c>
      <c r="H56" s="173" t="s">
        <v>30</v>
      </c>
      <c r="I56" s="173">
        <v>1</v>
      </c>
      <c r="J56" s="173">
        <f>B56</f>
        <v>1</v>
      </c>
      <c r="K56" s="173" t="s">
        <v>31</v>
      </c>
      <c r="L56" s="173" t="s">
        <v>31</v>
      </c>
      <c r="M56" s="173" t="s">
        <v>31</v>
      </c>
      <c r="N56" s="173" t="s">
        <v>31</v>
      </c>
    </row>
    <row r="57" spans="1:20">
      <c r="A57" s="177" t="s">
        <v>943</v>
      </c>
      <c r="B57" s="173">
        <f>T57</f>
        <v>6.9999999999999993E-3</v>
      </c>
      <c r="D57" s="173" t="s">
        <v>206</v>
      </c>
      <c r="E57" s="173" t="s">
        <v>38</v>
      </c>
      <c r="F57" s="173" t="s">
        <v>29</v>
      </c>
      <c r="G57" s="185" t="s">
        <v>60</v>
      </c>
      <c r="H57" s="173" t="s">
        <v>33</v>
      </c>
      <c r="I57" s="173">
        <v>2</v>
      </c>
      <c r="J57" s="173">
        <f>LN(B57)</f>
        <v>-4.9618451299268242</v>
      </c>
      <c r="K57" s="173">
        <v>2.8722813232690055E-2</v>
      </c>
      <c r="L57" s="173" t="s">
        <v>31</v>
      </c>
      <c r="M57" s="173" t="s">
        <v>31</v>
      </c>
      <c r="N57" s="173" t="s">
        <v>31</v>
      </c>
      <c r="Q57" s="222" t="s">
        <v>944</v>
      </c>
      <c r="R57" s="223">
        <v>0.7</v>
      </c>
      <c r="S57" s="173" t="s">
        <v>945</v>
      </c>
      <c r="T57" s="173">
        <f>R57*0.01</f>
        <v>6.9999999999999993E-3</v>
      </c>
    </row>
    <row r="58" spans="1:20">
      <c r="A58" s="177" t="s">
        <v>946</v>
      </c>
      <c r="B58" s="173">
        <f t="shared" ref="B58:B70" si="3">T58</f>
        <v>3.7000000000000002E-3</v>
      </c>
      <c r="D58" s="173" t="s">
        <v>37</v>
      </c>
      <c r="E58" s="173" t="s">
        <v>38</v>
      </c>
      <c r="F58" s="173" t="s">
        <v>29</v>
      </c>
      <c r="G58" s="185" t="s">
        <v>60</v>
      </c>
      <c r="H58" s="173" t="s">
        <v>33</v>
      </c>
      <c r="I58" s="173">
        <v>2</v>
      </c>
      <c r="J58" s="173">
        <f t="shared" ref="J58:J70" si="4">LN(B58)</f>
        <v>-5.5994224593319579</v>
      </c>
      <c r="K58" s="173">
        <v>2.8722813232690055E-2</v>
      </c>
      <c r="L58" s="173" t="s">
        <v>31</v>
      </c>
      <c r="M58" s="173" t="s">
        <v>31</v>
      </c>
      <c r="N58" s="173" t="s">
        <v>31</v>
      </c>
      <c r="Q58" s="224" t="s">
        <v>947</v>
      </c>
      <c r="R58" s="225">
        <v>3.7</v>
      </c>
      <c r="S58" s="173" t="s">
        <v>337</v>
      </c>
      <c r="T58" s="173">
        <f>R58*0.001</f>
        <v>3.7000000000000002E-3</v>
      </c>
    </row>
    <row r="59" spans="1:20">
      <c r="A59" s="177" t="s">
        <v>948</v>
      </c>
      <c r="B59" s="173">
        <f t="shared" si="3"/>
        <v>1.9E-3</v>
      </c>
      <c r="D59" s="173" t="s">
        <v>37</v>
      </c>
      <c r="E59" s="173" t="s">
        <v>38</v>
      </c>
      <c r="F59" s="173" t="s">
        <v>29</v>
      </c>
      <c r="G59" s="185" t="s">
        <v>60</v>
      </c>
      <c r="H59" s="173" t="s">
        <v>33</v>
      </c>
      <c r="I59" s="173">
        <v>2</v>
      </c>
      <c r="J59" s="173">
        <f t="shared" si="4"/>
        <v>-6.2659013928097425</v>
      </c>
      <c r="K59" s="173">
        <v>2.8722813232690055E-2</v>
      </c>
      <c r="L59" s="173" t="s">
        <v>31</v>
      </c>
      <c r="M59" s="173" t="s">
        <v>31</v>
      </c>
      <c r="N59" s="173" t="s">
        <v>31</v>
      </c>
      <c r="Q59" s="222" t="s">
        <v>947</v>
      </c>
      <c r="R59" s="223">
        <v>1.9</v>
      </c>
      <c r="S59" s="173" t="s">
        <v>337</v>
      </c>
      <c r="T59" s="173">
        <f t="shared" ref="T59:T60" si="5">R59*0.001</f>
        <v>1.9E-3</v>
      </c>
    </row>
    <row r="60" spans="1:20">
      <c r="A60" s="177" t="s">
        <v>950</v>
      </c>
      <c r="B60" s="173">
        <f t="shared" si="3"/>
        <v>4.7999999999999996E-3</v>
      </c>
      <c r="D60" s="173" t="s">
        <v>37</v>
      </c>
      <c r="E60" s="173" t="s">
        <v>38</v>
      </c>
      <c r="F60" s="173" t="s">
        <v>29</v>
      </c>
      <c r="G60" s="185" t="s">
        <v>60</v>
      </c>
      <c r="H60" s="173" t="s">
        <v>33</v>
      </c>
      <c r="I60" s="173">
        <v>2</v>
      </c>
      <c r="J60" s="173">
        <f t="shared" si="4"/>
        <v>-5.339139361068292</v>
      </c>
      <c r="K60" s="173">
        <v>2.8722813232690055E-2</v>
      </c>
      <c r="L60" s="173" t="s">
        <v>31</v>
      </c>
      <c r="M60" s="173" t="s">
        <v>31</v>
      </c>
      <c r="N60" s="173" t="s">
        <v>31</v>
      </c>
      <c r="Q60" s="222" t="s">
        <v>947</v>
      </c>
      <c r="R60" s="225">
        <v>4.8</v>
      </c>
      <c r="S60" s="173" t="s">
        <v>337</v>
      </c>
      <c r="T60" s="173">
        <f t="shared" si="5"/>
        <v>4.7999999999999996E-3</v>
      </c>
    </row>
    <row r="61" spans="1:20">
      <c r="A61" s="173" t="s">
        <v>969</v>
      </c>
      <c r="B61" s="173">
        <f t="shared" si="3"/>
        <v>2.9999999999999997E-4</v>
      </c>
      <c r="D61" s="173" t="s">
        <v>37</v>
      </c>
      <c r="E61" s="173" t="s">
        <v>38</v>
      </c>
      <c r="F61" s="173" t="s">
        <v>29</v>
      </c>
      <c r="G61" s="185" t="s">
        <v>60</v>
      </c>
      <c r="H61" s="173" t="s">
        <v>33</v>
      </c>
      <c r="I61" s="173">
        <v>2</v>
      </c>
      <c r="J61" s="173">
        <f t="shared" si="4"/>
        <v>-8.1117280833080727</v>
      </c>
      <c r="K61" s="173">
        <v>2.8722813232690055E-2</v>
      </c>
      <c r="L61" s="173" t="s">
        <v>31</v>
      </c>
      <c r="M61" s="173" t="s">
        <v>31</v>
      </c>
      <c r="N61" s="173" t="s">
        <v>31</v>
      </c>
      <c r="Q61" s="224" t="s">
        <v>952</v>
      </c>
      <c r="R61" s="226">
        <v>300</v>
      </c>
      <c r="S61" s="173" t="s">
        <v>337</v>
      </c>
      <c r="T61" s="173">
        <f>R61*0.000001</f>
        <v>2.9999999999999997E-4</v>
      </c>
    </row>
    <row r="62" spans="1:20">
      <c r="A62" s="177" t="s">
        <v>951</v>
      </c>
      <c r="B62" s="173">
        <f t="shared" si="3"/>
        <v>1.1E-5</v>
      </c>
      <c r="D62" s="173" t="s">
        <v>37</v>
      </c>
      <c r="E62" s="173" t="s">
        <v>38</v>
      </c>
      <c r="F62" s="173" t="s">
        <v>29</v>
      </c>
      <c r="G62" s="185" t="s">
        <v>60</v>
      </c>
      <c r="H62" s="173" t="s">
        <v>33</v>
      </c>
      <c r="I62" s="173">
        <v>2</v>
      </c>
      <c r="J62" s="173">
        <f t="shared" si="4"/>
        <v>-11.417615285165903</v>
      </c>
      <c r="K62" s="173">
        <v>2.8722813232690055E-2</v>
      </c>
      <c r="L62" s="173" t="s">
        <v>31</v>
      </c>
      <c r="M62" s="173" t="s">
        <v>31</v>
      </c>
      <c r="N62" s="173" t="s">
        <v>31</v>
      </c>
      <c r="Q62" s="224" t="s">
        <v>952</v>
      </c>
      <c r="R62" s="226">
        <v>11</v>
      </c>
      <c r="S62" s="173" t="s">
        <v>337</v>
      </c>
      <c r="T62" s="173">
        <f>R62*0.000001</f>
        <v>1.1E-5</v>
      </c>
    </row>
    <row r="63" spans="1:20">
      <c r="A63" s="177" t="s">
        <v>953</v>
      </c>
      <c r="B63" s="173">
        <f t="shared" si="3"/>
        <v>5.4000000000000001E-4</v>
      </c>
      <c r="D63" s="173" t="s">
        <v>37</v>
      </c>
      <c r="E63" s="173" t="s">
        <v>38</v>
      </c>
      <c r="F63" s="173" t="s">
        <v>29</v>
      </c>
      <c r="G63" s="185" t="s">
        <v>60</v>
      </c>
      <c r="H63" s="173" t="s">
        <v>33</v>
      </c>
      <c r="I63" s="173">
        <v>2</v>
      </c>
      <c r="J63" s="173">
        <f t="shared" si="4"/>
        <v>-7.5239414184059541</v>
      </c>
      <c r="K63" s="173">
        <v>2.8722813232690055E-2</v>
      </c>
      <c r="L63" s="173" t="s">
        <v>31</v>
      </c>
      <c r="M63" s="173" t="s">
        <v>31</v>
      </c>
      <c r="N63" s="173" t="s">
        <v>31</v>
      </c>
      <c r="Q63" s="224" t="s">
        <v>952</v>
      </c>
      <c r="R63" s="226">
        <v>540</v>
      </c>
      <c r="S63" s="173" t="s">
        <v>337</v>
      </c>
      <c r="T63" s="173">
        <f>R63*0.000001</f>
        <v>5.4000000000000001E-4</v>
      </c>
    </row>
    <row r="64" spans="1:20">
      <c r="A64" s="177" t="s">
        <v>954</v>
      </c>
      <c r="B64" s="173">
        <f t="shared" si="3"/>
        <v>6.5000000000000006E-3</v>
      </c>
      <c r="D64" s="173" t="s">
        <v>37</v>
      </c>
      <c r="E64" s="173" t="s">
        <v>38</v>
      </c>
      <c r="F64" s="173" t="s">
        <v>29</v>
      </c>
      <c r="G64" s="185" t="s">
        <v>60</v>
      </c>
      <c r="H64" s="173" t="s">
        <v>33</v>
      </c>
      <c r="I64" s="173">
        <v>2</v>
      </c>
      <c r="J64" s="173">
        <f t="shared" si="4"/>
        <v>-5.0359531020805459</v>
      </c>
      <c r="K64" s="173">
        <v>2.8722813232690055E-2</v>
      </c>
      <c r="L64" s="173" t="s">
        <v>31</v>
      </c>
      <c r="M64" s="173" t="s">
        <v>31</v>
      </c>
      <c r="N64" s="173" t="s">
        <v>31</v>
      </c>
      <c r="Q64" s="224" t="s">
        <v>947</v>
      </c>
      <c r="R64" s="225">
        <v>6.5</v>
      </c>
      <c r="S64" s="173" t="s">
        <v>337</v>
      </c>
      <c r="T64" s="173">
        <f t="shared" ref="T64" si="6">R64*0.001</f>
        <v>6.5000000000000006E-3</v>
      </c>
    </row>
    <row r="65" spans="1:20">
      <c r="A65" s="232" t="s">
        <v>970</v>
      </c>
      <c r="B65" s="173">
        <f t="shared" si="3"/>
        <v>3.6000000000000001E-5</v>
      </c>
      <c r="D65" s="173" t="s">
        <v>37</v>
      </c>
      <c r="E65" s="173" t="s">
        <v>38</v>
      </c>
      <c r="F65" s="173" t="s">
        <v>29</v>
      </c>
      <c r="G65" s="185" t="s">
        <v>60</v>
      </c>
      <c r="H65" s="173" t="s">
        <v>33</v>
      </c>
      <c r="I65" s="173">
        <v>2</v>
      </c>
      <c r="J65" s="173">
        <f t="shared" si="4"/>
        <v>-10.231991619508165</v>
      </c>
      <c r="K65" s="173">
        <v>2.8722813232690055E-2</v>
      </c>
      <c r="L65" s="173" t="s">
        <v>31</v>
      </c>
      <c r="M65" s="173" t="s">
        <v>31</v>
      </c>
      <c r="N65" s="173" t="s">
        <v>31</v>
      </c>
      <c r="Q65" s="222" t="s">
        <v>952</v>
      </c>
      <c r="R65" s="227">
        <v>36</v>
      </c>
      <c r="S65" s="173" t="s">
        <v>337</v>
      </c>
      <c r="T65" s="173">
        <f>R65*0.000001</f>
        <v>3.6000000000000001E-5</v>
      </c>
    </row>
    <row r="66" spans="1:20">
      <c r="A66" s="177" t="s">
        <v>955</v>
      </c>
      <c r="B66" s="173">
        <f t="shared" si="3"/>
        <v>3.5E-4</v>
      </c>
      <c r="D66" s="173" t="s">
        <v>37</v>
      </c>
      <c r="E66" s="173" t="s">
        <v>38</v>
      </c>
      <c r="F66" s="173" t="s">
        <v>29</v>
      </c>
      <c r="G66" s="185" t="s">
        <v>60</v>
      </c>
      <c r="H66" s="173" t="s">
        <v>33</v>
      </c>
      <c r="I66" s="173">
        <v>2</v>
      </c>
      <c r="J66" s="173">
        <f t="shared" si="4"/>
        <v>-7.9575774034808147</v>
      </c>
      <c r="K66" s="173">
        <v>2.8722813232690055E-2</v>
      </c>
      <c r="L66" s="173" t="s">
        <v>31</v>
      </c>
      <c r="M66" s="173" t="s">
        <v>31</v>
      </c>
      <c r="N66" s="173" t="s">
        <v>31</v>
      </c>
      <c r="Q66" s="224" t="s">
        <v>952</v>
      </c>
      <c r="R66" s="226">
        <v>350</v>
      </c>
      <c r="S66" s="173" t="s">
        <v>337</v>
      </c>
      <c r="T66" s="173">
        <f>R66*0.000001</f>
        <v>3.5E-4</v>
      </c>
    </row>
    <row r="67" spans="1:20">
      <c r="A67" s="232" t="s">
        <v>971</v>
      </c>
      <c r="B67" s="173">
        <f t="shared" si="3"/>
        <v>1.8E-5</v>
      </c>
      <c r="D67" s="173" t="s">
        <v>37</v>
      </c>
      <c r="E67" s="173" t="s">
        <v>38</v>
      </c>
      <c r="F67" s="173" t="s">
        <v>29</v>
      </c>
      <c r="G67" s="185" t="s">
        <v>60</v>
      </c>
      <c r="H67" s="173" t="s">
        <v>33</v>
      </c>
      <c r="I67" s="173">
        <v>2</v>
      </c>
      <c r="J67" s="173">
        <f t="shared" si="4"/>
        <v>-10.92513880006811</v>
      </c>
      <c r="K67" s="173">
        <v>2.8722813232690055E-2</v>
      </c>
      <c r="L67" s="173" t="s">
        <v>31</v>
      </c>
      <c r="M67" s="173" t="s">
        <v>31</v>
      </c>
      <c r="N67" s="173" t="s">
        <v>31</v>
      </c>
      <c r="Q67" s="222" t="s">
        <v>952</v>
      </c>
      <c r="R67" s="227">
        <v>18</v>
      </c>
      <c r="S67" s="173" t="s">
        <v>337</v>
      </c>
      <c r="T67" s="173">
        <f>R67*0.000001</f>
        <v>1.8E-5</v>
      </c>
    </row>
    <row r="68" spans="1:20">
      <c r="A68" s="232" t="s">
        <v>972</v>
      </c>
      <c r="B68" s="173">
        <f t="shared" si="3"/>
        <v>5.7000000000000002E-3</v>
      </c>
      <c r="D68" s="173" t="s">
        <v>37</v>
      </c>
      <c r="E68" s="173" t="s">
        <v>38</v>
      </c>
      <c r="F68" s="173" t="s">
        <v>29</v>
      </c>
      <c r="G68" s="185" t="s">
        <v>60</v>
      </c>
      <c r="H68" s="173" t="s">
        <v>33</v>
      </c>
      <c r="I68" s="173">
        <v>2</v>
      </c>
      <c r="J68" s="173">
        <f t="shared" si="4"/>
        <v>-5.1672891041416324</v>
      </c>
      <c r="K68" s="173">
        <v>2.8722813232690055E-2</v>
      </c>
      <c r="L68" s="173" t="s">
        <v>31</v>
      </c>
      <c r="M68" s="173" t="s">
        <v>31</v>
      </c>
      <c r="N68" s="173" t="s">
        <v>31</v>
      </c>
      <c r="Q68" s="224" t="s">
        <v>947</v>
      </c>
      <c r="R68" s="225">
        <v>5.7</v>
      </c>
      <c r="S68" s="173" t="s">
        <v>337</v>
      </c>
      <c r="T68" s="173">
        <f>R68*0.001</f>
        <v>5.7000000000000002E-3</v>
      </c>
    </row>
    <row r="69" spans="1:20">
      <c r="A69" s="177" t="s">
        <v>956</v>
      </c>
      <c r="B69" s="173">
        <f t="shared" si="3"/>
        <v>2.9999999999999997E-4</v>
      </c>
      <c r="D69" s="173" t="s">
        <v>37</v>
      </c>
      <c r="E69" s="173" t="s">
        <v>38</v>
      </c>
      <c r="F69" s="173" t="s">
        <v>29</v>
      </c>
      <c r="G69" s="185" t="s">
        <v>60</v>
      </c>
      <c r="H69" s="173" t="s">
        <v>33</v>
      </c>
      <c r="I69" s="173">
        <v>2</v>
      </c>
      <c r="J69" s="173">
        <f t="shared" si="4"/>
        <v>-8.1117280833080727</v>
      </c>
      <c r="K69" s="173">
        <v>2.8722813232690055E-2</v>
      </c>
      <c r="L69" s="173" t="s">
        <v>31</v>
      </c>
      <c r="M69" s="173" t="s">
        <v>31</v>
      </c>
      <c r="N69" s="173" t="s">
        <v>31</v>
      </c>
      <c r="Q69" s="222" t="s">
        <v>952</v>
      </c>
      <c r="R69" s="227">
        <v>300</v>
      </c>
      <c r="S69" s="173" t="s">
        <v>337</v>
      </c>
      <c r="T69" s="173">
        <f>R69*0.000001</f>
        <v>2.9999999999999997E-4</v>
      </c>
    </row>
    <row r="70" spans="1:20">
      <c r="A70" s="177" t="s">
        <v>958</v>
      </c>
      <c r="B70" s="173">
        <f t="shared" si="3"/>
        <v>5.4000000000000001E-4</v>
      </c>
      <c r="D70" s="173" t="s">
        <v>37</v>
      </c>
      <c r="E70" s="173" t="s">
        <v>38</v>
      </c>
      <c r="F70" s="173" t="s">
        <v>29</v>
      </c>
      <c r="G70" s="185" t="s">
        <v>60</v>
      </c>
      <c r="H70" s="173" t="s">
        <v>33</v>
      </c>
      <c r="I70" s="173">
        <v>2</v>
      </c>
      <c r="J70" s="173">
        <f t="shared" si="4"/>
        <v>-7.5239414184059541</v>
      </c>
      <c r="K70" s="173">
        <v>2.8722813232690055E-2</v>
      </c>
      <c r="L70" s="173" t="s">
        <v>31</v>
      </c>
      <c r="M70" s="173" t="s">
        <v>31</v>
      </c>
      <c r="N70" s="173" t="s">
        <v>31</v>
      </c>
      <c r="Q70" s="224" t="s">
        <v>952</v>
      </c>
      <c r="R70" s="226">
        <v>540</v>
      </c>
      <c r="S70" s="173" t="s">
        <v>337</v>
      </c>
      <c r="T70" s="173">
        <f>R70*0.000001</f>
        <v>5.4000000000000001E-4</v>
      </c>
    </row>
    <row r="75" spans="1:20">
      <c r="B75" s="178"/>
      <c r="C75" s="17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9EABF-D6E2-46D6-89A1-1BACCB91A32F}">
  <sheetPr>
    <tabColor theme="5"/>
  </sheetPr>
  <dimension ref="A1:U56"/>
  <sheetViews>
    <sheetView topLeftCell="A5" zoomScale="70" zoomScaleNormal="70" workbookViewId="0">
      <selection activeCell="I13" sqref="I13:I2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5</v>
      </c>
      <c r="B2" s="210" t="s">
        <v>1277</v>
      </c>
      <c r="C2" s="211"/>
      <c r="D2" s="188"/>
      <c r="E2" s="188"/>
      <c r="F2" s="188"/>
      <c r="G2" s="188"/>
      <c r="H2" s="188"/>
      <c r="I2" s="188"/>
      <c r="J2" s="188"/>
      <c r="K2" s="188"/>
      <c r="L2" s="188"/>
      <c r="M2" s="188"/>
      <c r="N2" s="173"/>
      <c r="O2" s="173"/>
      <c r="P2" s="173"/>
      <c r="Q2" s="173"/>
      <c r="R2" s="173"/>
      <c r="S2" s="173"/>
      <c r="T2" s="173"/>
      <c r="U2" s="173"/>
    </row>
    <row r="3" spans="1:21">
      <c r="A3" s="177" t="s">
        <v>7</v>
      </c>
      <c r="B3" s="173" t="s">
        <v>566</v>
      </c>
      <c r="C3" s="176"/>
      <c r="D3" s="173"/>
      <c r="E3" s="173"/>
      <c r="F3" s="173"/>
      <c r="G3" s="173"/>
      <c r="H3" s="173"/>
      <c r="I3" s="173"/>
      <c r="J3" s="173"/>
      <c r="K3" s="173"/>
      <c r="L3" s="173"/>
      <c r="M3" s="173"/>
      <c r="N3" s="173"/>
      <c r="O3" s="173"/>
      <c r="P3" s="173"/>
      <c r="Q3" s="173"/>
      <c r="R3" s="173"/>
      <c r="S3" s="173"/>
      <c r="T3" s="173"/>
      <c r="U3" s="173"/>
    </row>
    <row r="4" spans="1:21">
      <c r="A4" s="177" t="s">
        <v>9</v>
      </c>
      <c r="B4" s="173" t="s">
        <v>1300</v>
      </c>
      <c r="C4" s="176"/>
      <c r="D4" s="173"/>
      <c r="E4" s="173"/>
      <c r="F4" s="173"/>
      <c r="G4" s="173"/>
      <c r="H4" s="173"/>
      <c r="I4" s="173"/>
      <c r="J4" s="173"/>
      <c r="K4" s="173"/>
      <c r="L4" s="173"/>
      <c r="M4" s="173"/>
      <c r="N4" s="173"/>
      <c r="O4" s="173"/>
      <c r="P4" s="173"/>
      <c r="Q4" s="173"/>
      <c r="R4" s="173"/>
      <c r="S4" s="173"/>
      <c r="T4" s="173"/>
      <c r="U4" s="173"/>
    </row>
    <row r="5" spans="1:21" ht="26.25">
      <c r="A5" s="177" t="s">
        <v>11</v>
      </c>
      <c r="B5" s="179" t="s">
        <v>1301</v>
      </c>
      <c r="C5" s="173"/>
      <c r="D5" s="173"/>
      <c r="E5" s="173"/>
      <c r="F5" s="173"/>
      <c r="G5" s="173"/>
      <c r="H5" s="173"/>
      <c r="I5" s="173"/>
      <c r="J5" s="173"/>
      <c r="K5" s="173"/>
      <c r="L5" s="173"/>
      <c r="M5" s="173"/>
      <c r="N5" s="173"/>
      <c r="O5" s="173"/>
      <c r="P5" s="173"/>
      <c r="Q5" s="173"/>
      <c r="R5" s="173"/>
      <c r="S5" s="173"/>
      <c r="T5" s="173"/>
      <c r="U5" s="173"/>
    </row>
    <row r="6" spans="1:21">
      <c r="A6" s="177" t="s">
        <v>13</v>
      </c>
      <c r="B6" s="173" t="s">
        <v>14</v>
      </c>
      <c r="C6" s="173"/>
      <c r="D6" s="173"/>
      <c r="E6" s="173"/>
      <c r="F6" s="173"/>
      <c r="G6" s="173"/>
      <c r="H6" s="173"/>
      <c r="I6" s="173"/>
      <c r="J6" s="173"/>
      <c r="K6" s="173"/>
      <c r="L6" s="173"/>
      <c r="M6" s="173"/>
      <c r="N6" s="173"/>
      <c r="O6" s="173"/>
      <c r="P6" s="173"/>
      <c r="Q6" s="173"/>
      <c r="R6" s="173"/>
      <c r="S6" s="173"/>
      <c r="T6" s="173"/>
      <c r="U6" s="173"/>
    </row>
    <row r="7" spans="1:21">
      <c r="A7" s="177" t="s">
        <v>15</v>
      </c>
      <c r="B7" s="173">
        <v>1</v>
      </c>
      <c r="C7" s="173"/>
      <c r="D7" s="173"/>
      <c r="E7" s="173"/>
      <c r="F7" s="173"/>
      <c r="G7" s="173"/>
      <c r="H7" s="173"/>
      <c r="I7" s="173"/>
      <c r="J7" s="173"/>
      <c r="K7" s="173"/>
      <c r="L7" s="173"/>
      <c r="M7" s="173"/>
      <c r="N7" s="173"/>
      <c r="O7" s="173"/>
      <c r="P7" s="173"/>
      <c r="Q7" s="173"/>
      <c r="R7" s="173"/>
      <c r="S7" s="173"/>
      <c r="T7" s="173"/>
      <c r="U7" s="173"/>
    </row>
    <row r="8" spans="1:21">
      <c r="A8" s="177" t="s">
        <v>16</v>
      </c>
      <c r="B8" s="173" t="s">
        <v>17</v>
      </c>
      <c r="C8" s="173"/>
      <c r="D8" s="173"/>
      <c r="E8" s="173"/>
      <c r="F8" s="173"/>
      <c r="G8" s="173"/>
      <c r="H8" s="173"/>
      <c r="I8" s="173"/>
      <c r="J8" s="173"/>
      <c r="K8" s="173"/>
      <c r="L8" s="173"/>
      <c r="M8" s="173"/>
      <c r="N8" s="173"/>
      <c r="O8" s="173"/>
      <c r="P8" s="173"/>
      <c r="Q8" s="173"/>
      <c r="R8" s="173"/>
      <c r="S8" s="173"/>
      <c r="T8" s="173"/>
      <c r="U8" s="173"/>
    </row>
    <row r="9" spans="1:21">
      <c r="A9" s="177" t="s">
        <v>18</v>
      </c>
      <c r="B9" s="173" t="s">
        <v>18</v>
      </c>
      <c r="C9" s="173"/>
      <c r="D9" s="173"/>
      <c r="E9" s="173"/>
      <c r="F9" s="173"/>
      <c r="G9" s="173"/>
      <c r="H9" s="173"/>
      <c r="I9" s="173"/>
      <c r="J9" s="173"/>
      <c r="K9" s="173"/>
      <c r="L9" s="173"/>
      <c r="M9" s="173"/>
      <c r="N9" s="173"/>
      <c r="O9" s="173"/>
      <c r="P9" s="173"/>
      <c r="Q9" s="173"/>
      <c r="R9" s="173"/>
      <c r="S9" s="173"/>
      <c r="T9" s="173"/>
      <c r="U9" s="173"/>
    </row>
    <row r="10" spans="1:21">
      <c r="A10" s="174" t="s">
        <v>19</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173"/>
      <c r="S11" s="173"/>
      <c r="T11" s="173"/>
      <c r="U11" s="173"/>
    </row>
    <row r="12" spans="1:21">
      <c r="A12" s="210" t="s">
        <v>1277</v>
      </c>
      <c r="B12" s="173">
        <v>1</v>
      </c>
      <c r="C12" s="173" t="s">
        <v>18</v>
      </c>
      <c r="D12" s="173" t="s">
        <v>2</v>
      </c>
      <c r="E12" s="173" t="s">
        <v>29</v>
      </c>
      <c r="F12" s="185" t="s">
        <v>14</v>
      </c>
      <c r="G12" s="173" t="s">
        <v>30</v>
      </c>
      <c r="H12" s="173">
        <v>1</v>
      </c>
      <c r="I12" s="173">
        <v>1</v>
      </c>
      <c r="J12" s="173" t="s">
        <v>31</v>
      </c>
      <c r="K12" s="173" t="s">
        <v>31</v>
      </c>
      <c r="L12" s="173" t="s">
        <v>31</v>
      </c>
      <c r="M12" s="173" t="s">
        <v>31</v>
      </c>
      <c r="N12" s="173"/>
      <c r="O12" s="173" t="s">
        <v>329</v>
      </c>
      <c r="P12" s="173"/>
      <c r="Q12" s="173"/>
      <c r="R12" s="173"/>
      <c r="S12" s="173"/>
      <c r="T12" s="173"/>
      <c r="U12" s="173"/>
    </row>
    <row r="13" spans="1:21">
      <c r="A13" s="235" t="s">
        <v>1290</v>
      </c>
      <c r="B13" s="173">
        <v>7.7843999999999997E-2</v>
      </c>
      <c r="C13" s="173" t="s">
        <v>37</v>
      </c>
      <c r="D13" s="173" t="s">
        <v>2</v>
      </c>
      <c r="E13" s="173" t="s">
        <v>29</v>
      </c>
      <c r="F13" s="185" t="s">
        <v>14</v>
      </c>
      <c r="G13" s="173" t="s">
        <v>33</v>
      </c>
      <c r="H13" s="173">
        <v>1</v>
      </c>
      <c r="I13" s="173">
        <f>B13</f>
        <v>7.7843999999999997E-2</v>
      </c>
      <c r="J13" s="173" t="s">
        <v>31</v>
      </c>
      <c r="K13" s="173" t="s">
        <v>31</v>
      </c>
      <c r="L13" s="173" t="s">
        <v>31</v>
      </c>
      <c r="M13" s="173" t="s">
        <v>31</v>
      </c>
      <c r="N13" s="173"/>
      <c r="O13" s="173" t="s">
        <v>329</v>
      </c>
      <c r="P13" s="236" t="s">
        <v>947</v>
      </c>
      <c r="Q13" s="237">
        <v>78</v>
      </c>
      <c r="R13" s="173" t="str">
        <f>C13</f>
        <v>kilogram</v>
      </c>
      <c r="S13" s="173">
        <f>0.001*Q13</f>
        <v>7.8E-2</v>
      </c>
      <c r="T13" s="173"/>
      <c r="U13" s="173"/>
    </row>
    <row r="14" spans="1:21">
      <c r="A14" s="235" t="s">
        <v>1294</v>
      </c>
      <c r="B14" s="173">
        <v>9.8095000000000002E-2</v>
      </c>
      <c r="C14" s="173" t="s">
        <v>37</v>
      </c>
      <c r="D14" s="173" t="s">
        <v>2</v>
      </c>
      <c r="E14" s="173" t="s">
        <v>29</v>
      </c>
      <c r="F14" s="185" t="s">
        <v>14</v>
      </c>
      <c r="G14" s="173" t="s">
        <v>33</v>
      </c>
      <c r="H14" s="173">
        <v>1</v>
      </c>
      <c r="I14" s="173">
        <f t="shared" ref="I14:I29" si="0">B14</f>
        <v>9.8095000000000002E-2</v>
      </c>
      <c r="J14" s="173" t="s">
        <v>31</v>
      </c>
      <c r="K14" s="173" t="s">
        <v>31</v>
      </c>
      <c r="L14" s="173" t="s">
        <v>31</v>
      </c>
      <c r="M14" s="173" t="s">
        <v>31</v>
      </c>
      <c r="N14" s="173"/>
      <c r="O14" s="173" t="s">
        <v>329</v>
      </c>
      <c r="P14" s="236" t="s">
        <v>947</v>
      </c>
      <c r="Q14" s="237">
        <v>98</v>
      </c>
      <c r="R14" s="173" t="str">
        <f t="shared" ref="R14:R27" si="1">C14</f>
        <v>kilogram</v>
      </c>
      <c r="S14" s="173">
        <f>0.001*Q14</f>
        <v>9.8000000000000004E-2</v>
      </c>
      <c r="T14" s="173"/>
      <c r="U14" s="173"/>
    </row>
    <row r="15" spans="1:21">
      <c r="A15" s="238" t="s">
        <v>978</v>
      </c>
      <c r="B15" s="173">
        <v>0.26748225000000003</v>
      </c>
      <c r="C15" s="173" t="s">
        <v>37</v>
      </c>
      <c r="D15" s="173" t="s">
        <v>38</v>
      </c>
      <c r="E15" s="173" t="s">
        <v>29</v>
      </c>
      <c r="F15" s="185" t="s">
        <v>60</v>
      </c>
      <c r="G15" s="173" t="s">
        <v>33</v>
      </c>
      <c r="H15" s="173">
        <v>1</v>
      </c>
      <c r="I15" s="173">
        <f t="shared" si="0"/>
        <v>0.26748225000000003</v>
      </c>
      <c r="J15" s="173" t="s">
        <v>31</v>
      </c>
      <c r="K15" s="173" t="s">
        <v>31</v>
      </c>
      <c r="L15" s="173" t="s">
        <v>31</v>
      </c>
      <c r="M15" s="173" t="s">
        <v>31</v>
      </c>
      <c r="N15" s="173"/>
      <c r="O15" s="173" t="s">
        <v>329</v>
      </c>
      <c r="P15" s="236" t="s">
        <v>337</v>
      </c>
      <c r="Q15" s="237">
        <v>0.1</v>
      </c>
      <c r="R15" s="173" t="str">
        <f t="shared" si="1"/>
        <v>kilogram</v>
      </c>
      <c r="S15" s="173">
        <f>Q15</f>
        <v>0.1</v>
      </c>
      <c r="T15" s="173"/>
      <c r="U15" s="173"/>
    </row>
    <row r="16" spans="1:21">
      <c r="A16" s="235" t="s">
        <v>1302</v>
      </c>
      <c r="B16" s="173">
        <v>0.31379100000000004</v>
      </c>
      <c r="C16" s="173" t="s">
        <v>37</v>
      </c>
      <c r="D16" s="173" t="s">
        <v>2</v>
      </c>
      <c r="E16" s="173" t="s">
        <v>29</v>
      </c>
      <c r="F16" s="185" t="s">
        <v>14</v>
      </c>
      <c r="G16" s="173" t="s">
        <v>33</v>
      </c>
      <c r="H16" s="173">
        <v>1</v>
      </c>
      <c r="I16" s="173">
        <f t="shared" si="0"/>
        <v>0.31379100000000004</v>
      </c>
      <c r="J16" s="173" t="s">
        <v>31</v>
      </c>
      <c r="K16" s="173" t="s">
        <v>31</v>
      </c>
      <c r="L16" s="173" t="s">
        <v>31</v>
      </c>
      <c r="M16" s="173" t="s">
        <v>31</v>
      </c>
      <c r="N16" s="173"/>
      <c r="O16" s="173" t="s">
        <v>329</v>
      </c>
      <c r="P16" s="236" t="s">
        <v>337</v>
      </c>
      <c r="Q16" s="237">
        <v>0.9</v>
      </c>
      <c r="R16" s="173" t="str">
        <f t="shared" si="1"/>
        <v>kilogram</v>
      </c>
      <c r="S16" s="173">
        <f>Q16</f>
        <v>0.9</v>
      </c>
      <c r="T16" s="173"/>
      <c r="U16" s="173"/>
    </row>
    <row r="17" spans="1:21">
      <c r="A17" s="239" t="s">
        <v>1303</v>
      </c>
      <c r="B17" s="173">
        <f>S17</f>
        <v>4.9000000000000002E-2</v>
      </c>
      <c r="C17" s="173" t="s">
        <v>206</v>
      </c>
      <c r="D17" s="173" t="s">
        <v>2</v>
      </c>
      <c r="E17" s="173" t="s">
        <v>29</v>
      </c>
      <c r="F17" s="185" t="s">
        <v>14</v>
      </c>
      <c r="G17" s="173" t="s">
        <v>33</v>
      </c>
      <c r="H17" s="173">
        <v>1</v>
      </c>
      <c r="I17" s="173">
        <f t="shared" si="0"/>
        <v>4.9000000000000002E-2</v>
      </c>
      <c r="J17" s="173" t="s">
        <v>31</v>
      </c>
      <c r="K17" s="173" t="s">
        <v>31</v>
      </c>
      <c r="L17" s="173" t="s">
        <v>31</v>
      </c>
      <c r="M17" s="173" t="s">
        <v>31</v>
      </c>
      <c r="N17" s="173"/>
      <c r="O17" s="173" t="s">
        <v>329</v>
      </c>
      <c r="P17" s="236" t="s">
        <v>947</v>
      </c>
      <c r="Q17" s="237">
        <v>245</v>
      </c>
      <c r="R17" s="173" t="str">
        <f t="shared" si="1"/>
        <v>square meter</v>
      </c>
      <c r="S17" s="173">
        <f>(Q17*0.001)*T17</f>
        <v>4.9000000000000002E-2</v>
      </c>
      <c r="T17" s="216">
        <f>'2A. Reusable'!O37</f>
        <v>0.2</v>
      </c>
      <c r="U17" s="216" t="s">
        <v>1304</v>
      </c>
    </row>
    <row r="18" spans="1:21">
      <c r="A18" s="235" t="s">
        <v>1305</v>
      </c>
      <c r="B18" s="173">
        <v>0.38606000000000001</v>
      </c>
      <c r="C18" s="173" t="s">
        <v>37</v>
      </c>
      <c r="D18" s="173" t="s">
        <v>2</v>
      </c>
      <c r="E18" s="173" t="s">
        <v>29</v>
      </c>
      <c r="F18" s="185" t="s">
        <v>14</v>
      </c>
      <c r="G18" s="173" t="s">
        <v>33</v>
      </c>
      <c r="H18" s="173">
        <v>1</v>
      </c>
      <c r="I18" s="173">
        <f t="shared" si="0"/>
        <v>0.38606000000000001</v>
      </c>
      <c r="J18" s="173" t="s">
        <v>31</v>
      </c>
      <c r="K18" s="173" t="s">
        <v>31</v>
      </c>
      <c r="L18" s="173" t="s">
        <v>31</v>
      </c>
      <c r="M18" s="173" t="s">
        <v>31</v>
      </c>
      <c r="N18" s="173"/>
      <c r="O18" s="173" t="s">
        <v>329</v>
      </c>
      <c r="P18" s="236" t="s">
        <v>947</v>
      </c>
      <c r="Q18" s="237">
        <v>507</v>
      </c>
      <c r="R18" s="173" t="str">
        <f t="shared" si="1"/>
        <v>kilogram</v>
      </c>
      <c r="S18" s="173">
        <f t="shared" ref="S18:S21" si="2">0.001*Q18</f>
        <v>0.50700000000000001</v>
      </c>
      <c r="T18" s="173"/>
      <c r="U18" s="173"/>
    </row>
    <row r="19" spans="1:21">
      <c r="A19" s="15" t="s">
        <v>988</v>
      </c>
      <c r="B19" s="173">
        <v>3.98E-3</v>
      </c>
      <c r="C19" s="173" t="s">
        <v>37</v>
      </c>
      <c r="D19" s="173" t="s">
        <v>38</v>
      </c>
      <c r="E19" s="173" t="s">
        <v>29</v>
      </c>
      <c r="F19" s="185" t="s">
        <v>35</v>
      </c>
      <c r="G19" s="173" t="s">
        <v>33</v>
      </c>
      <c r="H19" s="173">
        <v>1</v>
      </c>
      <c r="I19" s="173">
        <f t="shared" si="0"/>
        <v>3.98E-3</v>
      </c>
      <c r="J19" s="173" t="s">
        <v>31</v>
      </c>
      <c r="K19" s="173" t="s">
        <v>31</v>
      </c>
      <c r="L19" s="173" t="s">
        <v>31</v>
      </c>
      <c r="M19" s="173" t="s">
        <v>31</v>
      </c>
      <c r="N19" s="177" t="s">
        <v>989</v>
      </c>
      <c r="O19" s="173" t="s">
        <v>329</v>
      </c>
      <c r="P19" s="236" t="s">
        <v>947</v>
      </c>
      <c r="Q19" s="237">
        <v>3</v>
      </c>
      <c r="R19" s="173" t="str">
        <f t="shared" si="1"/>
        <v>kilogram</v>
      </c>
      <c r="S19" s="173">
        <f t="shared" si="2"/>
        <v>3.0000000000000001E-3</v>
      </c>
      <c r="T19" s="173"/>
      <c r="U19" s="173"/>
    </row>
    <row r="20" spans="1:21">
      <c r="A20" s="15" t="s">
        <v>533</v>
      </c>
      <c r="B20" s="173">
        <v>1.592E-2</v>
      </c>
      <c r="C20" s="173" t="s">
        <v>37</v>
      </c>
      <c r="D20" s="173" t="s">
        <v>38</v>
      </c>
      <c r="E20" s="173" t="s">
        <v>29</v>
      </c>
      <c r="F20" s="185" t="s">
        <v>35</v>
      </c>
      <c r="G20" s="173" t="s">
        <v>33</v>
      </c>
      <c r="H20" s="173">
        <v>1</v>
      </c>
      <c r="I20" s="173">
        <f t="shared" si="0"/>
        <v>1.592E-2</v>
      </c>
      <c r="J20" s="173" t="s">
        <v>31</v>
      </c>
      <c r="K20" s="173" t="s">
        <v>31</v>
      </c>
      <c r="L20" s="173" t="s">
        <v>31</v>
      </c>
      <c r="M20" s="173" t="s">
        <v>31</v>
      </c>
      <c r="N20" s="177" t="s">
        <v>990</v>
      </c>
      <c r="O20" s="173" t="s">
        <v>329</v>
      </c>
      <c r="P20" s="236" t="s">
        <v>947</v>
      </c>
      <c r="Q20" s="237">
        <v>16</v>
      </c>
      <c r="R20" s="173" t="str">
        <f t="shared" si="1"/>
        <v>kilogram</v>
      </c>
      <c r="S20" s="173">
        <f t="shared" si="2"/>
        <v>1.6E-2</v>
      </c>
      <c r="T20" s="173"/>
      <c r="U20" s="173"/>
    </row>
    <row r="21" spans="1:21">
      <c r="A21" s="15" t="s">
        <v>533</v>
      </c>
      <c r="B21" s="173">
        <v>2E-3</v>
      </c>
      <c r="C21" s="173" t="s">
        <v>37</v>
      </c>
      <c r="D21" s="173" t="s">
        <v>38</v>
      </c>
      <c r="E21" s="173" t="s">
        <v>29</v>
      </c>
      <c r="F21" s="185" t="s">
        <v>35</v>
      </c>
      <c r="G21" s="173" t="s">
        <v>33</v>
      </c>
      <c r="H21" s="173">
        <v>1</v>
      </c>
      <c r="I21" s="173">
        <f t="shared" si="0"/>
        <v>2E-3</v>
      </c>
      <c r="J21" s="173" t="s">
        <v>31</v>
      </c>
      <c r="K21" s="173" t="s">
        <v>31</v>
      </c>
      <c r="L21" s="173" t="s">
        <v>31</v>
      </c>
      <c r="M21" s="173" t="s">
        <v>31</v>
      </c>
      <c r="N21" s="240" t="s">
        <v>991</v>
      </c>
      <c r="O21" s="173" t="s">
        <v>329</v>
      </c>
      <c r="P21" s="236" t="s">
        <v>947</v>
      </c>
      <c r="Q21" s="237">
        <v>2</v>
      </c>
      <c r="R21" s="173" t="str">
        <f t="shared" si="1"/>
        <v>kilogram</v>
      </c>
      <c r="S21" s="173">
        <f t="shared" si="2"/>
        <v>2E-3</v>
      </c>
      <c r="T21" s="173"/>
      <c r="U21" s="173"/>
    </row>
    <row r="22" spans="1:21">
      <c r="A22" s="238" t="s">
        <v>1306</v>
      </c>
      <c r="B22" s="173">
        <v>4.2345067071908438E-2</v>
      </c>
      <c r="C22" s="173" t="s">
        <v>37</v>
      </c>
      <c r="D22" s="173" t="s">
        <v>2</v>
      </c>
      <c r="E22" s="173" t="s">
        <v>29</v>
      </c>
      <c r="F22" s="185" t="s">
        <v>14</v>
      </c>
      <c r="G22" s="173" t="s">
        <v>33</v>
      </c>
      <c r="H22" s="173">
        <v>1</v>
      </c>
      <c r="I22" s="173">
        <f t="shared" si="0"/>
        <v>4.2345067071908438E-2</v>
      </c>
      <c r="J22" s="173" t="s">
        <v>31</v>
      </c>
      <c r="K22" s="173" t="s">
        <v>31</v>
      </c>
      <c r="L22" s="173" t="s">
        <v>31</v>
      </c>
      <c r="M22" s="173" t="s">
        <v>31</v>
      </c>
      <c r="N22" s="177"/>
      <c r="O22" s="173" t="s">
        <v>329</v>
      </c>
      <c r="P22" s="236" t="s">
        <v>337</v>
      </c>
      <c r="Q22" s="237">
        <v>0.04</v>
      </c>
      <c r="R22" s="173" t="str">
        <f t="shared" si="1"/>
        <v>kilogram</v>
      </c>
      <c r="S22" s="173">
        <f>Q22</f>
        <v>0.04</v>
      </c>
      <c r="T22" s="173"/>
      <c r="U22" s="173"/>
    </row>
    <row r="23" spans="1:21">
      <c r="A23" s="235" t="s">
        <v>1307</v>
      </c>
      <c r="B23" s="191">
        <f>'2A. Machined casing'!B7</f>
        <v>3.15</v>
      </c>
      <c r="C23" s="173" t="s">
        <v>37</v>
      </c>
      <c r="D23" s="173" t="s">
        <v>2</v>
      </c>
      <c r="E23" s="173" t="s">
        <v>29</v>
      </c>
      <c r="F23" s="185" t="s">
        <v>14</v>
      </c>
      <c r="G23" s="173" t="s">
        <v>33</v>
      </c>
      <c r="H23" s="173">
        <v>1</v>
      </c>
      <c r="I23" s="173">
        <f t="shared" si="0"/>
        <v>3.15</v>
      </c>
      <c r="J23" s="173" t="s">
        <v>31</v>
      </c>
      <c r="K23" s="173" t="s">
        <v>31</v>
      </c>
      <c r="L23" s="173" t="s">
        <v>31</v>
      </c>
      <c r="M23" s="173" t="s">
        <v>31</v>
      </c>
      <c r="N23" s="177" t="s">
        <v>1121</v>
      </c>
      <c r="O23" s="173" t="s">
        <v>329</v>
      </c>
      <c r="P23" s="241" t="s">
        <v>337</v>
      </c>
      <c r="Q23" s="237">
        <v>3.08</v>
      </c>
      <c r="R23" s="173" t="str">
        <f t="shared" si="1"/>
        <v>kilogram</v>
      </c>
      <c r="S23" s="173">
        <f>Q23</f>
        <v>3.08</v>
      </c>
      <c r="T23" s="173" t="s">
        <v>1308</v>
      </c>
      <c r="U23" s="173"/>
    </row>
    <row r="24" spans="1:21">
      <c r="A24" s="15" t="s">
        <v>995</v>
      </c>
      <c r="B24" s="173">
        <v>6.79E-3</v>
      </c>
      <c r="C24" s="173" t="s">
        <v>37</v>
      </c>
      <c r="D24" s="173" t="s">
        <v>38</v>
      </c>
      <c r="E24" s="173" t="s">
        <v>29</v>
      </c>
      <c r="F24" s="185" t="s">
        <v>86</v>
      </c>
      <c r="G24" s="173" t="s">
        <v>33</v>
      </c>
      <c r="H24" s="173">
        <v>1</v>
      </c>
      <c r="I24" s="173">
        <f t="shared" si="0"/>
        <v>6.79E-3</v>
      </c>
      <c r="J24" s="173" t="s">
        <v>31</v>
      </c>
      <c r="K24" s="173" t="s">
        <v>31</v>
      </c>
      <c r="L24" s="173" t="s">
        <v>31</v>
      </c>
      <c r="M24" s="173" t="s">
        <v>31</v>
      </c>
      <c r="N24" s="177" t="s">
        <v>996</v>
      </c>
      <c r="O24" s="173" t="s">
        <v>329</v>
      </c>
      <c r="P24" s="242" t="s">
        <v>947</v>
      </c>
      <c r="Q24" s="243">
        <v>7</v>
      </c>
      <c r="R24" s="173" t="str">
        <f t="shared" si="1"/>
        <v>kilogram</v>
      </c>
      <c r="S24" s="173">
        <f t="shared" ref="S24:S26" si="3">0.001*Q24</f>
        <v>7.0000000000000001E-3</v>
      </c>
      <c r="T24" s="173"/>
      <c r="U24" s="173"/>
    </row>
    <row r="25" spans="1:21">
      <c r="A25" s="15" t="s">
        <v>997</v>
      </c>
      <c r="B25" s="173">
        <v>1.4550000000000001E-3</v>
      </c>
      <c r="C25" s="173" t="s">
        <v>37</v>
      </c>
      <c r="D25" s="173" t="s">
        <v>38</v>
      </c>
      <c r="E25" s="173" t="s">
        <v>29</v>
      </c>
      <c r="F25" s="185" t="s">
        <v>60</v>
      </c>
      <c r="G25" s="173" t="s">
        <v>33</v>
      </c>
      <c r="H25" s="173">
        <v>1</v>
      </c>
      <c r="I25" s="173">
        <f t="shared" si="0"/>
        <v>1.4550000000000001E-3</v>
      </c>
      <c r="J25" s="173" t="s">
        <v>31</v>
      </c>
      <c r="K25" s="173" t="s">
        <v>31</v>
      </c>
      <c r="L25" s="173" t="s">
        <v>31</v>
      </c>
      <c r="M25" s="173" t="s">
        <v>31</v>
      </c>
      <c r="N25" s="173" t="s">
        <v>998</v>
      </c>
      <c r="O25" s="173" t="s">
        <v>329</v>
      </c>
      <c r="P25" s="242" t="s">
        <v>947</v>
      </c>
      <c r="Q25" s="243">
        <v>1</v>
      </c>
      <c r="R25" s="173" t="str">
        <f t="shared" si="1"/>
        <v>kilogram</v>
      </c>
      <c r="S25" s="173">
        <f t="shared" si="3"/>
        <v>1E-3</v>
      </c>
      <c r="T25" s="173"/>
      <c r="U25" s="173"/>
    </row>
    <row r="26" spans="1:21">
      <c r="A26" s="15" t="s">
        <v>533</v>
      </c>
      <c r="B26" s="173">
        <v>1.4550000000000001E-3</v>
      </c>
      <c r="C26" s="173" t="s">
        <v>37</v>
      </c>
      <c r="D26" s="173" t="s">
        <v>38</v>
      </c>
      <c r="E26" s="173" t="s">
        <v>29</v>
      </c>
      <c r="F26" s="185" t="s">
        <v>35</v>
      </c>
      <c r="G26" s="173" t="s">
        <v>33</v>
      </c>
      <c r="H26" s="173">
        <v>1</v>
      </c>
      <c r="I26" s="173">
        <f t="shared" si="0"/>
        <v>1.4550000000000001E-3</v>
      </c>
      <c r="J26" s="173" t="s">
        <v>31</v>
      </c>
      <c r="K26" s="173" t="s">
        <v>31</v>
      </c>
      <c r="L26" s="173" t="s">
        <v>31</v>
      </c>
      <c r="M26" s="173" t="s">
        <v>31</v>
      </c>
      <c r="N26" s="173" t="s">
        <v>999</v>
      </c>
      <c r="O26" s="173" t="s">
        <v>329</v>
      </c>
      <c r="P26" s="242" t="s">
        <v>947</v>
      </c>
      <c r="Q26" s="243">
        <v>1</v>
      </c>
      <c r="R26" s="173" t="str">
        <f t="shared" si="1"/>
        <v>kilogram</v>
      </c>
      <c r="S26" s="173">
        <f t="shared" si="3"/>
        <v>1E-3</v>
      </c>
      <c r="T26" s="173"/>
      <c r="U26" s="173"/>
    </row>
    <row r="27" spans="1:21">
      <c r="A27" s="244" t="s">
        <v>168</v>
      </c>
      <c r="B27" s="173">
        <f>0.4+0.6</f>
        <v>1</v>
      </c>
      <c r="C27" s="173" t="s">
        <v>41</v>
      </c>
      <c r="D27" s="173" t="s">
        <v>38</v>
      </c>
      <c r="E27" s="173" t="s">
        <v>29</v>
      </c>
      <c r="F27" s="173" t="s">
        <v>14</v>
      </c>
      <c r="G27" s="173" t="s">
        <v>33</v>
      </c>
      <c r="H27" s="173">
        <v>1</v>
      </c>
      <c r="I27" s="173">
        <f t="shared" si="0"/>
        <v>1</v>
      </c>
      <c r="J27" s="173" t="s">
        <v>31</v>
      </c>
      <c r="K27" s="173" t="s">
        <v>31</v>
      </c>
      <c r="L27" s="173" t="s">
        <v>31</v>
      </c>
      <c r="M27" s="173" t="s">
        <v>31</v>
      </c>
      <c r="N27" s="173" t="s">
        <v>1309</v>
      </c>
      <c r="O27" s="173" t="s">
        <v>329</v>
      </c>
      <c r="P27" s="241"/>
      <c r="Q27" s="237"/>
      <c r="R27" s="173" t="str">
        <f t="shared" si="1"/>
        <v>kilowatt hour</v>
      </c>
      <c r="S27" s="173"/>
      <c r="T27" s="173"/>
      <c r="U27" s="173"/>
    </row>
    <row r="28" spans="1:21">
      <c r="A28" s="244" t="s">
        <v>168</v>
      </c>
      <c r="B28" s="173">
        <v>1.4</v>
      </c>
      <c r="C28" s="173" t="s">
        <v>41</v>
      </c>
      <c r="D28" s="173" t="s">
        <v>38</v>
      </c>
      <c r="E28" s="173" t="s">
        <v>29</v>
      </c>
      <c r="F28" s="173" t="s">
        <v>14</v>
      </c>
      <c r="G28" s="173" t="s">
        <v>33</v>
      </c>
      <c r="H28" s="173">
        <v>1</v>
      </c>
      <c r="I28" s="173">
        <f t="shared" si="0"/>
        <v>1.4</v>
      </c>
      <c r="J28" s="173" t="s">
        <v>31</v>
      </c>
      <c r="K28" s="173" t="s">
        <v>31</v>
      </c>
      <c r="L28" s="173" t="s">
        <v>31</v>
      </c>
      <c r="M28" s="173" t="s">
        <v>31</v>
      </c>
      <c r="N28" s="173" t="s">
        <v>1001</v>
      </c>
      <c r="O28" s="173" t="s">
        <v>329</v>
      </c>
      <c r="P28" s="173"/>
      <c r="Q28" s="173"/>
      <c r="R28" s="173"/>
      <c r="S28" s="173"/>
      <c r="T28" s="173"/>
      <c r="U28" s="173"/>
    </row>
    <row r="29" spans="1:21">
      <c r="A29" s="244" t="s">
        <v>168</v>
      </c>
      <c r="B29" s="173">
        <v>1.5</v>
      </c>
      <c r="C29" s="173" t="s">
        <v>41</v>
      </c>
      <c r="D29" s="173" t="s">
        <v>38</v>
      </c>
      <c r="E29" s="173" t="s">
        <v>29</v>
      </c>
      <c r="F29" s="173" t="s">
        <v>14</v>
      </c>
      <c r="G29" s="173" t="s">
        <v>33</v>
      </c>
      <c r="H29" s="173">
        <v>1</v>
      </c>
      <c r="I29" s="173">
        <f t="shared" si="0"/>
        <v>1.5</v>
      </c>
      <c r="J29" s="173" t="s">
        <v>31</v>
      </c>
      <c r="K29" s="173" t="s">
        <v>31</v>
      </c>
      <c r="L29" s="173" t="s">
        <v>31</v>
      </c>
      <c r="M29" s="173" t="s">
        <v>31</v>
      </c>
      <c r="N29" s="173" t="s">
        <v>1002</v>
      </c>
      <c r="O29" s="173" t="s">
        <v>329</v>
      </c>
      <c r="P29" s="173"/>
      <c r="Q29" s="173"/>
      <c r="R29" s="173"/>
      <c r="S29" s="173"/>
      <c r="T29" s="173"/>
      <c r="U29" s="173"/>
    </row>
    <row r="30" spans="1:21" ht="15.75">
      <c r="A30" s="245"/>
      <c r="B30" s="246"/>
      <c r="C30" s="120"/>
      <c r="D30" s="42"/>
      <c r="E30" s="42"/>
      <c r="F30" s="42"/>
      <c r="G30" s="42"/>
      <c r="H30" s="42"/>
      <c r="I30" s="42"/>
      <c r="J30" s="42"/>
      <c r="K30" s="42"/>
      <c r="L30" s="42"/>
      <c r="M30" s="42"/>
      <c r="N30" s="173" t="s">
        <v>1310</v>
      </c>
    </row>
    <row r="31" spans="1:21">
      <c r="A31" s="247"/>
      <c r="C31" s="23"/>
      <c r="N31" s="173" t="s">
        <v>1311</v>
      </c>
      <c r="O31" s="248">
        <f>SUM(B13:B26)-B17+0.245</f>
        <v>4.6122173170719076</v>
      </c>
    </row>
    <row r="32" spans="1:21">
      <c r="A32" s="247"/>
      <c r="C32" s="23"/>
    </row>
    <row r="33" spans="1:14">
      <c r="A33" s="247"/>
      <c r="B33" s="249"/>
    </row>
    <row r="35" spans="1:14">
      <c r="A35" s="247"/>
    </row>
    <row r="37" spans="1:14" ht="15.75">
      <c r="A37" s="30"/>
      <c r="B37" s="250"/>
      <c r="D37" s="17"/>
      <c r="F37" s="251"/>
    </row>
    <row r="38" spans="1:14" ht="15.75">
      <c r="A38" s="252"/>
    </row>
    <row r="39" spans="1:14" ht="15.75">
      <c r="A39" s="252"/>
      <c r="B39" s="16"/>
      <c r="C39" s="16"/>
      <c r="D39" s="16"/>
      <c r="E39" s="16"/>
      <c r="F39" s="16"/>
      <c r="G39" s="16"/>
      <c r="H39" s="16"/>
      <c r="I39" s="16"/>
      <c r="J39" s="16"/>
      <c r="K39" s="16"/>
      <c r="L39" s="16"/>
      <c r="M39" s="16"/>
      <c r="N39" s="16"/>
    </row>
    <row r="40" spans="1:14" ht="15.75">
      <c r="A40" s="253"/>
      <c r="D40" s="17"/>
      <c r="F40" s="251"/>
    </row>
    <row r="41" spans="1:14" ht="15.75">
      <c r="A41" s="253"/>
      <c r="D41" s="17"/>
      <c r="F41" s="251"/>
    </row>
    <row r="42" spans="1:14" ht="15.75">
      <c r="A42" s="253"/>
      <c r="D42" s="17"/>
      <c r="F42" s="251"/>
    </row>
    <row r="43" spans="1:14" ht="15.75">
      <c r="A43" s="253"/>
      <c r="D43" s="17"/>
      <c r="F43" s="251"/>
    </row>
    <row r="44" spans="1:14" ht="15.75">
      <c r="A44" s="253"/>
      <c r="D44" s="17"/>
      <c r="F44" s="251"/>
    </row>
    <row r="45" spans="1:14" ht="15.75">
      <c r="A45" s="253"/>
      <c r="D45" s="17"/>
      <c r="F45" s="251"/>
    </row>
    <row r="46" spans="1:14" ht="15.75">
      <c r="A46" s="253"/>
      <c r="D46" s="17"/>
      <c r="F46" s="251"/>
    </row>
    <row r="47" spans="1:14" ht="15.75">
      <c r="A47" s="253"/>
      <c r="D47" s="17"/>
      <c r="F47" s="251"/>
    </row>
    <row r="48" spans="1:14" ht="15.75">
      <c r="A48" s="253"/>
      <c r="D48" s="17"/>
      <c r="F48" s="251"/>
    </row>
    <row r="49" spans="1:6" ht="15.75">
      <c r="A49" s="253"/>
      <c r="D49" s="17"/>
      <c r="F49" s="251"/>
    </row>
    <row r="50" spans="1:6" ht="15.75">
      <c r="A50" s="253"/>
      <c r="D50" s="17"/>
      <c r="F50" s="251"/>
    </row>
    <row r="51" spans="1:6" ht="15.75">
      <c r="A51" s="253"/>
      <c r="D51" s="17"/>
      <c r="F51" s="251"/>
    </row>
    <row r="52" spans="1:6" ht="15.75">
      <c r="A52" s="253"/>
      <c r="D52" s="17"/>
      <c r="F52" s="251"/>
    </row>
    <row r="53" spans="1:6" ht="15.75">
      <c r="A53" s="253"/>
      <c r="D53" s="17"/>
      <c r="F53" s="251"/>
    </row>
    <row r="54" spans="1:6" ht="15.75">
      <c r="A54" s="17"/>
      <c r="D54" s="17"/>
      <c r="F54" s="251"/>
    </row>
    <row r="55" spans="1:6" ht="15.75">
      <c r="A55" s="17"/>
      <c r="D55" s="17"/>
    </row>
    <row r="56" spans="1:6" ht="15.75">
      <c r="A56" s="253"/>
      <c r="D56" s="17"/>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8216-84AC-488F-AD00-B8EF54D180BA}">
  <sheetPr>
    <tabColor theme="5"/>
  </sheetPr>
  <dimension ref="A1:T104"/>
  <sheetViews>
    <sheetView topLeftCell="A73"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0">
      <c r="A1" s="173" t="s">
        <v>0</v>
      </c>
      <c r="B1" s="173">
        <v>13</v>
      </c>
      <c r="C1" s="173"/>
      <c r="D1" s="173"/>
      <c r="E1" s="173"/>
      <c r="F1" s="173"/>
      <c r="G1" s="173"/>
      <c r="H1" s="173"/>
      <c r="I1" s="173"/>
      <c r="J1" s="173"/>
      <c r="K1" s="173"/>
      <c r="L1" s="173"/>
      <c r="M1" s="173"/>
      <c r="N1" s="173"/>
      <c r="O1" s="173"/>
      <c r="P1" s="173"/>
      <c r="Q1" s="173"/>
      <c r="R1" s="173"/>
      <c r="S1" s="173"/>
      <c r="T1" s="173"/>
    </row>
    <row r="2" spans="1:20">
      <c r="A2" s="254" t="s">
        <v>5</v>
      </c>
      <c r="B2" s="255" t="s">
        <v>1303</v>
      </c>
      <c r="C2" s="211"/>
      <c r="D2" s="188"/>
      <c r="E2" s="188"/>
      <c r="F2" s="188"/>
      <c r="G2" s="188"/>
      <c r="H2" s="188"/>
      <c r="I2" s="188"/>
      <c r="J2" s="188"/>
      <c r="K2" s="188"/>
      <c r="L2" s="188"/>
      <c r="M2" s="188"/>
      <c r="N2" s="188"/>
      <c r="O2" s="188"/>
      <c r="P2" s="188"/>
      <c r="Q2" s="188"/>
      <c r="R2" s="188"/>
      <c r="S2" s="173"/>
      <c r="T2" s="173"/>
    </row>
    <row r="3" spans="1:20">
      <c r="A3" s="256" t="s">
        <v>7</v>
      </c>
      <c r="B3" s="173" t="s">
        <v>566</v>
      </c>
      <c r="C3" s="176"/>
      <c r="D3" s="173"/>
      <c r="E3" s="173"/>
      <c r="F3" s="173"/>
      <c r="G3" s="173"/>
      <c r="H3" s="173"/>
      <c r="I3" s="173"/>
      <c r="J3" s="173"/>
      <c r="K3" s="173"/>
      <c r="L3" s="173"/>
      <c r="M3" s="173"/>
      <c r="N3" s="173"/>
      <c r="O3" s="173"/>
      <c r="P3" s="173"/>
      <c r="Q3" s="173"/>
      <c r="R3" s="173"/>
      <c r="S3" s="173"/>
      <c r="T3" s="173"/>
    </row>
    <row r="4" spans="1:20">
      <c r="A4" s="256" t="s">
        <v>9</v>
      </c>
      <c r="B4" s="173" t="s">
        <v>1312</v>
      </c>
      <c r="C4" s="176"/>
      <c r="D4" s="173"/>
      <c r="E4" s="173"/>
      <c r="F4" s="173"/>
      <c r="G4" s="173"/>
      <c r="H4" s="173"/>
      <c r="I4" s="173"/>
      <c r="J4" s="173"/>
      <c r="K4" s="173"/>
      <c r="L4" s="173"/>
      <c r="M4" s="173"/>
      <c r="N4" s="173"/>
      <c r="O4" s="173"/>
      <c r="P4" s="173"/>
      <c r="Q4" s="173"/>
      <c r="R4" s="173"/>
      <c r="S4" s="173"/>
      <c r="T4" s="173"/>
    </row>
    <row r="5" spans="1:20" ht="12.75" customHeight="1">
      <c r="A5" s="256" t="s">
        <v>11</v>
      </c>
      <c r="B5" s="179" t="s">
        <v>913</v>
      </c>
      <c r="C5" s="173"/>
      <c r="D5" s="173"/>
      <c r="E5" s="173"/>
      <c r="F5" s="173"/>
      <c r="G5" s="173"/>
      <c r="H5" s="173"/>
      <c r="I5" s="173"/>
      <c r="J5" s="173"/>
      <c r="K5" s="173"/>
      <c r="L5" s="173"/>
      <c r="M5" s="173"/>
      <c r="N5" s="173"/>
      <c r="O5" s="173"/>
      <c r="P5" s="173"/>
      <c r="Q5" s="173"/>
      <c r="R5" s="173"/>
      <c r="S5" s="173"/>
      <c r="T5" s="173"/>
    </row>
    <row r="6" spans="1:20">
      <c r="A6" s="256" t="s">
        <v>13</v>
      </c>
      <c r="B6" s="173" t="s">
        <v>14</v>
      </c>
      <c r="C6" s="173"/>
      <c r="D6" s="173"/>
      <c r="E6" s="173"/>
      <c r="F6" s="173"/>
      <c r="G6" s="173"/>
      <c r="H6" s="173"/>
      <c r="I6" s="173"/>
      <c r="J6" s="173"/>
      <c r="K6" s="173"/>
      <c r="L6" s="173"/>
      <c r="M6" s="173"/>
      <c r="N6" s="173"/>
      <c r="O6" s="173"/>
      <c r="P6" s="173"/>
      <c r="Q6" s="173"/>
      <c r="R6" s="173"/>
      <c r="S6" s="173"/>
      <c r="T6" s="173"/>
    </row>
    <row r="7" spans="1:20">
      <c r="A7" s="256" t="s">
        <v>15</v>
      </c>
      <c r="B7" s="173">
        <f>B12</f>
        <v>4.0000000000000001E-3</v>
      </c>
      <c r="C7" s="173"/>
      <c r="D7" s="173"/>
      <c r="E7" s="173"/>
      <c r="F7" s="173"/>
      <c r="G7" s="173"/>
      <c r="H7" s="173"/>
      <c r="I7" s="173"/>
      <c r="J7" s="173"/>
      <c r="K7" s="173"/>
      <c r="L7" s="173"/>
      <c r="M7" s="173"/>
      <c r="N7" s="173"/>
      <c r="O7" s="173"/>
      <c r="P7" s="173"/>
      <c r="Q7" s="173"/>
      <c r="R7" s="173"/>
      <c r="S7" s="173"/>
      <c r="T7" s="173"/>
    </row>
    <row r="8" spans="1:20">
      <c r="A8" s="256" t="s">
        <v>16</v>
      </c>
      <c r="B8" s="173" t="s">
        <v>17</v>
      </c>
      <c r="C8" s="173"/>
      <c r="D8" s="173"/>
      <c r="E8" s="173"/>
      <c r="F8" s="173"/>
      <c r="G8" s="173"/>
      <c r="H8" s="173"/>
      <c r="I8" s="173"/>
      <c r="J8" s="173"/>
      <c r="K8" s="173"/>
      <c r="L8" s="173"/>
      <c r="M8" s="173"/>
      <c r="N8" s="173"/>
      <c r="O8" s="173"/>
      <c r="P8" s="173"/>
      <c r="Q8" s="173"/>
      <c r="R8" s="173"/>
      <c r="S8" s="173"/>
      <c r="T8" s="173"/>
    </row>
    <row r="9" spans="1:20">
      <c r="A9" s="256" t="s">
        <v>18</v>
      </c>
      <c r="B9" s="173" t="s">
        <v>206</v>
      </c>
      <c r="C9" s="173"/>
      <c r="D9" s="173"/>
      <c r="E9" s="173"/>
      <c r="F9" s="173"/>
      <c r="G9" s="173"/>
      <c r="H9" s="173"/>
      <c r="I9" s="173"/>
      <c r="J9" s="173"/>
      <c r="K9" s="173"/>
      <c r="L9" s="173"/>
      <c r="M9" s="173"/>
      <c r="N9" s="173"/>
      <c r="O9" s="173"/>
      <c r="P9" s="173"/>
      <c r="Q9" s="173"/>
      <c r="R9" s="173"/>
      <c r="S9" s="173"/>
      <c r="T9" s="173"/>
    </row>
    <row r="10" spans="1:20">
      <c r="A10" s="257" t="s">
        <v>19</v>
      </c>
      <c r="B10" s="173"/>
      <c r="C10" s="173"/>
      <c r="D10" s="173"/>
      <c r="E10" s="173"/>
      <c r="F10" s="173"/>
      <c r="G10" s="173"/>
      <c r="H10" s="173"/>
      <c r="I10" s="173"/>
      <c r="J10" s="173"/>
      <c r="K10" s="173"/>
      <c r="L10" s="173"/>
      <c r="M10" s="173"/>
      <c r="N10" s="173"/>
      <c r="O10" s="173"/>
      <c r="P10" s="173"/>
      <c r="Q10" s="173"/>
      <c r="R10" s="173"/>
      <c r="S10" s="173"/>
      <c r="T10" s="173"/>
    </row>
    <row r="11" spans="1:20">
      <c r="A11" s="257"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173"/>
      <c r="S11" s="173"/>
      <c r="T11" s="173"/>
    </row>
    <row r="12" spans="1:20">
      <c r="A12" s="178" t="s">
        <v>1303</v>
      </c>
      <c r="B12" s="173">
        <v>4.0000000000000001E-3</v>
      </c>
      <c r="C12" s="173" t="s">
        <v>206</v>
      </c>
      <c r="D12" s="258" t="s">
        <v>2</v>
      </c>
      <c r="E12" s="173" t="s">
        <v>29</v>
      </c>
      <c r="F12" s="185" t="s">
        <v>14</v>
      </c>
      <c r="G12" s="173" t="s">
        <v>30</v>
      </c>
      <c r="H12" s="173">
        <v>1</v>
      </c>
      <c r="I12" s="173">
        <f>B12</f>
        <v>4.0000000000000001E-3</v>
      </c>
      <c r="J12" s="173" t="s">
        <v>31</v>
      </c>
      <c r="K12" s="173" t="s">
        <v>31</v>
      </c>
      <c r="L12" s="173" t="s">
        <v>31</v>
      </c>
      <c r="M12" s="173" t="s">
        <v>31</v>
      </c>
      <c r="N12" s="173"/>
      <c r="O12" s="259"/>
      <c r="P12" s="260"/>
      <c r="Q12" s="173"/>
      <c r="R12" s="173"/>
      <c r="S12" s="173"/>
      <c r="T12" s="173"/>
    </row>
    <row r="13" spans="1:20">
      <c r="A13" s="178" t="s">
        <v>1313</v>
      </c>
      <c r="B13" s="173">
        <v>4.0000000000000001E-3</v>
      </c>
      <c r="C13" s="173" t="s">
        <v>37</v>
      </c>
      <c r="D13" s="258" t="s">
        <v>2</v>
      </c>
      <c r="E13" s="173" t="s">
        <v>29</v>
      </c>
      <c r="F13" s="185" t="s">
        <v>14</v>
      </c>
      <c r="G13" s="173" t="s">
        <v>33</v>
      </c>
      <c r="H13" s="173">
        <v>1</v>
      </c>
      <c r="I13" s="173">
        <f t="shared" ref="I13:I14" si="0">B13</f>
        <v>4.0000000000000001E-3</v>
      </c>
      <c r="J13" s="173" t="s">
        <v>31</v>
      </c>
      <c r="K13" s="173" t="s">
        <v>31</v>
      </c>
      <c r="L13" s="173" t="s">
        <v>31</v>
      </c>
      <c r="M13" s="173" t="s">
        <v>31</v>
      </c>
      <c r="N13" s="173"/>
      <c r="O13" s="214" t="s">
        <v>945</v>
      </c>
      <c r="P13" s="173">
        <v>1E-3</v>
      </c>
      <c r="Q13" s="173">
        <f>O37</f>
        <v>0.2</v>
      </c>
      <c r="R13" s="173" t="s">
        <v>1314</v>
      </c>
      <c r="S13" s="173">
        <f>P13/Q13</f>
        <v>5.0000000000000001E-3</v>
      </c>
      <c r="T13" s="173" t="s">
        <v>337</v>
      </c>
    </row>
    <row r="14" spans="1:20">
      <c r="A14" s="178" t="s">
        <v>1315</v>
      </c>
      <c r="B14" s="173">
        <v>1E-3</v>
      </c>
      <c r="C14" s="173" t="s">
        <v>206</v>
      </c>
      <c r="D14" s="258" t="s">
        <v>2</v>
      </c>
      <c r="E14" s="173" t="s">
        <v>29</v>
      </c>
      <c r="F14" s="185" t="s">
        <v>14</v>
      </c>
      <c r="G14" s="173" t="s">
        <v>33</v>
      </c>
      <c r="H14" s="173">
        <v>1</v>
      </c>
      <c r="I14" s="173">
        <f t="shared" si="0"/>
        <v>1E-3</v>
      </c>
      <c r="J14" s="173" t="s">
        <v>31</v>
      </c>
      <c r="K14" s="173" t="s">
        <v>31</v>
      </c>
      <c r="L14" s="173" t="s">
        <v>31</v>
      </c>
      <c r="M14" s="173" t="s">
        <v>31</v>
      </c>
      <c r="N14" s="173"/>
      <c r="O14" s="173"/>
      <c r="P14" s="173"/>
      <c r="Q14" s="216"/>
      <c r="R14" s="261" t="s">
        <v>1316</v>
      </c>
      <c r="S14" s="173"/>
      <c r="T14" s="173"/>
    </row>
    <row r="15" spans="1:20">
      <c r="A15" s="262" t="s">
        <v>933</v>
      </c>
      <c r="B15" s="173">
        <f>P15</f>
        <v>0.03</v>
      </c>
      <c r="C15" s="173" t="s">
        <v>37</v>
      </c>
      <c r="D15" s="173" t="s">
        <v>38</v>
      </c>
      <c r="E15" s="173" t="s">
        <v>29</v>
      </c>
      <c r="F15" s="185" t="s">
        <v>39</v>
      </c>
      <c r="G15" s="173" t="s">
        <v>33</v>
      </c>
      <c r="H15" s="173">
        <v>2</v>
      </c>
      <c r="I15" s="173">
        <f>LN(B15)</f>
        <v>-3.5065578973199818</v>
      </c>
      <c r="J15" s="263">
        <v>0.11236102527122109</v>
      </c>
      <c r="K15" s="173" t="s">
        <v>31</v>
      </c>
      <c r="L15" s="173" t="s">
        <v>31</v>
      </c>
      <c r="M15" s="173" t="s">
        <v>31</v>
      </c>
      <c r="N15" s="173"/>
      <c r="O15" s="242" t="s">
        <v>337</v>
      </c>
      <c r="P15" s="264">
        <v>0.03</v>
      </c>
      <c r="Q15" s="173"/>
      <c r="R15" s="173"/>
      <c r="S15" s="173"/>
      <c r="T15" s="173"/>
    </row>
    <row r="16" spans="1:20">
      <c r="A16" s="262" t="s">
        <v>1008</v>
      </c>
      <c r="B16" s="265">
        <f>Q16</f>
        <v>1.6999999999999999E-9</v>
      </c>
      <c r="C16" s="173" t="s">
        <v>37</v>
      </c>
      <c r="D16" s="173" t="s">
        <v>38</v>
      </c>
      <c r="E16" s="173" t="s">
        <v>29</v>
      </c>
      <c r="F16" s="185" t="s">
        <v>60</v>
      </c>
      <c r="G16" s="173" t="s">
        <v>33</v>
      </c>
      <c r="H16" s="173">
        <v>2</v>
      </c>
      <c r="I16" s="173">
        <f t="shared" ref="I16:I17" si="1">LN(B16)</f>
        <v>-20.192637585884242</v>
      </c>
      <c r="J16" s="263">
        <v>0.11236102527122109</v>
      </c>
      <c r="K16" s="173" t="s">
        <v>31</v>
      </c>
      <c r="L16" s="173" t="s">
        <v>31</v>
      </c>
      <c r="M16" s="173" t="s">
        <v>31</v>
      </c>
      <c r="N16" s="173"/>
      <c r="O16" s="266" t="s">
        <v>952</v>
      </c>
      <c r="P16" s="267">
        <v>1.6999999999999999E-3</v>
      </c>
      <c r="Q16" s="265">
        <f>P16*10^(-6)</f>
        <v>1.6999999999999999E-9</v>
      </c>
      <c r="R16" s="173" t="s">
        <v>37</v>
      </c>
      <c r="S16" s="173"/>
      <c r="T16" s="173"/>
    </row>
    <row r="17" spans="1:20">
      <c r="A17" s="262" t="s">
        <v>489</v>
      </c>
      <c r="B17" s="173">
        <f>Q17</f>
        <v>2.9999999999999997E-5</v>
      </c>
      <c r="C17" s="173" t="s">
        <v>50</v>
      </c>
      <c r="D17" s="173" t="s">
        <v>38</v>
      </c>
      <c r="E17" s="173" t="s">
        <v>29</v>
      </c>
      <c r="F17" s="185" t="s">
        <v>39</v>
      </c>
      <c r="G17" s="173" t="s">
        <v>33</v>
      </c>
      <c r="H17" s="173">
        <v>2</v>
      </c>
      <c r="I17" s="173">
        <f t="shared" si="1"/>
        <v>-10.41431317630212</v>
      </c>
      <c r="J17" s="263">
        <v>0.11236102527122109</v>
      </c>
      <c r="K17" s="173" t="s">
        <v>31</v>
      </c>
      <c r="L17" s="173" t="s">
        <v>31</v>
      </c>
      <c r="M17" s="173" t="s">
        <v>31</v>
      </c>
      <c r="N17" s="173"/>
      <c r="O17" s="268" t="s">
        <v>1009</v>
      </c>
      <c r="P17" s="269">
        <v>0.03</v>
      </c>
      <c r="Q17" s="173">
        <f>P17/1000</f>
        <v>2.9999999999999997E-5</v>
      </c>
      <c r="R17" s="173" t="s">
        <v>1010</v>
      </c>
      <c r="S17" s="173"/>
      <c r="T17" s="173"/>
    </row>
    <row r="18" spans="1:20">
      <c r="A18" s="254" t="s">
        <v>5</v>
      </c>
      <c r="B18" s="255" t="s">
        <v>1313</v>
      </c>
      <c r="C18" s="211"/>
      <c r="D18" s="188"/>
      <c r="E18" s="188"/>
      <c r="F18" s="188"/>
      <c r="G18" s="188"/>
      <c r="H18" s="188"/>
      <c r="I18" s="188"/>
      <c r="J18" s="188"/>
      <c r="K18" s="188"/>
      <c r="L18" s="188"/>
      <c r="M18" s="188"/>
      <c r="N18" s="188"/>
      <c r="O18" s="188"/>
      <c r="P18" s="188"/>
      <c r="Q18" s="188"/>
      <c r="R18" s="188"/>
      <c r="S18" s="173"/>
      <c r="T18" s="173"/>
    </row>
    <row r="19" spans="1:20">
      <c r="A19" s="256" t="s">
        <v>7</v>
      </c>
      <c r="B19" s="173" t="s">
        <v>566</v>
      </c>
      <c r="C19" s="176"/>
      <c r="D19" s="173"/>
      <c r="E19" s="173"/>
      <c r="F19" s="173"/>
      <c r="G19" s="173"/>
      <c r="H19" s="173"/>
      <c r="I19" s="173"/>
      <c r="J19" s="173"/>
      <c r="K19" s="173"/>
      <c r="L19" s="173"/>
      <c r="M19" s="173"/>
      <c r="N19" s="173"/>
      <c r="O19" s="173"/>
      <c r="P19" s="173"/>
      <c r="Q19" s="173"/>
      <c r="R19" s="173"/>
      <c r="S19" s="173"/>
      <c r="T19" s="173"/>
    </row>
    <row r="20" spans="1:20">
      <c r="A20" s="256" t="s">
        <v>9</v>
      </c>
      <c r="B20" s="173" t="s">
        <v>1317</v>
      </c>
      <c r="C20" s="176"/>
      <c r="D20" s="173"/>
      <c r="E20" s="173"/>
      <c r="F20" s="173"/>
      <c r="G20" s="173"/>
      <c r="H20" s="173"/>
      <c r="I20" s="173"/>
      <c r="J20" s="173"/>
      <c r="K20" s="173"/>
      <c r="L20" s="173"/>
      <c r="M20" s="173"/>
      <c r="N20" s="173"/>
      <c r="O20" s="173"/>
      <c r="P20" s="173"/>
      <c r="Q20" s="173"/>
      <c r="R20" s="173"/>
      <c r="S20" s="173"/>
      <c r="T20" s="173"/>
    </row>
    <row r="21" spans="1:20" ht="10.5" customHeight="1">
      <c r="A21" s="256" t="s">
        <v>11</v>
      </c>
      <c r="B21" s="179" t="s">
        <v>913</v>
      </c>
      <c r="C21" s="173"/>
      <c r="D21" s="173"/>
      <c r="E21" s="173"/>
      <c r="F21" s="173"/>
      <c r="G21" s="173"/>
      <c r="H21" s="173"/>
      <c r="I21" s="173"/>
      <c r="J21" s="173"/>
      <c r="K21" s="173"/>
      <c r="L21" s="173"/>
      <c r="M21" s="173"/>
      <c r="N21" s="173"/>
      <c r="O21" s="173"/>
      <c r="P21" s="173"/>
      <c r="Q21" s="173"/>
      <c r="R21" s="173"/>
      <c r="S21" s="173"/>
      <c r="T21" s="173"/>
    </row>
    <row r="22" spans="1:20">
      <c r="A22" s="256" t="s">
        <v>13</v>
      </c>
      <c r="B22" s="173" t="s">
        <v>14</v>
      </c>
      <c r="C22" s="173"/>
      <c r="D22" s="173"/>
      <c r="E22" s="173"/>
      <c r="F22" s="173"/>
      <c r="G22" s="173"/>
      <c r="H22" s="173"/>
      <c r="I22" s="173"/>
      <c r="J22" s="173"/>
      <c r="K22" s="173"/>
      <c r="L22" s="173"/>
      <c r="M22" s="173"/>
      <c r="N22" s="173"/>
      <c r="O22" s="173"/>
      <c r="P22" s="173"/>
      <c r="Q22" s="173"/>
      <c r="R22" s="173"/>
      <c r="S22" s="173"/>
      <c r="T22" s="173"/>
    </row>
    <row r="23" spans="1:20">
      <c r="A23" s="256" t="s">
        <v>15</v>
      </c>
      <c r="B23" s="173">
        <f>B28</f>
        <v>5.0000000000000001E-3</v>
      </c>
      <c r="C23" s="173"/>
      <c r="D23" s="173"/>
      <c r="E23" s="173"/>
      <c r="F23" s="173"/>
      <c r="G23" s="173"/>
      <c r="H23" s="173"/>
      <c r="I23" s="173"/>
      <c r="J23" s="173"/>
      <c r="K23" s="173"/>
      <c r="L23" s="173"/>
      <c r="M23" s="173"/>
      <c r="N23" s="173"/>
      <c r="O23" s="173"/>
      <c r="P23" s="173"/>
      <c r="Q23" s="173"/>
      <c r="R23" s="173"/>
      <c r="S23" s="173"/>
      <c r="T23" s="173"/>
    </row>
    <row r="24" spans="1:20">
      <c r="A24" s="256" t="s">
        <v>16</v>
      </c>
      <c r="B24" s="173" t="s">
        <v>17</v>
      </c>
      <c r="C24" s="173"/>
      <c r="D24" s="173"/>
      <c r="E24" s="173"/>
      <c r="F24" s="173"/>
      <c r="G24" s="173"/>
      <c r="H24" s="173"/>
      <c r="I24" s="173"/>
      <c r="J24" s="173"/>
      <c r="K24" s="173"/>
      <c r="L24" s="173"/>
      <c r="M24" s="173"/>
      <c r="N24" s="173"/>
      <c r="O24" s="173"/>
      <c r="P24" s="173"/>
      <c r="Q24" s="173"/>
      <c r="R24" s="173"/>
      <c r="S24" s="173"/>
      <c r="T24" s="173"/>
    </row>
    <row r="25" spans="1:20">
      <c r="A25" s="256" t="s">
        <v>18</v>
      </c>
      <c r="B25" s="173" t="s">
        <v>37</v>
      </c>
      <c r="C25" s="173"/>
      <c r="D25" s="173"/>
      <c r="E25" s="173"/>
      <c r="F25" s="173"/>
      <c r="G25" s="173"/>
      <c r="H25" s="173"/>
      <c r="I25" s="173"/>
      <c r="J25" s="173"/>
      <c r="K25" s="173"/>
      <c r="L25" s="173"/>
      <c r="M25" s="173"/>
      <c r="N25" s="173"/>
      <c r="O25" s="173"/>
      <c r="P25" s="173"/>
      <c r="Q25" s="173"/>
      <c r="R25" s="173"/>
      <c r="S25" s="173"/>
      <c r="T25" s="173"/>
    </row>
    <row r="26" spans="1:20">
      <c r="A26" s="257" t="s">
        <v>19</v>
      </c>
      <c r="B26" s="173"/>
      <c r="C26" s="173"/>
      <c r="D26" s="173"/>
      <c r="E26" s="173"/>
      <c r="F26" s="173"/>
      <c r="G26" s="173"/>
      <c r="H26" s="173"/>
      <c r="I26" s="173"/>
      <c r="J26" s="173"/>
      <c r="K26" s="173"/>
      <c r="L26" s="173"/>
      <c r="M26" s="173"/>
      <c r="N26" s="173"/>
      <c r="O26" s="173"/>
      <c r="P26" s="173"/>
      <c r="Q26" s="173"/>
      <c r="R26" s="173"/>
      <c r="S26" s="173"/>
      <c r="T26" s="173"/>
    </row>
    <row r="27" spans="1:20">
      <c r="A27" s="257" t="s">
        <v>20</v>
      </c>
      <c r="B27" s="175" t="s">
        <v>21</v>
      </c>
      <c r="C27" s="175" t="s">
        <v>18</v>
      </c>
      <c r="D27" s="175" t="s">
        <v>22</v>
      </c>
      <c r="E27" s="175" t="s">
        <v>7</v>
      </c>
      <c r="F27" s="175" t="s">
        <v>13</v>
      </c>
      <c r="G27" s="175" t="s">
        <v>16</v>
      </c>
      <c r="H27" s="175" t="s">
        <v>23</v>
      </c>
      <c r="I27" s="175" t="s">
        <v>24</v>
      </c>
      <c r="J27" s="175" t="s">
        <v>25</v>
      </c>
      <c r="K27" s="175" t="s">
        <v>26</v>
      </c>
      <c r="L27" s="175" t="s">
        <v>27</v>
      </c>
      <c r="M27" s="175" t="s">
        <v>28</v>
      </c>
      <c r="N27" s="175" t="s">
        <v>11</v>
      </c>
      <c r="O27" s="173"/>
      <c r="P27" s="173"/>
      <c r="Q27" s="173"/>
      <c r="R27" s="173"/>
      <c r="S27" s="173"/>
      <c r="T27" s="173"/>
    </row>
    <row r="28" spans="1:20">
      <c r="A28" s="178" t="s">
        <v>1313</v>
      </c>
      <c r="B28" s="173">
        <v>5.0000000000000001E-3</v>
      </c>
      <c r="C28" s="173" t="s">
        <v>37</v>
      </c>
      <c r="D28" s="258" t="s">
        <v>2</v>
      </c>
      <c r="E28" s="173" t="s">
        <v>29</v>
      </c>
      <c r="F28" s="185" t="s">
        <v>14</v>
      </c>
      <c r="G28" s="173" t="s">
        <v>30</v>
      </c>
      <c r="H28" s="173">
        <v>1</v>
      </c>
      <c r="I28" s="173">
        <f>B28</f>
        <v>5.0000000000000001E-3</v>
      </c>
      <c r="J28" s="173" t="s">
        <v>31</v>
      </c>
      <c r="K28" s="173" t="s">
        <v>31</v>
      </c>
      <c r="L28" s="173" t="s">
        <v>31</v>
      </c>
      <c r="M28" s="173" t="s">
        <v>31</v>
      </c>
      <c r="N28" s="173"/>
      <c r="O28" s="173"/>
      <c r="P28" s="173"/>
      <c r="Q28" s="173"/>
      <c r="R28" s="173"/>
      <c r="S28" s="173"/>
      <c r="T28" s="173"/>
    </row>
    <row r="29" spans="1:20">
      <c r="A29" s="262" t="s">
        <v>1008</v>
      </c>
      <c r="B29" s="265">
        <f>R29</f>
        <v>5.7000000000000002E-3</v>
      </c>
      <c r="C29" s="173" t="s">
        <v>37</v>
      </c>
      <c r="D29" s="173" t="s">
        <v>38</v>
      </c>
      <c r="E29" s="173" t="s">
        <v>29</v>
      </c>
      <c r="F29" s="185" t="s">
        <v>60</v>
      </c>
      <c r="G29" s="173" t="s">
        <v>33</v>
      </c>
      <c r="H29" s="173">
        <v>2</v>
      </c>
      <c r="I29" s="173">
        <f t="shared" ref="I29:I31" si="2">LN(B29)</f>
        <v>-5.1672891041416324</v>
      </c>
      <c r="J29" s="263">
        <v>0.11236102527122109</v>
      </c>
      <c r="K29" s="173" t="s">
        <v>31</v>
      </c>
      <c r="L29" s="173" t="s">
        <v>31</v>
      </c>
      <c r="M29" s="173" t="s">
        <v>31</v>
      </c>
      <c r="N29" s="173"/>
      <c r="O29" s="242" t="s">
        <v>947</v>
      </c>
      <c r="P29" s="264">
        <v>5.7</v>
      </c>
      <c r="Q29" s="173" t="s">
        <v>337</v>
      </c>
      <c r="R29" s="173">
        <f>P29*0.001</f>
        <v>5.7000000000000002E-3</v>
      </c>
      <c r="S29" s="173"/>
      <c r="T29" s="173"/>
    </row>
    <row r="30" spans="1:20">
      <c r="A30" s="256" t="s">
        <v>168</v>
      </c>
      <c r="B30" s="184">
        <f>P30</f>
        <v>0.02</v>
      </c>
      <c r="C30" s="173" t="s">
        <v>41</v>
      </c>
      <c r="D30" s="173" t="s">
        <v>38</v>
      </c>
      <c r="E30" s="173" t="s">
        <v>29</v>
      </c>
      <c r="F30" s="185" t="s">
        <v>60</v>
      </c>
      <c r="G30" s="173" t="s">
        <v>33</v>
      </c>
      <c r="H30" s="173">
        <v>2</v>
      </c>
      <c r="I30" s="173">
        <f t="shared" si="2"/>
        <v>-3.912023005428146</v>
      </c>
      <c r="J30" s="263">
        <v>0.11236102527122109</v>
      </c>
      <c r="K30" s="173" t="s">
        <v>31</v>
      </c>
      <c r="L30" s="173" t="s">
        <v>31</v>
      </c>
      <c r="M30" s="173" t="s">
        <v>31</v>
      </c>
      <c r="N30" s="173"/>
      <c r="O30" s="242" t="s">
        <v>332</v>
      </c>
      <c r="P30" s="264">
        <v>0.02</v>
      </c>
      <c r="Q30" s="173"/>
      <c r="R30" s="173"/>
      <c r="S30" s="173"/>
      <c r="T30" s="173"/>
    </row>
    <row r="31" spans="1:20">
      <c r="A31" s="262" t="s">
        <v>1012</v>
      </c>
      <c r="B31" s="173">
        <f>R31</f>
        <v>2.9999999999999997E-4</v>
      </c>
      <c r="C31" s="173" t="s">
        <v>37</v>
      </c>
      <c r="D31" s="173" t="s">
        <v>43</v>
      </c>
      <c r="E31" s="173" t="s">
        <v>1013</v>
      </c>
      <c r="F31" s="185" t="s">
        <v>29</v>
      </c>
      <c r="G31" s="173" t="s">
        <v>45</v>
      </c>
      <c r="H31" s="173">
        <v>2</v>
      </c>
      <c r="I31" s="173">
        <f t="shared" si="2"/>
        <v>-8.1117280833080727</v>
      </c>
      <c r="J31" s="263">
        <v>0.11236102527122109</v>
      </c>
      <c r="K31" s="173" t="s">
        <v>31</v>
      </c>
      <c r="L31" s="173" t="s">
        <v>31</v>
      </c>
      <c r="M31" s="173" t="s">
        <v>31</v>
      </c>
      <c r="N31" s="173"/>
      <c r="O31" s="268" t="s">
        <v>947</v>
      </c>
      <c r="P31" s="269">
        <v>0.3</v>
      </c>
      <c r="Q31" s="173" t="s">
        <v>337</v>
      </c>
      <c r="R31" s="173">
        <f>P31*0.001</f>
        <v>2.9999999999999997E-4</v>
      </c>
      <c r="S31" s="173"/>
      <c r="T31" s="173"/>
    </row>
    <row r="32" spans="1:20">
      <c r="A32" s="254" t="s">
        <v>5</v>
      </c>
      <c r="B32" s="210" t="s">
        <v>1315</v>
      </c>
      <c r="C32" s="211"/>
      <c r="D32" s="188"/>
      <c r="E32" s="188"/>
      <c r="F32" s="188"/>
      <c r="G32" s="188"/>
      <c r="H32" s="188"/>
      <c r="I32" s="188"/>
      <c r="J32" s="188"/>
      <c r="K32" s="188"/>
      <c r="L32" s="188"/>
      <c r="M32" s="188"/>
      <c r="N32" s="188"/>
      <c r="O32" s="188"/>
      <c r="P32" s="188"/>
      <c r="Q32" s="188"/>
      <c r="R32" s="188"/>
      <c r="S32" s="173"/>
      <c r="T32" s="173"/>
    </row>
    <row r="33" spans="1:20">
      <c r="A33" s="256" t="s">
        <v>7</v>
      </c>
      <c r="B33" s="173" t="s">
        <v>566</v>
      </c>
      <c r="C33" s="176"/>
      <c r="D33" s="173"/>
      <c r="E33" s="173"/>
      <c r="F33" s="173"/>
      <c r="G33" s="173"/>
      <c r="H33" s="173"/>
      <c r="I33" s="173"/>
      <c r="J33" s="173"/>
      <c r="K33" s="173"/>
      <c r="L33" s="173"/>
      <c r="M33" s="173"/>
      <c r="N33" s="173"/>
      <c r="O33" s="173"/>
      <c r="P33" s="173"/>
      <c r="Q33" s="173"/>
      <c r="R33" s="173"/>
      <c r="S33" s="173"/>
      <c r="T33" s="173"/>
    </row>
    <row r="34" spans="1:20">
      <c r="A34" s="256" t="s">
        <v>9</v>
      </c>
      <c r="B34" s="173" t="s">
        <v>1318</v>
      </c>
      <c r="C34" s="176"/>
      <c r="D34" s="173"/>
      <c r="E34" s="173"/>
      <c r="F34" s="173"/>
      <c r="G34" s="173"/>
      <c r="H34" s="173"/>
      <c r="I34" s="173"/>
      <c r="J34" s="173"/>
      <c r="K34" s="173"/>
      <c r="L34" s="173"/>
      <c r="M34" s="173"/>
      <c r="N34" s="173"/>
      <c r="O34" s="173"/>
      <c r="P34" s="173"/>
      <c r="Q34" s="173"/>
      <c r="R34" s="173"/>
      <c r="S34" s="173"/>
      <c r="T34" s="173"/>
    </row>
    <row r="35" spans="1:20" ht="15.75" customHeight="1">
      <c r="A35" s="256" t="s">
        <v>11</v>
      </c>
      <c r="B35" s="179" t="s">
        <v>913</v>
      </c>
      <c r="C35" s="173"/>
      <c r="D35" s="173"/>
      <c r="E35" s="173"/>
      <c r="F35" s="173"/>
      <c r="G35" s="173"/>
      <c r="H35" s="173"/>
      <c r="I35" s="173"/>
      <c r="J35" s="173"/>
      <c r="K35" s="173"/>
      <c r="L35" s="173"/>
      <c r="M35" s="173"/>
      <c r="N35" s="173"/>
      <c r="O35" s="173"/>
      <c r="P35" s="173"/>
      <c r="Q35" s="173"/>
      <c r="R35" s="173"/>
      <c r="S35" s="173"/>
      <c r="T35" s="173"/>
    </row>
    <row r="36" spans="1:20">
      <c r="A36" s="256" t="s">
        <v>13</v>
      </c>
      <c r="B36" s="173" t="s">
        <v>14</v>
      </c>
      <c r="C36" s="173"/>
      <c r="D36" s="173"/>
      <c r="E36" s="173"/>
      <c r="F36" s="173"/>
      <c r="G36" s="173"/>
      <c r="H36" s="173"/>
      <c r="I36" s="173"/>
      <c r="J36" s="173"/>
      <c r="K36" s="173"/>
      <c r="L36" s="173"/>
      <c r="M36" s="173"/>
      <c r="N36" s="173"/>
      <c r="O36" s="228" t="s">
        <v>1319</v>
      </c>
      <c r="P36" s="173"/>
      <c r="Q36" s="173"/>
      <c r="R36" s="173"/>
      <c r="S36" s="173"/>
      <c r="T36" s="173"/>
    </row>
    <row r="37" spans="1:20">
      <c r="A37" s="256" t="s">
        <v>15</v>
      </c>
      <c r="B37" s="173">
        <v>0.03</v>
      </c>
      <c r="C37" s="173"/>
      <c r="D37" s="173"/>
      <c r="E37" s="173"/>
      <c r="F37" s="173"/>
      <c r="G37" s="173"/>
      <c r="H37" s="173"/>
      <c r="I37" s="173"/>
      <c r="J37" s="173"/>
      <c r="K37" s="173"/>
      <c r="L37" s="173"/>
      <c r="M37" s="173"/>
      <c r="N37" s="173"/>
      <c r="O37" s="173">
        <f>0.05/0.25</f>
        <v>0.2</v>
      </c>
      <c r="P37" s="173" t="s">
        <v>1304</v>
      </c>
      <c r="Q37" s="173"/>
      <c r="R37" s="173"/>
      <c r="S37" s="173"/>
      <c r="T37" s="173"/>
    </row>
    <row r="38" spans="1:20">
      <c r="A38" s="256" t="s">
        <v>16</v>
      </c>
      <c r="B38" s="173" t="s">
        <v>17</v>
      </c>
      <c r="C38" s="173"/>
      <c r="D38" s="173"/>
      <c r="E38" s="173"/>
      <c r="F38" s="173"/>
      <c r="G38" s="173"/>
      <c r="H38" s="173"/>
      <c r="I38" s="173"/>
      <c r="J38" s="173"/>
      <c r="K38" s="173"/>
      <c r="L38" s="173"/>
      <c r="M38" s="173"/>
      <c r="N38" s="173"/>
      <c r="O38" s="173"/>
      <c r="P38" s="173"/>
      <c r="Q38" s="173"/>
      <c r="R38" s="173"/>
      <c r="S38" s="173"/>
      <c r="T38" s="173"/>
    </row>
    <row r="39" spans="1:20">
      <c r="A39" s="256" t="s">
        <v>18</v>
      </c>
      <c r="B39" s="173" t="s">
        <v>206</v>
      </c>
      <c r="C39" s="173"/>
      <c r="D39" s="173"/>
      <c r="E39" s="173"/>
      <c r="F39" s="173"/>
      <c r="G39" s="173"/>
      <c r="H39" s="173"/>
      <c r="I39" s="173"/>
      <c r="J39" s="173"/>
      <c r="K39" s="173"/>
      <c r="L39" s="173"/>
      <c r="M39" s="173"/>
      <c r="N39" s="173"/>
      <c r="O39" s="173"/>
      <c r="P39" s="173"/>
      <c r="Q39" s="173"/>
      <c r="R39" s="173"/>
      <c r="S39" s="173"/>
      <c r="T39" s="173"/>
    </row>
    <row r="40" spans="1:20">
      <c r="A40" s="257" t="s">
        <v>19</v>
      </c>
      <c r="B40" s="173"/>
      <c r="C40" s="173"/>
      <c r="D40" s="173"/>
      <c r="E40" s="173"/>
      <c r="F40" s="173"/>
      <c r="G40" s="173"/>
      <c r="H40" s="173"/>
      <c r="I40" s="173"/>
      <c r="J40" s="173"/>
      <c r="K40" s="173"/>
      <c r="L40" s="173"/>
      <c r="M40" s="173"/>
      <c r="N40" s="173"/>
      <c r="O40" s="173"/>
      <c r="P40" s="173"/>
      <c r="Q40" s="173"/>
      <c r="R40" s="173"/>
      <c r="S40" s="173"/>
      <c r="T40" s="173"/>
    </row>
    <row r="41" spans="1:20">
      <c r="A41" s="257" t="s">
        <v>20</v>
      </c>
      <c r="B41" s="175" t="s">
        <v>21</v>
      </c>
      <c r="C41" s="175" t="s">
        <v>18</v>
      </c>
      <c r="D41" s="175" t="s">
        <v>22</v>
      </c>
      <c r="E41" s="175" t="s">
        <v>7</v>
      </c>
      <c r="F41" s="175" t="s">
        <v>13</v>
      </c>
      <c r="G41" s="175" t="s">
        <v>16</v>
      </c>
      <c r="H41" s="175" t="s">
        <v>23</v>
      </c>
      <c r="I41" s="175" t="s">
        <v>24</v>
      </c>
      <c r="J41" s="175" t="s">
        <v>25</v>
      </c>
      <c r="K41" s="175" t="s">
        <v>26</v>
      </c>
      <c r="L41" s="175" t="s">
        <v>27</v>
      </c>
      <c r="M41" s="175" t="s">
        <v>28</v>
      </c>
      <c r="N41" s="175" t="s">
        <v>11</v>
      </c>
      <c r="O41" s="173"/>
      <c r="P41" s="173"/>
      <c r="Q41" s="173"/>
      <c r="R41" s="173"/>
      <c r="S41" s="173"/>
      <c r="T41" s="173"/>
    </row>
    <row r="42" spans="1:20">
      <c r="A42" s="178" t="s">
        <v>1315</v>
      </c>
      <c r="B42" s="173">
        <v>0.05</v>
      </c>
      <c r="C42" s="173" t="s">
        <v>206</v>
      </c>
      <c r="D42" s="258" t="s">
        <v>2</v>
      </c>
      <c r="E42" s="173" t="s">
        <v>29</v>
      </c>
      <c r="F42" s="185" t="s">
        <v>14</v>
      </c>
      <c r="G42" s="173" t="s">
        <v>30</v>
      </c>
      <c r="H42" s="173">
        <v>1</v>
      </c>
      <c r="I42" s="173">
        <f t="shared" ref="I42:I43" si="3">B42</f>
        <v>0.05</v>
      </c>
      <c r="J42" s="173" t="s">
        <v>31</v>
      </c>
      <c r="K42" s="173" t="s">
        <v>31</v>
      </c>
      <c r="L42" s="173" t="s">
        <v>31</v>
      </c>
      <c r="M42" s="173" t="s">
        <v>31</v>
      </c>
      <c r="N42" s="173"/>
      <c r="O42" s="173"/>
      <c r="P42" s="173"/>
      <c r="Q42" s="173"/>
      <c r="R42" s="173"/>
      <c r="S42" s="173"/>
      <c r="T42" s="173"/>
    </row>
    <row r="43" spans="1:20">
      <c r="A43" s="178" t="s">
        <v>1320</v>
      </c>
      <c r="B43" s="270">
        <f>B68</f>
        <v>0.25</v>
      </c>
      <c r="C43" s="173" t="s">
        <v>37</v>
      </c>
      <c r="D43" s="258" t="s">
        <v>2</v>
      </c>
      <c r="E43" s="173" t="s">
        <v>29</v>
      </c>
      <c r="F43" s="185" t="s">
        <v>14</v>
      </c>
      <c r="G43" s="173" t="s">
        <v>33</v>
      </c>
      <c r="H43" s="173">
        <v>1</v>
      </c>
      <c r="I43" s="173">
        <f t="shared" si="3"/>
        <v>0.25</v>
      </c>
      <c r="J43" s="173" t="s">
        <v>31</v>
      </c>
      <c r="K43" s="173" t="s">
        <v>31</v>
      </c>
      <c r="L43" s="173" t="s">
        <v>31</v>
      </c>
      <c r="M43" s="173" t="s">
        <v>31</v>
      </c>
      <c r="N43" s="173"/>
      <c r="O43" s="242"/>
      <c r="P43" s="264"/>
      <c r="Q43" s="173"/>
      <c r="R43" s="173"/>
      <c r="S43" s="173"/>
      <c r="T43" s="173"/>
    </row>
    <row r="44" spans="1:20">
      <c r="A44" s="256" t="s">
        <v>168</v>
      </c>
      <c r="B44" s="184">
        <f>P44</f>
        <v>0.09</v>
      </c>
      <c r="C44" s="173" t="s">
        <v>41</v>
      </c>
      <c r="D44" s="173" t="s">
        <v>38</v>
      </c>
      <c r="E44" s="173" t="s">
        <v>29</v>
      </c>
      <c r="F44" s="185" t="s">
        <v>60</v>
      </c>
      <c r="G44" s="173" t="s">
        <v>33</v>
      </c>
      <c r="H44" s="173">
        <v>2</v>
      </c>
      <c r="I44" s="173">
        <f t="shared" ref="I44" si="4">LN(B44)</f>
        <v>-2.4079456086518722</v>
      </c>
      <c r="J44" s="263">
        <v>7.2284161474004766E-2</v>
      </c>
      <c r="K44" s="173" t="s">
        <v>31</v>
      </c>
      <c r="L44" s="173" t="s">
        <v>31</v>
      </c>
      <c r="M44" s="173" t="s">
        <v>31</v>
      </c>
      <c r="N44" s="173"/>
      <c r="O44" s="242" t="s">
        <v>332</v>
      </c>
      <c r="P44" s="264">
        <v>0.09</v>
      </c>
      <c r="Q44" s="173"/>
      <c r="R44" s="173"/>
      <c r="S44" s="173"/>
      <c r="T44" s="173"/>
    </row>
    <row r="45" spans="1:20">
      <c r="A45" s="262" t="s">
        <v>1017</v>
      </c>
      <c r="B45" s="173">
        <f>R45</f>
        <v>2E-3</v>
      </c>
      <c r="C45" s="173" t="s">
        <v>37</v>
      </c>
      <c r="D45" s="173" t="s">
        <v>38</v>
      </c>
      <c r="E45" s="173" t="s">
        <v>29</v>
      </c>
      <c r="F45" s="185" t="s">
        <v>60</v>
      </c>
      <c r="G45" s="173" t="s">
        <v>33</v>
      </c>
      <c r="H45" s="173">
        <v>2</v>
      </c>
      <c r="I45" s="173">
        <f>LN(B45)</f>
        <v>-6.2146080984221914</v>
      </c>
      <c r="J45" s="263">
        <v>7.2284161474004766E-2</v>
      </c>
      <c r="K45" s="173" t="s">
        <v>31</v>
      </c>
      <c r="L45" s="173" t="s">
        <v>31</v>
      </c>
      <c r="M45" s="173" t="s">
        <v>31</v>
      </c>
      <c r="N45" s="173"/>
      <c r="O45" s="242" t="s">
        <v>947</v>
      </c>
      <c r="P45" s="264">
        <v>2</v>
      </c>
      <c r="Q45" s="173" t="s">
        <v>337</v>
      </c>
      <c r="R45" s="173">
        <f>P45*0.001</f>
        <v>2E-3</v>
      </c>
      <c r="S45" s="173"/>
      <c r="T45" s="173"/>
    </row>
    <row r="46" spans="1:20">
      <c r="A46" s="262" t="s">
        <v>1018</v>
      </c>
      <c r="B46" s="173">
        <f>R46</f>
        <v>4.0000000000000001E-3</v>
      </c>
      <c r="C46" s="173" t="s">
        <v>37</v>
      </c>
      <c r="D46" s="173" t="s">
        <v>38</v>
      </c>
      <c r="E46" s="173" t="s">
        <v>29</v>
      </c>
      <c r="F46" s="185" t="s">
        <v>35</v>
      </c>
      <c r="G46" s="173" t="s">
        <v>33</v>
      </c>
      <c r="H46" s="173">
        <v>2</v>
      </c>
      <c r="I46" s="173">
        <f>LN(B46)</f>
        <v>-5.521460917862246</v>
      </c>
      <c r="J46" s="263">
        <v>7.2284161474004766E-2</v>
      </c>
      <c r="K46" s="173" t="s">
        <v>31</v>
      </c>
      <c r="L46" s="173" t="s">
        <v>31</v>
      </c>
      <c r="M46" s="173" t="s">
        <v>31</v>
      </c>
      <c r="N46" s="173"/>
      <c r="O46" s="242" t="s">
        <v>947</v>
      </c>
      <c r="P46" s="264">
        <v>4</v>
      </c>
      <c r="Q46" s="173" t="s">
        <v>337</v>
      </c>
      <c r="R46" s="173">
        <f>P46*0.001</f>
        <v>4.0000000000000001E-3</v>
      </c>
      <c r="S46" s="173"/>
      <c r="T46" s="173"/>
    </row>
    <row r="47" spans="1:20">
      <c r="A47" s="262" t="s">
        <v>933</v>
      </c>
      <c r="B47" s="173">
        <f>P47</f>
        <v>3.4</v>
      </c>
      <c r="C47" s="173" t="s">
        <v>37</v>
      </c>
      <c r="D47" s="173" t="s">
        <v>38</v>
      </c>
      <c r="E47" s="173" t="s">
        <v>29</v>
      </c>
      <c r="F47" s="185" t="s">
        <v>39</v>
      </c>
      <c r="G47" s="173" t="s">
        <v>33</v>
      </c>
      <c r="H47" s="173">
        <v>2</v>
      </c>
      <c r="I47" s="173">
        <f>LN(B47)</f>
        <v>1.2237754316221157</v>
      </c>
      <c r="J47" s="263">
        <v>7.2284161474004766E-2</v>
      </c>
      <c r="K47" s="173" t="s">
        <v>31</v>
      </c>
      <c r="L47" s="173" t="s">
        <v>31</v>
      </c>
      <c r="M47" s="173" t="s">
        <v>31</v>
      </c>
      <c r="N47" s="173"/>
      <c r="O47" s="242" t="s">
        <v>337</v>
      </c>
      <c r="P47" s="264">
        <v>3.4</v>
      </c>
      <c r="Q47" s="173"/>
      <c r="R47" s="173"/>
      <c r="S47" s="173"/>
      <c r="T47" s="173"/>
    </row>
    <row r="48" spans="1:20">
      <c r="A48" s="262" t="s">
        <v>489</v>
      </c>
      <c r="B48" s="173">
        <f>R48</f>
        <v>3.3999999999999998E-3</v>
      </c>
      <c r="C48" s="173" t="s">
        <v>50</v>
      </c>
      <c r="D48" s="173" t="s">
        <v>38</v>
      </c>
      <c r="E48" s="173" t="s">
        <v>29</v>
      </c>
      <c r="F48" s="185" t="s">
        <v>39</v>
      </c>
      <c r="G48" s="173" t="s">
        <v>33</v>
      </c>
      <c r="H48" s="173">
        <v>2</v>
      </c>
      <c r="I48" s="173">
        <f t="shared" ref="I48" si="5">LN(B48)</f>
        <v>-5.6839798473600212</v>
      </c>
      <c r="J48" s="263">
        <v>7.2284161474004766E-2</v>
      </c>
      <c r="K48" s="173" t="s">
        <v>31</v>
      </c>
      <c r="L48" s="173" t="s">
        <v>31</v>
      </c>
      <c r="M48" s="173" t="s">
        <v>31</v>
      </c>
      <c r="N48" s="173"/>
      <c r="O48" s="268" t="s">
        <v>1009</v>
      </c>
      <c r="P48" s="269">
        <v>3.4</v>
      </c>
      <c r="Q48" s="173" t="s">
        <v>335</v>
      </c>
      <c r="R48" s="173">
        <f>P48/1000</f>
        <v>3.3999999999999998E-3</v>
      </c>
      <c r="S48" s="173"/>
      <c r="T48" s="173"/>
    </row>
    <row r="49" spans="1:20">
      <c r="A49" s="254" t="s">
        <v>5</v>
      </c>
      <c r="B49" s="210" t="s">
        <v>1321</v>
      </c>
      <c r="C49" s="211"/>
      <c r="D49" s="188"/>
      <c r="E49" s="188"/>
      <c r="F49" s="188"/>
      <c r="G49" s="188"/>
      <c r="H49" s="188"/>
      <c r="I49" s="188"/>
      <c r="J49" s="188"/>
      <c r="K49" s="188"/>
      <c r="L49" s="188"/>
      <c r="M49" s="188"/>
      <c r="N49" s="188"/>
      <c r="O49" s="188"/>
      <c r="P49" s="188"/>
      <c r="Q49" s="188"/>
      <c r="R49" s="188"/>
      <c r="S49" s="173"/>
      <c r="T49" s="173"/>
    </row>
    <row r="50" spans="1:20">
      <c r="A50" s="256" t="s">
        <v>7</v>
      </c>
      <c r="B50" s="173" t="s">
        <v>566</v>
      </c>
      <c r="C50" s="176"/>
      <c r="D50" s="173"/>
      <c r="E50" s="173"/>
      <c r="F50" s="173"/>
      <c r="G50" s="173"/>
      <c r="H50" s="173"/>
      <c r="I50" s="173"/>
      <c r="J50" s="173"/>
      <c r="K50" s="173"/>
      <c r="L50" s="173"/>
      <c r="M50" s="173"/>
      <c r="N50" s="173"/>
      <c r="O50" s="173"/>
      <c r="P50" s="173"/>
      <c r="Q50" s="173"/>
      <c r="R50" s="173"/>
      <c r="S50" s="173"/>
      <c r="T50" s="173"/>
    </row>
    <row r="51" spans="1:20">
      <c r="A51" s="256" t="s">
        <v>9</v>
      </c>
      <c r="B51" s="173" t="s">
        <v>1322</v>
      </c>
      <c r="C51" s="176"/>
      <c r="D51" s="173"/>
      <c r="E51" s="173"/>
      <c r="F51" s="173"/>
      <c r="G51" s="173"/>
      <c r="H51" s="173"/>
      <c r="I51" s="173"/>
      <c r="J51" s="173"/>
      <c r="K51" s="173"/>
      <c r="L51" s="173"/>
      <c r="M51" s="173"/>
      <c r="N51" s="173"/>
      <c r="O51" s="173"/>
      <c r="P51" s="173"/>
      <c r="Q51" s="173"/>
      <c r="R51" s="173"/>
      <c r="S51" s="173"/>
      <c r="T51" s="173"/>
    </row>
    <row r="52" spans="1:20" ht="10.5" customHeight="1">
      <c r="A52" s="256" t="s">
        <v>11</v>
      </c>
      <c r="B52" s="179" t="s">
        <v>913</v>
      </c>
      <c r="C52" s="173"/>
      <c r="D52" s="173"/>
      <c r="E52" s="173"/>
      <c r="F52" s="173"/>
      <c r="G52" s="173"/>
      <c r="H52" s="173"/>
      <c r="I52" s="173"/>
      <c r="J52" s="173"/>
      <c r="K52" s="173"/>
      <c r="L52" s="173"/>
      <c r="M52" s="173"/>
      <c r="N52" s="173"/>
      <c r="O52" s="173"/>
      <c r="P52" s="173"/>
      <c r="Q52" s="173"/>
      <c r="R52" s="173"/>
      <c r="S52" s="173"/>
      <c r="T52" s="173"/>
    </row>
    <row r="53" spans="1:20">
      <c r="A53" s="256" t="s">
        <v>13</v>
      </c>
      <c r="B53" s="173" t="s">
        <v>14</v>
      </c>
      <c r="C53" s="173"/>
      <c r="D53" s="173"/>
      <c r="E53" s="173"/>
      <c r="F53" s="173"/>
      <c r="G53" s="173"/>
      <c r="H53" s="173"/>
      <c r="I53" s="173"/>
      <c r="J53" s="173"/>
      <c r="K53" s="173"/>
      <c r="L53" s="173"/>
      <c r="M53" s="173"/>
      <c r="N53" s="173"/>
      <c r="O53" s="173"/>
      <c r="P53" s="173"/>
      <c r="Q53" s="173"/>
      <c r="R53" s="173"/>
      <c r="S53" s="173"/>
      <c r="T53" s="173"/>
    </row>
    <row r="54" spans="1:20">
      <c r="A54" s="256" t="s">
        <v>15</v>
      </c>
      <c r="B54" s="173">
        <v>6.0000000000000001E-3</v>
      </c>
      <c r="C54" s="173"/>
      <c r="D54" s="173"/>
      <c r="E54" s="173"/>
      <c r="F54" s="173"/>
      <c r="G54" s="173"/>
      <c r="H54" s="173"/>
      <c r="I54" s="173"/>
      <c r="J54" s="173"/>
      <c r="K54" s="173"/>
      <c r="L54" s="173"/>
      <c r="M54" s="173"/>
      <c r="N54" s="173"/>
      <c r="O54" s="173"/>
      <c r="P54" s="173"/>
      <c r="Q54" s="173"/>
      <c r="R54" s="173"/>
      <c r="S54" s="173"/>
      <c r="T54" s="173"/>
    </row>
    <row r="55" spans="1:20">
      <c r="A55" s="256" t="s">
        <v>16</v>
      </c>
      <c r="B55" s="173" t="s">
        <v>17</v>
      </c>
      <c r="C55" s="173"/>
      <c r="D55" s="173"/>
      <c r="E55" s="173"/>
      <c r="F55" s="173"/>
      <c r="G55" s="173"/>
      <c r="H55" s="173"/>
      <c r="I55" s="173"/>
      <c r="J55" s="173"/>
      <c r="K55" s="173"/>
      <c r="L55" s="173"/>
      <c r="M55" s="173"/>
      <c r="N55" s="173"/>
      <c r="O55" s="173"/>
      <c r="P55" s="173"/>
      <c r="Q55" s="173"/>
      <c r="R55" s="173"/>
      <c r="S55" s="173"/>
      <c r="T55" s="173"/>
    </row>
    <row r="56" spans="1:20">
      <c r="A56" s="256" t="s">
        <v>18</v>
      </c>
      <c r="B56" s="173" t="s">
        <v>37</v>
      </c>
      <c r="C56" s="173"/>
      <c r="D56" s="173"/>
      <c r="E56" s="173"/>
      <c r="F56" s="173"/>
      <c r="G56" s="173"/>
      <c r="H56" s="173"/>
      <c r="I56" s="173"/>
      <c r="J56" s="173"/>
      <c r="K56" s="173"/>
      <c r="L56" s="173"/>
      <c r="M56" s="173"/>
      <c r="N56" s="173"/>
      <c r="O56" s="173"/>
      <c r="P56" s="173"/>
      <c r="Q56" s="173"/>
      <c r="R56" s="173"/>
      <c r="S56" s="173"/>
      <c r="T56" s="173"/>
    </row>
    <row r="57" spans="1:20">
      <c r="A57" s="257" t="s">
        <v>19</v>
      </c>
      <c r="B57" s="173"/>
      <c r="C57" s="173"/>
      <c r="D57" s="173"/>
      <c r="E57" s="173"/>
      <c r="F57" s="173"/>
      <c r="G57" s="173"/>
      <c r="H57" s="173"/>
      <c r="I57" s="173"/>
      <c r="J57" s="173"/>
      <c r="K57" s="173"/>
      <c r="L57" s="173"/>
      <c r="M57" s="173"/>
      <c r="N57" s="173"/>
      <c r="O57" s="173"/>
      <c r="P57" s="173"/>
      <c r="Q57" s="173"/>
      <c r="R57" s="173"/>
      <c r="S57" s="173"/>
      <c r="T57" s="173"/>
    </row>
    <row r="58" spans="1:20">
      <c r="A58" s="257" t="s">
        <v>20</v>
      </c>
      <c r="B58" s="175" t="s">
        <v>21</v>
      </c>
      <c r="C58" s="175" t="s">
        <v>18</v>
      </c>
      <c r="D58" s="175" t="s">
        <v>22</v>
      </c>
      <c r="E58" s="175" t="s">
        <v>7</v>
      </c>
      <c r="F58" s="175" t="s">
        <v>13</v>
      </c>
      <c r="G58" s="175" t="s">
        <v>16</v>
      </c>
      <c r="H58" s="175" t="s">
        <v>23</v>
      </c>
      <c r="I58" s="175" t="s">
        <v>24</v>
      </c>
      <c r="J58" s="175" t="s">
        <v>25</v>
      </c>
      <c r="K58" s="175" t="s">
        <v>26</v>
      </c>
      <c r="L58" s="175" t="s">
        <v>27</v>
      </c>
      <c r="M58" s="175" t="s">
        <v>28</v>
      </c>
      <c r="N58" s="175" t="s">
        <v>11</v>
      </c>
      <c r="O58" s="173"/>
      <c r="P58" s="173"/>
      <c r="Q58" s="173"/>
      <c r="R58" s="173"/>
      <c r="S58" s="173"/>
      <c r="T58" s="173"/>
    </row>
    <row r="59" spans="1:20">
      <c r="A59" s="178" t="s">
        <v>1321</v>
      </c>
      <c r="B59" s="270">
        <v>6.0000000000000001E-3</v>
      </c>
      <c r="C59" s="173" t="s">
        <v>37</v>
      </c>
      <c r="D59" s="258" t="s">
        <v>2</v>
      </c>
      <c r="E59" s="173" t="s">
        <v>29</v>
      </c>
      <c r="F59" s="185" t="s">
        <v>14</v>
      </c>
      <c r="G59" s="173" t="s">
        <v>30</v>
      </c>
      <c r="H59" s="173">
        <v>1</v>
      </c>
      <c r="I59" s="173">
        <f>B59</f>
        <v>6.0000000000000001E-3</v>
      </c>
      <c r="J59" s="173" t="s">
        <v>31</v>
      </c>
      <c r="K59" s="173" t="s">
        <v>31</v>
      </c>
      <c r="L59" s="173" t="s">
        <v>31</v>
      </c>
      <c r="M59" s="173" t="s">
        <v>31</v>
      </c>
      <c r="N59" s="173"/>
      <c r="O59" s="271"/>
      <c r="P59" s="272"/>
      <c r="Q59" s="173"/>
      <c r="R59" s="173"/>
      <c r="S59" s="173"/>
      <c r="T59" s="173"/>
    </row>
    <row r="60" spans="1:20">
      <c r="A60" s="262" t="s">
        <v>1021</v>
      </c>
      <c r="B60" s="184">
        <f>R60</f>
        <v>6.0000000000000001E-3</v>
      </c>
      <c r="C60" s="173" t="s">
        <v>37</v>
      </c>
      <c r="D60" s="173" t="s">
        <v>38</v>
      </c>
      <c r="E60" s="173" t="s">
        <v>29</v>
      </c>
      <c r="F60" s="185" t="s">
        <v>60</v>
      </c>
      <c r="G60" s="173" t="s">
        <v>33</v>
      </c>
      <c r="H60" s="173">
        <v>2</v>
      </c>
      <c r="I60" s="173">
        <f>LN(B60)</f>
        <v>-5.1159958097540823</v>
      </c>
      <c r="J60" s="173">
        <v>7.2284161474004766E-2</v>
      </c>
      <c r="K60" s="173" t="s">
        <v>31</v>
      </c>
      <c r="L60" s="173" t="s">
        <v>31</v>
      </c>
      <c r="M60" s="173" t="s">
        <v>31</v>
      </c>
      <c r="N60" s="173"/>
      <c r="O60" s="242" t="s">
        <v>947</v>
      </c>
      <c r="P60" s="264">
        <v>6</v>
      </c>
      <c r="Q60" s="173" t="s">
        <v>337</v>
      </c>
      <c r="R60" s="173">
        <f>P60*0.001</f>
        <v>6.0000000000000001E-3</v>
      </c>
      <c r="S60" s="173"/>
      <c r="T60" s="173"/>
    </row>
    <row r="61" spans="1:20">
      <c r="A61" s="256" t="s">
        <v>168</v>
      </c>
      <c r="B61" s="184">
        <f>P61</f>
        <v>0.03</v>
      </c>
      <c r="C61" s="173" t="s">
        <v>41</v>
      </c>
      <c r="D61" s="173" t="s">
        <v>38</v>
      </c>
      <c r="E61" s="173" t="s">
        <v>29</v>
      </c>
      <c r="F61" s="185" t="s">
        <v>35</v>
      </c>
      <c r="G61" s="173" t="s">
        <v>33</v>
      </c>
      <c r="H61" s="173">
        <v>2</v>
      </c>
      <c r="I61" s="173">
        <f t="shared" ref="I61:I62" si="6">LN(B61)</f>
        <v>-3.5065578973199818</v>
      </c>
      <c r="J61" s="173">
        <v>7.2284161474004766E-2</v>
      </c>
      <c r="K61" s="173" t="s">
        <v>31</v>
      </c>
      <c r="L61" s="173" t="s">
        <v>31</v>
      </c>
      <c r="M61" s="173" t="s">
        <v>31</v>
      </c>
      <c r="N61" s="173"/>
      <c r="O61" s="242" t="s">
        <v>332</v>
      </c>
      <c r="P61" s="264">
        <v>0.03</v>
      </c>
      <c r="Q61" s="173"/>
      <c r="R61" s="173"/>
      <c r="S61" s="173"/>
      <c r="T61" s="173"/>
    </row>
    <row r="62" spans="1:20">
      <c r="A62" s="178" t="s">
        <v>1287</v>
      </c>
      <c r="B62" s="173">
        <v>0.3</v>
      </c>
      <c r="C62" s="173" t="s">
        <v>37</v>
      </c>
      <c r="D62" s="258" t="s">
        <v>2</v>
      </c>
      <c r="E62" s="173" t="s">
        <v>29</v>
      </c>
      <c r="F62" s="185" t="s">
        <v>39</v>
      </c>
      <c r="G62" s="173" t="s">
        <v>33</v>
      </c>
      <c r="H62" s="173">
        <v>2</v>
      </c>
      <c r="I62" s="173">
        <f t="shared" si="6"/>
        <v>-1.2039728043259361</v>
      </c>
      <c r="J62" s="173">
        <v>7.2284161474004766E-2</v>
      </c>
      <c r="K62" s="173" t="s">
        <v>31</v>
      </c>
      <c r="L62" s="173" t="s">
        <v>31</v>
      </c>
      <c r="M62" s="173" t="s">
        <v>31</v>
      </c>
      <c r="N62" s="173"/>
      <c r="O62" s="173"/>
      <c r="P62" s="173"/>
      <c r="Q62" s="173"/>
      <c r="R62" s="173"/>
      <c r="S62" s="173"/>
      <c r="T62" s="173"/>
    </row>
    <row r="63" spans="1:20" s="17" customFormat="1" ht="15.75">
      <c r="A63" s="254" t="s">
        <v>5</v>
      </c>
      <c r="B63" s="210" t="s">
        <v>1320</v>
      </c>
      <c r="C63" s="211"/>
      <c r="D63" s="188"/>
      <c r="E63" s="188"/>
      <c r="F63" s="188"/>
      <c r="G63" s="188"/>
      <c r="H63" s="188"/>
      <c r="I63" s="188"/>
      <c r="J63" s="188"/>
      <c r="K63" s="188"/>
      <c r="L63" s="188"/>
      <c r="M63" s="188"/>
      <c r="N63" s="188"/>
      <c r="O63" s="273"/>
      <c r="P63" s="273"/>
      <c r="Q63" s="273"/>
      <c r="R63" s="273"/>
    </row>
    <row r="64" spans="1:20" s="17" customFormat="1" ht="15.75">
      <c r="A64" s="256" t="s">
        <v>7</v>
      </c>
      <c r="B64" s="173" t="s">
        <v>566</v>
      </c>
      <c r="C64" s="176"/>
      <c r="D64" s="173"/>
      <c r="E64" s="173"/>
      <c r="F64" s="173"/>
      <c r="G64" s="173"/>
      <c r="H64" s="173"/>
      <c r="I64" s="173"/>
      <c r="J64" s="173"/>
      <c r="K64" s="173"/>
      <c r="L64" s="173"/>
      <c r="M64" s="173"/>
      <c r="N64" s="173"/>
    </row>
    <row r="65" spans="1:16" s="17" customFormat="1" ht="15.75">
      <c r="A65" s="256" t="s">
        <v>9</v>
      </c>
      <c r="B65" s="173" t="s">
        <v>1323</v>
      </c>
      <c r="C65" s="176"/>
      <c r="D65" s="173"/>
      <c r="E65" s="173"/>
      <c r="F65" s="173"/>
      <c r="G65" s="173"/>
      <c r="H65" s="173"/>
      <c r="I65" s="173"/>
      <c r="J65" s="173"/>
      <c r="K65" s="173"/>
      <c r="L65" s="173"/>
      <c r="M65" s="173"/>
      <c r="N65" s="173"/>
    </row>
    <row r="66" spans="1:16" s="17" customFormat="1" ht="10.5" customHeight="1">
      <c r="A66" s="256" t="s">
        <v>11</v>
      </c>
      <c r="B66" s="179" t="s">
        <v>913</v>
      </c>
      <c r="C66" s="173"/>
      <c r="D66" s="173"/>
      <c r="E66" s="173"/>
      <c r="F66" s="173"/>
      <c r="G66" s="173"/>
      <c r="H66" s="173"/>
      <c r="I66" s="173"/>
      <c r="J66" s="173"/>
      <c r="K66" s="173"/>
      <c r="L66" s="173"/>
      <c r="M66" s="173"/>
      <c r="N66" s="173"/>
    </row>
    <row r="67" spans="1:16" s="17" customFormat="1" ht="15.75">
      <c r="A67" s="256" t="s">
        <v>13</v>
      </c>
      <c r="B67" s="173" t="s">
        <v>14</v>
      </c>
      <c r="C67" s="173"/>
      <c r="D67" s="173"/>
      <c r="E67" s="173"/>
      <c r="F67" s="173"/>
      <c r="G67" s="173"/>
      <c r="H67" s="173"/>
      <c r="I67" s="173"/>
      <c r="J67" s="173"/>
      <c r="K67" s="173"/>
      <c r="L67" s="173"/>
      <c r="M67" s="173"/>
      <c r="N67" s="173"/>
    </row>
    <row r="68" spans="1:16" s="17" customFormat="1" ht="15.75">
      <c r="A68" s="256" t="s">
        <v>15</v>
      </c>
      <c r="B68" s="191">
        <v>0.25</v>
      </c>
      <c r="C68" s="173"/>
      <c r="D68" s="173"/>
      <c r="E68" s="173"/>
      <c r="F68" s="173"/>
      <c r="G68" s="173"/>
      <c r="H68" s="173"/>
      <c r="I68" s="173"/>
      <c r="J68" s="173"/>
      <c r="K68" s="173"/>
      <c r="L68" s="173"/>
      <c r="M68" s="173"/>
      <c r="N68" s="173"/>
    </row>
    <row r="69" spans="1:16" s="17" customFormat="1" ht="15.75">
      <c r="A69" s="256" t="s">
        <v>16</v>
      </c>
      <c r="B69" s="173" t="s">
        <v>17</v>
      </c>
      <c r="C69" s="173"/>
      <c r="D69" s="173"/>
      <c r="E69" s="173"/>
      <c r="F69" s="173"/>
      <c r="G69" s="173"/>
      <c r="H69" s="173"/>
      <c r="I69" s="173"/>
      <c r="J69" s="173"/>
      <c r="K69" s="173"/>
      <c r="L69" s="173"/>
      <c r="M69" s="173"/>
      <c r="N69" s="173"/>
    </row>
    <row r="70" spans="1:16" s="17" customFormat="1" ht="15.75">
      <c r="A70" s="256" t="s">
        <v>18</v>
      </c>
      <c r="B70" s="173" t="s">
        <v>37</v>
      </c>
      <c r="C70" s="173"/>
      <c r="D70" s="173"/>
      <c r="E70" s="173"/>
      <c r="F70" s="173"/>
      <c r="G70" s="173"/>
      <c r="H70" s="173"/>
      <c r="I70" s="173"/>
      <c r="J70" s="173"/>
      <c r="K70" s="173"/>
      <c r="L70" s="173"/>
      <c r="M70" s="173"/>
      <c r="N70" s="173"/>
    </row>
    <row r="71" spans="1:16" s="17" customFormat="1" ht="15.75">
      <c r="A71" s="257" t="s">
        <v>19</v>
      </c>
      <c r="B71" s="173"/>
      <c r="C71" s="173"/>
      <c r="D71" s="173"/>
      <c r="E71" s="173"/>
      <c r="F71" s="173"/>
      <c r="G71" s="173"/>
      <c r="H71" s="173"/>
      <c r="I71" s="173"/>
      <c r="J71" s="173"/>
      <c r="K71" s="173"/>
      <c r="L71" s="173"/>
      <c r="M71" s="173"/>
      <c r="N71" s="173"/>
    </row>
    <row r="72" spans="1:16" s="17" customFormat="1" ht="15.75">
      <c r="A72" s="257" t="s">
        <v>20</v>
      </c>
      <c r="B72" s="175" t="s">
        <v>21</v>
      </c>
      <c r="C72" s="175" t="s">
        <v>18</v>
      </c>
      <c r="D72" s="175" t="s">
        <v>22</v>
      </c>
      <c r="E72" s="175" t="s">
        <v>7</v>
      </c>
      <c r="F72" s="175" t="s">
        <v>13</v>
      </c>
      <c r="G72" s="175" t="s">
        <v>16</v>
      </c>
      <c r="H72" s="175" t="s">
        <v>23</v>
      </c>
      <c r="I72" s="175" t="s">
        <v>24</v>
      </c>
      <c r="J72" s="175" t="s">
        <v>25</v>
      </c>
      <c r="K72" s="175" t="s">
        <v>26</v>
      </c>
      <c r="L72" s="175" t="s">
        <v>27</v>
      </c>
      <c r="M72" s="175" t="s">
        <v>28</v>
      </c>
      <c r="N72" s="175" t="s">
        <v>11</v>
      </c>
    </row>
    <row r="73" spans="1:16" s="17" customFormat="1" ht="15.75">
      <c r="A73" s="178" t="s">
        <v>1320</v>
      </c>
      <c r="B73" s="191">
        <v>0.25</v>
      </c>
      <c r="C73" s="173" t="s">
        <v>37</v>
      </c>
      <c r="D73" s="258" t="s">
        <v>2</v>
      </c>
      <c r="E73" s="173" t="s">
        <v>29</v>
      </c>
      <c r="F73" s="185" t="s">
        <v>14</v>
      </c>
      <c r="G73" s="173" t="s">
        <v>30</v>
      </c>
      <c r="H73" s="173">
        <v>1</v>
      </c>
      <c r="I73" s="191">
        <f>B73</f>
        <v>0.25</v>
      </c>
      <c r="J73" s="173" t="s">
        <v>31</v>
      </c>
      <c r="K73" s="173" t="s">
        <v>31</v>
      </c>
      <c r="L73" s="173" t="s">
        <v>31</v>
      </c>
      <c r="M73" s="173" t="s">
        <v>31</v>
      </c>
      <c r="N73" s="173"/>
      <c r="O73" s="274"/>
      <c r="P73" s="275"/>
    </row>
    <row r="74" spans="1:16" s="17" customFormat="1" ht="15.75">
      <c r="A74" s="83" t="s">
        <v>137</v>
      </c>
      <c r="B74" s="184">
        <v>0.25</v>
      </c>
      <c r="C74" s="173" t="s">
        <v>37</v>
      </c>
      <c r="D74" s="173" t="s">
        <v>38</v>
      </c>
      <c r="E74" s="173" t="s">
        <v>29</v>
      </c>
      <c r="F74" s="185" t="s">
        <v>60</v>
      </c>
      <c r="G74" s="173" t="s">
        <v>33</v>
      </c>
      <c r="H74" s="173">
        <v>1</v>
      </c>
      <c r="I74" s="191">
        <f t="shared" ref="I74:I75" si="7">B74</f>
        <v>0.25</v>
      </c>
      <c r="J74" s="173" t="s">
        <v>31</v>
      </c>
      <c r="K74" s="173" t="s">
        <v>31</v>
      </c>
      <c r="L74" s="173" t="s">
        <v>31</v>
      </c>
      <c r="M74" s="173" t="s">
        <v>31</v>
      </c>
      <c r="N74" s="173"/>
      <c r="O74" s="274"/>
      <c r="P74" s="275"/>
    </row>
    <row r="75" spans="1:16" s="17" customFormat="1" ht="15.75">
      <c r="A75" s="83" t="s">
        <v>914</v>
      </c>
      <c r="B75" s="184">
        <f>B74</f>
        <v>0.25</v>
      </c>
      <c r="C75" s="173" t="s">
        <v>37</v>
      </c>
      <c r="D75" s="173" t="s">
        <v>38</v>
      </c>
      <c r="E75" s="173" t="s">
        <v>29</v>
      </c>
      <c r="F75" s="185" t="s">
        <v>60</v>
      </c>
      <c r="G75" s="173" t="s">
        <v>33</v>
      </c>
      <c r="H75" s="173">
        <v>1</v>
      </c>
      <c r="I75" s="191">
        <f t="shared" si="7"/>
        <v>0.25</v>
      </c>
      <c r="J75" s="173" t="s">
        <v>31</v>
      </c>
      <c r="K75" s="173" t="s">
        <v>31</v>
      </c>
      <c r="L75" s="173" t="s">
        <v>31</v>
      </c>
      <c r="M75" s="173" t="s">
        <v>31</v>
      </c>
      <c r="N75" s="173"/>
      <c r="O75" s="274"/>
      <c r="P75" s="275"/>
    </row>
    <row r="76" spans="1:16" s="273" customFormat="1" ht="15.75">
      <c r="A76" s="209" t="s">
        <v>5</v>
      </c>
      <c r="B76" s="210" t="s">
        <v>1324</v>
      </c>
      <c r="C76" s="211"/>
      <c r="D76" s="188"/>
      <c r="E76" s="188"/>
      <c r="F76" s="188"/>
      <c r="G76" s="188"/>
      <c r="H76" s="188"/>
      <c r="I76" s="188"/>
      <c r="J76" s="188"/>
      <c r="K76" s="188"/>
      <c r="L76" s="188"/>
      <c r="M76" s="188"/>
      <c r="N76" s="188"/>
    </row>
    <row r="77" spans="1:16" s="17" customFormat="1" ht="15.75">
      <c r="A77" s="177" t="s">
        <v>7</v>
      </c>
      <c r="B77" s="173" t="s">
        <v>566</v>
      </c>
      <c r="C77" s="176"/>
      <c r="D77" s="173"/>
      <c r="E77" s="173"/>
      <c r="F77" s="173"/>
      <c r="G77" s="173"/>
      <c r="H77" s="173"/>
      <c r="I77" s="173"/>
      <c r="J77" s="173"/>
      <c r="K77" s="173"/>
      <c r="L77" s="173"/>
      <c r="M77" s="173"/>
      <c r="N77" s="173"/>
    </row>
    <row r="78" spans="1:16" s="17" customFormat="1" ht="15.75">
      <c r="A78" s="276" t="s">
        <v>9</v>
      </c>
      <c r="B78" s="173" t="s">
        <v>1325</v>
      </c>
      <c r="C78" s="176"/>
      <c r="D78" s="173"/>
      <c r="E78" s="173"/>
      <c r="F78" s="173"/>
      <c r="G78" s="173"/>
      <c r="H78" s="173"/>
      <c r="I78" s="173"/>
      <c r="J78" s="173"/>
      <c r="K78" s="173"/>
      <c r="L78" s="173"/>
      <c r="M78" s="173"/>
      <c r="N78" s="173"/>
    </row>
    <row r="79" spans="1:16" s="17" customFormat="1" ht="15.75" customHeight="1">
      <c r="A79" s="177" t="s">
        <v>11</v>
      </c>
      <c r="B79" s="179" t="s">
        <v>913</v>
      </c>
      <c r="C79" s="173"/>
      <c r="D79" s="173"/>
      <c r="E79" s="173"/>
      <c r="F79" s="173"/>
      <c r="G79" s="173"/>
      <c r="H79" s="173"/>
      <c r="I79" s="173"/>
      <c r="J79" s="173"/>
      <c r="K79" s="173"/>
      <c r="L79" s="173"/>
      <c r="M79" s="173"/>
      <c r="N79" s="173"/>
    </row>
    <row r="80" spans="1:16" s="17" customFormat="1" ht="15.75">
      <c r="A80" s="177" t="s">
        <v>13</v>
      </c>
      <c r="B80" s="173" t="s">
        <v>14</v>
      </c>
      <c r="C80" s="173"/>
      <c r="D80" s="173"/>
      <c r="E80" s="173"/>
      <c r="F80" s="173"/>
      <c r="G80" s="173"/>
      <c r="H80" s="173"/>
      <c r="I80" s="173"/>
      <c r="J80" s="173"/>
      <c r="K80" s="173"/>
      <c r="L80" s="173"/>
      <c r="M80" s="173"/>
      <c r="N80" s="173"/>
    </row>
    <row r="81" spans="1:19" s="17" customFormat="1" ht="15.75">
      <c r="A81" s="177" t="s">
        <v>15</v>
      </c>
      <c r="B81" s="277">
        <f>B86</f>
        <v>0.63</v>
      </c>
      <c r="C81" s="173"/>
      <c r="D81" s="173"/>
      <c r="E81" s="173"/>
      <c r="F81" s="173"/>
      <c r="G81" s="173"/>
      <c r="H81" s="173"/>
      <c r="I81" s="173"/>
      <c r="J81" s="173"/>
      <c r="K81" s="173"/>
      <c r="L81" s="173"/>
      <c r="M81" s="173"/>
      <c r="N81" s="173"/>
    </row>
    <row r="82" spans="1:19" s="17" customFormat="1" ht="15.75">
      <c r="A82" s="177" t="s">
        <v>16</v>
      </c>
      <c r="B82" s="173" t="s">
        <v>17</v>
      </c>
      <c r="C82" s="173"/>
      <c r="D82" s="173"/>
      <c r="E82" s="173"/>
      <c r="F82" s="173"/>
      <c r="G82" s="173"/>
      <c r="H82" s="173"/>
      <c r="I82" s="173"/>
      <c r="J82" s="173"/>
      <c r="K82" s="173"/>
      <c r="L82" s="173"/>
      <c r="M82" s="173"/>
      <c r="N82" s="173"/>
    </row>
    <row r="83" spans="1:19" s="17" customFormat="1" ht="15.75">
      <c r="A83" s="177" t="s">
        <v>18</v>
      </c>
      <c r="B83" s="173" t="s">
        <v>37</v>
      </c>
      <c r="C83" s="173"/>
      <c r="D83" s="173"/>
      <c r="E83" s="173"/>
      <c r="F83" s="173"/>
      <c r="G83" s="173"/>
      <c r="H83" s="173"/>
      <c r="I83" s="173"/>
      <c r="J83" s="173"/>
      <c r="K83" s="173"/>
      <c r="L83" s="173"/>
      <c r="M83" s="173"/>
      <c r="N83" s="173"/>
      <c r="S83" s="278"/>
    </row>
    <row r="84" spans="1:19" s="17" customFormat="1" ht="15.75">
      <c r="A84" s="174" t="s">
        <v>19</v>
      </c>
      <c r="B84" s="173"/>
      <c r="C84" s="173"/>
      <c r="D84" s="173"/>
      <c r="E84" s="173"/>
      <c r="F84" s="173"/>
      <c r="G84" s="173"/>
      <c r="H84" s="173"/>
      <c r="I84" s="173"/>
      <c r="J84" s="173"/>
      <c r="K84" s="173"/>
      <c r="L84" s="173"/>
      <c r="M84" s="173"/>
      <c r="N84" s="173"/>
    </row>
    <row r="85" spans="1:19" s="17" customFormat="1" ht="15.75">
      <c r="A85" s="175" t="s">
        <v>20</v>
      </c>
      <c r="B85" s="175" t="s">
        <v>21</v>
      </c>
      <c r="C85" s="175" t="s">
        <v>18</v>
      </c>
      <c r="D85" s="175" t="s">
        <v>22</v>
      </c>
      <c r="E85" s="175" t="s">
        <v>7</v>
      </c>
      <c r="F85" s="175" t="s">
        <v>13</v>
      </c>
      <c r="G85" s="175" t="s">
        <v>16</v>
      </c>
      <c r="H85" s="175" t="s">
        <v>23</v>
      </c>
      <c r="I85" s="175" t="s">
        <v>24</v>
      </c>
      <c r="J85" s="175" t="s">
        <v>25</v>
      </c>
      <c r="K85" s="175" t="s">
        <v>26</v>
      </c>
      <c r="L85" s="175" t="s">
        <v>27</v>
      </c>
      <c r="M85" s="175" t="s">
        <v>28</v>
      </c>
      <c r="N85" s="175" t="s">
        <v>11</v>
      </c>
    </row>
    <row r="86" spans="1:19" s="17" customFormat="1" ht="15.75">
      <c r="A86" s="173" t="s">
        <v>1324</v>
      </c>
      <c r="B86" s="191">
        <v>0.63</v>
      </c>
      <c r="C86" s="173" t="s">
        <v>37</v>
      </c>
      <c r="D86" s="258" t="s">
        <v>2</v>
      </c>
      <c r="E86" s="173" t="s">
        <v>29</v>
      </c>
      <c r="F86" s="173" t="s">
        <v>14</v>
      </c>
      <c r="G86" s="173" t="s">
        <v>917</v>
      </c>
      <c r="H86" s="173">
        <v>1</v>
      </c>
      <c r="I86" s="191">
        <f>B86</f>
        <v>0.63</v>
      </c>
      <c r="J86" s="173" t="s">
        <v>31</v>
      </c>
      <c r="K86" s="173" t="s">
        <v>31</v>
      </c>
      <c r="L86" s="173" t="s">
        <v>31</v>
      </c>
      <c r="M86" s="173" t="s">
        <v>31</v>
      </c>
      <c r="N86" s="173"/>
      <c r="O86" s="274"/>
      <c r="P86" s="275"/>
    </row>
    <row r="87" spans="1:19" s="17" customFormat="1" ht="15.75">
      <c r="A87" s="232" t="s">
        <v>918</v>
      </c>
      <c r="B87" s="191">
        <v>0.63</v>
      </c>
      <c r="C87" s="173" t="s">
        <v>37</v>
      </c>
      <c r="D87" s="173" t="s">
        <v>38</v>
      </c>
      <c r="E87" s="173" t="s">
        <v>29</v>
      </c>
      <c r="F87" s="185" t="s">
        <v>60</v>
      </c>
      <c r="G87" s="173" t="s">
        <v>33</v>
      </c>
      <c r="H87" s="173">
        <v>1</v>
      </c>
      <c r="I87" s="191">
        <f t="shared" ref="I87:I89" si="8">B87</f>
        <v>0.63</v>
      </c>
      <c r="J87" s="173" t="s">
        <v>31</v>
      </c>
      <c r="K87" s="173" t="s">
        <v>31</v>
      </c>
      <c r="L87" s="173" t="s">
        <v>31</v>
      </c>
      <c r="M87" s="173" t="s">
        <v>31</v>
      </c>
      <c r="N87" s="173"/>
      <c r="O87" s="274"/>
      <c r="P87" s="275"/>
    </row>
    <row r="88" spans="1:19" s="17" customFormat="1" ht="15.75">
      <c r="A88" s="232" t="s">
        <v>919</v>
      </c>
      <c r="B88" s="191">
        <v>0.63</v>
      </c>
      <c r="C88" s="173" t="s">
        <v>37</v>
      </c>
      <c r="D88" s="173" t="s">
        <v>38</v>
      </c>
      <c r="E88" s="173" t="s">
        <v>29</v>
      </c>
      <c r="F88" s="185" t="s">
        <v>60</v>
      </c>
      <c r="G88" s="173" t="s">
        <v>33</v>
      </c>
      <c r="H88" s="173">
        <v>1</v>
      </c>
      <c r="I88" s="191">
        <f t="shared" si="8"/>
        <v>0.63</v>
      </c>
      <c r="J88" s="173" t="s">
        <v>31</v>
      </c>
      <c r="K88" s="173" t="s">
        <v>31</v>
      </c>
      <c r="L88" s="173" t="s">
        <v>31</v>
      </c>
      <c r="M88" s="173" t="s">
        <v>31</v>
      </c>
      <c r="N88" s="173"/>
      <c r="O88" s="274"/>
      <c r="P88" s="275"/>
    </row>
    <row r="89" spans="1:19" s="17" customFormat="1" ht="15.75">
      <c r="A89" s="232" t="s">
        <v>920</v>
      </c>
      <c r="B89" s="191">
        <v>0.63</v>
      </c>
      <c r="C89" s="173" t="s">
        <v>37</v>
      </c>
      <c r="D89" s="173" t="s">
        <v>38</v>
      </c>
      <c r="E89" s="173" t="s">
        <v>29</v>
      </c>
      <c r="F89" s="185" t="s">
        <v>35</v>
      </c>
      <c r="G89" s="173" t="s">
        <v>33</v>
      </c>
      <c r="H89" s="173">
        <v>1</v>
      </c>
      <c r="I89" s="191">
        <f t="shared" si="8"/>
        <v>0.63</v>
      </c>
      <c r="J89" s="173" t="s">
        <v>31</v>
      </c>
      <c r="K89" s="173" t="s">
        <v>31</v>
      </c>
      <c r="L89" s="173" t="s">
        <v>31</v>
      </c>
      <c r="M89" s="173" t="s">
        <v>31</v>
      </c>
      <c r="N89" s="173"/>
      <c r="O89" s="274"/>
      <c r="P89" s="275"/>
    </row>
    <row r="90" spans="1:19" s="17" customFormat="1" ht="15.75">
      <c r="A90" s="209" t="s">
        <v>5</v>
      </c>
      <c r="B90" s="210" t="s">
        <v>1306</v>
      </c>
      <c r="C90" s="211"/>
      <c r="D90" s="188"/>
      <c r="E90" s="188"/>
      <c r="F90" s="188"/>
      <c r="G90" s="188"/>
      <c r="H90" s="188"/>
      <c r="I90" s="188"/>
      <c r="J90" s="188"/>
      <c r="K90" s="188"/>
      <c r="L90" s="188"/>
      <c r="M90" s="188"/>
      <c r="N90" s="173"/>
    </row>
    <row r="91" spans="1:19" s="17" customFormat="1" ht="15.75">
      <c r="A91" s="177" t="s">
        <v>7</v>
      </c>
      <c r="B91" s="173" t="s">
        <v>566</v>
      </c>
      <c r="C91" s="176"/>
      <c r="D91" s="173"/>
      <c r="E91" s="173"/>
      <c r="F91" s="173"/>
      <c r="G91" s="173"/>
      <c r="H91" s="173"/>
      <c r="I91" s="173"/>
      <c r="J91" s="173"/>
      <c r="K91" s="173"/>
      <c r="L91" s="173"/>
      <c r="M91" s="173"/>
      <c r="N91" s="173"/>
    </row>
    <row r="92" spans="1:19" s="17" customFormat="1" ht="15.75">
      <c r="A92" s="177" t="s">
        <v>9</v>
      </c>
      <c r="B92" s="178" t="s">
        <v>1326</v>
      </c>
      <c r="C92" s="176"/>
      <c r="D92" s="173"/>
      <c r="E92" s="173"/>
      <c r="F92" s="173"/>
      <c r="G92" s="173"/>
      <c r="H92" s="173"/>
      <c r="I92" s="173"/>
      <c r="J92" s="173"/>
      <c r="K92" s="173"/>
      <c r="L92" s="173"/>
      <c r="M92" s="173"/>
      <c r="N92" s="173"/>
    </row>
    <row r="93" spans="1:19" s="17" customFormat="1" ht="15.75">
      <c r="A93" s="177" t="s">
        <v>11</v>
      </c>
      <c r="B93" s="179" t="s">
        <v>906</v>
      </c>
      <c r="C93" s="173"/>
      <c r="D93" s="173"/>
      <c r="E93" s="173"/>
      <c r="F93" s="173"/>
      <c r="G93" s="173"/>
      <c r="H93" s="173"/>
      <c r="I93" s="173"/>
      <c r="J93" s="173"/>
      <c r="K93" s="173"/>
      <c r="L93" s="173"/>
      <c r="M93" s="173"/>
      <c r="N93" s="173"/>
    </row>
    <row r="94" spans="1:19" s="17" customFormat="1" ht="15.75">
      <c r="A94" s="177" t="s">
        <v>13</v>
      </c>
      <c r="B94" s="185" t="s">
        <v>14</v>
      </c>
      <c r="C94" s="173"/>
      <c r="D94" s="173"/>
      <c r="E94" s="173"/>
      <c r="F94" s="173"/>
      <c r="G94" s="173"/>
      <c r="H94" s="173"/>
      <c r="I94" s="173"/>
      <c r="J94" s="173"/>
      <c r="K94" s="173"/>
      <c r="L94" s="173"/>
      <c r="M94" s="173"/>
      <c r="N94" s="173"/>
    </row>
    <row r="95" spans="1:19" s="17" customFormat="1" ht="15.75">
      <c r="A95" s="177" t="s">
        <v>15</v>
      </c>
      <c r="B95" s="173">
        <f>B100</f>
        <v>0.63</v>
      </c>
      <c r="C95" s="173"/>
      <c r="D95" s="173"/>
      <c r="E95" s="173"/>
      <c r="F95" s="173"/>
      <c r="G95" s="173"/>
      <c r="H95" s="173"/>
      <c r="I95" s="173"/>
      <c r="J95" s="173"/>
      <c r="K95" s="173"/>
      <c r="L95" s="173"/>
      <c r="M95" s="173"/>
      <c r="N95" s="173"/>
    </row>
    <row r="96" spans="1:19" s="17" customFormat="1" ht="15.75">
      <c r="A96" s="177" t="s">
        <v>16</v>
      </c>
      <c r="B96" s="173" t="s">
        <v>17</v>
      </c>
      <c r="C96" s="173"/>
      <c r="D96" s="173"/>
      <c r="E96" s="173"/>
      <c r="F96" s="173"/>
      <c r="G96" s="173"/>
      <c r="H96" s="173"/>
      <c r="I96" s="173"/>
      <c r="J96" s="173"/>
      <c r="K96" s="173"/>
      <c r="L96" s="173"/>
      <c r="M96" s="173"/>
      <c r="N96" s="173"/>
    </row>
    <row r="97" spans="1:14" s="17" customFormat="1" ht="15.75">
      <c r="A97" s="177" t="s">
        <v>18</v>
      </c>
      <c r="B97" s="173" t="s">
        <v>37</v>
      </c>
      <c r="C97" s="173"/>
      <c r="D97" s="173"/>
      <c r="E97" s="173"/>
      <c r="F97" s="173"/>
      <c r="G97" s="173"/>
      <c r="H97" s="173"/>
      <c r="I97" s="173"/>
      <c r="J97" s="173"/>
      <c r="K97" s="173"/>
      <c r="L97" s="173"/>
      <c r="M97" s="173"/>
      <c r="N97" s="173"/>
    </row>
    <row r="98" spans="1:14" s="17" customFormat="1" ht="15.75">
      <c r="A98" s="174" t="s">
        <v>19</v>
      </c>
      <c r="B98" s="173"/>
      <c r="C98" s="173"/>
      <c r="D98" s="173"/>
      <c r="E98" s="173"/>
      <c r="F98" s="173"/>
      <c r="G98" s="173"/>
      <c r="H98" s="173"/>
      <c r="I98" s="173"/>
      <c r="J98" s="173"/>
      <c r="K98" s="173"/>
      <c r="L98" s="173"/>
      <c r="M98" s="173"/>
      <c r="N98" s="173"/>
    </row>
    <row r="99" spans="1:14" s="17" customFormat="1" ht="15.75">
      <c r="A99" s="174" t="s">
        <v>20</v>
      </c>
      <c r="B99" s="175" t="s">
        <v>21</v>
      </c>
      <c r="C99" s="175" t="s">
        <v>18</v>
      </c>
      <c r="D99" s="175" t="s">
        <v>22</v>
      </c>
      <c r="E99" s="175" t="s">
        <v>7</v>
      </c>
      <c r="F99" s="175" t="s">
        <v>13</v>
      </c>
      <c r="G99" s="175" t="s">
        <v>16</v>
      </c>
      <c r="H99" s="175" t="s">
        <v>23</v>
      </c>
      <c r="I99" s="175" t="s">
        <v>24</v>
      </c>
      <c r="J99" s="175" t="s">
        <v>25</v>
      </c>
      <c r="K99" s="175" t="s">
        <v>26</v>
      </c>
      <c r="L99" s="175" t="s">
        <v>27</v>
      </c>
      <c r="M99" s="175" t="s">
        <v>28</v>
      </c>
      <c r="N99" s="175" t="s">
        <v>11</v>
      </c>
    </row>
    <row r="100" spans="1:14" s="17" customFormat="1" ht="15.75">
      <c r="A100" s="271" t="s">
        <v>1306</v>
      </c>
      <c r="B100" s="271">
        <v>0.63</v>
      </c>
      <c r="C100" s="173" t="s">
        <v>37</v>
      </c>
      <c r="D100" s="173" t="s">
        <v>2</v>
      </c>
      <c r="E100" s="173" t="s">
        <v>29</v>
      </c>
      <c r="F100" s="185" t="s">
        <v>14</v>
      </c>
      <c r="G100" s="173" t="s">
        <v>30</v>
      </c>
      <c r="H100" s="173">
        <v>1</v>
      </c>
      <c r="I100" s="173">
        <f>B100</f>
        <v>0.63</v>
      </c>
      <c r="J100" s="173" t="s">
        <v>31</v>
      </c>
      <c r="K100" s="173" t="s">
        <v>31</v>
      </c>
      <c r="L100" s="173" t="s">
        <v>31</v>
      </c>
      <c r="M100" s="173" t="s">
        <v>31</v>
      </c>
      <c r="N100" s="173"/>
    </row>
    <row r="101" spans="1:14" s="17" customFormat="1" ht="15.75">
      <c r="A101" s="271" t="s">
        <v>1324</v>
      </c>
      <c r="B101" s="271">
        <v>0.63</v>
      </c>
      <c r="C101" s="173" t="s">
        <v>37</v>
      </c>
      <c r="D101" s="173" t="s">
        <v>2</v>
      </c>
      <c r="E101" s="173" t="s">
        <v>29</v>
      </c>
      <c r="F101" s="185" t="s">
        <v>14</v>
      </c>
      <c r="G101" s="173" t="s">
        <v>33</v>
      </c>
      <c r="H101" s="173">
        <v>1</v>
      </c>
      <c r="I101" s="173">
        <f>B101</f>
        <v>0.63</v>
      </c>
      <c r="J101" s="173" t="s">
        <v>31</v>
      </c>
      <c r="K101" s="173" t="s">
        <v>31</v>
      </c>
      <c r="L101" s="173" t="s">
        <v>31</v>
      </c>
      <c r="M101" s="173" t="s">
        <v>31</v>
      </c>
      <c r="N101" s="173"/>
    </row>
    <row r="102" spans="1:14" s="17" customFormat="1" ht="15.75">
      <c r="A102" s="279" t="s">
        <v>924</v>
      </c>
      <c r="B102" s="173">
        <v>4.0000000000000001E-3</v>
      </c>
      <c r="C102" s="173" t="s">
        <v>37</v>
      </c>
      <c r="D102" s="173" t="s">
        <v>38</v>
      </c>
      <c r="E102" s="173" t="s">
        <v>29</v>
      </c>
      <c r="F102" s="185" t="s">
        <v>86</v>
      </c>
      <c r="G102" s="173" t="s">
        <v>33</v>
      </c>
      <c r="H102" s="173">
        <v>1</v>
      </c>
      <c r="I102" s="173">
        <f t="shared" ref="I102:I104" si="9">B102</f>
        <v>4.0000000000000001E-3</v>
      </c>
      <c r="J102" s="173" t="s">
        <v>31</v>
      </c>
      <c r="K102" s="173" t="s">
        <v>31</v>
      </c>
      <c r="L102" s="173" t="s">
        <v>31</v>
      </c>
      <c r="M102" s="173" t="s">
        <v>31</v>
      </c>
      <c r="N102" s="173"/>
    </row>
    <row r="103" spans="1:14" s="17" customFormat="1" ht="15.75">
      <c r="A103" s="279" t="s">
        <v>925</v>
      </c>
      <c r="B103" s="173">
        <v>0.08</v>
      </c>
      <c r="C103" s="173" t="s">
        <v>206</v>
      </c>
      <c r="D103" s="173" t="s">
        <v>38</v>
      </c>
      <c r="E103" s="173" t="s">
        <v>29</v>
      </c>
      <c r="F103" s="185" t="s">
        <v>60</v>
      </c>
      <c r="G103" s="173" t="s">
        <v>33</v>
      </c>
      <c r="H103" s="173">
        <v>1</v>
      </c>
      <c r="I103" s="173">
        <f t="shared" si="9"/>
        <v>0.08</v>
      </c>
      <c r="J103" s="173" t="s">
        <v>31</v>
      </c>
      <c r="K103" s="173" t="s">
        <v>31</v>
      </c>
      <c r="L103" s="173" t="s">
        <v>31</v>
      </c>
      <c r="M103" s="173" t="s">
        <v>31</v>
      </c>
      <c r="N103" s="173"/>
    </row>
    <row r="104" spans="1:14" s="17" customFormat="1" ht="15.75">
      <c r="A104" s="279" t="s">
        <v>926</v>
      </c>
      <c r="B104" s="173">
        <v>4.0000000000000001E-3</v>
      </c>
      <c r="C104" s="173" t="s">
        <v>37</v>
      </c>
      <c r="D104" s="173" t="s">
        <v>38</v>
      </c>
      <c r="E104" s="173" t="s">
        <v>29</v>
      </c>
      <c r="F104" s="185" t="s">
        <v>60</v>
      </c>
      <c r="G104" s="173" t="s">
        <v>33</v>
      </c>
      <c r="H104" s="173">
        <v>1</v>
      </c>
      <c r="I104" s="173">
        <f t="shared" si="9"/>
        <v>4.0000000000000001E-3</v>
      </c>
      <c r="J104" s="173" t="s">
        <v>31</v>
      </c>
      <c r="K104" s="173" t="s">
        <v>31</v>
      </c>
      <c r="L104" s="173" t="s">
        <v>31</v>
      </c>
      <c r="M104" s="173" t="s">
        <v>31</v>
      </c>
      <c r="N104" s="173"/>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43DD5-84C2-4D7B-8416-EC1531515BCE}">
  <sheetPr>
    <tabColor theme="5"/>
  </sheetPr>
  <dimension ref="A1:W47"/>
  <sheetViews>
    <sheetView topLeftCell="A12" zoomScale="85" zoomScaleNormal="85" workbookViewId="0">
      <selection activeCell="A36" sqref="A36"/>
    </sheetView>
  </sheetViews>
  <sheetFormatPr defaultRowHeight="15"/>
  <cols>
    <col min="1" max="1" width="44.7109375" customWidth="1"/>
    <col min="2" max="2" width="13.5703125" customWidth="1"/>
    <col min="4" max="4" width="23.42578125" customWidth="1"/>
    <col min="7" max="7" width="12.7109375" customWidth="1"/>
  </cols>
  <sheetData>
    <row r="1" spans="1:23">
      <c r="A1" s="173" t="s">
        <v>0</v>
      </c>
      <c r="B1" s="173">
        <v>13</v>
      </c>
      <c r="C1" s="173"/>
      <c r="D1" s="173"/>
      <c r="E1" s="173"/>
      <c r="F1" s="173"/>
      <c r="G1" s="173"/>
      <c r="H1" s="173"/>
      <c r="I1" s="173"/>
      <c r="J1" s="173"/>
      <c r="K1" s="173"/>
      <c r="L1" s="173"/>
      <c r="M1" s="173"/>
      <c r="N1" s="173"/>
      <c r="O1" s="173"/>
      <c r="P1" s="173"/>
      <c r="Q1" s="173"/>
      <c r="R1" s="173"/>
      <c r="S1" s="173"/>
      <c r="T1" s="173"/>
      <c r="U1" s="173"/>
    </row>
    <row r="2" spans="1:23" s="42" customFormat="1">
      <c r="A2" s="209" t="s">
        <v>5</v>
      </c>
      <c r="B2" s="210" t="s">
        <v>1305</v>
      </c>
      <c r="C2" s="188"/>
      <c r="D2" s="188"/>
      <c r="E2" s="188"/>
      <c r="F2" s="188"/>
      <c r="G2" s="188"/>
      <c r="H2" s="188"/>
      <c r="I2" s="188"/>
      <c r="J2" s="188"/>
      <c r="K2" s="188"/>
      <c r="L2" s="188"/>
      <c r="M2" s="188"/>
      <c r="N2" s="188"/>
      <c r="O2" s="188"/>
      <c r="P2" s="188"/>
      <c r="Q2" s="188"/>
      <c r="R2" s="188"/>
      <c r="S2" s="188"/>
      <c r="T2" s="188"/>
      <c r="U2" s="188"/>
    </row>
    <row r="3" spans="1:23">
      <c r="A3" s="177" t="s">
        <v>7</v>
      </c>
      <c r="B3" s="173" t="s">
        <v>566</v>
      </c>
      <c r="C3" s="176"/>
      <c r="D3" s="173"/>
      <c r="E3" s="173"/>
      <c r="F3" s="173"/>
      <c r="G3" s="173"/>
      <c r="H3" s="173"/>
      <c r="I3" s="173"/>
      <c r="J3" s="173"/>
      <c r="K3" s="173"/>
      <c r="L3" s="173"/>
      <c r="M3" s="173"/>
      <c r="N3" s="173"/>
      <c r="O3" s="173"/>
      <c r="P3" s="173"/>
      <c r="Q3" s="173"/>
      <c r="R3" s="173"/>
      <c r="S3" s="173"/>
      <c r="T3" s="173"/>
      <c r="U3" s="173"/>
    </row>
    <row r="4" spans="1:23">
      <c r="A4" s="276" t="s">
        <v>9</v>
      </c>
      <c r="B4" s="173" t="s">
        <v>1327</v>
      </c>
      <c r="C4" s="176"/>
      <c r="D4" s="173"/>
      <c r="E4" s="173"/>
      <c r="F4" s="173"/>
      <c r="G4" s="173"/>
      <c r="H4" s="173"/>
      <c r="I4" s="173"/>
      <c r="J4" s="173"/>
      <c r="K4" s="173"/>
      <c r="L4" s="173"/>
      <c r="M4" s="173"/>
      <c r="N4" s="173"/>
      <c r="O4" s="173"/>
      <c r="P4" s="173"/>
      <c r="Q4" s="173"/>
      <c r="R4" s="173"/>
      <c r="S4" s="173"/>
      <c r="T4" s="173"/>
      <c r="U4" s="173"/>
    </row>
    <row r="5" spans="1:23" ht="15.75" customHeight="1">
      <c r="A5" s="177" t="s">
        <v>11</v>
      </c>
      <c r="B5" s="179" t="s">
        <v>913</v>
      </c>
      <c r="C5" s="173"/>
      <c r="D5" s="173"/>
      <c r="E5" s="173"/>
      <c r="F5" s="173"/>
      <c r="G5" s="173"/>
      <c r="H5" s="173"/>
      <c r="I5" s="173"/>
      <c r="J5" s="173"/>
      <c r="K5" s="173"/>
      <c r="L5" s="173"/>
      <c r="M5" s="173"/>
      <c r="N5" s="173"/>
      <c r="O5" s="173"/>
      <c r="P5" s="173"/>
      <c r="Q5" s="173"/>
      <c r="R5" s="173"/>
      <c r="S5" s="173"/>
      <c r="T5" s="173"/>
      <c r="U5" s="173"/>
    </row>
    <row r="6" spans="1:23">
      <c r="A6" s="177" t="s">
        <v>13</v>
      </c>
      <c r="B6" s="173" t="s">
        <v>14</v>
      </c>
      <c r="C6" s="173"/>
      <c r="D6" s="173"/>
      <c r="E6" s="173"/>
      <c r="F6" s="173"/>
      <c r="G6" s="173"/>
      <c r="H6" s="173"/>
      <c r="I6" s="173"/>
      <c r="J6" s="173"/>
      <c r="K6" s="173"/>
      <c r="L6" s="173"/>
      <c r="M6" s="173"/>
      <c r="N6" s="173"/>
      <c r="O6" s="173"/>
      <c r="P6" s="173"/>
      <c r="Q6" s="173"/>
      <c r="R6" s="173"/>
      <c r="S6" s="173"/>
      <c r="T6" s="173"/>
      <c r="U6" s="173"/>
    </row>
    <row r="7" spans="1:23">
      <c r="A7" s="177" t="s">
        <v>15</v>
      </c>
      <c r="B7" s="265">
        <v>0.38606000000000001</v>
      </c>
      <c r="C7" s="173"/>
      <c r="D7" s="173"/>
      <c r="E7" s="173"/>
      <c r="F7" s="173"/>
      <c r="G7" s="173"/>
      <c r="H7" s="173"/>
      <c r="I7" s="173"/>
      <c r="J7" s="173"/>
      <c r="K7" s="173"/>
      <c r="L7" s="173"/>
      <c r="M7" s="173"/>
      <c r="N7" s="173"/>
      <c r="O7" s="173"/>
      <c r="P7" s="173"/>
      <c r="Q7" s="173"/>
      <c r="R7" s="175" t="s">
        <v>1023</v>
      </c>
      <c r="S7" s="173"/>
      <c r="T7" s="173"/>
      <c r="U7" s="173"/>
    </row>
    <row r="8" spans="1:23">
      <c r="A8" s="177" t="s">
        <v>16</v>
      </c>
      <c r="B8" s="173" t="s">
        <v>17</v>
      </c>
      <c r="C8" s="173"/>
      <c r="D8" s="173"/>
      <c r="E8" s="173"/>
      <c r="F8" s="173"/>
      <c r="G8" s="173"/>
      <c r="H8" s="173"/>
      <c r="I8" s="173"/>
      <c r="J8" s="173"/>
      <c r="K8" s="173"/>
      <c r="L8" s="173"/>
      <c r="M8" s="173"/>
      <c r="N8" s="173"/>
      <c r="O8" s="173"/>
      <c r="P8" s="173"/>
      <c r="Q8" s="173"/>
      <c r="R8" s="173" t="s">
        <v>1024</v>
      </c>
      <c r="S8" s="173">
        <v>8900</v>
      </c>
      <c r="T8" s="173" t="s">
        <v>1025</v>
      </c>
      <c r="U8" s="173"/>
    </row>
    <row r="9" spans="1:23">
      <c r="A9" s="177" t="s">
        <v>18</v>
      </c>
      <c r="B9" s="173" t="s">
        <v>37</v>
      </c>
      <c r="C9" s="173"/>
      <c r="D9" s="173"/>
      <c r="E9" s="173"/>
      <c r="F9" s="173"/>
      <c r="G9" s="173"/>
      <c r="H9" s="173"/>
      <c r="I9" s="173"/>
      <c r="J9" s="173"/>
      <c r="K9" s="173"/>
      <c r="L9" s="173"/>
      <c r="M9" s="173"/>
      <c r="N9" s="173"/>
      <c r="O9" s="173"/>
      <c r="P9" s="173"/>
      <c r="Q9" s="173"/>
      <c r="R9" s="173" t="s">
        <v>1026</v>
      </c>
      <c r="S9" s="173">
        <f>5*10^-6</f>
        <v>4.9999999999999996E-6</v>
      </c>
      <c r="T9" s="173" t="s">
        <v>1027</v>
      </c>
      <c r="U9" s="173"/>
    </row>
    <row r="10" spans="1:23">
      <c r="A10" s="174" t="s">
        <v>19</v>
      </c>
      <c r="B10" s="173"/>
      <c r="C10" s="173"/>
      <c r="D10" s="173"/>
      <c r="E10" s="173"/>
      <c r="F10" s="173"/>
      <c r="G10" s="173"/>
      <c r="H10" s="173"/>
      <c r="I10" s="173"/>
      <c r="J10" s="173"/>
      <c r="K10" s="173"/>
      <c r="L10" s="173"/>
      <c r="M10" s="173"/>
      <c r="N10" s="173"/>
      <c r="O10" s="173"/>
      <c r="P10" s="173"/>
      <c r="Q10" s="173"/>
      <c r="R10" s="280" t="s">
        <v>1029</v>
      </c>
      <c r="S10" s="281">
        <f>S9*S8</f>
        <v>4.4499999999999998E-2</v>
      </c>
      <c r="T10" s="282" t="s">
        <v>985</v>
      </c>
      <c r="U10" s="173"/>
    </row>
    <row r="11" spans="1:23">
      <c r="A11" s="175"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173"/>
      <c r="S11" s="173"/>
      <c r="T11" s="173"/>
      <c r="U11" s="173"/>
      <c r="W11" s="283"/>
    </row>
    <row r="12" spans="1:23">
      <c r="A12" s="173" t="s">
        <v>1305</v>
      </c>
      <c r="B12" s="265">
        <v>0.04</v>
      </c>
      <c r="C12" s="173" t="s">
        <v>37</v>
      </c>
      <c r="D12" s="258" t="s">
        <v>2</v>
      </c>
      <c r="E12" s="173" t="s">
        <v>29</v>
      </c>
      <c r="F12" s="173" t="s">
        <v>14</v>
      </c>
      <c r="G12" s="173" t="s">
        <v>30</v>
      </c>
      <c r="H12" s="173">
        <v>1</v>
      </c>
      <c r="I12" s="265">
        <f>B12</f>
        <v>0.04</v>
      </c>
      <c r="J12" s="173" t="s">
        <v>31</v>
      </c>
      <c r="K12" s="173" t="s">
        <v>31</v>
      </c>
      <c r="L12" s="173" t="s">
        <v>31</v>
      </c>
      <c r="M12" s="173" t="s">
        <v>31</v>
      </c>
      <c r="N12" s="173"/>
      <c r="O12" s="242" t="s">
        <v>1031</v>
      </c>
      <c r="P12" s="264">
        <f>B12*100</f>
        <v>4</v>
      </c>
      <c r="Q12" s="173"/>
      <c r="R12" s="173" t="s">
        <v>1032</v>
      </c>
      <c r="S12" s="173"/>
      <c r="T12" s="173"/>
      <c r="U12" s="260"/>
    </row>
    <row r="13" spans="1:23">
      <c r="A13" s="173" t="s">
        <v>1328</v>
      </c>
      <c r="B13" s="265">
        <f>B23</f>
        <v>0.04</v>
      </c>
      <c r="C13" s="173" t="s">
        <v>206</v>
      </c>
      <c r="D13" s="258" t="s">
        <v>2</v>
      </c>
      <c r="E13" s="173" t="s">
        <v>29</v>
      </c>
      <c r="F13" s="173" t="s">
        <v>14</v>
      </c>
      <c r="G13" s="173" t="s">
        <v>33</v>
      </c>
      <c r="H13" s="173">
        <v>1</v>
      </c>
      <c r="I13" s="265">
        <f t="shared" ref="I13:I14" si="0">B13</f>
        <v>0.04</v>
      </c>
      <c r="J13" s="173">
        <v>7.2284161474004766E-2</v>
      </c>
      <c r="K13" s="173" t="s">
        <v>31</v>
      </c>
      <c r="L13" s="173" t="s">
        <v>31</v>
      </c>
      <c r="M13" s="173" t="s">
        <v>31</v>
      </c>
      <c r="N13" s="173"/>
      <c r="O13" s="242" t="s">
        <v>1031</v>
      </c>
      <c r="P13" s="264">
        <f>B13*100</f>
        <v>4</v>
      </c>
      <c r="Q13" s="173"/>
      <c r="R13" s="284">
        <v>0.17</v>
      </c>
      <c r="S13" s="285" t="s">
        <v>945</v>
      </c>
      <c r="T13" s="284">
        <f>R13*S10</f>
        <v>7.5650000000000005E-3</v>
      </c>
      <c r="U13" s="285" t="s">
        <v>337</v>
      </c>
    </row>
    <row r="14" spans="1:23">
      <c r="A14" s="271" t="s">
        <v>1321</v>
      </c>
      <c r="B14" s="270">
        <v>0.17</v>
      </c>
      <c r="C14" s="173" t="s">
        <v>37</v>
      </c>
      <c r="D14" s="258" t="s">
        <v>2</v>
      </c>
      <c r="E14" s="173" t="s">
        <v>29</v>
      </c>
      <c r="F14" s="185" t="s">
        <v>14</v>
      </c>
      <c r="G14" s="173" t="s">
        <v>33</v>
      </c>
      <c r="H14" s="173">
        <v>1</v>
      </c>
      <c r="I14" s="265">
        <f t="shared" si="0"/>
        <v>0.17</v>
      </c>
      <c r="J14" s="173">
        <v>7.2284161474004766E-2</v>
      </c>
      <c r="K14" s="173" t="s">
        <v>31</v>
      </c>
      <c r="L14" s="173" t="s">
        <v>31</v>
      </c>
      <c r="M14" s="173" t="s">
        <v>31</v>
      </c>
      <c r="N14" s="173"/>
      <c r="O14" s="286"/>
      <c r="P14" s="287"/>
      <c r="Q14" s="173"/>
      <c r="R14" s="173"/>
      <c r="S14" s="173"/>
      <c r="T14" s="173"/>
      <c r="U14" s="173"/>
    </row>
    <row r="15" spans="1:23">
      <c r="A15" s="177" t="s">
        <v>933</v>
      </c>
      <c r="B15" s="173">
        <v>1.3</v>
      </c>
      <c r="C15" s="173" t="s">
        <v>37</v>
      </c>
      <c r="D15" s="173" t="s">
        <v>38</v>
      </c>
      <c r="E15" s="173" t="s">
        <v>29</v>
      </c>
      <c r="F15" s="185" t="s">
        <v>39</v>
      </c>
      <c r="G15" s="173" t="s">
        <v>33</v>
      </c>
      <c r="H15" s="173">
        <v>2</v>
      </c>
      <c r="I15" s="173">
        <f t="shared" ref="I15" si="1">LN(B15)</f>
        <v>0.26236426446749106</v>
      </c>
      <c r="J15" s="173">
        <v>7.2284161474004766E-2</v>
      </c>
      <c r="K15" s="173" t="s">
        <v>31</v>
      </c>
      <c r="L15" s="173" t="s">
        <v>31</v>
      </c>
      <c r="M15" s="173" t="s">
        <v>31</v>
      </c>
      <c r="N15" s="173"/>
      <c r="O15" s="286"/>
      <c r="P15" s="287"/>
      <c r="Q15" s="173"/>
      <c r="R15" s="173"/>
      <c r="S15" s="173"/>
      <c r="T15" s="173"/>
      <c r="U15" s="173"/>
    </row>
    <row r="16" spans="1:23">
      <c r="A16" s="185" t="s">
        <v>1021</v>
      </c>
      <c r="B16" s="288">
        <f>T13</f>
        <v>7.5650000000000005E-3</v>
      </c>
      <c r="C16" s="173" t="s">
        <v>37</v>
      </c>
      <c r="D16" s="173" t="s">
        <v>38</v>
      </c>
      <c r="E16" s="173" t="s">
        <v>29</v>
      </c>
      <c r="F16" s="185" t="s">
        <v>60</v>
      </c>
      <c r="G16" s="173" t="s">
        <v>33</v>
      </c>
      <c r="H16" s="173">
        <v>2</v>
      </c>
      <c r="I16" s="173">
        <f>LN(B16)</f>
        <v>-4.8842229317418173</v>
      </c>
      <c r="J16" s="173">
        <v>7.2284161474004766E-2</v>
      </c>
      <c r="K16" s="173" t="s">
        <v>31</v>
      </c>
      <c r="L16" s="173" t="s">
        <v>31</v>
      </c>
      <c r="M16" s="173" t="s">
        <v>31</v>
      </c>
      <c r="N16" s="173"/>
      <c r="O16" s="286"/>
      <c r="P16" s="287"/>
      <c r="Q16" s="173"/>
      <c r="R16" s="173"/>
      <c r="S16" s="173"/>
      <c r="T16" s="173"/>
      <c r="U16" s="173"/>
    </row>
    <row r="17" spans="1:21">
      <c r="A17" s="185" t="s">
        <v>489</v>
      </c>
      <c r="B17" s="173">
        <f>0.001*1.3</f>
        <v>1.3000000000000002E-3</v>
      </c>
      <c r="C17" s="173" t="s">
        <v>50</v>
      </c>
      <c r="D17" s="173" t="s">
        <v>38</v>
      </c>
      <c r="E17" s="173" t="s">
        <v>29</v>
      </c>
      <c r="F17" s="185" t="s">
        <v>39</v>
      </c>
      <c r="G17" s="173" t="s">
        <v>33</v>
      </c>
      <c r="H17" s="173">
        <v>2</v>
      </c>
      <c r="I17" s="173">
        <f t="shared" ref="I17" si="2">LN(B17)</f>
        <v>-6.6453910145146455</v>
      </c>
      <c r="J17" s="173">
        <v>7.2284161474004766E-2</v>
      </c>
      <c r="K17" s="173" t="s">
        <v>31</v>
      </c>
      <c r="L17" s="173" t="s">
        <v>31</v>
      </c>
      <c r="M17" s="173" t="s">
        <v>31</v>
      </c>
      <c r="N17" s="173"/>
      <c r="O17" s="271"/>
      <c r="P17" s="272"/>
      <c r="Q17" s="289"/>
      <c r="R17" s="173"/>
      <c r="S17" s="173"/>
      <c r="T17" s="173"/>
      <c r="U17" s="173"/>
    </row>
    <row r="18" spans="1:21" s="42" customFormat="1">
      <c r="A18" s="209" t="s">
        <v>5</v>
      </c>
      <c r="B18" s="210" t="s">
        <v>1328</v>
      </c>
      <c r="C18" s="188"/>
      <c r="D18" s="188"/>
      <c r="E18" s="188"/>
      <c r="F18" s="188"/>
      <c r="G18" s="188"/>
      <c r="H18" s="188"/>
      <c r="I18" s="188"/>
      <c r="J18" s="188"/>
      <c r="K18" s="188"/>
      <c r="L18" s="188"/>
      <c r="M18" s="188"/>
      <c r="N18" s="188"/>
      <c r="O18" s="188"/>
      <c r="P18" s="188"/>
      <c r="Q18" s="188"/>
      <c r="R18" s="188"/>
      <c r="S18" s="188"/>
      <c r="T18" s="188"/>
      <c r="U18" s="188"/>
    </row>
    <row r="19" spans="1:21">
      <c r="A19" s="177" t="s">
        <v>7</v>
      </c>
      <c r="B19" s="173" t="s">
        <v>566</v>
      </c>
      <c r="C19" s="176"/>
      <c r="D19" s="173"/>
      <c r="E19" s="173"/>
      <c r="F19" s="173"/>
      <c r="G19" s="173"/>
      <c r="H19" s="173"/>
      <c r="I19" s="173"/>
      <c r="J19" s="173"/>
      <c r="K19" s="173"/>
      <c r="L19" s="173"/>
      <c r="M19" s="173"/>
      <c r="N19" s="173"/>
      <c r="O19" s="173"/>
      <c r="P19" s="173"/>
      <c r="Q19" s="173"/>
      <c r="R19" s="173"/>
      <c r="S19" s="173"/>
      <c r="T19" s="173"/>
      <c r="U19" s="173"/>
    </row>
    <row r="20" spans="1:21">
      <c r="A20" s="276" t="s">
        <v>9</v>
      </c>
      <c r="B20" s="173" t="s">
        <v>1329</v>
      </c>
      <c r="C20" s="176"/>
      <c r="D20" s="173"/>
      <c r="E20" s="173"/>
      <c r="F20" s="173"/>
      <c r="G20" s="173"/>
      <c r="H20" s="173"/>
      <c r="I20" s="173"/>
      <c r="J20" s="173"/>
      <c r="K20" s="173"/>
      <c r="L20" s="173"/>
      <c r="M20" s="173"/>
      <c r="N20" s="173"/>
      <c r="O20" s="173"/>
      <c r="P20" s="173"/>
      <c r="Q20" s="173"/>
      <c r="R20" s="173"/>
      <c r="S20" s="173"/>
      <c r="T20" s="173"/>
      <c r="U20" s="173"/>
    </row>
    <row r="21" spans="1:21" ht="15.75" customHeight="1">
      <c r="A21" s="177" t="s">
        <v>11</v>
      </c>
      <c r="B21" s="179" t="s">
        <v>913</v>
      </c>
      <c r="C21" s="173"/>
      <c r="D21" s="173"/>
      <c r="E21" s="173"/>
      <c r="F21" s="173"/>
      <c r="G21" s="173"/>
      <c r="H21" s="173"/>
      <c r="I21" s="173"/>
      <c r="J21" s="173"/>
      <c r="K21" s="173"/>
      <c r="L21" s="173"/>
      <c r="M21" s="173"/>
      <c r="N21" s="173"/>
      <c r="O21" s="173"/>
      <c r="P21" s="173"/>
      <c r="Q21" s="173"/>
      <c r="R21" s="173"/>
      <c r="S21" s="173"/>
      <c r="T21" s="173"/>
      <c r="U21" s="173"/>
    </row>
    <row r="22" spans="1:21">
      <c r="A22" s="177" t="s">
        <v>13</v>
      </c>
      <c r="B22" s="173" t="s">
        <v>14</v>
      </c>
      <c r="C22" s="173"/>
      <c r="D22" s="173"/>
      <c r="E22" s="173"/>
      <c r="F22" s="173"/>
      <c r="G22" s="173"/>
      <c r="H22" s="173"/>
      <c r="I22" s="173"/>
      <c r="J22" s="173"/>
      <c r="K22" s="173"/>
      <c r="L22" s="173"/>
      <c r="M22" s="173"/>
      <c r="N22" s="173"/>
      <c r="O22" s="173"/>
      <c r="P22" s="173"/>
      <c r="Q22" s="173"/>
      <c r="R22" s="173"/>
      <c r="S22" s="173"/>
      <c r="T22" s="173"/>
      <c r="U22" s="173"/>
    </row>
    <row r="23" spans="1:21">
      <c r="A23" s="177" t="s">
        <v>15</v>
      </c>
      <c r="B23" s="265">
        <f>B28</f>
        <v>0.04</v>
      </c>
      <c r="C23" s="173"/>
      <c r="D23" s="173"/>
      <c r="E23" s="173"/>
      <c r="F23" s="173"/>
      <c r="G23" s="173"/>
      <c r="H23" s="173"/>
      <c r="I23" s="173"/>
      <c r="J23" s="173"/>
      <c r="K23" s="173"/>
      <c r="L23" s="173"/>
      <c r="M23" s="173"/>
      <c r="N23" s="173"/>
      <c r="O23" s="173"/>
      <c r="P23" s="173"/>
      <c r="Q23" s="173"/>
      <c r="R23" s="173"/>
      <c r="S23" s="173"/>
      <c r="T23" s="173"/>
      <c r="U23" s="173"/>
    </row>
    <row r="24" spans="1:21">
      <c r="A24" s="177" t="s">
        <v>16</v>
      </c>
      <c r="B24" s="173" t="s">
        <v>17</v>
      </c>
      <c r="C24" s="173"/>
      <c r="D24" s="173"/>
      <c r="E24" s="173"/>
      <c r="F24" s="173"/>
      <c r="G24" s="173"/>
      <c r="H24" s="173"/>
      <c r="I24" s="173"/>
      <c r="J24" s="173"/>
      <c r="K24" s="173"/>
      <c r="L24" s="173"/>
      <c r="M24" s="173"/>
      <c r="N24" s="173"/>
      <c r="O24" s="173"/>
      <c r="P24" s="173"/>
      <c r="Q24" s="173"/>
      <c r="R24" s="173"/>
      <c r="S24" s="173"/>
      <c r="T24" s="173"/>
      <c r="U24" s="173"/>
    </row>
    <row r="25" spans="1:21">
      <c r="A25" s="177" t="s">
        <v>18</v>
      </c>
      <c r="B25" s="173" t="s">
        <v>206</v>
      </c>
      <c r="C25" s="173"/>
      <c r="D25" s="173"/>
      <c r="E25" s="173"/>
      <c r="F25" s="173"/>
      <c r="G25" s="173"/>
      <c r="H25" s="173"/>
      <c r="I25" s="173"/>
      <c r="J25" s="173"/>
      <c r="K25" s="173"/>
      <c r="L25" s="173"/>
      <c r="M25" s="173"/>
      <c r="N25" s="173"/>
      <c r="O25" s="173"/>
      <c r="P25" s="173"/>
      <c r="Q25" s="173"/>
      <c r="R25" s="173"/>
      <c r="S25" s="173"/>
      <c r="T25" s="173"/>
      <c r="U25" s="173"/>
    </row>
    <row r="26" spans="1:21">
      <c r="A26" s="174" t="s">
        <v>19</v>
      </c>
      <c r="B26" s="173"/>
      <c r="C26" s="173"/>
      <c r="D26" s="173"/>
      <c r="E26" s="173"/>
      <c r="F26" s="173"/>
      <c r="G26" s="173"/>
      <c r="H26" s="173"/>
      <c r="I26" s="173"/>
      <c r="J26" s="173"/>
      <c r="K26" s="173"/>
      <c r="L26" s="173"/>
      <c r="M26" s="173"/>
      <c r="N26" s="173"/>
      <c r="O26" s="173"/>
      <c r="P26" s="173"/>
      <c r="Q26" s="173"/>
      <c r="R26" s="173"/>
      <c r="S26" s="173"/>
      <c r="T26" s="173"/>
      <c r="U26" s="173"/>
    </row>
    <row r="27" spans="1:21">
      <c r="A27" s="175" t="s">
        <v>20</v>
      </c>
      <c r="B27" s="175" t="s">
        <v>21</v>
      </c>
      <c r="C27" s="175" t="s">
        <v>18</v>
      </c>
      <c r="D27" s="175" t="s">
        <v>22</v>
      </c>
      <c r="E27" s="175" t="s">
        <v>7</v>
      </c>
      <c r="F27" s="175" t="s">
        <v>13</v>
      </c>
      <c r="G27" s="175" t="s">
        <v>16</v>
      </c>
      <c r="H27" s="175" t="s">
        <v>23</v>
      </c>
      <c r="I27" s="175" t="s">
        <v>24</v>
      </c>
      <c r="J27" s="175" t="s">
        <v>25</v>
      </c>
      <c r="K27" s="175" t="s">
        <v>26</v>
      </c>
      <c r="L27" s="175" t="s">
        <v>27</v>
      </c>
      <c r="M27" s="175" t="s">
        <v>28</v>
      </c>
      <c r="N27" s="175" t="s">
        <v>11</v>
      </c>
      <c r="O27" s="173"/>
      <c r="P27" s="173"/>
      <c r="Q27" s="173"/>
      <c r="R27" s="173"/>
      <c r="S27" s="173"/>
      <c r="T27" s="265"/>
      <c r="U27" s="173"/>
    </row>
    <row r="28" spans="1:21">
      <c r="A28" s="173" t="s">
        <v>1328</v>
      </c>
      <c r="B28" s="265">
        <v>0.04</v>
      </c>
      <c r="C28" s="173" t="s">
        <v>206</v>
      </c>
      <c r="D28" s="258" t="s">
        <v>2</v>
      </c>
      <c r="E28" s="173" t="s">
        <v>29</v>
      </c>
      <c r="F28" s="173" t="s">
        <v>14</v>
      </c>
      <c r="G28" s="173" t="s">
        <v>30</v>
      </c>
      <c r="H28" s="173">
        <v>1</v>
      </c>
      <c r="I28" s="265">
        <f>B28</f>
        <v>0.04</v>
      </c>
      <c r="J28" s="173">
        <v>7.2284161474004766E-2</v>
      </c>
      <c r="K28" s="173" t="s">
        <v>31</v>
      </c>
      <c r="L28" s="173" t="s">
        <v>31</v>
      </c>
      <c r="M28" s="173" t="s">
        <v>31</v>
      </c>
      <c r="N28" s="173"/>
      <c r="O28" s="242" t="s">
        <v>1031</v>
      </c>
      <c r="P28" s="264">
        <f>B28*100</f>
        <v>4</v>
      </c>
      <c r="Q28" s="173"/>
      <c r="R28" s="173"/>
      <c r="S28" s="173"/>
      <c r="T28" s="173"/>
      <c r="U28" s="173"/>
    </row>
    <row r="29" spans="1:21">
      <c r="A29" s="173" t="s">
        <v>1330</v>
      </c>
      <c r="B29" s="265">
        <v>0.04</v>
      </c>
      <c r="C29" s="173" t="s">
        <v>206</v>
      </c>
      <c r="D29" s="258" t="s">
        <v>2</v>
      </c>
      <c r="E29" s="173" t="s">
        <v>29</v>
      </c>
      <c r="F29" s="173" t="s">
        <v>14</v>
      </c>
      <c r="G29" s="173" t="s">
        <v>33</v>
      </c>
      <c r="H29" s="173">
        <v>1</v>
      </c>
      <c r="I29" s="265">
        <f>B29</f>
        <v>0.04</v>
      </c>
      <c r="J29" s="173">
        <v>7.2284161474004766E-2</v>
      </c>
      <c r="K29" s="173" t="s">
        <v>31</v>
      </c>
      <c r="L29" s="173" t="s">
        <v>31</v>
      </c>
      <c r="M29" s="173" t="s">
        <v>31</v>
      </c>
      <c r="N29" s="173"/>
      <c r="O29" s="173"/>
      <c r="P29" s="173"/>
      <c r="Q29" s="173"/>
      <c r="R29" s="173"/>
      <c r="S29" s="173"/>
      <c r="T29" s="173"/>
      <c r="U29" s="173"/>
    </row>
    <row r="30" spans="1:21">
      <c r="A30" s="177" t="s">
        <v>168</v>
      </c>
      <c r="B30" s="184">
        <f>P30</f>
        <v>0.09</v>
      </c>
      <c r="C30" s="173" t="s">
        <v>41</v>
      </c>
      <c r="D30" s="173" t="s">
        <v>38</v>
      </c>
      <c r="E30" s="173" t="s">
        <v>29</v>
      </c>
      <c r="F30" s="185" t="s">
        <v>35</v>
      </c>
      <c r="G30" s="173" t="s">
        <v>33</v>
      </c>
      <c r="H30" s="173">
        <v>2</v>
      </c>
      <c r="I30" s="173">
        <f t="shared" ref="I30:I34" si="3">LN(B30)</f>
        <v>-2.4079456086518722</v>
      </c>
      <c r="J30" s="173">
        <v>0.20928449536456342</v>
      </c>
      <c r="K30" s="173" t="s">
        <v>31</v>
      </c>
      <c r="L30" s="173" t="s">
        <v>31</v>
      </c>
      <c r="M30" s="173" t="s">
        <v>31</v>
      </c>
      <c r="N30" s="173"/>
      <c r="O30" s="242" t="s">
        <v>332</v>
      </c>
      <c r="P30" s="264">
        <v>0.09</v>
      </c>
      <c r="Q30" s="173"/>
      <c r="R30" s="173"/>
      <c r="S30" s="173"/>
      <c r="T30" s="173"/>
      <c r="U30" s="173"/>
    </row>
    <row r="31" spans="1:21">
      <c r="A31" s="262" t="s">
        <v>1017</v>
      </c>
      <c r="B31" s="173">
        <f>R31</f>
        <v>2E-3</v>
      </c>
      <c r="C31" s="173" t="s">
        <v>37</v>
      </c>
      <c r="D31" s="173" t="s">
        <v>38</v>
      </c>
      <c r="E31" s="173" t="s">
        <v>29</v>
      </c>
      <c r="F31" s="185" t="s">
        <v>60</v>
      </c>
      <c r="G31" s="173" t="s">
        <v>33</v>
      </c>
      <c r="H31" s="173">
        <v>2</v>
      </c>
      <c r="I31" s="173">
        <f>LN(B31)</f>
        <v>-6.2146080984221914</v>
      </c>
      <c r="J31" s="263">
        <v>7.2284161474004766E-2</v>
      </c>
      <c r="K31" s="173" t="s">
        <v>31</v>
      </c>
      <c r="L31" s="173" t="s">
        <v>31</v>
      </c>
      <c r="M31" s="173" t="s">
        <v>31</v>
      </c>
      <c r="N31" s="173"/>
      <c r="O31" s="242" t="s">
        <v>947</v>
      </c>
      <c r="P31" s="264">
        <v>2</v>
      </c>
      <c r="Q31" s="173" t="s">
        <v>337</v>
      </c>
      <c r="R31" s="173">
        <f>P31*0.001</f>
        <v>2E-3</v>
      </c>
      <c r="S31" s="173"/>
      <c r="T31" s="173"/>
    </row>
    <row r="32" spans="1:21">
      <c r="A32" s="262" t="s">
        <v>1018</v>
      </c>
      <c r="B32" s="173">
        <f>R32</f>
        <v>4.0000000000000001E-3</v>
      </c>
      <c r="C32" s="173" t="s">
        <v>37</v>
      </c>
      <c r="D32" s="173" t="s">
        <v>38</v>
      </c>
      <c r="E32" s="173" t="s">
        <v>29</v>
      </c>
      <c r="F32" s="185" t="s">
        <v>35</v>
      </c>
      <c r="G32" s="173" t="s">
        <v>33</v>
      </c>
      <c r="H32" s="173">
        <v>2</v>
      </c>
      <c r="I32" s="173">
        <f>LN(B32)</f>
        <v>-5.521460917862246</v>
      </c>
      <c r="J32" s="263">
        <v>7.2284161474004766E-2</v>
      </c>
      <c r="K32" s="173" t="s">
        <v>31</v>
      </c>
      <c r="L32" s="173" t="s">
        <v>31</v>
      </c>
      <c r="M32" s="173" t="s">
        <v>31</v>
      </c>
      <c r="N32" s="173"/>
      <c r="O32" s="242" t="s">
        <v>947</v>
      </c>
      <c r="P32" s="264">
        <v>4</v>
      </c>
      <c r="Q32" s="173" t="s">
        <v>337</v>
      </c>
      <c r="R32" s="173">
        <f>P32*0.001</f>
        <v>4.0000000000000001E-3</v>
      </c>
      <c r="S32" s="173"/>
      <c r="T32" s="173"/>
    </row>
    <row r="33" spans="1:21">
      <c r="A33" s="177" t="s">
        <v>933</v>
      </c>
      <c r="B33" s="173">
        <f>P33</f>
        <v>3.4</v>
      </c>
      <c r="C33" s="173" t="s">
        <v>37</v>
      </c>
      <c r="D33" s="173" t="s">
        <v>38</v>
      </c>
      <c r="E33" s="173" t="s">
        <v>29</v>
      </c>
      <c r="F33" s="185" t="s">
        <v>39</v>
      </c>
      <c r="G33" s="173" t="s">
        <v>33</v>
      </c>
      <c r="H33" s="173">
        <v>2</v>
      </c>
      <c r="I33" s="173">
        <f t="shared" si="3"/>
        <v>1.2237754316221157</v>
      </c>
      <c r="J33" s="173">
        <v>0.20928449536456342</v>
      </c>
      <c r="K33" s="173" t="s">
        <v>31</v>
      </c>
      <c r="L33" s="173" t="s">
        <v>31</v>
      </c>
      <c r="M33" s="173" t="s">
        <v>31</v>
      </c>
      <c r="N33" s="173"/>
      <c r="O33" s="173" t="s">
        <v>337</v>
      </c>
      <c r="P33" s="264">
        <v>3.4</v>
      </c>
      <c r="R33" s="173"/>
      <c r="S33" s="173"/>
      <c r="T33" s="173"/>
      <c r="U33" s="173"/>
    </row>
    <row r="34" spans="1:21">
      <c r="A34" s="185" t="s">
        <v>489</v>
      </c>
      <c r="B34" s="173">
        <f>3.4*0.0001</f>
        <v>3.4000000000000002E-4</v>
      </c>
      <c r="C34" s="173" t="s">
        <v>50</v>
      </c>
      <c r="D34" s="173" t="s">
        <v>38</v>
      </c>
      <c r="E34" s="173" t="s">
        <v>29</v>
      </c>
      <c r="F34" s="185" t="s">
        <v>39</v>
      </c>
      <c r="G34" s="173" t="s">
        <v>33</v>
      </c>
      <c r="H34" s="173">
        <v>2</v>
      </c>
      <c r="I34" s="173">
        <f t="shared" si="3"/>
        <v>-7.9865649403540671</v>
      </c>
      <c r="J34" s="173">
        <v>7.2284161474004766E-2</v>
      </c>
      <c r="K34" s="173" t="s">
        <v>31</v>
      </c>
      <c r="L34" s="173" t="s">
        <v>31</v>
      </c>
      <c r="M34" s="173" t="s">
        <v>31</v>
      </c>
      <c r="N34" s="173"/>
      <c r="O34" s="271"/>
      <c r="P34" s="272"/>
      <c r="Q34" s="289"/>
      <c r="R34" s="173"/>
      <c r="S34" s="173"/>
      <c r="T34" s="173"/>
      <c r="U34" s="173"/>
    </row>
    <row r="35" spans="1:21" s="42" customFormat="1">
      <c r="A35" s="209" t="s">
        <v>5</v>
      </c>
      <c r="B35" s="210" t="s">
        <v>1330</v>
      </c>
      <c r="C35" s="188"/>
      <c r="D35" s="188"/>
      <c r="E35" s="188"/>
      <c r="F35" s="188"/>
      <c r="G35" s="188"/>
      <c r="H35" s="188"/>
      <c r="I35" s="188"/>
      <c r="J35" s="188"/>
      <c r="K35" s="188"/>
      <c r="L35" s="188"/>
      <c r="M35" s="188"/>
      <c r="N35" s="188"/>
      <c r="O35" s="188"/>
      <c r="P35" s="188"/>
      <c r="Q35" s="188"/>
      <c r="R35" s="188"/>
      <c r="S35" s="188"/>
      <c r="T35" s="188"/>
      <c r="U35" s="188"/>
    </row>
    <row r="36" spans="1:21">
      <c r="A36" s="177" t="s">
        <v>7</v>
      </c>
      <c r="B36" s="173" t="s">
        <v>566</v>
      </c>
      <c r="C36" s="176"/>
      <c r="D36" s="173"/>
      <c r="E36" s="173"/>
      <c r="F36" s="173"/>
      <c r="G36" s="173"/>
      <c r="H36" s="173"/>
      <c r="I36" s="173"/>
      <c r="J36" s="173"/>
      <c r="K36" s="173"/>
      <c r="L36" s="173"/>
      <c r="M36" s="173"/>
      <c r="N36" s="173"/>
      <c r="O36" s="173"/>
      <c r="P36" s="173"/>
      <c r="Q36" s="173"/>
      <c r="R36" s="173"/>
      <c r="S36" s="173"/>
      <c r="T36" s="173"/>
      <c r="U36" s="173"/>
    </row>
    <row r="37" spans="1:21">
      <c r="A37" s="276" t="s">
        <v>9</v>
      </c>
      <c r="B37" s="173" t="s">
        <v>1331</v>
      </c>
      <c r="C37" s="176"/>
      <c r="D37" s="173"/>
      <c r="E37" s="173"/>
      <c r="F37" s="173"/>
      <c r="G37" s="173"/>
      <c r="H37" s="173"/>
      <c r="I37" s="173"/>
      <c r="J37" s="173"/>
      <c r="K37" s="173"/>
      <c r="L37" s="173"/>
      <c r="M37" s="173"/>
      <c r="N37" s="173"/>
      <c r="O37" s="173"/>
      <c r="P37" s="173"/>
      <c r="Q37" s="173"/>
      <c r="R37" s="173"/>
      <c r="S37" s="173"/>
      <c r="T37" s="173"/>
      <c r="U37" s="173"/>
    </row>
    <row r="38" spans="1:21" ht="15.75" customHeight="1">
      <c r="A38" s="177" t="s">
        <v>11</v>
      </c>
      <c r="B38" s="179" t="s">
        <v>913</v>
      </c>
      <c r="C38" s="173"/>
      <c r="D38" s="173"/>
      <c r="E38" s="173"/>
      <c r="F38" s="173"/>
      <c r="G38" s="173"/>
      <c r="H38" s="173"/>
      <c r="I38" s="173"/>
      <c r="J38" s="173"/>
      <c r="K38" s="173"/>
      <c r="L38" s="173"/>
      <c r="M38" s="173"/>
      <c r="N38" s="173"/>
      <c r="O38" s="173"/>
      <c r="P38" s="173"/>
      <c r="Q38" s="173"/>
      <c r="R38" s="173"/>
      <c r="S38" s="173"/>
      <c r="T38" s="173"/>
      <c r="U38" s="173"/>
    </row>
    <row r="39" spans="1:21">
      <c r="A39" s="177" t="s">
        <v>13</v>
      </c>
      <c r="B39" s="173" t="s">
        <v>14</v>
      </c>
      <c r="C39" s="173"/>
      <c r="D39" s="173"/>
      <c r="E39" s="173"/>
      <c r="F39" s="173"/>
      <c r="G39" s="173"/>
      <c r="H39" s="173"/>
      <c r="I39" s="173"/>
      <c r="J39" s="173"/>
      <c r="K39" s="173"/>
      <c r="L39" s="173"/>
      <c r="M39" s="173"/>
      <c r="N39" s="173"/>
      <c r="O39" s="173"/>
      <c r="P39" s="173"/>
      <c r="Q39" s="173"/>
      <c r="R39" s="173"/>
      <c r="S39" s="173"/>
      <c r="T39" s="173"/>
      <c r="U39" s="173"/>
    </row>
    <row r="40" spans="1:21">
      <c r="A40" s="177" t="s">
        <v>15</v>
      </c>
      <c r="B40" s="265">
        <f>B45</f>
        <v>0.04</v>
      </c>
      <c r="C40" s="173"/>
      <c r="D40" s="173"/>
      <c r="E40" s="173"/>
      <c r="F40" s="173"/>
      <c r="G40" s="173"/>
      <c r="H40" s="173"/>
      <c r="I40" s="173"/>
      <c r="J40" s="173"/>
      <c r="K40" s="173"/>
      <c r="L40" s="173"/>
      <c r="M40" s="173"/>
      <c r="N40" s="173"/>
      <c r="O40" s="173"/>
      <c r="P40" s="173"/>
      <c r="Q40" s="173"/>
      <c r="R40" s="173"/>
      <c r="S40" s="173"/>
      <c r="T40" s="173"/>
      <c r="U40" s="173"/>
    </row>
    <row r="41" spans="1:21">
      <c r="A41" s="177" t="s">
        <v>16</v>
      </c>
      <c r="B41" s="173" t="s">
        <v>17</v>
      </c>
      <c r="C41" s="173"/>
      <c r="D41" s="173"/>
      <c r="E41" s="173"/>
      <c r="F41" s="173"/>
      <c r="G41" s="173"/>
      <c r="H41" s="173"/>
      <c r="I41" s="173"/>
      <c r="J41" s="173"/>
      <c r="K41" s="173"/>
      <c r="L41" s="173"/>
      <c r="M41" s="173"/>
      <c r="N41" s="173"/>
      <c r="O41" s="173"/>
      <c r="P41" s="173"/>
      <c r="Q41" s="173"/>
      <c r="R41" s="173"/>
      <c r="S41" s="173"/>
      <c r="T41" s="173"/>
      <c r="U41" s="173"/>
    </row>
    <row r="42" spans="1:21">
      <c r="A42" s="177" t="s">
        <v>18</v>
      </c>
      <c r="B42" s="173" t="s">
        <v>206</v>
      </c>
      <c r="C42" s="173"/>
      <c r="D42" s="173"/>
      <c r="E42" s="173"/>
      <c r="F42" s="173"/>
      <c r="G42" s="173"/>
      <c r="H42" s="173"/>
      <c r="I42" s="173"/>
      <c r="J42" s="173"/>
      <c r="K42" s="173"/>
      <c r="L42" s="173"/>
      <c r="M42" s="173"/>
      <c r="N42" s="173"/>
      <c r="O42" s="173"/>
      <c r="P42" s="173"/>
      <c r="Q42" s="173"/>
      <c r="R42" s="173"/>
      <c r="S42" s="173"/>
      <c r="T42" s="173"/>
      <c r="U42" s="173"/>
    </row>
    <row r="43" spans="1:21">
      <c r="A43" s="174" t="s">
        <v>19</v>
      </c>
      <c r="B43" s="173"/>
      <c r="C43" s="173"/>
      <c r="D43" s="173"/>
      <c r="E43" s="173"/>
      <c r="F43" s="173"/>
      <c r="G43" s="173"/>
      <c r="H43" s="173"/>
      <c r="I43" s="173"/>
      <c r="J43" s="173"/>
      <c r="K43" s="173"/>
      <c r="L43" s="173"/>
      <c r="M43" s="173"/>
      <c r="N43" s="173"/>
      <c r="O43" s="173"/>
      <c r="P43" s="173"/>
      <c r="Q43" s="173"/>
      <c r="R43" s="173"/>
      <c r="S43" s="173"/>
      <c r="T43" s="173"/>
      <c r="U43" s="173"/>
    </row>
    <row r="44" spans="1:21">
      <c r="A44" s="175" t="s">
        <v>20</v>
      </c>
      <c r="B44" s="175" t="s">
        <v>21</v>
      </c>
      <c r="C44" s="175" t="s">
        <v>18</v>
      </c>
      <c r="D44" s="175" t="s">
        <v>22</v>
      </c>
      <c r="E44" s="175" t="s">
        <v>7</v>
      </c>
      <c r="F44" s="175" t="s">
        <v>13</v>
      </c>
      <c r="G44" s="175" t="s">
        <v>16</v>
      </c>
      <c r="H44" s="175" t="s">
        <v>23</v>
      </c>
      <c r="I44" s="175" t="s">
        <v>24</v>
      </c>
      <c r="J44" s="175" t="s">
        <v>25</v>
      </c>
      <c r="K44" s="175" t="s">
        <v>26</v>
      </c>
      <c r="L44" s="175" t="s">
        <v>27</v>
      </c>
      <c r="M44" s="175" t="s">
        <v>28</v>
      </c>
      <c r="N44" s="175" t="s">
        <v>11</v>
      </c>
      <c r="O44" s="173"/>
      <c r="P44" s="173"/>
      <c r="Q44" s="173"/>
      <c r="R44" s="173"/>
      <c r="S44" s="173"/>
      <c r="T44" s="265"/>
      <c r="U44" s="173"/>
    </row>
    <row r="45" spans="1:21">
      <c r="A45" s="173" t="s">
        <v>1330</v>
      </c>
      <c r="B45" s="265">
        <f>B29</f>
        <v>0.04</v>
      </c>
      <c r="C45" s="173" t="s">
        <v>206</v>
      </c>
      <c r="D45" s="258" t="s">
        <v>2</v>
      </c>
      <c r="E45" s="173" t="s">
        <v>29</v>
      </c>
      <c r="F45" s="173" t="s">
        <v>14</v>
      </c>
      <c r="G45" s="173" t="s">
        <v>30</v>
      </c>
      <c r="H45" s="173">
        <v>1</v>
      </c>
      <c r="I45" s="265">
        <f>B45</f>
        <v>0.04</v>
      </c>
      <c r="J45" s="173" t="s">
        <v>31</v>
      </c>
      <c r="K45" s="173" t="s">
        <v>31</v>
      </c>
      <c r="L45" s="173" t="s">
        <v>31</v>
      </c>
      <c r="M45" s="173" t="s">
        <v>31</v>
      </c>
      <c r="N45" s="173"/>
      <c r="O45" s="173"/>
      <c r="P45" s="173"/>
      <c r="Q45" s="173"/>
      <c r="R45" s="173"/>
      <c r="S45" s="173"/>
      <c r="T45" s="173"/>
      <c r="U45" s="173"/>
    </row>
    <row r="46" spans="1:21">
      <c r="A46" s="185" t="s">
        <v>1037</v>
      </c>
      <c r="B46" s="173">
        <v>0.5</v>
      </c>
      <c r="C46" s="173" t="s">
        <v>37</v>
      </c>
      <c r="D46" s="173" t="s">
        <v>38</v>
      </c>
      <c r="E46" s="173" t="s">
        <v>29</v>
      </c>
      <c r="F46" s="173" t="s">
        <v>86</v>
      </c>
      <c r="G46" s="173" t="s">
        <v>33</v>
      </c>
      <c r="H46" s="173">
        <v>1</v>
      </c>
      <c r="I46" s="265">
        <f t="shared" ref="I46:I47" si="4">B46</f>
        <v>0.5</v>
      </c>
      <c r="J46" s="173" t="s">
        <v>31</v>
      </c>
      <c r="K46" s="173" t="s">
        <v>31</v>
      </c>
      <c r="L46" s="173" t="s">
        <v>31</v>
      </c>
      <c r="M46" s="173" t="s">
        <v>31</v>
      </c>
      <c r="N46" s="173"/>
      <c r="O46" s="173"/>
      <c r="P46" s="173"/>
      <c r="Q46" s="173"/>
      <c r="R46" s="173"/>
      <c r="S46" s="173"/>
      <c r="T46" s="173"/>
      <c r="U46" s="173"/>
    </row>
    <row r="47" spans="1:21">
      <c r="A47" s="185" t="s">
        <v>1038</v>
      </c>
      <c r="B47" s="173">
        <v>0.5</v>
      </c>
      <c r="C47" s="173" t="s">
        <v>37</v>
      </c>
      <c r="D47" s="173" t="s">
        <v>38</v>
      </c>
      <c r="E47" s="173" t="s">
        <v>29</v>
      </c>
      <c r="F47" s="173" t="s">
        <v>60</v>
      </c>
      <c r="G47" s="173" t="s">
        <v>33</v>
      </c>
      <c r="H47" s="173">
        <v>1</v>
      </c>
      <c r="I47" s="265">
        <f t="shared" si="4"/>
        <v>0.5</v>
      </c>
      <c r="J47" s="173" t="s">
        <v>31</v>
      </c>
      <c r="K47" s="173" t="s">
        <v>31</v>
      </c>
      <c r="L47" s="173" t="s">
        <v>31</v>
      </c>
      <c r="M47" s="173" t="s">
        <v>31</v>
      </c>
      <c r="N47" s="173"/>
      <c r="O47" s="173"/>
      <c r="P47" s="173"/>
      <c r="Q47" s="173"/>
      <c r="R47" s="173"/>
      <c r="S47" s="173"/>
      <c r="T47" s="173"/>
      <c r="U47" s="173"/>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47EF-626C-48F6-BD8F-0E856F4C1FF6}">
  <sheetPr>
    <tabColor theme="5"/>
  </sheetPr>
  <dimension ref="A1:Y57"/>
  <sheetViews>
    <sheetView topLeftCell="A12" zoomScale="70" zoomScaleNormal="7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173" t="s">
        <v>0</v>
      </c>
      <c r="B1" s="173">
        <v>14</v>
      </c>
      <c r="C1" s="173"/>
      <c r="D1" s="173"/>
      <c r="E1" s="173"/>
      <c r="F1" s="173"/>
      <c r="G1" s="173"/>
      <c r="H1" s="173"/>
      <c r="I1" s="173"/>
      <c r="J1" s="173"/>
      <c r="K1" s="173"/>
      <c r="L1" s="173"/>
      <c r="M1" s="173"/>
      <c r="N1" s="173"/>
      <c r="O1" s="173"/>
      <c r="P1" s="173"/>
      <c r="Q1" s="173"/>
      <c r="R1" s="271"/>
      <c r="S1" s="272"/>
    </row>
    <row r="2" spans="1:21" s="42" customFormat="1">
      <c r="A2" s="209" t="s">
        <v>5</v>
      </c>
      <c r="B2" s="210" t="s">
        <v>1307</v>
      </c>
      <c r="C2" s="210"/>
      <c r="D2" s="188"/>
      <c r="E2" s="188"/>
      <c r="F2" s="188"/>
      <c r="G2" s="188"/>
      <c r="H2" s="188"/>
      <c r="I2" s="188"/>
      <c r="J2" s="188"/>
      <c r="K2" s="188"/>
      <c r="L2" s="188"/>
      <c r="M2" s="188"/>
      <c r="N2" s="188"/>
      <c r="O2" s="188"/>
      <c r="P2" s="188"/>
      <c r="Q2" s="188"/>
      <c r="R2" s="290"/>
      <c r="S2" s="291"/>
    </row>
    <row r="3" spans="1:21">
      <c r="A3" s="177" t="s">
        <v>7</v>
      </c>
      <c r="B3" s="173" t="s">
        <v>566</v>
      </c>
      <c r="C3" s="173"/>
      <c r="D3" s="176"/>
      <c r="E3" s="173"/>
      <c r="F3" s="173"/>
      <c r="G3" s="173"/>
      <c r="H3" s="173"/>
      <c r="I3" s="173"/>
      <c r="J3" s="173"/>
      <c r="K3" s="173"/>
      <c r="L3" s="173"/>
      <c r="M3" s="173"/>
      <c r="N3" s="173"/>
      <c r="O3" s="173"/>
      <c r="P3" s="173"/>
      <c r="Q3" s="173"/>
      <c r="R3" s="271"/>
      <c r="S3" s="272"/>
    </row>
    <row r="4" spans="1:21">
      <c r="A4" s="276" t="s">
        <v>9</v>
      </c>
      <c r="B4" s="173" t="s">
        <v>1332</v>
      </c>
      <c r="C4" s="173"/>
      <c r="D4" s="176"/>
      <c r="E4" s="173"/>
      <c r="F4" s="173"/>
      <c r="G4" s="173"/>
      <c r="H4" s="173"/>
      <c r="I4" s="173"/>
      <c r="J4" s="173"/>
      <c r="K4" s="173"/>
      <c r="L4" s="173"/>
      <c r="M4" s="173"/>
      <c r="N4" s="173"/>
      <c r="O4" s="173"/>
      <c r="P4" s="173"/>
      <c r="Q4" s="173"/>
      <c r="R4" s="173"/>
      <c r="S4" s="173"/>
    </row>
    <row r="5" spans="1:21" ht="15.75" customHeight="1">
      <c r="A5" s="177" t="s">
        <v>11</v>
      </c>
      <c r="B5" s="179" t="s">
        <v>913</v>
      </c>
      <c r="C5" s="179"/>
      <c r="D5" s="173"/>
      <c r="E5" s="173"/>
      <c r="F5" s="173"/>
      <c r="G5" s="173"/>
      <c r="H5" s="173"/>
      <c r="I5" s="173"/>
      <c r="J5" s="173"/>
      <c r="K5" s="173"/>
      <c r="L5" s="173"/>
      <c r="M5" s="173"/>
      <c r="N5" s="173"/>
      <c r="O5" s="173"/>
      <c r="P5" s="173"/>
      <c r="Q5" s="173"/>
      <c r="R5" s="173"/>
      <c r="S5" s="173"/>
    </row>
    <row r="6" spans="1:21">
      <c r="A6" s="177" t="s">
        <v>13</v>
      </c>
      <c r="B6" s="173" t="s">
        <v>14</v>
      </c>
      <c r="C6" s="173"/>
      <c r="D6" s="173"/>
      <c r="E6" s="173"/>
      <c r="F6" s="173"/>
      <c r="G6" s="173"/>
      <c r="H6" s="173"/>
      <c r="I6" s="173"/>
      <c r="J6" s="173"/>
      <c r="K6" s="173"/>
      <c r="L6" s="173"/>
      <c r="M6" s="173"/>
      <c r="N6" s="173"/>
      <c r="O6" s="173"/>
      <c r="P6" s="173"/>
      <c r="Q6" s="173"/>
      <c r="R6" s="173"/>
      <c r="S6" s="173"/>
    </row>
    <row r="7" spans="1:21">
      <c r="A7" s="177" t="s">
        <v>15</v>
      </c>
      <c r="B7" s="191">
        <f>B48</f>
        <v>3.15</v>
      </c>
      <c r="C7" s="191"/>
      <c r="D7" s="173"/>
      <c r="E7" s="173"/>
      <c r="F7" s="173"/>
      <c r="G7" s="173"/>
      <c r="H7" s="173"/>
      <c r="I7" s="173"/>
      <c r="J7" s="173"/>
      <c r="K7" s="173"/>
      <c r="L7" s="173"/>
      <c r="M7" s="173"/>
      <c r="N7" s="173"/>
      <c r="O7" s="173"/>
      <c r="P7" s="173"/>
      <c r="Q7" s="173"/>
      <c r="R7" s="173"/>
      <c r="S7" s="173"/>
    </row>
    <row r="8" spans="1:21">
      <c r="A8" s="177" t="s">
        <v>16</v>
      </c>
      <c r="B8" s="173" t="s">
        <v>17</v>
      </c>
      <c r="C8" s="173"/>
      <c r="D8" s="173"/>
      <c r="E8" s="173"/>
      <c r="F8" s="173"/>
      <c r="G8" s="173"/>
      <c r="H8" s="173"/>
      <c r="I8" s="173"/>
      <c r="J8" s="173"/>
      <c r="K8" s="173"/>
      <c r="L8" s="173"/>
      <c r="M8" s="173"/>
      <c r="N8" s="173"/>
      <c r="O8" s="173"/>
      <c r="P8" s="173"/>
      <c r="Q8" s="173"/>
      <c r="R8" s="173"/>
      <c r="S8" s="173"/>
    </row>
    <row r="9" spans="1:21">
      <c r="A9" s="177" t="s">
        <v>18</v>
      </c>
      <c r="B9" s="173" t="s">
        <v>37</v>
      </c>
      <c r="C9" s="173"/>
      <c r="D9" s="173"/>
      <c r="E9" s="173"/>
      <c r="F9" s="173"/>
      <c r="G9" s="173"/>
      <c r="H9" s="173"/>
      <c r="I9" s="173"/>
      <c r="J9" s="173"/>
      <c r="K9" s="173"/>
      <c r="L9" s="173"/>
      <c r="M9" s="173"/>
      <c r="N9" s="173"/>
      <c r="O9" s="173"/>
      <c r="P9" s="173"/>
      <c r="Q9" s="173"/>
      <c r="R9" s="173"/>
      <c r="S9" s="173"/>
    </row>
    <row r="10" spans="1:21">
      <c r="A10" s="174" t="s">
        <v>19</v>
      </c>
      <c r="B10" s="173"/>
      <c r="C10" s="173"/>
      <c r="D10" s="173"/>
      <c r="E10" s="173"/>
      <c r="F10" s="173"/>
      <c r="G10" s="173"/>
      <c r="H10" s="173"/>
      <c r="I10" s="173"/>
      <c r="J10" s="173"/>
      <c r="K10" s="173"/>
      <c r="L10" s="173"/>
      <c r="M10" s="173"/>
      <c r="N10" s="173"/>
      <c r="O10" s="173"/>
      <c r="P10" s="173"/>
      <c r="Q10" s="173"/>
      <c r="R10" s="173"/>
      <c r="S10" s="173"/>
    </row>
    <row r="11" spans="1:21">
      <c r="A11" s="175" t="s">
        <v>20</v>
      </c>
      <c r="B11" s="175" t="s">
        <v>21</v>
      </c>
      <c r="C11" s="221" t="s">
        <v>78</v>
      </c>
      <c r="D11" s="175" t="s">
        <v>18</v>
      </c>
      <c r="E11" s="175" t="s">
        <v>22</v>
      </c>
      <c r="F11" s="175" t="s">
        <v>7</v>
      </c>
      <c r="G11" s="175" t="s">
        <v>13</v>
      </c>
      <c r="H11" s="175" t="s">
        <v>16</v>
      </c>
      <c r="I11" s="175" t="s">
        <v>23</v>
      </c>
      <c r="J11" s="175" t="s">
        <v>24</v>
      </c>
      <c r="K11" s="175" t="s">
        <v>25</v>
      </c>
      <c r="L11" s="175" t="s">
        <v>26</v>
      </c>
      <c r="M11" s="175" t="s">
        <v>27</v>
      </c>
      <c r="N11" s="175" t="s">
        <v>28</v>
      </c>
      <c r="O11" s="175" t="s">
        <v>11</v>
      </c>
      <c r="P11" s="173"/>
      <c r="Q11" s="173"/>
      <c r="R11" s="173"/>
      <c r="S11" s="173"/>
      <c r="U11" s="283"/>
    </row>
    <row r="12" spans="1:21">
      <c r="A12" s="173" t="s">
        <v>1307</v>
      </c>
      <c r="B12" s="173">
        <f>B48</f>
        <v>3.15</v>
      </c>
      <c r="C12" s="173"/>
      <c r="D12" s="173" t="s">
        <v>37</v>
      </c>
      <c r="E12" s="258" t="s">
        <v>2</v>
      </c>
      <c r="F12" s="173" t="s">
        <v>29</v>
      </c>
      <c r="G12" s="173" t="s">
        <v>14</v>
      </c>
      <c r="H12" s="173" t="s">
        <v>30</v>
      </c>
      <c r="I12" s="173">
        <v>1</v>
      </c>
      <c r="J12" s="173">
        <f>B12</f>
        <v>3.15</v>
      </c>
      <c r="K12" s="173" t="s">
        <v>31</v>
      </c>
      <c r="L12" s="173" t="s">
        <v>31</v>
      </c>
      <c r="M12" s="173" t="s">
        <v>31</v>
      </c>
      <c r="N12" s="173" t="s">
        <v>31</v>
      </c>
      <c r="O12" s="173"/>
      <c r="P12" s="271"/>
      <c r="Q12" s="272"/>
      <c r="R12" s="173"/>
      <c r="S12" s="173"/>
    </row>
    <row r="13" spans="1:21">
      <c r="A13" s="173" t="s">
        <v>1333</v>
      </c>
      <c r="B13" s="173">
        <v>1</v>
      </c>
      <c r="C13" s="173"/>
      <c r="D13" s="173" t="s">
        <v>18</v>
      </c>
      <c r="E13" s="258" t="s">
        <v>2</v>
      </c>
      <c r="F13" s="173" t="s">
        <v>29</v>
      </c>
      <c r="G13" s="173" t="s">
        <v>14</v>
      </c>
      <c r="H13" s="173" t="s">
        <v>33</v>
      </c>
      <c r="I13" s="173">
        <v>1</v>
      </c>
      <c r="J13" s="173">
        <v>1</v>
      </c>
      <c r="K13" s="173" t="s">
        <v>31</v>
      </c>
      <c r="L13" s="173" t="s">
        <v>31</v>
      </c>
      <c r="M13" s="173" t="s">
        <v>31</v>
      </c>
      <c r="N13" s="173" t="s">
        <v>31</v>
      </c>
      <c r="O13" s="173"/>
      <c r="P13" s="173"/>
      <c r="Q13" s="173"/>
      <c r="R13" s="173"/>
      <c r="S13" s="173"/>
    </row>
    <row r="14" spans="1:21">
      <c r="A14" s="177" t="s">
        <v>168</v>
      </c>
      <c r="B14" s="184">
        <f>Q14</f>
        <v>0.25</v>
      </c>
      <c r="C14" s="184"/>
      <c r="D14" s="173" t="s">
        <v>41</v>
      </c>
      <c r="E14" s="173" t="s">
        <v>38</v>
      </c>
      <c r="F14" s="173" t="s">
        <v>29</v>
      </c>
      <c r="G14" s="185" t="s">
        <v>35</v>
      </c>
      <c r="H14" s="173" t="s">
        <v>33</v>
      </c>
      <c r="I14" s="173">
        <v>2</v>
      </c>
      <c r="J14" s="173">
        <f t="shared" ref="J14:J18" si="0">LN(B14)</f>
        <v>-1.3862943611198906</v>
      </c>
      <c r="K14" s="263">
        <v>9.6046863561492793E-2</v>
      </c>
      <c r="L14" s="173" t="s">
        <v>31</v>
      </c>
      <c r="M14" s="173" t="s">
        <v>31</v>
      </c>
      <c r="N14" s="173" t="s">
        <v>31</v>
      </c>
      <c r="O14" s="173"/>
      <c r="P14" s="242" t="s">
        <v>332</v>
      </c>
      <c r="Q14" s="264">
        <v>0.25</v>
      </c>
      <c r="R14" s="173"/>
      <c r="S14" s="173"/>
    </row>
    <row r="15" spans="1:21">
      <c r="A15" s="177" t="s">
        <v>168</v>
      </c>
      <c r="B15" s="184">
        <f>Q15</f>
        <v>0.5</v>
      </c>
      <c r="C15" s="184"/>
      <c r="D15" s="173" t="s">
        <v>41</v>
      </c>
      <c r="E15" s="173" t="s">
        <v>38</v>
      </c>
      <c r="F15" s="173" t="s">
        <v>29</v>
      </c>
      <c r="G15" s="185" t="s">
        <v>35</v>
      </c>
      <c r="H15" s="173" t="s">
        <v>33</v>
      </c>
      <c r="I15" s="173">
        <v>2</v>
      </c>
      <c r="J15" s="173">
        <f t="shared" si="0"/>
        <v>-0.69314718055994529</v>
      </c>
      <c r="K15" s="263">
        <v>9.6046863561492793E-2</v>
      </c>
      <c r="L15" s="173" t="s">
        <v>31</v>
      </c>
      <c r="M15" s="173" t="s">
        <v>31</v>
      </c>
      <c r="N15" s="173" t="s">
        <v>31</v>
      </c>
      <c r="O15" s="173"/>
      <c r="P15" s="242" t="s">
        <v>332</v>
      </c>
      <c r="Q15" s="264">
        <v>0.5</v>
      </c>
      <c r="R15" s="173"/>
      <c r="S15" s="173"/>
    </row>
    <row r="16" spans="1:21">
      <c r="A16" s="185" t="s">
        <v>1042</v>
      </c>
      <c r="B16" s="173">
        <f>S16</f>
        <v>6.5000000000000002E-2</v>
      </c>
      <c r="C16" s="173"/>
      <c r="D16" s="173" t="s">
        <v>37</v>
      </c>
      <c r="E16" s="173" t="s">
        <v>38</v>
      </c>
      <c r="F16" s="173" t="s">
        <v>29</v>
      </c>
      <c r="G16" s="173" t="s">
        <v>35</v>
      </c>
      <c r="H16" s="173" t="s">
        <v>33</v>
      </c>
      <c r="I16" s="173">
        <v>2</v>
      </c>
      <c r="J16" s="173">
        <f t="shared" si="0"/>
        <v>-2.7333680090865</v>
      </c>
      <c r="K16" s="263">
        <v>9.6046863561492793E-2</v>
      </c>
      <c r="L16" s="173"/>
      <c r="M16" s="173"/>
      <c r="N16" s="173"/>
      <c r="O16" s="173"/>
      <c r="P16" s="242" t="s">
        <v>947</v>
      </c>
      <c r="Q16" s="264">
        <v>65</v>
      </c>
      <c r="R16" s="242" t="s">
        <v>337</v>
      </c>
      <c r="S16" s="264">
        <f>0.001*Q16</f>
        <v>6.5000000000000002E-2</v>
      </c>
    </row>
    <row r="17" spans="1:21">
      <c r="A17" s="185" t="s">
        <v>1043</v>
      </c>
      <c r="B17" s="173">
        <f>Q17</f>
        <v>1.2</v>
      </c>
      <c r="C17" s="173"/>
      <c r="D17" s="173" t="s">
        <v>37</v>
      </c>
      <c r="E17" s="173" t="s">
        <v>38</v>
      </c>
      <c r="F17" s="173" t="s">
        <v>29</v>
      </c>
      <c r="G17" s="185" t="s">
        <v>39</v>
      </c>
      <c r="H17" s="173" t="s">
        <v>33</v>
      </c>
      <c r="I17" s="173">
        <v>2</v>
      </c>
      <c r="J17" s="173">
        <f t="shared" si="0"/>
        <v>0.18232155679395459</v>
      </c>
      <c r="K17" s="263">
        <v>9.6046863561492793E-2</v>
      </c>
      <c r="L17" s="173"/>
      <c r="M17" s="173"/>
      <c r="N17" s="173"/>
      <c r="O17" s="173"/>
      <c r="P17" s="242" t="s">
        <v>337</v>
      </c>
      <c r="Q17" s="264">
        <v>1.2</v>
      </c>
      <c r="R17" s="173"/>
      <c r="S17" s="173"/>
    </row>
    <row r="18" spans="1:21">
      <c r="A18" s="185" t="s">
        <v>1238</v>
      </c>
      <c r="B18" s="173">
        <f>S18</f>
        <v>6.5000000000000002E-2</v>
      </c>
      <c r="C18" s="173"/>
      <c r="D18" s="173" t="s">
        <v>37</v>
      </c>
      <c r="E18" s="173" t="s">
        <v>38</v>
      </c>
      <c r="F18" s="173" t="s">
        <v>29</v>
      </c>
      <c r="G18" s="185" t="s">
        <v>39</v>
      </c>
      <c r="H18" s="173" t="s">
        <v>33</v>
      </c>
      <c r="I18" s="173">
        <v>2</v>
      </c>
      <c r="J18" s="173">
        <f t="shared" si="0"/>
        <v>-2.7333680090865</v>
      </c>
      <c r="K18" s="263">
        <v>9.6046863561492793E-2</v>
      </c>
      <c r="L18" s="173"/>
      <c r="M18" s="173"/>
      <c r="N18" s="173"/>
      <c r="O18" s="173"/>
      <c r="P18" s="242" t="s">
        <v>947</v>
      </c>
      <c r="Q18" s="264">
        <v>65</v>
      </c>
      <c r="R18" s="242" t="s">
        <v>337</v>
      </c>
      <c r="S18" s="264">
        <f>0.001*Q18</f>
        <v>6.5000000000000002E-2</v>
      </c>
    </row>
    <row r="19" spans="1:21" s="42" customFormat="1">
      <c r="A19" s="209" t="s">
        <v>5</v>
      </c>
      <c r="B19" s="210" t="str">
        <f>A29</f>
        <v>production of machined casing, mass scaled activities, DCAC grid inverter, GT-bat, Medium-Term</v>
      </c>
      <c r="C19" s="210"/>
      <c r="D19" s="188"/>
      <c r="E19" s="188"/>
      <c r="F19" s="188"/>
      <c r="G19" s="188"/>
      <c r="H19" s="188"/>
      <c r="I19" s="188"/>
      <c r="J19" s="188"/>
      <c r="K19" s="188"/>
      <c r="L19" s="188"/>
      <c r="M19" s="188"/>
      <c r="N19" s="188"/>
      <c r="O19" s="188"/>
      <c r="P19" s="188"/>
      <c r="Q19" s="188"/>
      <c r="R19" s="188"/>
      <c r="S19" s="188"/>
    </row>
    <row r="20" spans="1:21">
      <c r="A20" s="177" t="s">
        <v>7</v>
      </c>
      <c r="B20" s="173" t="s">
        <v>566</v>
      </c>
      <c r="C20" s="173"/>
      <c r="D20" s="176"/>
      <c r="E20" s="173"/>
      <c r="F20" s="173"/>
      <c r="G20" s="173"/>
      <c r="H20" s="173"/>
      <c r="I20" s="173"/>
      <c r="J20" s="173"/>
      <c r="K20" s="173"/>
      <c r="L20" s="173"/>
      <c r="M20" s="173"/>
      <c r="N20" s="173"/>
      <c r="O20" s="173"/>
      <c r="P20" s="173"/>
      <c r="Q20" s="173"/>
      <c r="R20" s="173"/>
      <c r="S20" s="173"/>
    </row>
    <row r="21" spans="1:21">
      <c r="A21" s="276" t="s">
        <v>9</v>
      </c>
      <c r="B21" s="173" t="s">
        <v>1334</v>
      </c>
      <c r="C21" s="173"/>
      <c r="D21" s="176"/>
      <c r="E21" s="173"/>
      <c r="F21" s="173"/>
      <c r="G21" s="173"/>
      <c r="H21" s="173"/>
      <c r="I21" s="173"/>
      <c r="J21" s="173"/>
      <c r="K21" s="173"/>
      <c r="L21" s="173"/>
      <c r="M21" s="173"/>
      <c r="N21" s="173"/>
      <c r="O21" s="173"/>
      <c r="P21" s="173"/>
      <c r="Q21" s="173"/>
      <c r="R21" s="173"/>
      <c r="S21" s="173"/>
    </row>
    <row r="22" spans="1:21" ht="15.75" customHeight="1">
      <c r="A22" s="177" t="s">
        <v>11</v>
      </c>
      <c r="B22" s="179" t="s">
        <v>913</v>
      </c>
      <c r="C22" s="179"/>
      <c r="D22" s="173"/>
      <c r="E22" s="173"/>
      <c r="F22" s="173"/>
      <c r="G22" s="173"/>
      <c r="H22" s="173"/>
      <c r="I22" s="173"/>
      <c r="J22" s="173"/>
      <c r="K22" s="173"/>
      <c r="L22" s="173"/>
      <c r="M22" s="173"/>
      <c r="N22" s="173"/>
      <c r="O22" s="173"/>
      <c r="P22" s="173"/>
      <c r="Q22" s="173"/>
      <c r="R22" s="173"/>
      <c r="S22" s="173"/>
    </row>
    <row r="23" spans="1:21">
      <c r="A23" s="177" t="s">
        <v>13</v>
      </c>
      <c r="B23" s="173" t="s">
        <v>14</v>
      </c>
      <c r="C23" s="173"/>
      <c r="D23" s="173"/>
      <c r="E23" s="173"/>
      <c r="F23" s="173"/>
      <c r="G23" s="173"/>
      <c r="H23" s="173"/>
      <c r="I23" s="173"/>
      <c r="J23" s="173"/>
      <c r="K23" s="173"/>
      <c r="L23" s="173"/>
      <c r="M23" s="173"/>
      <c r="N23" s="173"/>
      <c r="O23" s="173"/>
      <c r="P23" s="173"/>
      <c r="Q23" s="173"/>
      <c r="R23" s="173"/>
      <c r="S23" s="173"/>
    </row>
    <row r="24" spans="1:21">
      <c r="A24" s="177" t="s">
        <v>15</v>
      </c>
      <c r="B24" s="191">
        <v>1</v>
      </c>
      <c r="C24" s="191"/>
      <c r="D24" s="173"/>
      <c r="E24" s="173"/>
      <c r="F24" s="173"/>
      <c r="G24" s="173"/>
      <c r="H24" s="173"/>
      <c r="I24" s="173"/>
      <c r="J24" s="173"/>
      <c r="K24" s="173"/>
      <c r="L24" s="173"/>
      <c r="M24" s="173"/>
      <c r="N24" s="173"/>
      <c r="O24" s="173"/>
      <c r="P24" s="173"/>
      <c r="Q24" s="173"/>
      <c r="R24" s="173"/>
      <c r="S24" s="173"/>
    </row>
    <row r="25" spans="1:21">
      <c r="A25" s="177" t="s">
        <v>16</v>
      </c>
      <c r="B25" s="173" t="s">
        <v>17</v>
      </c>
      <c r="C25" s="173"/>
      <c r="D25" s="173"/>
      <c r="E25" s="173"/>
      <c r="F25" s="173"/>
      <c r="G25" s="173"/>
      <c r="H25" s="173"/>
      <c r="I25" s="173"/>
      <c r="J25" s="173"/>
      <c r="K25" s="173"/>
      <c r="L25" s="173"/>
      <c r="M25" s="173"/>
      <c r="N25" s="173"/>
      <c r="O25" s="173"/>
      <c r="P25" s="173"/>
      <c r="Q25" s="173"/>
      <c r="R25" s="173"/>
      <c r="S25" s="173"/>
    </row>
    <row r="26" spans="1:21">
      <c r="A26" s="177" t="s">
        <v>18</v>
      </c>
      <c r="B26" s="173" t="s">
        <v>18</v>
      </c>
      <c r="C26" s="173"/>
      <c r="D26" s="173"/>
      <c r="E26" s="173"/>
      <c r="F26" s="173"/>
      <c r="G26" s="173"/>
      <c r="H26" s="173"/>
      <c r="I26" s="173"/>
      <c r="J26" s="173"/>
      <c r="K26" s="173"/>
      <c r="L26" s="173"/>
      <c r="M26" s="173"/>
      <c r="N26" s="173"/>
      <c r="O26" s="173"/>
      <c r="P26" s="173"/>
      <c r="Q26" s="173"/>
      <c r="R26" s="173"/>
      <c r="S26" s="173"/>
    </row>
    <row r="27" spans="1:21">
      <c r="A27" s="174" t="s">
        <v>19</v>
      </c>
      <c r="B27" s="173"/>
      <c r="C27" s="173"/>
      <c r="D27" s="173"/>
      <c r="E27" s="173"/>
      <c r="F27" s="173"/>
      <c r="G27" s="173"/>
      <c r="H27" s="173"/>
      <c r="I27" s="173"/>
      <c r="J27" s="173"/>
      <c r="K27" s="173"/>
      <c r="L27" s="173"/>
      <c r="M27" s="173"/>
      <c r="N27" s="173"/>
      <c r="O27" s="173"/>
      <c r="P27" s="173"/>
      <c r="Q27" s="173"/>
      <c r="R27" s="173"/>
      <c r="S27" s="173"/>
    </row>
    <row r="28" spans="1:21">
      <c r="A28" s="175" t="s">
        <v>20</v>
      </c>
      <c r="B28" s="175" t="s">
        <v>21</v>
      </c>
      <c r="C28" s="221" t="s">
        <v>78</v>
      </c>
      <c r="D28" s="175" t="s">
        <v>18</v>
      </c>
      <c r="E28" s="175" t="s">
        <v>22</v>
      </c>
      <c r="F28" s="175" t="s">
        <v>7</v>
      </c>
      <c r="G28" s="175" t="s">
        <v>13</v>
      </c>
      <c r="H28" s="175" t="s">
        <v>16</v>
      </c>
      <c r="I28" s="175" t="s">
        <v>23</v>
      </c>
      <c r="J28" s="175" t="s">
        <v>24</v>
      </c>
      <c r="K28" s="175" t="s">
        <v>25</v>
      </c>
      <c r="L28" s="175" t="s">
        <v>26</v>
      </c>
      <c r="M28" s="175" t="s">
        <v>27</v>
      </c>
      <c r="N28" s="175" t="s">
        <v>28</v>
      </c>
      <c r="O28" s="175" t="s">
        <v>11</v>
      </c>
      <c r="P28" s="173"/>
      <c r="Q28" s="173"/>
      <c r="R28" s="173"/>
      <c r="S28" s="173"/>
      <c r="U28" s="283"/>
    </row>
    <row r="29" spans="1:21">
      <c r="A29" s="173" t="s">
        <v>1333</v>
      </c>
      <c r="B29" s="173">
        <v>1</v>
      </c>
      <c r="C29" s="173"/>
      <c r="D29" s="173" t="s">
        <v>18</v>
      </c>
      <c r="E29" s="258" t="s">
        <v>2</v>
      </c>
      <c r="F29" s="173" t="s">
        <v>29</v>
      </c>
      <c r="G29" s="173" t="s">
        <v>14</v>
      </c>
      <c r="H29" s="173" t="s">
        <v>30</v>
      </c>
      <c r="I29" s="173">
        <v>1</v>
      </c>
      <c r="J29" s="173">
        <f>B29</f>
        <v>1</v>
      </c>
      <c r="K29" s="173" t="s">
        <v>31</v>
      </c>
      <c r="L29" s="173" t="s">
        <v>31</v>
      </c>
      <c r="M29" s="173" t="s">
        <v>31</v>
      </c>
      <c r="N29" s="173" t="s">
        <v>31</v>
      </c>
      <c r="O29" s="173"/>
      <c r="P29" s="173"/>
      <c r="Q29" s="173"/>
      <c r="R29" s="173"/>
      <c r="S29" s="173"/>
    </row>
    <row r="30" spans="1:21">
      <c r="A30" s="173" t="s">
        <v>1335</v>
      </c>
      <c r="B30" s="173">
        <v>1</v>
      </c>
      <c r="C30" s="173"/>
      <c r="D30" s="173" t="s">
        <v>37</v>
      </c>
      <c r="E30" s="258" t="s">
        <v>2</v>
      </c>
      <c r="F30" s="173" t="s">
        <v>29</v>
      </c>
      <c r="G30" s="173" t="s">
        <v>14</v>
      </c>
      <c r="H30" s="173" t="s">
        <v>33</v>
      </c>
      <c r="I30" s="173">
        <v>2</v>
      </c>
      <c r="J30" s="173">
        <f>LN(B30)</f>
        <v>0</v>
      </c>
      <c r="K30" s="173">
        <v>0.10307764064044142</v>
      </c>
      <c r="L30" s="173" t="s">
        <v>31</v>
      </c>
      <c r="M30" s="173" t="s">
        <v>31</v>
      </c>
      <c r="N30" s="173" t="s">
        <v>31</v>
      </c>
      <c r="O30" s="173"/>
      <c r="P30" s="173"/>
      <c r="Q30" s="173"/>
      <c r="R30" s="173"/>
      <c r="S30" s="173"/>
    </row>
    <row r="31" spans="1:21">
      <c r="A31" s="177" t="s">
        <v>168</v>
      </c>
      <c r="B31" s="184">
        <f>Q31</f>
        <v>0.18</v>
      </c>
      <c r="C31" s="184"/>
      <c r="D31" s="173" t="s">
        <v>41</v>
      </c>
      <c r="E31" s="173" t="s">
        <v>38</v>
      </c>
      <c r="F31" s="173" t="s">
        <v>29</v>
      </c>
      <c r="G31" s="185" t="s">
        <v>35</v>
      </c>
      <c r="H31" s="173" t="s">
        <v>33</v>
      </c>
      <c r="I31" s="173">
        <v>2</v>
      </c>
      <c r="J31" s="173">
        <f t="shared" ref="J31:J37" si="1">LN(B31)</f>
        <v>-1.7147984280919266</v>
      </c>
      <c r="K31" s="173">
        <v>9.6046863561492793E-2</v>
      </c>
      <c r="L31" s="173" t="s">
        <v>31</v>
      </c>
      <c r="M31" s="173" t="s">
        <v>31</v>
      </c>
      <c r="N31" s="173" t="s">
        <v>31</v>
      </c>
      <c r="O31" s="173"/>
      <c r="P31" s="242" t="s">
        <v>332</v>
      </c>
      <c r="Q31" s="264">
        <v>0.18</v>
      </c>
      <c r="R31" s="173"/>
      <c r="S31" s="173"/>
    </row>
    <row r="32" spans="1:21">
      <c r="A32" s="185" t="s">
        <v>1042</v>
      </c>
      <c r="B32" s="173">
        <f>S32</f>
        <v>4.2000000000000003E-2</v>
      </c>
      <c r="C32" s="173"/>
      <c r="D32" s="173" t="s">
        <v>37</v>
      </c>
      <c r="E32" s="173" t="s">
        <v>38</v>
      </c>
      <c r="F32" s="173" t="s">
        <v>29</v>
      </c>
      <c r="G32" s="173" t="s">
        <v>35</v>
      </c>
      <c r="H32" s="173" t="s">
        <v>33</v>
      </c>
      <c r="I32" s="173">
        <v>2</v>
      </c>
      <c r="J32" s="173">
        <f t="shared" si="1"/>
        <v>-3.1700856606987688</v>
      </c>
      <c r="K32" s="173">
        <v>9.6046863561492793E-2</v>
      </c>
      <c r="L32" s="173" t="s">
        <v>31</v>
      </c>
      <c r="M32" s="173" t="s">
        <v>31</v>
      </c>
      <c r="N32" s="173" t="s">
        <v>31</v>
      </c>
      <c r="O32" s="173"/>
      <c r="P32" s="242" t="s">
        <v>947</v>
      </c>
      <c r="Q32" s="264">
        <v>42</v>
      </c>
      <c r="R32" s="242" t="s">
        <v>337</v>
      </c>
      <c r="S32" s="264">
        <f>0.001*Q32</f>
        <v>4.2000000000000003E-2</v>
      </c>
    </row>
    <row r="33" spans="1:21">
      <c r="A33" s="185" t="s">
        <v>1043</v>
      </c>
      <c r="B33" s="173">
        <f>Q33</f>
        <v>0.78</v>
      </c>
      <c r="C33" s="173"/>
      <c r="D33" s="173" t="s">
        <v>37</v>
      </c>
      <c r="E33" s="173" t="s">
        <v>38</v>
      </c>
      <c r="F33" s="173" t="s">
        <v>29</v>
      </c>
      <c r="G33" s="185" t="s">
        <v>39</v>
      </c>
      <c r="H33" s="173" t="s">
        <v>33</v>
      </c>
      <c r="I33" s="173">
        <v>2</v>
      </c>
      <c r="J33" s="173">
        <f t="shared" si="1"/>
        <v>-0.24846135929849961</v>
      </c>
      <c r="K33" s="173">
        <v>9.6046863561492793E-2</v>
      </c>
      <c r="L33" s="173" t="s">
        <v>31</v>
      </c>
      <c r="M33" s="173" t="s">
        <v>31</v>
      </c>
      <c r="N33" s="173" t="s">
        <v>31</v>
      </c>
      <c r="O33" s="173"/>
      <c r="P33" s="242" t="s">
        <v>337</v>
      </c>
      <c r="Q33" s="264">
        <v>0.78</v>
      </c>
      <c r="R33" s="173"/>
      <c r="S33" s="173"/>
    </row>
    <row r="34" spans="1:21">
      <c r="A34" s="292" t="s">
        <v>94</v>
      </c>
      <c r="B34" s="173">
        <f>S35</f>
        <v>0.159</v>
      </c>
      <c r="C34" s="271" t="s">
        <v>95</v>
      </c>
      <c r="D34" s="173" t="s">
        <v>37</v>
      </c>
      <c r="E34" s="173" t="s">
        <v>38</v>
      </c>
      <c r="F34" s="173" t="s">
        <v>29</v>
      </c>
      <c r="G34" s="185" t="s">
        <v>35</v>
      </c>
      <c r="H34" s="173" t="s">
        <v>33</v>
      </c>
      <c r="I34" s="173">
        <v>2</v>
      </c>
      <c r="J34" s="173">
        <f t="shared" si="1"/>
        <v>-1.8388510767619055</v>
      </c>
      <c r="K34" s="173">
        <v>9.6046863561492793E-2</v>
      </c>
      <c r="L34" s="173" t="s">
        <v>31</v>
      </c>
      <c r="M34" s="173" t="s">
        <v>31</v>
      </c>
      <c r="N34" s="173" t="s">
        <v>31</v>
      </c>
      <c r="O34" s="173"/>
      <c r="P34" s="242"/>
      <c r="Q34" s="264"/>
      <c r="R34" s="173"/>
      <c r="S34" s="173"/>
    </row>
    <row r="35" spans="1:21">
      <c r="A35" s="271" t="s">
        <v>93</v>
      </c>
      <c r="B35" s="173">
        <f>S35</f>
        <v>0.159</v>
      </c>
      <c r="C35" s="173"/>
      <c r="D35" s="173" t="s">
        <v>37</v>
      </c>
      <c r="E35" s="173" t="s">
        <v>38</v>
      </c>
      <c r="F35" s="173" t="s">
        <v>29</v>
      </c>
      <c r="G35" s="173" t="s">
        <v>35</v>
      </c>
      <c r="H35" s="173" t="s">
        <v>33</v>
      </c>
      <c r="I35" s="173">
        <v>2</v>
      </c>
      <c r="J35" s="173">
        <f t="shared" si="1"/>
        <v>-1.8388510767619055</v>
      </c>
      <c r="K35" s="173">
        <v>9.6046863561492793E-2</v>
      </c>
      <c r="L35" s="173" t="s">
        <v>31</v>
      </c>
      <c r="M35" s="173" t="s">
        <v>31</v>
      </c>
      <c r="N35" s="173" t="s">
        <v>31</v>
      </c>
      <c r="O35" s="173"/>
      <c r="P35" s="268" t="s">
        <v>947</v>
      </c>
      <c r="Q35" s="269">
        <v>159</v>
      </c>
      <c r="R35" s="242" t="s">
        <v>337</v>
      </c>
      <c r="S35" s="264">
        <f>0.001*Q35</f>
        <v>0.159</v>
      </c>
    </row>
    <row r="36" spans="1:21">
      <c r="A36" s="185" t="s">
        <v>1047</v>
      </c>
      <c r="B36" s="173">
        <f t="shared" ref="B36" si="2">S36</f>
        <v>0.159</v>
      </c>
      <c r="C36" s="173"/>
      <c r="D36" s="173" t="s">
        <v>37</v>
      </c>
      <c r="E36" s="173" t="s">
        <v>38</v>
      </c>
      <c r="F36" s="173" t="s">
        <v>29</v>
      </c>
      <c r="G36" s="173" t="s">
        <v>60</v>
      </c>
      <c r="H36" s="173" t="s">
        <v>98</v>
      </c>
      <c r="I36" s="173">
        <v>2</v>
      </c>
      <c r="J36" s="173">
        <f t="shared" si="1"/>
        <v>-1.8388510767619055</v>
      </c>
      <c r="K36" s="173">
        <v>9.6046863561492793E-2</v>
      </c>
      <c r="L36" s="173" t="s">
        <v>31</v>
      </c>
      <c r="M36" s="173" t="s">
        <v>31</v>
      </c>
      <c r="N36" s="173" t="s">
        <v>31</v>
      </c>
      <c r="O36" s="173"/>
      <c r="P36" s="268" t="s">
        <v>947</v>
      </c>
      <c r="Q36" s="269">
        <v>159</v>
      </c>
      <c r="R36" s="242" t="s">
        <v>337</v>
      </c>
      <c r="S36" s="264">
        <f t="shared" ref="S36:S37" si="3">0.001*Q36</f>
        <v>0.159</v>
      </c>
    </row>
    <row r="37" spans="1:21">
      <c r="A37" s="185" t="s">
        <v>1238</v>
      </c>
      <c r="B37" s="173">
        <f>S37</f>
        <v>4.2000000000000003E-2</v>
      </c>
      <c r="C37" s="173"/>
      <c r="D37" s="173" t="s">
        <v>37</v>
      </c>
      <c r="E37" s="173" t="s">
        <v>38</v>
      </c>
      <c r="F37" s="173" t="s">
        <v>29</v>
      </c>
      <c r="G37" s="185" t="s">
        <v>39</v>
      </c>
      <c r="H37" s="173" t="s">
        <v>33</v>
      </c>
      <c r="I37" s="173">
        <v>2</v>
      </c>
      <c r="J37" s="173">
        <f t="shared" si="1"/>
        <v>-3.1700856606987688</v>
      </c>
      <c r="K37" s="173">
        <v>9.6046863561492793E-2</v>
      </c>
      <c r="L37" s="173" t="s">
        <v>31</v>
      </c>
      <c r="M37" s="173" t="s">
        <v>31</v>
      </c>
      <c r="N37" s="173" t="s">
        <v>31</v>
      </c>
      <c r="O37" s="173"/>
      <c r="P37" s="268" t="s">
        <v>947</v>
      </c>
      <c r="Q37" s="269">
        <v>42</v>
      </c>
      <c r="R37" s="242" t="s">
        <v>337</v>
      </c>
      <c r="S37" s="264">
        <f t="shared" si="3"/>
        <v>4.2000000000000003E-2</v>
      </c>
    </row>
    <row r="38" spans="1:21" s="42" customFormat="1">
      <c r="A38" s="209" t="s">
        <v>5</v>
      </c>
      <c r="B38" s="210" t="s">
        <v>1335</v>
      </c>
      <c r="C38" s="210"/>
      <c r="D38" s="188"/>
      <c r="E38" s="188"/>
      <c r="F38" s="188"/>
      <c r="G38" s="188"/>
      <c r="H38" s="188"/>
      <c r="I38" s="188"/>
      <c r="J38" s="188"/>
      <c r="K38" s="188"/>
      <c r="L38" s="188"/>
      <c r="M38" s="188"/>
      <c r="N38" s="188"/>
      <c r="O38" s="188"/>
      <c r="P38" s="188"/>
      <c r="Q38" s="188"/>
      <c r="R38" s="188"/>
      <c r="S38" s="188"/>
    </row>
    <row r="39" spans="1:21">
      <c r="A39" s="177" t="s">
        <v>7</v>
      </c>
      <c r="B39" s="173" t="s">
        <v>566</v>
      </c>
      <c r="C39" s="173"/>
      <c r="D39" s="176"/>
      <c r="E39" s="173"/>
      <c r="F39" s="173"/>
      <c r="G39" s="173"/>
      <c r="H39" s="173"/>
      <c r="I39" s="173"/>
      <c r="J39" s="173"/>
      <c r="K39" s="173"/>
      <c r="L39" s="173"/>
      <c r="M39" s="173"/>
      <c r="N39" s="173"/>
      <c r="O39" s="173"/>
      <c r="P39" s="173"/>
      <c r="Q39" s="173"/>
      <c r="R39" s="173"/>
      <c r="S39" s="173"/>
    </row>
    <row r="40" spans="1:21">
      <c r="A40" s="276" t="s">
        <v>9</v>
      </c>
      <c r="B40" s="173" t="s">
        <v>1336</v>
      </c>
      <c r="C40" s="173"/>
      <c r="D40" s="176"/>
      <c r="E40" s="173"/>
      <c r="F40" s="173"/>
      <c r="G40" s="173"/>
      <c r="H40" s="173"/>
      <c r="I40" s="173"/>
      <c r="J40" s="173"/>
      <c r="K40" s="173"/>
      <c r="L40" s="173"/>
      <c r="M40" s="173"/>
      <c r="N40" s="173"/>
      <c r="O40" s="173"/>
      <c r="P40" s="173"/>
      <c r="Q40" s="173"/>
      <c r="R40" s="173"/>
      <c r="S40" s="173"/>
    </row>
    <row r="41" spans="1:21" ht="15.75" customHeight="1">
      <c r="A41" s="177" t="s">
        <v>11</v>
      </c>
      <c r="B41" s="179" t="s">
        <v>913</v>
      </c>
      <c r="C41" s="179"/>
      <c r="D41" s="173"/>
      <c r="E41" s="173"/>
      <c r="F41" s="173"/>
      <c r="G41" s="173"/>
      <c r="H41" s="173"/>
      <c r="I41" s="173"/>
      <c r="J41" s="173"/>
      <c r="K41" s="173"/>
      <c r="L41" s="173"/>
      <c r="M41" s="173"/>
      <c r="N41" s="173"/>
      <c r="O41" s="173"/>
      <c r="P41" s="173"/>
      <c r="Q41" s="173"/>
      <c r="R41" s="173"/>
      <c r="S41" s="173"/>
    </row>
    <row r="42" spans="1:21">
      <c r="A42" s="177" t="s">
        <v>13</v>
      </c>
      <c r="B42" s="173" t="s">
        <v>14</v>
      </c>
      <c r="C42" s="173"/>
      <c r="D42" s="173"/>
      <c r="E42" s="173"/>
      <c r="F42" s="173"/>
      <c r="G42" s="173"/>
      <c r="H42" s="173"/>
      <c r="I42" s="173"/>
      <c r="J42" s="173"/>
      <c r="K42" s="173"/>
      <c r="L42" s="173"/>
      <c r="M42" s="173"/>
      <c r="N42" s="173"/>
      <c r="O42" s="173"/>
      <c r="P42" s="173"/>
      <c r="Q42" s="173"/>
      <c r="R42" s="173"/>
      <c r="S42" s="173"/>
    </row>
    <row r="43" spans="1:21">
      <c r="A43" s="177" t="s">
        <v>15</v>
      </c>
      <c r="B43" s="191">
        <v>3.15</v>
      </c>
      <c r="C43" s="191"/>
      <c r="D43" s="173"/>
      <c r="E43" s="173"/>
      <c r="F43" s="173"/>
      <c r="G43" s="173"/>
      <c r="H43" s="173"/>
      <c r="I43" s="173"/>
      <c r="J43" s="173"/>
      <c r="K43" s="173"/>
      <c r="L43" s="173"/>
      <c r="M43" s="173"/>
      <c r="N43" s="173"/>
      <c r="O43" s="173"/>
      <c r="P43" s="173"/>
      <c r="Q43" s="173"/>
      <c r="R43" s="173"/>
      <c r="S43" s="173"/>
    </row>
    <row r="44" spans="1:21">
      <c r="A44" s="177" t="s">
        <v>16</v>
      </c>
      <c r="B44" s="173" t="s">
        <v>17</v>
      </c>
      <c r="C44" s="173"/>
      <c r="D44" s="173"/>
      <c r="E44" s="173"/>
      <c r="F44" s="173"/>
      <c r="G44" s="173"/>
      <c r="H44" s="173"/>
      <c r="I44" s="173"/>
      <c r="J44" s="173"/>
      <c r="K44" s="173"/>
      <c r="L44" s="173"/>
      <c r="M44" s="173"/>
      <c r="N44" s="173"/>
      <c r="O44" s="173"/>
      <c r="P44" s="173"/>
      <c r="Q44" s="173"/>
      <c r="R44" s="173"/>
      <c r="S44" s="173"/>
    </row>
    <row r="45" spans="1:21">
      <c r="A45" s="177" t="s">
        <v>18</v>
      </c>
      <c r="B45" s="173" t="s">
        <v>37</v>
      </c>
      <c r="C45" s="173"/>
      <c r="D45" s="173"/>
      <c r="E45" s="173"/>
      <c r="F45" s="173"/>
      <c r="G45" s="173"/>
      <c r="H45" s="173"/>
      <c r="I45" s="173"/>
      <c r="J45" s="173"/>
      <c r="K45" s="173"/>
      <c r="L45" s="173"/>
      <c r="M45" s="173"/>
      <c r="N45" s="173"/>
      <c r="O45" s="173"/>
      <c r="P45" s="173"/>
      <c r="Q45" s="173"/>
      <c r="R45" s="173"/>
      <c r="S45" s="173"/>
    </row>
    <row r="46" spans="1:21">
      <c r="A46" s="174" t="s">
        <v>19</v>
      </c>
      <c r="B46" s="173"/>
      <c r="C46" s="173"/>
      <c r="D46" s="173"/>
      <c r="E46" s="173"/>
      <c r="F46" s="173"/>
      <c r="G46" s="173"/>
      <c r="H46" s="173"/>
      <c r="I46" s="173"/>
      <c r="J46" s="173"/>
      <c r="K46" s="173"/>
      <c r="L46" s="173"/>
      <c r="M46" s="173"/>
      <c r="N46" s="173"/>
      <c r="O46" s="173"/>
      <c r="P46" s="173"/>
      <c r="Q46" s="173"/>
      <c r="R46" s="173"/>
      <c r="S46" s="173"/>
    </row>
    <row r="47" spans="1:21">
      <c r="A47" s="175" t="s">
        <v>20</v>
      </c>
      <c r="B47" s="175" t="s">
        <v>21</v>
      </c>
      <c r="C47" s="221" t="s">
        <v>78</v>
      </c>
      <c r="D47" s="175" t="s">
        <v>18</v>
      </c>
      <c r="E47" s="175" t="s">
        <v>22</v>
      </c>
      <c r="F47" s="175" t="s">
        <v>7</v>
      </c>
      <c r="G47" s="175" t="s">
        <v>13</v>
      </c>
      <c r="H47" s="175" t="s">
        <v>16</v>
      </c>
      <c r="I47" s="175" t="s">
        <v>23</v>
      </c>
      <c r="J47" s="175" t="s">
        <v>24</v>
      </c>
      <c r="K47" s="175" t="s">
        <v>25</v>
      </c>
      <c r="L47" s="175" t="s">
        <v>26</v>
      </c>
      <c r="M47" s="175" t="s">
        <v>27</v>
      </c>
      <c r="N47" s="175" t="s">
        <v>28</v>
      </c>
      <c r="O47" s="175" t="s">
        <v>11</v>
      </c>
      <c r="P47" s="173"/>
      <c r="Q47" s="173"/>
      <c r="R47" s="173"/>
      <c r="S47" s="173"/>
      <c r="U47" s="283"/>
    </row>
    <row r="48" spans="1:21">
      <c r="A48" s="173" t="s">
        <v>1335</v>
      </c>
      <c r="B48" s="173">
        <v>3.15</v>
      </c>
      <c r="C48" s="173"/>
      <c r="D48" s="173" t="s">
        <v>37</v>
      </c>
      <c r="E48" s="258" t="s">
        <v>2</v>
      </c>
      <c r="F48" s="173" t="s">
        <v>29</v>
      </c>
      <c r="G48" s="173" t="s">
        <v>14</v>
      </c>
      <c r="H48" s="173" t="s">
        <v>30</v>
      </c>
      <c r="I48" s="173">
        <v>2</v>
      </c>
      <c r="J48" s="173">
        <f>LN(B48)</f>
        <v>1.1474024528375417</v>
      </c>
      <c r="K48" s="173">
        <v>0.10307764064044142</v>
      </c>
      <c r="L48" s="173" t="s">
        <v>31</v>
      </c>
      <c r="M48" s="173" t="s">
        <v>31</v>
      </c>
      <c r="N48" s="173" t="s">
        <v>31</v>
      </c>
      <c r="O48" s="173"/>
      <c r="P48" s="173"/>
      <c r="Q48" s="173"/>
      <c r="R48" s="173"/>
      <c r="S48" s="173"/>
    </row>
    <row r="49" spans="1:25">
      <c r="A49" s="185" t="s">
        <v>1047</v>
      </c>
      <c r="B49" s="173">
        <f>Q49</f>
        <v>3.34</v>
      </c>
      <c r="C49" s="173"/>
      <c r="D49" s="173" t="s">
        <v>37</v>
      </c>
      <c r="E49" s="173" t="s">
        <v>38</v>
      </c>
      <c r="F49" s="173" t="s">
        <v>29</v>
      </c>
      <c r="G49" s="173" t="s">
        <v>60</v>
      </c>
      <c r="H49" s="173" t="s">
        <v>33</v>
      </c>
      <c r="I49" s="173">
        <v>2</v>
      </c>
      <c r="J49" s="173">
        <f t="shared" ref="J49:J57" si="4">LN(B49)</f>
        <v>1.205970806988609</v>
      </c>
      <c r="K49" s="173">
        <v>4.9999999999998969E-3</v>
      </c>
      <c r="L49" s="173" t="s">
        <v>31</v>
      </c>
      <c r="M49" s="173" t="s">
        <v>31</v>
      </c>
      <c r="N49" s="173" t="s">
        <v>31</v>
      </c>
      <c r="O49" s="173"/>
      <c r="P49" s="242" t="s">
        <v>337</v>
      </c>
      <c r="Q49" s="264">
        <v>3.34</v>
      </c>
      <c r="R49" s="173"/>
      <c r="S49" s="173"/>
    </row>
    <row r="50" spans="1:25">
      <c r="A50" s="293" t="s">
        <v>170</v>
      </c>
      <c r="B50" s="173">
        <f>S50</f>
        <v>0.88772845953002621</v>
      </c>
      <c r="C50" s="173"/>
      <c r="D50" s="173" t="s">
        <v>50</v>
      </c>
      <c r="E50" s="173" t="s">
        <v>38</v>
      </c>
      <c r="F50" s="173" t="s">
        <v>29</v>
      </c>
      <c r="G50" s="173" t="s">
        <v>333</v>
      </c>
      <c r="H50" s="173" t="s">
        <v>33</v>
      </c>
      <c r="I50" s="173">
        <v>2</v>
      </c>
      <c r="J50" s="173">
        <f t="shared" si="4"/>
        <v>-0.11908937157043879</v>
      </c>
      <c r="K50" s="173">
        <v>4.9999999999998969E-3</v>
      </c>
      <c r="L50" s="173" t="s">
        <v>31</v>
      </c>
      <c r="M50" s="173" t="s">
        <v>31</v>
      </c>
      <c r="N50" s="173" t="s">
        <v>31</v>
      </c>
      <c r="O50" s="173"/>
      <c r="P50" s="242" t="s">
        <v>331</v>
      </c>
      <c r="Q50" s="264">
        <v>34</v>
      </c>
      <c r="R50" s="173" t="s">
        <v>335</v>
      </c>
      <c r="S50" s="173">
        <f>Q50/38.3</f>
        <v>0.88772845953002621</v>
      </c>
      <c r="T50" s="294"/>
      <c r="U50" s="44"/>
      <c r="V50" s="44"/>
      <c r="W50" s="44"/>
      <c r="X50" s="44"/>
      <c r="Y50" s="44"/>
    </row>
    <row r="51" spans="1:25">
      <c r="A51" s="177" t="s">
        <v>168</v>
      </c>
      <c r="B51" s="184">
        <f>Q51</f>
        <v>8.19</v>
      </c>
      <c r="C51" s="184"/>
      <c r="D51" s="173" t="s">
        <v>41</v>
      </c>
      <c r="E51" s="173" t="s">
        <v>38</v>
      </c>
      <c r="F51" s="173" t="s">
        <v>29</v>
      </c>
      <c r="G51" s="185" t="s">
        <v>60</v>
      </c>
      <c r="H51" s="173" t="s">
        <v>33</v>
      </c>
      <c r="I51" s="173">
        <v>2</v>
      </c>
      <c r="J51" s="173">
        <f t="shared" si="4"/>
        <v>2.102913897864978</v>
      </c>
      <c r="K51" s="173">
        <v>4.9999999999998969E-3</v>
      </c>
      <c r="L51" s="173" t="s">
        <v>31</v>
      </c>
      <c r="M51" s="173" t="s">
        <v>31</v>
      </c>
      <c r="N51" s="173" t="s">
        <v>31</v>
      </c>
      <c r="O51" s="173"/>
      <c r="P51" s="242" t="s">
        <v>332</v>
      </c>
      <c r="Q51" s="264">
        <v>8.19</v>
      </c>
      <c r="R51" s="173"/>
      <c r="S51" s="173"/>
    </row>
    <row r="52" spans="1:25">
      <c r="A52" s="185" t="s">
        <v>1049</v>
      </c>
      <c r="B52" s="173">
        <f>S52</f>
        <v>6.3E-2</v>
      </c>
      <c r="C52" s="173"/>
      <c r="D52" s="173" t="s">
        <v>37</v>
      </c>
      <c r="E52" s="173" t="s">
        <v>38</v>
      </c>
      <c r="F52" s="173" t="s">
        <v>29</v>
      </c>
      <c r="G52" s="173" t="s">
        <v>35</v>
      </c>
      <c r="H52" s="173" t="s">
        <v>33</v>
      </c>
      <c r="I52" s="173">
        <v>2</v>
      </c>
      <c r="J52" s="173">
        <f t="shared" si="4"/>
        <v>-2.7646205525906042</v>
      </c>
      <c r="K52" s="173">
        <v>0.10049875621120885</v>
      </c>
      <c r="L52" s="173" t="s">
        <v>31</v>
      </c>
      <c r="M52" s="173" t="s">
        <v>31</v>
      </c>
      <c r="N52" s="173" t="s">
        <v>31</v>
      </c>
      <c r="O52" s="173"/>
      <c r="P52" s="242" t="s">
        <v>947</v>
      </c>
      <c r="Q52" s="264">
        <v>63</v>
      </c>
      <c r="R52" s="242" t="s">
        <v>337</v>
      </c>
      <c r="S52" s="264">
        <f t="shared" ref="S52:S55" si="5">0.001*Q52</f>
        <v>6.3E-2</v>
      </c>
    </row>
    <row r="53" spans="1:25">
      <c r="A53" s="185" t="s">
        <v>1050</v>
      </c>
      <c r="B53" s="173">
        <f>S53</f>
        <v>1.3000000000000002E-3</v>
      </c>
      <c r="C53" s="173"/>
      <c r="D53" s="173" t="s">
        <v>37</v>
      </c>
      <c r="E53" s="173" t="s">
        <v>43</v>
      </c>
      <c r="F53" s="173" t="s">
        <v>44</v>
      </c>
      <c r="G53" s="173" t="s">
        <v>29</v>
      </c>
      <c r="H53" s="173" t="s">
        <v>45</v>
      </c>
      <c r="I53" s="173">
        <v>2</v>
      </c>
      <c r="J53" s="173">
        <f t="shared" si="4"/>
        <v>-6.6453910145146455</v>
      </c>
      <c r="K53" s="173">
        <v>4.9999999999998969E-3</v>
      </c>
      <c r="L53" s="173" t="s">
        <v>31</v>
      </c>
      <c r="M53" s="173" t="s">
        <v>31</v>
      </c>
      <c r="N53" s="173" t="s">
        <v>31</v>
      </c>
      <c r="O53" s="173"/>
      <c r="P53" s="266" t="s">
        <v>947</v>
      </c>
      <c r="Q53" s="295">
        <v>1.3</v>
      </c>
      <c r="R53" s="242" t="s">
        <v>337</v>
      </c>
      <c r="S53" s="264">
        <f t="shared" si="5"/>
        <v>1.3000000000000002E-3</v>
      </c>
    </row>
    <row r="54" spans="1:25">
      <c r="A54" s="177" t="s">
        <v>941</v>
      </c>
      <c r="B54" s="173">
        <f>S54</f>
        <v>1.3000000000000002E-3</v>
      </c>
      <c r="C54" s="173"/>
      <c r="D54" s="173" t="s">
        <v>37</v>
      </c>
      <c r="E54" s="173" t="s">
        <v>43</v>
      </c>
      <c r="F54" s="173" t="s">
        <v>44</v>
      </c>
      <c r="G54" s="185" t="s">
        <v>29</v>
      </c>
      <c r="H54" s="173" t="s">
        <v>45</v>
      </c>
      <c r="I54" s="173">
        <v>2</v>
      </c>
      <c r="J54" s="173">
        <f t="shared" si="4"/>
        <v>-6.6453910145146455</v>
      </c>
      <c r="K54" s="173">
        <v>8.9582364335844641E-2</v>
      </c>
      <c r="L54" s="173" t="s">
        <v>31</v>
      </c>
      <c r="M54" s="173" t="s">
        <v>31</v>
      </c>
      <c r="N54" s="173" t="s">
        <v>31</v>
      </c>
      <c r="O54" s="173"/>
      <c r="P54" s="266" t="s">
        <v>947</v>
      </c>
      <c r="Q54" s="295">
        <v>1.3</v>
      </c>
      <c r="R54" s="242" t="s">
        <v>337</v>
      </c>
      <c r="S54" s="264">
        <f t="shared" si="5"/>
        <v>1.3000000000000002E-3</v>
      </c>
    </row>
    <row r="55" spans="1:25">
      <c r="A55" s="292" t="s">
        <v>94</v>
      </c>
      <c r="B55" s="173">
        <f>S55</f>
        <v>3.2000000000000002E-3</v>
      </c>
      <c r="C55" s="271" t="s">
        <v>95</v>
      </c>
      <c r="D55" s="173" t="s">
        <v>37</v>
      </c>
      <c r="E55" s="173" t="s">
        <v>38</v>
      </c>
      <c r="F55" s="173" t="s">
        <v>29</v>
      </c>
      <c r="G55" s="185" t="s">
        <v>35</v>
      </c>
      <c r="H55" s="173" t="s">
        <v>33</v>
      </c>
      <c r="I55" s="173">
        <v>2</v>
      </c>
      <c r="J55" s="173">
        <f t="shared" si="4"/>
        <v>-5.7446044691764557</v>
      </c>
      <c r="K55" s="173">
        <v>9.6046863561492793E-2</v>
      </c>
      <c r="L55" s="173" t="s">
        <v>31</v>
      </c>
      <c r="M55" s="173" t="s">
        <v>31</v>
      </c>
      <c r="N55" s="173" t="s">
        <v>31</v>
      </c>
      <c r="O55" s="173"/>
      <c r="P55" s="266" t="s">
        <v>947</v>
      </c>
      <c r="Q55" s="295">
        <v>3.2</v>
      </c>
      <c r="R55" s="242" t="s">
        <v>337</v>
      </c>
      <c r="S55" s="264">
        <f t="shared" si="5"/>
        <v>3.2000000000000002E-3</v>
      </c>
    </row>
    <row r="56" spans="1:25">
      <c r="A56" s="271" t="s">
        <v>93</v>
      </c>
      <c r="B56" s="173">
        <f>S55</f>
        <v>3.2000000000000002E-3</v>
      </c>
      <c r="C56" s="173"/>
      <c r="D56" s="173" t="s">
        <v>37</v>
      </c>
      <c r="E56" s="173" t="s">
        <v>38</v>
      </c>
      <c r="F56" s="173" t="s">
        <v>29</v>
      </c>
      <c r="G56" s="173" t="s">
        <v>35</v>
      </c>
      <c r="H56" s="173" t="s">
        <v>33</v>
      </c>
      <c r="I56" s="173">
        <v>2</v>
      </c>
      <c r="J56" s="173">
        <f t="shared" si="4"/>
        <v>-5.7446044691764557</v>
      </c>
      <c r="K56" s="173">
        <v>4.9999999999998969E-3</v>
      </c>
      <c r="L56" s="173" t="s">
        <v>31</v>
      </c>
      <c r="M56" s="173" t="s">
        <v>31</v>
      </c>
      <c r="N56" s="173" t="s">
        <v>31</v>
      </c>
      <c r="O56" s="173"/>
      <c r="P56" s="268" t="s">
        <v>337</v>
      </c>
      <c r="Q56" s="295">
        <v>0.19</v>
      </c>
      <c r="R56" s="173"/>
      <c r="S56" s="173"/>
    </row>
    <row r="57" spans="1:25">
      <c r="A57" s="185" t="s">
        <v>1047</v>
      </c>
      <c r="B57" s="173">
        <f>Q56</f>
        <v>0.19</v>
      </c>
      <c r="C57" s="173"/>
      <c r="D57" s="173" t="s">
        <v>37</v>
      </c>
      <c r="E57" s="173" t="s">
        <v>38</v>
      </c>
      <c r="F57" s="173" t="s">
        <v>29</v>
      </c>
      <c r="G57" s="173" t="s">
        <v>60</v>
      </c>
      <c r="H57" s="173" t="s">
        <v>98</v>
      </c>
      <c r="I57" s="173">
        <v>2</v>
      </c>
      <c r="J57" s="173">
        <f t="shared" si="4"/>
        <v>-1.6607312068216509</v>
      </c>
      <c r="K57" s="173">
        <v>4.9999999999998969E-3</v>
      </c>
      <c r="L57" s="173" t="s">
        <v>31</v>
      </c>
      <c r="M57" s="173" t="s">
        <v>31</v>
      </c>
      <c r="N57" s="173" t="s">
        <v>31</v>
      </c>
      <c r="O57" s="173"/>
      <c r="P57" s="173"/>
      <c r="Q57" s="173"/>
      <c r="R57" s="173"/>
      <c r="S57" s="173"/>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3AC9-BA18-450E-9DEB-14BB05BA83A4}">
  <sheetPr>
    <tabColor theme="5"/>
  </sheetPr>
  <dimension ref="A1:U362"/>
  <sheetViews>
    <sheetView zoomScale="70" zoomScaleNormal="70" workbookViewId="0">
      <selection activeCell="H28" sqref="H28"/>
    </sheetView>
  </sheetViews>
  <sheetFormatPr defaultRowHeight="15"/>
  <cols>
    <col min="1" max="1" width="65.5703125" customWidth="1"/>
    <col min="2" max="2" width="15.28515625" customWidth="1"/>
    <col min="3" max="3" width="14.28515625" customWidth="1"/>
    <col min="4" max="4" width="35.7109375" customWidth="1"/>
    <col min="7" max="7" width="15.570312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5</v>
      </c>
      <c r="B2" s="210" t="s">
        <v>1302</v>
      </c>
      <c r="C2" s="211"/>
      <c r="D2" s="188"/>
      <c r="E2" s="188"/>
      <c r="F2" s="188"/>
      <c r="G2" s="188"/>
      <c r="H2" s="188"/>
      <c r="I2" s="188"/>
      <c r="J2" s="188"/>
      <c r="K2" s="188"/>
      <c r="L2" s="188"/>
      <c r="M2" s="188"/>
      <c r="N2" s="173"/>
      <c r="O2" s="173"/>
      <c r="P2" s="173"/>
      <c r="Q2" s="173"/>
      <c r="R2" s="173"/>
      <c r="S2" s="173"/>
      <c r="T2" s="173"/>
      <c r="U2" s="173"/>
    </row>
    <row r="3" spans="1:21">
      <c r="A3" s="177" t="s">
        <v>7</v>
      </c>
      <c r="B3" s="173" t="s">
        <v>566</v>
      </c>
      <c r="C3" s="176"/>
      <c r="D3" s="173"/>
      <c r="E3" s="173"/>
      <c r="F3" s="173"/>
      <c r="G3" s="173"/>
      <c r="H3" s="173"/>
      <c r="I3" s="173"/>
      <c r="J3" s="173"/>
      <c r="K3" s="173"/>
      <c r="L3" s="173"/>
      <c r="M3" s="173"/>
      <c r="N3" s="173"/>
      <c r="O3" s="173"/>
      <c r="P3" s="173"/>
      <c r="Q3" s="173"/>
      <c r="R3" s="173"/>
      <c r="S3" s="173"/>
      <c r="T3" s="173"/>
      <c r="U3" s="173"/>
    </row>
    <row r="4" spans="1:21">
      <c r="A4" s="177" t="s">
        <v>9</v>
      </c>
      <c r="B4" s="173" t="s">
        <v>1337</v>
      </c>
      <c r="C4" s="176"/>
      <c r="D4" s="173"/>
      <c r="E4" s="173"/>
      <c r="F4" s="173"/>
      <c r="G4" s="173"/>
      <c r="H4" s="173"/>
      <c r="I4" s="173"/>
      <c r="J4" s="173"/>
      <c r="K4" s="173"/>
      <c r="L4" s="173"/>
      <c r="M4" s="173"/>
      <c r="N4" s="173"/>
      <c r="O4" s="173"/>
      <c r="P4" s="173"/>
      <c r="Q4" s="173"/>
      <c r="R4" s="173"/>
      <c r="S4" s="173"/>
      <c r="T4" s="173"/>
      <c r="U4" s="173"/>
    </row>
    <row r="5" spans="1:21" ht="16.5" customHeight="1">
      <c r="A5" s="177" t="s">
        <v>11</v>
      </c>
      <c r="B5" s="179" t="s">
        <v>913</v>
      </c>
      <c r="C5" s="173"/>
      <c r="D5" s="173"/>
      <c r="E5" s="173"/>
      <c r="F5" s="173"/>
      <c r="G5" s="173"/>
      <c r="H5" s="173"/>
      <c r="I5" s="173"/>
      <c r="J5" s="173"/>
      <c r="K5" s="173"/>
      <c r="L5" s="173"/>
      <c r="M5" s="173"/>
      <c r="N5" s="173"/>
      <c r="O5" s="173"/>
      <c r="P5" s="173"/>
      <c r="Q5" s="173"/>
      <c r="R5" s="173"/>
      <c r="S5" s="173"/>
      <c r="T5" s="173"/>
      <c r="U5" s="173"/>
    </row>
    <row r="6" spans="1:21">
      <c r="A6" s="177" t="s">
        <v>13</v>
      </c>
      <c r="B6" s="173" t="s">
        <v>14</v>
      </c>
      <c r="C6" s="173"/>
      <c r="D6" s="173"/>
      <c r="E6" s="173"/>
      <c r="F6" s="173"/>
      <c r="G6" s="173"/>
      <c r="H6" s="173"/>
      <c r="I6" s="173"/>
      <c r="J6" s="173"/>
      <c r="K6" s="173"/>
      <c r="L6" s="173"/>
      <c r="M6" s="173"/>
      <c r="N6" s="173"/>
      <c r="O6" s="173"/>
      <c r="P6" s="173"/>
      <c r="Q6" s="173"/>
      <c r="R6" s="173"/>
      <c r="S6" s="173"/>
      <c r="T6" s="173"/>
      <c r="U6" s="173"/>
    </row>
    <row r="7" spans="1:21">
      <c r="A7" s="177" t="s">
        <v>15</v>
      </c>
      <c r="B7" s="173">
        <v>0.31379100000000004</v>
      </c>
      <c r="C7" s="173"/>
      <c r="D7" s="173"/>
      <c r="E7" s="173"/>
      <c r="F7" s="173"/>
      <c r="G7" s="173"/>
      <c r="H7" s="173"/>
      <c r="I7" s="173"/>
      <c r="J7" s="173"/>
      <c r="K7" s="173"/>
      <c r="L7" s="173"/>
      <c r="M7" s="173"/>
      <c r="N7" s="173"/>
      <c r="O7" s="173"/>
      <c r="P7" s="173"/>
      <c r="Q7" s="173"/>
      <c r="R7" s="173"/>
      <c r="S7" s="173"/>
      <c r="T7" s="173"/>
      <c r="U7" s="173"/>
    </row>
    <row r="8" spans="1:21">
      <c r="A8" s="177" t="s">
        <v>16</v>
      </c>
      <c r="B8" s="173" t="s">
        <v>17</v>
      </c>
      <c r="C8" s="173"/>
      <c r="D8" s="173"/>
      <c r="E8" s="173"/>
      <c r="F8" s="173"/>
      <c r="G8" s="173"/>
      <c r="H8" s="173"/>
      <c r="I8" s="173"/>
      <c r="J8" s="173"/>
      <c r="K8" s="173"/>
      <c r="L8" s="173"/>
      <c r="M8" s="173"/>
      <c r="N8" s="173"/>
      <c r="O8" s="173"/>
      <c r="P8" s="173"/>
      <c r="Q8" s="173"/>
      <c r="R8" s="173"/>
      <c r="S8" s="173"/>
      <c r="T8" s="173"/>
      <c r="U8" s="173"/>
    </row>
    <row r="9" spans="1:21">
      <c r="A9" s="177" t="s">
        <v>18</v>
      </c>
      <c r="B9" s="173" t="s">
        <v>37</v>
      </c>
      <c r="C9" s="173"/>
      <c r="D9" s="173"/>
      <c r="E9" s="173"/>
      <c r="F9" s="173"/>
      <c r="G9" s="173"/>
      <c r="H9" s="173"/>
      <c r="I9" s="173"/>
      <c r="J9" s="173"/>
      <c r="K9" s="173"/>
      <c r="L9" s="173"/>
      <c r="M9" s="173"/>
      <c r="N9" s="173"/>
      <c r="O9" s="173"/>
      <c r="P9" s="173"/>
      <c r="Q9" s="173"/>
      <c r="R9" s="173"/>
      <c r="S9" s="173"/>
      <c r="T9" s="173"/>
      <c r="U9" s="173"/>
    </row>
    <row r="10" spans="1:21">
      <c r="A10" s="174" t="s">
        <v>19</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173"/>
      <c r="S11" s="173"/>
      <c r="T11" s="173"/>
      <c r="U11" s="173"/>
    </row>
    <row r="12" spans="1:21">
      <c r="A12" s="177" t="s">
        <v>1302</v>
      </c>
      <c r="B12" s="173">
        <f>'2A. DCAC GRID INVERTER'!B16</f>
        <v>0.31379100000000004</v>
      </c>
      <c r="C12" s="173" t="s">
        <v>37</v>
      </c>
      <c r="D12" s="258" t="s">
        <v>2</v>
      </c>
      <c r="E12" s="173" t="s">
        <v>29</v>
      </c>
      <c r="F12" s="185" t="s">
        <v>14</v>
      </c>
      <c r="G12" s="173" t="s">
        <v>30</v>
      </c>
      <c r="H12" s="173">
        <v>1</v>
      </c>
      <c r="I12" s="173">
        <v>2.8722813232690055E-2</v>
      </c>
      <c r="J12" s="173" t="s">
        <v>31</v>
      </c>
      <c r="K12" s="173" t="s">
        <v>31</v>
      </c>
      <c r="L12" s="173" t="s">
        <v>31</v>
      </c>
      <c r="M12" s="173" t="s">
        <v>31</v>
      </c>
      <c r="N12" s="173"/>
      <c r="O12" s="173"/>
      <c r="P12" s="173"/>
      <c r="Q12" s="173"/>
      <c r="R12" s="173"/>
      <c r="S12" s="173"/>
      <c r="T12" s="173"/>
      <c r="U12" s="173"/>
    </row>
    <row r="13" spans="1:21">
      <c r="A13" s="173" t="s">
        <v>1338</v>
      </c>
      <c r="B13" s="173">
        <v>1</v>
      </c>
      <c r="C13" s="173" t="s">
        <v>18</v>
      </c>
      <c r="D13" s="258" t="s">
        <v>2</v>
      </c>
      <c r="E13" s="173" t="s">
        <v>29</v>
      </c>
      <c r="F13" s="185" t="s">
        <v>14</v>
      </c>
      <c r="G13" s="173" t="s">
        <v>33</v>
      </c>
      <c r="H13" s="173">
        <v>1</v>
      </c>
      <c r="I13" s="173">
        <v>1</v>
      </c>
      <c r="J13" s="173" t="s">
        <v>31</v>
      </c>
      <c r="K13" s="173" t="s">
        <v>31</v>
      </c>
      <c r="L13" s="173" t="s">
        <v>31</v>
      </c>
      <c r="M13" s="173" t="s">
        <v>31</v>
      </c>
      <c r="N13" s="173"/>
      <c r="O13" s="173"/>
      <c r="P13" s="173"/>
      <c r="Q13" s="173"/>
      <c r="R13" s="173"/>
      <c r="S13" s="173"/>
      <c r="T13" s="173"/>
      <c r="U13" s="173"/>
    </row>
    <row r="14" spans="1:21">
      <c r="A14" s="173" t="s">
        <v>1339</v>
      </c>
      <c r="B14" s="173">
        <v>1</v>
      </c>
      <c r="C14" s="173" t="s">
        <v>18</v>
      </c>
      <c r="D14" s="258" t="s">
        <v>2</v>
      </c>
      <c r="E14" s="173" t="s">
        <v>29</v>
      </c>
      <c r="F14" s="185" t="s">
        <v>14</v>
      </c>
      <c r="G14" s="173" t="s">
        <v>33</v>
      </c>
      <c r="H14" s="173">
        <v>1</v>
      </c>
      <c r="I14" s="173">
        <v>1</v>
      </c>
      <c r="J14" s="173" t="s">
        <v>31</v>
      </c>
      <c r="K14" s="173" t="s">
        <v>31</v>
      </c>
      <c r="L14" s="173" t="s">
        <v>31</v>
      </c>
      <c r="M14" s="173" t="s">
        <v>31</v>
      </c>
      <c r="N14" s="173"/>
      <c r="O14" s="173"/>
      <c r="P14" s="173"/>
      <c r="Q14" s="173"/>
      <c r="R14" s="173"/>
      <c r="S14" s="173"/>
      <c r="T14" s="173"/>
      <c r="U14" s="173"/>
    </row>
    <row r="15" spans="1:21">
      <c r="A15" s="185" t="s">
        <v>533</v>
      </c>
      <c r="B15" s="231">
        <f>R15</f>
        <v>8.7000000000000001E-5</v>
      </c>
      <c r="C15" s="173" t="s">
        <v>37</v>
      </c>
      <c r="D15" s="173" t="s">
        <v>38</v>
      </c>
      <c r="E15" s="173" t="s">
        <v>29</v>
      </c>
      <c r="F15" s="185" t="s">
        <v>35</v>
      </c>
      <c r="G15" s="173" t="s">
        <v>33</v>
      </c>
      <c r="H15" s="173">
        <v>2</v>
      </c>
      <c r="I15" s="173">
        <f>LN(B15)</f>
        <v>-9.3496024393096899</v>
      </c>
      <c r="J15" s="173">
        <v>2.8722813232690055E-2</v>
      </c>
      <c r="K15" s="173" t="s">
        <v>31</v>
      </c>
      <c r="L15" s="173" t="s">
        <v>31</v>
      </c>
      <c r="M15" s="173" t="s">
        <v>31</v>
      </c>
      <c r="N15" s="173"/>
      <c r="O15" s="222" t="s">
        <v>947</v>
      </c>
      <c r="P15" s="234">
        <v>8.6999999999999994E-2</v>
      </c>
      <c r="Q15" s="173" t="s">
        <v>337</v>
      </c>
      <c r="R15" s="231">
        <f>P15*0.001</f>
        <v>8.7000000000000001E-5</v>
      </c>
      <c r="S15" s="173"/>
      <c r="T15" s="173"/>
      <c r="U15" s="173"/>
    </row>
    <row r="16" spans="1:21">
      <c r="A16" s="209" t="s">
        <v>5</v>
      </c>
      <c r="B16" s="210" t="s">
        <v>1339</v>
      </c>
      <c r="C16" s="211"/>
      <c r="D16" s="188"/>
      <c r="E16" s="188"/>
      <c r="F16" s="188"/>
      <c r="G16" s="188"/>
      <c r="H16" s="188"/>
      <c r="I16" s="188"/>
      <c r="J16" s="188"/>
      <c r="K16" s="188"/>
      <c r="L16" s="188"/>
      <c r="M16" s="188"/>
      <c r="N16" s="173"/>
      <c r="O16" s="173"/>
      <c r="P16" s="173"/>
      <c r="Q16" s="173"/>
      <c r="R16" s="173"/>
      <c r="S16" s="173"/>
      <c r="T16" s="173"/>
      <c r="U16" s="173"/>
    </row>
    <row r="17" spans="1:21">
      <c r="A17" s="177" t="s">
        <v>7</v>
      </c>
      <c r="B17" s="173" t="s">
        <v>566</v>
      </c>
      <c r="C17" s="176"/>
      <c r="D17" s="173"/>
      <c r="E17" s="173"/>
      <c r="F17" s="173"/>
      <c r="G17" s="173"/>
      <c r="H17" s="173"/>
      <c r="I17" s="173"/>
      <c r="J17" s="173"/>
      <c r="K17" s="173"/>
      <c r="L17" s="173"/>
      <c r="M17" s="173"/>
      <c r="N17" s="173"/>
      <c r="O17" s="173"/>
      <c r="P17" s="173"/>
      <c r="Q17" s="173"/>
      <c r="R17" s="173"/>
      <c r="S17" s="173"/>
      <c r="T17" s="173"/>
      <c r="U17" s="173"/>
    </row>
    <row r="18" spans="1:21">
      <c r="A18" s="177" t="s">
        <v>9</v>
      </c>
      <c r="B18" s="173" t="s">
        <v>1340</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11</v>
      </c>
      <c r="B19" s="179" t="s">
        <v>913</v>
      </c>
      <c r="C19" s="173"/>
      <c r="D19" s="173"/>
      <c r="E19" s="173"/>
      <c r="F19" s="173"/>
      <c r="G19" s="173"/>
      <c r="H19" s="173"/>
      <c r="I19" s="173"/>
      <c r="J19" s="173"/>
      <c r="K19" s="173"/>
      <c r="L19" s="173"/>
      <c r="M19" s="173"/>
      <c r="N19" s="173"/>
      <c r="O19" s="173"/>
      <c r="P19" s="173"/>
      <c r="Q19" s="173"/>
      <c r="R19" s="173"/>
      <c r="S19" s="173"/>
      <c r="T19" s="173"/>
      <c r="U19" s="173"/>
    </row>
    <row r="20" spans="1:21">
      <c r="A20" s="177" t="s">
        <v>13</v>
      </c>
      <c r="B20" s="173" t="s">
        <v>14</v>
      </c>
      <c r="C20" s="173"/>
      <c r="D20" s="173"/>
      <c r="E20" s="173"/>
      <c r="F20" s="173"/>
      <c r="G20" s="173"/>
      <c r="H20" s="173"/>
      <c r="I20" s="173"/>
      <c r="J20" s="173"/>
      <c r="K20" s="173"/>
      <c r="L20" s="173"/>
      <c r="M20" s="173"/>
      <c r="N20" s="173"/>
      <c r="O20" s="173"/>
      <c r="P20" s="173"/>
      <c r="Q20" s="173"/>
      <c r="R20" s="173"/>
      <c r="S20" s="173"/>
      <c r="T20" s="173"/>
      <c r="U20" s="173"/>
    </row>
    <row r="21" spans="1:21">
      <c r="A21" s="177" t="s">
        <v>15</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16</v>
      </c>
      <c r="B22" s="173" t="s">
        <v>17</v>
      </c>
      <c r="C22" s="173"/>
      <c r="D22" s="173"/>
      <c r="E22" s="173"/>
      <c r="F22" s="173"/>
      <c r="G22" s="173"/>
      <c r="H22" s="173"/>
      <c r="I22" s="173"/>
      <c r="J22" s="173"/>
      <c r="K22" s="173"/>
      <c r="L22" s="173"/>
      <c r="M22" s="173"/>
      <c r="N22" s="173"/>
      <c r="O22" s="173"/>
      <c r="P22" s="173"/>
      <c r="Q22" s="173"/>
      <c r="R22" s="173"/>
      <c r="S22" s="173"/>
      <c r="T22" s="173"/>
      <c r="U22" s="173"/>
    </row>
    <row r="23" spans="1:21">
      <c r="A23" s="177" t="s">
        <v>18</v>
      </c>
      <c r="B23" s="173" t="s">
        <v>18</v>
      </c>
      <c r="C23" s="173"/>
      <c r="D23" s="173"/>
      <c r="E23" s="173"/>
      <c r="F23" s="173"/>
      <c r="G23" s="173"/>
      <c r="H23" s="173"/>
      <c r="I23" s="173"/>
      <c r="J23" s="173"/>
      <c r="K23" s="173"/>
      <c r="L23" s="173"/>
      <c r="M23" s="173"/>
      <c r="N23" s="173"/>
      <c r="O23" s="173"/>
      <c r="P23" s="173"/>
      <c r="Q23" s="173"/>
      <c r="R23" s="173"/>
      <c r="S23" s="173"/>
      <c r="T23" s="173"/>
      <c r="U23" s="173"/>
    </row>
    <row r="24" spans="1:21">
      <c r="A24" s="174" t="s">
        <v>19</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20</v>
      </c>
      <c r="B25" s="175" t="s">
        <v>21</v>
      </c>
      <c r="C25" s="175" t="s">
        <v>18</v>
      </c>
      <c r="D25" s="175" t="s">
        <v>22</v>
      </c>
      <c r="E25" s="175" t="s">
        <v>7</v>
      </c>
      <c r="F25" s="175" t="s">
        <v>13</v>
      </c>
      <c r="G25" s="175" t="s">
        <v>16</v>
      </c>
      <c r="H25" s="175" t="s">
        <v>23</v>
      </c>
      <c r="I25" s="175" t="s">
        <v>24</v>
      </c>
      <c r="J25" s="175" t="s">
        <v>25</v>
      </c>
      <c r="K25" s="175" t="s">
        <v>26</v>
      </c>
      <c r="L25" s="175" t="s">
        <v>27</v>
      </c>
      <c r="M25" s="175" t="s">
        <v>28</v>
      </c>
      <c r="N25" s="175" t="s">
        <v>11</v>
      </c>
      <c r="O25" s="173"/>
      <c r="P25" s="173"/>
      <c r="Q25" s="173"/>
      <c r="R25" s="173"/>
      <c r="S25" s="173"/>
      <c r="T25" s="173"/>
      <c r="U25" s="173"/>
    </row>
    <row r="26" spans="1:21">
      <c r="A26" s="173" t="s">
        <v>1339</v>
      </c>
      <c r="B26" s="173">
        <v>1</v>
      </c>
      <c r="C26" s="173" t="s">
        <v>18</v>
      </c>
      <c r="D26" s="258" t="s">
        <v>2</v>
      </c>
      <c r="E26" s="173" t="s">
        <v>29</v>
      </c>
      <c r="F26" s="185" t="s">
        <v>14</v>
      </c>
      <c r="G26" s="173" t="s">
        <v>30</v>
      </c>
      <c r="H26" s="173">
        <v>1</v>
      </c>
      <c r="I26" s="173">
        <v>1</v>
      </c>
      <c r="J26" s="173" t="s">
        <v>31</v>
      </c>
      <c r="K26" s="173" t="s">
        <v>31</v>
      </c>
      <c r="L26" s="173" t="s">
        <v>31</v>
      </c>
      <c r="M26" s="173" t="s">
        <v>31</v>
      </c>
      <c r="N26" s="173"/>
      <c r="O26" s="173"/>
      <c r="P26" s="173"/>
      <c r="Q26" s="173"/>
      <c r="R26" s="173"/>
      <c r="S26" s="173"/>
      <c r="T26" s="173"/>
      <c r="U26" s="173"/>
    </row>
    <row r="27" spans="1:21">
      <c r="A27" s="185" t="s">
        <v>1056</v>
      </c>
      <c r="B27" s="173">
        <v>0.17</v>
      </c>
      <c r="C27" s="173" t="s">
        <v>37</v>
      </c>
      <c r="D27" s="173" t="s">
        <v>38</v>
      </c>
      <c r="E27" s="173" t="s">
        <v>29</v>
      </c>
      <c r="F27" s="173" t="s">
        <v>60</v>
      </c>
      <c r="G27" s="173" t="s">
        <v>33</v>
      </c>
      <c r="H27" s="173">
        <v>1</v>
      </c>
      <c r="I27" s="173">
        <f>B27</f>
        <v>0.17</v>
      </c>
      <c r="J27" s="173" t="s">
        <v>31</v>
      </c>
      <c r="K27" s="173" t="s">
        <v>31</v>
      </c>
      <c r="L27" s="173" t="s">
        <v>31</v>
      </c>
      <c r="M27" s="173" t="s">
        <v>31</v>
      </c>
      <c r="N27" s="173"/>
      <c r="O27" s="173"/>
      <c r="P27" s="173"/>
      <c r="Q27" s="173"/>
      <c r="R27" s="173"/>
      <c r="S27" s="173"/>
      <c r="T27" s="173"/>
      <c r="U27" s="173"/>
    </row>
    <row r="28" spans="1:21">
      <c r="A28" s="185" t="s">
        <v>1057</v>
      </c>
      <c r="B28" s="173">
        <f>R28</f>
        <v>0.112</v>
      </c>
      <c r="C28" s="173" t="s">
        <v>37</v>
      </c>
      <c r="D28" s="173" t="s">
        <v>38</v>
      </c>
      <c r="E28" s="173" t="s">
        <v>29</v>
      </c>
      <c r="F28" s="173" t="s">
        <v>60</v>
      </c>
      <c r="G28" s="173" t="s">
        <v>33</v>
      </c>
      <c r="H28" s="173">
        <v>2</v>
      </c>
      <c r="I28" s="173">
        <f>LN(B28)</f>
        <v>-2.1892564076870427</v>
      </c>
      <c r="J28" s="173">
        <v>3.7749172176353707E-2</v>
      </c>
      <c r="K28" s="173" t="s">
        <v>31</v>
      </c>
      <c r="L28" s="173" t="s">
        <v>31</v>
      </c>
      <c r="M28" s="173" t="s">
        <v>31</v>
      </c>
      <c r="N28" s="173"/>
      <c r="O28" s="242" t="s">
        <v>947</v>
      </c>
      <c r="P28" s="296">
        <v>112</v>
      </c>
      <c r="Q28" s="173" t="s">
        <v>337</v>
      </c>
      <c r="R28" s="173">
        <f>P28*0.001</f>
        <v>0.112</v>
      </c>
      <c r="S28" s="173"/>
      <c r="T28" s="173"/>
      <c r="U28" s="173"/>
    </row>
    <row r="29" spans="1:21">
      <c r="A29" s="185" t="s">
        <v>1058</v>
      </c>
      <c r="B29" s="173">
        <f>R29</f>
        <v>6.7000000000000002E-3</v>
      </c>
      <c r="C29" s="173" t="s">
        <v>37</v>
      </c>
      <c r="D29" s="173" t="s">
        <v>38</v>
      </c>
      <c r="E29" s="173" t="s">
        <v>29</v>
      </c>
      <c r="F29" s="173" t="s">
        <v>60</v>
      </c>
      <c r="G29" s="173" t="s">
        <v>33</v>
      </c>
      <c r="H29" s="173">
        <v>2</v>
      </c>
      <c r="I29" s="173">
        <f>LN(B29)</f>
        <v>-5.005647752585217</v>
      </c>
      <c r="J29" s="173">
        <v>3.7749172176353707E-2</v>
      </c>
      <c r="K29" s="173" t="s">
        <v>31</v>
      </c>
      <c r="L29" s="173" t="s">
        <v>31</v>
      </c>
      <c r="M29" s="173" t="s">
        <v>31</v>
      </c>
      <c r="N29" s="173"/>
      <c r="O29" s="242" t="s">
        <v>947</v>
      </c>
      <c r="P29" s="296">
        <v>6.7</v>
      </c>
      <c r="Q29" s="173" t="s">
        <v>337</v>
      </c>
      <c r="R29" s="173">
        <f t="shared" ref="R29:R30" si="0">P29*0.001</f>
        <v>6.7000000000000002E-3</v>
      </c>
      <c r="S29" s="173"/>
      <c r="T29" s="173"/>
      <c r="U29" s="173"/>
    </row>
    <row r="30" spans="1:21">
      <c r="A30" s="185" t="s">
        <v>1059</v>
      </c>
      <c r="B30" s="173">
        <f>R30</f>
        <v>5.1000000000000004E-2</v>
      </c>
      <c r="C30" s="173" t="s">
        <v>37</v>
      </c>
      <c r="D30" s="173" t="s">
        <v>38</v>
      </c>
      <c r="E30" s="173" t="s">
        <v>29</v>
      </c>
      <c r="F30" s="173" t="s">
        <v>60</v>
      </c>
      <c r="G30" s="173" t="s">
        <v>33</v>
      </c>
      <c r="H30" s="173">
        <v>2</v>
      </c>
      <c r="I30" s="173">
        <f>LN(B30)</f>
        <v>-2.9759296462578111</v>
      </c>
      <c r="J30" s="173">
        <v>3.7749172176353707E-2</v>
      </c>
      <c r="K30" s="173" t="s">
        <v>31</v>
      </c>
      <c r="L30" s="173" t="s">
        <v>31</v>
      </c>
      <c r="M30" s="173" t="s">
        <v>31</v>
      </c>
      <c r="N30" s="173"/>
      <c r="O30" s="242" t="s">
        <v>947</v>
      </c>
      <c r="P30" s="296">
        <v>51</v>
      </c>
      <c r="Q30" s="173" t="s">
        <v>337</v>
      </c>
      <c r="R30" s="173">
        <f t="shared" si="0"/>
        <v>5.1000000000000004E-2</v>
      </c>
      <c r="S30" s="173"/>
      <c r="T30" s="173"/>
      <c r="U30" s="173"/>
    </row>
    <row r="31" spans="1:21">
      <c r="A31" s="209" t="s">
        <v>5</v>
      </c>
      <c r="B31" s="210" t="s">
        <v>1338</v>
      </c>
      <c r="C31" s="211"/>
      <c r="D31" s="188"/>
      <c r="E31" s="188"/>
      <c r="F31" s="188"/>
      <c r="G31" s="188"/>
      <c r="H31" s="188"/>
      <c r="I31" s="188"/>
      <c r="J31" s="188"/>
      <c r="K31" s="188"/>
      <c r="L31" s="188"/>
      <c r="M31" s="188"/>
      <c r="N31" s="173"/>
      <c r="O31" s="173"/>
      <c r="P31" s="173"/>
      <c r="Q31" s="173"/>
      <c r="R31" s="173"/>
      <c r="S31" s="173"/>
      <c r="T31" s="173"/>
      <c r="U31" s="173"/>
    </row>
    <row r="32" spans="1:21">
      <c r="A32" s="177" t="s">
        <v>7</v>
      </c>
      <c r="B32" s="173" t="s">
        <v>566</v>
      </c>
      <c r="C32" s="176"/>
      <c r="D32" s="173"/>
      <c r="E32" s="173"/>
      <c r="F32" s="173"/>
      <c r="G32" s="173"/>
      <c r="H32" s="173"/>
      <c r="I32" s="173"/>
      <c r="J32" s="173"/>
      <c r="K32" s="173"/>
      <c r="L32" s="173"/>
      <c r="M32" s="173"/>
      <c r="N32" s="173"/>
      <c r="O32" s="173"/>
      <c r="P32" s="173"/>
      <c r="Q32" s="173"/>
      <c r="R32" s="173"/>
      <c r="S32" s="173"/>
      <c r="T32" s="173"/>
      <c r="U32" s="173"/>
    </row>
    <row r="33" spans="1:21">
      <c r="A33" s="177" t="s">
        <v>9</v>
      </c>
      <c r="B33" s="173" t="s">
        <v>1341</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11</v>
      </c>
      <c r="B34" s="179" t="s">
        <v>913</v>
      </c>
      <c r="C34" s="173"/>
      <c r="D34" s="173"/>
      <c r="E34" s="173"/>
      <c r="F34" s="173"/>
      <c r="G34" s="173"/>
      <c r="H34" s="173"/>
      <c r="I34" s="173"/>
      <c r="J34" s="173"/>
      <c r="K34" s="173"/>
      <c r="L34" s="173"/>
      <c r="M34" s="173"/>
      <c r="N34" s="173"/>
      <c r="O34" s="173"/>
      <c r="P34" s="173"/>
      <c r="Q34" s="173"/>
      <c r="R34" s="173"/>
      <c r="S34" s="173"/>
      <c r="T34" s="173"/>
      <c r="U34" s="173"/>
    </row>
    <row r="35" spans="1:21">
      <c r="A35" s="177" t="s">
        <v>13</v>
      </c>
      <c r="B35" s="173" t="s">
        <v>14</v>
      </c>
      <c r="C35" s="173"/>
      <c r="D35" s="173"/>
      <c r="E35" s="173"/>
      <c r="F35" s="173"/>
      <c r="G35" s="173"/>
      <c r="H35" s="173"/>
      <c r="I35" s="173"/>
      <c r="J35" s="173"/>
      <c r="K35" s="173"/>
      <c r="L35" s="173"/>
      <c r="M35" s="173"/>
      <c r="N35" s="173"/>
      <c r="O35" s="173"/>
      <c r="P35" s="173"/>
      <c r="Q35" s="173"/>
      <c r="R35" s="173"/>
      <c r="S35" s="173"/>
      <c r="T35" s="173"/>
      <c r="U35" s="173"/>
    </row>
    <row r="36" spans="1:21">
      <c r="A36" s="177" t="s">
        <v>15</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16</v>
      </c>
      <c r="B37" s="173" t="s">
        <v>17</v>
      </c>
      <c r="C37" s="173"/>
      <c r="D37" s="173"/>
      <c r="E37" s="173"/>
      <c r="F37" s="173"/>
      <c r="G37" s="173"/>
      <c r="H37" s="173"/>
      <c r="I37" s="173"/>
      <c r="J37" s="173"/>
      <c r="K37" s="173"/>
      <c r="L37" s="173"/>
      <c r="M37" s="173"/>
      <c r="N37" s="173"/>
      <c r="O37" s="173"/>
      <c r="P37" s="173"/>
      <c r="Q37" s="173"/>
      <c r="R37" s="173"/>
      <c r="S37" s="173"/>
      <c r="T37" s="173"/>
      <c r="U37" s="173"/>
    </row>
    <row r="38" spans="1:21">
      <c r="A38" s="177" t="s">
        <v>18</v>
      </c>
      <c r="B38" s="173" t="s">
        <v>18</v>
      </c>
      <c r="C38" s="173"/>
      <c r="D38" s="173"/>
      <c r="E38" s="173"/>
      <c r="F38" s="173"/>
      <c r="G38" s="173"/>
      <c r="H38" s="173"/>
      <c r="I38" s="173"/>
      <c r="J38" s="173"/>
      <c r="K38" s="173"/>
      <c r="L38" s="173"/>
      <c r="M38" s="173"/>
      <c r="N38" s="173"/>
      <c r="O38" s="173"/>
      <c r="P38" s="173"/>
      <c r="Q38" s="173"/>
      <c r="R38" s="173"/>
      <c r="S38" s="173"/>
      <c r="T38" s="173"/>
      <c r="U38" s="173"/>
    </row>
    <row r="39" spans="1:21">
      <c r="A39" s="174" t="s">
        <v>19</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20</v>
      </c>
      <c r="B40" s="175" t="s">
        <v>21</v>
      </c>
      <c r="C40" s="175" t="s">
        <v>18</v>
      </c>
      <c r="D40" s="175" t="s">
        <v>22</v>
      </c>
      <c r="E40" s="175" t="s">
        <v>7</v>
      </c>
      <c r="F40" s="175" t="s">
        <v>13</v>
      </c>
      <c r="G40" s="175" t="s">
        <v>16</v>
      </c>
      <c r="H40" s="175" t="s">
        <v>23</v>
      </c>
      <c r="I40" s="175" t="s">
        <v>24</v>
      </c>
      <c r="J40" s="175" t="s">
        <v>25</v>
      </c>
      <c r="K40" s="175" t="s">
        <v>26</v>
      </c>
      <c r="L40" s="175" t="s">
        <v>27</v>
      </c>
      <c r="M40" s="175" t="s">
        <v>28</v>
      </c>
      <c r="N40" s="175" t="s">
        <v>11</v>
      </c>
      <c r="O40" s="173"/>
      <c r="P40" s="173"/>
      <c r="Q40" s="173"/>
      <c r="R40" s="173"/>
      <c r="S40" s="173"/>
      <c r="T40" s="173"/>
      <c r="U40" s="173"/>
    </row>
    <row r="41" spans="1:21">
      <c r="A41" s="173" t="s">
        <v>1338</v>
      </c>
      <c r="B41" s="173">
        <v>1</v>
      </c>
      <c r="C41" s="173" t="s">
        <v>18</v>
      </c>
      <c r="D41" s="258" t="s">
        <v>2</v>
      </c>
      <c r="E41" s="173" t="s">
        <v>29</v>
      </c>
      <c r="F41" s="185" t="s">
        <v>14</v>
      </c>
      <c r="G41" s="173" t="s">
        <v>30</v>
      </c>
      <c r="H41" s="173">
        <v>1</v>
      </c>
      <c r="I41" s="173">
        <f t="shared" ref="I41:I43" si="1">B41</f>
        <v>1</v>
      </c>
      <c r="J41" s="173" t="s">
        <v>31</v>
      </c>
      <c r="K41" s="173" t="s">
        <v>31</v>
      </c>
      <c r="L41" s="173" t="s">
        <v>31</v>
      </c>
      <c r="M41" s="173" t="s">
        <v>31</v>
      </c>
      <c r="N41" s="173"/>
      <c r="O41" s="173"/>
      <c r="P41" s="173"/>
      <c r="Q41" s="173"/>
      <c r="R41" s="173"/>
      <c r="S41" s="173"/>
      <c r="T41" s="173"/>
      <c r="U41" s="173"/>
    </row>
    <row r="42" spans="1:21">
      <c r="A42" s="185" t="s">
        <v>1342</v>
      </c>
      <c r="B42" s="173">
        <v>1</v>
      </c>
      <c r="C42" s="173" t="s">
        <v>18</v>
      </c>
      <c r="D42" s="258" t="s">
        <v>2</v>
      </c>
      <c r="E42" s="173" t="s">
        <v>29</v>
      </c>
      <c r="F42" s="185" t="s">
        <v>14</v>
      </c>
      <c r="G42" s="173" t="s">
        <v>33</v>
      </c>
      <c r="H42" s="173">
        <v>1</v>
      </c>
      <c r="I42" s="173">
        <f t="shared" si="1"/>
        <v>1</v>
      </c>
      <c r="J42" s="173" t="s">
        <v>31</v>
      </c>
      <c r="K42" s="173" t="s">
        <v>31</v>
      </c>
      <c r="L42" s="173" t="s">
        <v>31</v>
      </c>
      <c r="M42" s="173" t="s">
        <v>31</v>
      </c>
      <c r="N42" s="173"/>
      <c r="O42" s="242" t="s">
        <v>337</v>
      </c>
      <c r="P42" s="264">
        <v>0.02</v>
      </c>
      <c r="Q42" s="173" t="s">
        <v>337</v>
      </c>
      <c r="R42" s="173">
        <f>P42</f>
        <v>0.02</v>
      </c>
      <c r="S42" s="173"/>
      <c r="T42" s="173"/>
      <c r="U42" s="173"/>
    </row>
    <row r="43" spans="1:21">
      <c r="A43" s="185" t="s">
        <v>1343</v>
      </c>
      <c r="B43" s="173">
        <v>1</v>
      </c>
      <c r="C43" s="173" t="s">
        <v>18</v>
      </c>
      <c r="D43" s="258" t="s">
        <v>2</v>
      </c>
      <c r="E43" s="173" t="s">
        <v>29</v>
      </c>
      <c r="F43" s="185" t="s">
        <v>14</v>
      </c>
      <c r="G43" s="173" t="s">
        <v>33</v>
      </c>
      <c r="H43" s="173">
        <v>1</v>
      </c>
      <c r="I43" s="173">
        <f t="shared" si="1"/>
        <v>1</v>
      </c>
      <c r="J43" s="173" t="s">
        <v>31</v>
      </c>
      <c r="K43" s="173" t="s">
        <v>31</v>
      </c>
      <c r="L43" s="173" t="s">
        <v>31</v>
      </c>
      <c r="M43" s="173" t="s">
        <v>31</v>
      </c>
      <c r="N43" s="173"/>
      <c r="O43" s="173"/>
      <c r="P43" s="173"/>
      <c r="Q43" s="173"/>
      <c r="R43" s="173"/>
      <c r="S43" s="173"/>
      <c r="T43" s="173"/>
      <c r="U43" s="173"/>
    </row>
    <row r="44" spans="1:21">
      <c r="A44" s="177" t="s">
        <v>168</v>
      </c>
      <c r="B44" s="191">
        <f>R44</f>
        <v>0.03</v>
      </c>
      <c r="C44" s="173" t="s">
        <v>41</v>
      </c>
      <c r="D44" s="173" t="s">
        <v>38</v>
      </c>
      <c r="E44" s="173" t="s">
        <v>29</v>
      </c>
      <c r="F44" s="185" t="s">
        <v>35</v>
      </c>
      <c r="G44" s="173" t="s">
        <v>33</v>
      </c>
      <c r="H44" s="173">
        <v>2</v>
      </c>
      <c r="I44" s="173">
        <f t="shared" ref="I44" si="2">LN(B44)</f>
        <v>-3.5065578973199818</v>
      </c>
      <c r="J44" s="173">
        <v>7.2284161474004766E-2</v>
      </c>
      <c r="K44" s="173" t="s">
        <v>31</v>
      </c>
      <c r="L44" s="173" t="s">
        <v>31</v>
      </c>
      <c r="M44" s="173" t="s">
        <v>31</v>
      </c>
      <c r="N44" s="173"/>
      <c r="O44" s="222" t="s">
        <v>332</v>
      </c>
      <c r="P44" s="233">
        <v>0.03</v>
      </c>
      <c r="Q44" s="173" t="s">
        <v>332</v>
      </c>
      <c r="R44" s="191">
        <f>P44</f>
        <v>0.03</v>
      </c>
      <c r="S44" s="173"/>
      <c r="T44" s="173"/>
      <c r="U44" s="173"/>
    </row>
    <row r="45" spans="1:21">
      <c r="A45" s="209" t="s">
        <v>5</v>
      </c>
      <c r="B45" s="210" t="s">
        <v>1342</v>
      </c>
      <c r="C45" s="211"/>
      <c r="D45" s="188"/>
      <c r="E45" s="188"/>
      <c r="F45" s="188"/>
      <c r="G45" s="188"/>
      <c r="H45" s="188"/>
      <c r="I45" s="188"/>
      <c r="J45" s="188"/>
      <c r="K45" s="188"/>
      <c r="L45" s="188"/>
      <c r="M45" s="188"/>
      <c r="N45" s="173"/>
      <c r="O45" s="173"/>
      <c r="P45" s="173"/>
      <c r="Q45" s="173"/>
      <c r="R45" s="173"/>
      <c r="S45" s="173"/>
      <c r="T45" s="173"/>
      <c r="U45" s="173"/>
    </row>
    <row r="46" spans="1:21">
      <c r="A46" s="177" t="s">
        <v>7</v>
      </c>
      <c r="B46" s="173" t="s">
        <v>566</v>
      </c>
      <c r="C46" s="176"/>
      <c r="D46" s="173"/>
      <c r="E46" s="173"/>
      <c r="F46" s="173"/>
      <c r="G46" s="173"/>
      <c r="H46" s="173"/>
      <c r="I46" s="173"/>
      <c r="J46" s="173"/>
      <c r="K46" s="173"/>
      <c r="L46" s="173"/>
      <c r="M46" s="173"/>
      <c r="N46" s="173"/>
      <c r="O46" s="173"/>
      <c r="P46" s="173"/>
      <c r="Q46" s="173"/>
      <c r="R46" s="173"/>
      <c r="S46" s="173"/>
      <c r="T46" s="173"/>
      <c r="U46" s="173"/>
    </row>
    <row r="47" spans="1:21">
      <c r="A47" s="177" t="s">
        <v>9</v>
      </c>
      <c r="B47" s="173" t="s">
        <v>1344</v>
      </c>
      <c r="C47" s="176"/>
      <c r="D47" s="173"/>
      <c r="E47" s="173"/>
      <c r="F47" s="173"/>
      <c r="G47" s="173"/>
      <c r="H47" s="173"/>
      <c r="I47" s="173"/>
      <c r="J47" s="173"/>
      <c r="K47" s="173"/>
      <c r="L47" s="173"/>
      <c r="M47" s="173"/>
      <c r="N47" s="173"/>
      <c r="O47" s="173"/>
      <c r="P47" s="173"/>
      <c r="Q47" s="173"/>
      <c r="R47" s="173"/>
      <c r="S47" s="173"/>
      <c r="T47" s="173"/>
      <c r="U47" s="173"/>
    </row>
    <row r="48" spans="1:21" ht="90">
      <c r="A48" s="177" t="s">
        <v>11</v>
      </c>
      <c r="B48" s="179" t="s">
        <v>913</v>
      </c>
      <c r="C48" s="173"/>
      <c r="D48" s="173"/>
      <c r="E48" s="173"/>
      <c r="F48" s="173"/>
      <c r="G48" s="173"/>
      <c r="H48" s="173"/>
      <c r="I48" s="173"/>
      <c r="J48" s="173"/>
      <c r="K48" s="173"/>
      <c r="L48" s="173"/>
      <c r="M48" s="173"/>
      <c r="N48" s="173"/>
      <c r="O48" s="173"/>
      <c r="P48" s="173"/>
      <c r="Q48" s="173"/>
      <c r="R48" s="173"/>
      <c r="S48" s="173"/>
      <c r="T48" s="173"/>
      <c r="U48" s="173"/>
    </row>
    <row r="49" spans="1:21">
      <c r="A49" s="177" t="s">
        <v>13</v>
      </c>
      <c r="B49" s="173" t="s">
        <v>14</v>
      </c>
      <c r="C49" s="173"/>
      <c r="D49" s="173"/>
      <c r="E49" s="173"/>
      <c r="F49" s="173"/>
      <c r="G49" s="173"/>
      <c r="H49" s="173"/>
      <c r="I49" s="173"/>
      <c r="J49" s="173"/>
      <c r="K49" s="173"/>
      <c r="L49" s="173"/>
      <c r="M49" s="173"/>
      <c r="N49" s="173"/>
      <c r="O49" s="173"/>
      <c r="P49" s="173"/>
      <c r="Q49" s="173"/>
      <c r="R49" s="173"/>
      <c r="S49" s="173"/>
      <c r="T49" s="173"/>
      <c r="U49" s="173"/>
    </row>
    <row r="50" spans="1:21">
      <c r="A50" s="177" t="s">
        <v>15</v>
      </c>
      <c r="B50" s="173">
        <v>1</v>
      </c>
      <c r="C50" s="173"/>
      <c r="D50" s="173"/>
      <c r="E50" s="173"/>
      <c r="F50" s="173"/>
      <c r="G50" s="173"/>
      <c r="H50" s="173"/>
      <c r="I50" s="173"/>
      <c r="J50" s="173"/>
      <c r="K50" s="173"/>
      <c r="L50" s="173"/>
      <c r="M50" s="173"/>
      <c r="N50" s="173"/>
      <c r="O50" s="173"/>
      <c r="P50" s="173"/>
      <c r="Q50" s="173"/>
      <c r="R50" s="173"/>
      <c r="S50" s="173"/>
      <c r="T50" s="173"/>
      <c r="U50" s="173"/>
    </row>
    <row r="51" spans="1:21">
      <c r="A51" s="177" t="s">
        <v>16</v>
      </c>
      <c r="B51" s="173" t="s">
        <v>17</v>
      </c>
      <c r="C51" s="173"/>
      <c r="D51" s="173"/>
      <c r="E51" s="173"/>
      <c r="F51" s="173"/>
      <c r="G51" s="173"/>
      <c r="H51" s="173"/>
      <c r="I51" s="173"/>
      <c r="J51" s="173"/>
      <c r="K51" s="173"/>
      <c r="L51" s="173"/>
      <c r="M51" s="173"/>
      <c r="N51" s="173"/>
      <c r="O51" s="173"/>
      <c r="P51" s="173"/>
      <c r="Q51" s="173"/>
      <c r="R51" s="173"/>
      <c r="S51" s="173"/>
      <c r="T51" s="173"/>
      <c r="U51" s="173"/>
    </row>
    <row r="52" spans="1:21">
      <c r="A52" s="177" t="s">
        <v>18</v>
      </c>
      <c r="B52" s="173" t="s">
        <v>18</v>
      </c>
      <c r="C52" s="173"/>
      <c r="D52" s="173"/>
      <c r="E52" s="173"/>
      <c r="F52" s="173"/>
      <c r="G52" s="173"/>
      <c r="H52" s="173"/>
      <c r="I52" s="173"/>
      <c r="J52" s="173"/>
      <c r="K52" s="173"/>
      <c r="L52" s="173"/>
      <c r="M52" s="173"/>
      <c r="N52" s="173"/>
      <c r="O52" s="173"/>
      <c r="P52" s="173"/>
      <c r="Q52" s="173"/>
      <c r="R52" s="173"/>
      <c r="S52" s="173"/>
      <c r="T52" s="173"/>
      <c r="U52" s="173"/>
    </row>
    <row r="53" spans="1:21">
      <c r="A53" s="174" t="s">
        <v>19</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20</v>
      </c>
      <c r="B54" s="175" t="s">
        <v>21</v>
      </c>
      <c r="C54" s="175" t="s">
        <v>18</v>
      </c>
      <c r="D54" s="175" t="s">
        <v>22</v>
      </c>
      <c r="E54" s="175" t="s">
        <v>7</v>
      </c>
      <c r="F54" s="175" t="s">
        <v>13</v>
      </c>
      <c r="G54" s="175" t="s">
        <v>16</v>
      </c>
      <c r="H54" s="175" t="s">
        <v>23</v>
      </c>
      <c r="I54" s="175" t="s">
        <v>24</v>
      </c>
      <c r="J54" s="175" t="s">
        <v>25</v>
      </c>
      <c r="K54" s="175" t="s">
        <v>26</v>
      </c>
      <c r="L54" s="175" t="s">
        <v>27</v>
      </c>
      <c r="M54" s="175" t="s">
        <v>28</v>
      </c>
      <c r="N54" s="175" t="s">
        <v>11</v>
      </c>
      <c r="O54" s="173"/>
      <c r="P54" s="173"/>
      <c r="Q54" s="173"/>
      <c r="R54" s="173"/>
      <c r="S54" s="173"/>
      <c r="T54" s="173"/>
      <c r="U54" s="173"/>
    </row>
    <row r="55" spans="1:21">
      <c r="A55" s="185" t="s">
        <v>1342</v>
      </c>
      <c r="B55" s="173">
        <v>1</v>
      </c>
      <c r="C55" s="173" t="s">
        <v>18</v>
      </c>
      <c r="D55" s="258" t="s">
        <v>2</v>
      </c>
      <c r="E55" s="173" t="s">
        <v>29</v>
      </c>
      <c r="F55" s="185" t="s">
        <v>14</v>
      </c>
      <c r="G55" s="173" t="s">
        <v>30</v>
      </c>
      <c r="H55" s="173">
        <v>1</v>
      </c>
      <c r="I55" s="173">
        <f>B55</f>
        <v>1</v>
      </c>
      <c r="J55" s="173" t="s">
        <v>31</v>
      </c>
      <c r="K55" s="173" t="s">
        <v>31</v>
      </c>
      <c r="L55" s="173" t="s">
        <v>31</v>
      </c>
      <c r="M55" s="173" t="s">
        <v>31</v>
      </c>
      <c r="N55" s="173"/>
      <c r="O55" s="242" t="s">
        <v>337</v>
      </c>
      <c r="P55" s="264">
        <v>0.02</v>
      </c>
      <c r="Q55" s="173" t="s">
        <v>337</v>
      </c>
      <c r="R55" s="173">
        <f>P55</f>
        <v>0.02</v>
      </c>
      <c r="S55" s="173"/>
      <c r="T55" s="173"/>
      <c r="U55" s="173"/>
    </row>
    <row r="56" spans="1:21">
      <c r="A56" s="185" t="s">
        <v>533</v>
      </c>
      <c r="B56" s="231">
        <f>R56</f>
        <v>0.06</v>
      </c>
      <c r="C56" s="173" t="s">
        <v>37</v>
      </c>
      <c r="D56" s="173" t="s">
        <v>38</v>
      </c>
      <c r="E56" s="173" t="s">
        <v>29</v>
      </c>
      <c r="F56" s="185" t="s">
        <v>35</v>
      </c>
      <c r="G56" s="173" t="s">
        <v>33</v>
      </c>
      <c r="H56" s="173">
        <v>2</v>
      </c>
      <c r="I56" s="173">
        <f>LN(B56)</f>
        <v>-2.8134107167600364</v>
      </c>
      <c r="J56" s="173">
        <v>2.8722813232690055E-2</v>
      </c>
      <c r="K56" s="173" t="s">
        <v>31</v>
      </c>
      <c r="L56" s="173" t="s">
        <v>31</v>
      </c>
      <c r="M56" s="173" t="s">
        <v>31</v>
      </c>
      <c r="N56" s="173"/>
      <c r="O56" s="222" t="s">
        <v>337</v>
      </c>
      <c r="P56" s="234">
        <v>0.06</v>
      </c>
      <c r="Q56" s="173" t="s">
        <v>337</v>
      </c>
      <c r="R56" s="231">
        <f>P56</f>
        <v>0.06</v>
      </c>
      <c r="S56" s="173"/>
      <c r="T56" s="173"/>
      <c r="U56" s="173"/>
    </row>
    <row r="57" spans="1:21">
      <c r="A57" s="177" t="s">
        <v>168</v>
      </c>
      <c r="B57" s="184">
        <f>R57</f>
        <v>1.7999999999999999E-2</v>
      </c>
      <c r="C57" s="173" t="s">
        <v>41</v>
      </c>
      <c r="D57" s="173" t="s">
        <v>38</v>
      </c>
      <c r="E57" s="173" t="s">
        <v>29</v>
      </c>
      <c r="F57" s="185" t="s">
        <v>35</v>
      </c>
      <c r="G57" s="173" t="s">
        <v>33</v>
      </c>
      <c r="H57" s="173">
        <v>2</v>
      </c>
      <c r="I57" s="173">
        <f t="shared" ref="I57" si="3">LN(B57)</f>
        <v>-4.0173835210859723</v>
      </c>
      <c r="J57" s="173">
        <v>7.2284161474004766E-2</v>
      </c>
      <c r="K57" s="173" t="s">
        <v>31</v>
      </c>
      <c r="L57" s="173" t="s">
        <v>31</v>
      </c>
      <c r="M57" s="173" t="s">
        <v>31</v>
      </c>
      <c r="N57" s="173"/>
      <c r="O57" s="222" t="s">
        <v>332</v>
      </c>
      <c r="P57" s="297">
        <v>1.7999999999999999E-2</v>
      </c>
      <c r="Q57" s="173" t="s">
        <v>332</v>
      </c>
      <c r="R57" s="184">
        <f>P57</f>
        <v>1.7999999999999999E-2</v>
      </c>
      <c r="S57" s="173"/>
      <c r="T57" s="173"/>
      <c r="U57" s="173"/>
    </row>
    <row r="58" spans="1:21">
      <c r="A58" s="209" t="s">
        <v>5</v>
      </c>
      <c r="B58" s="255" t="s">
        <v>1343</v>
      </c>
      <c r="C58" s="211"/>
      <c r="D58" s="188"/>
      <c r="E58" s="188"/>
      <c r="F58" s="188"/>
      <c r="G58" s="188"/>
      <c r="H58" s="188"/>
      <c r="I58" s="188"/>
      <c r="J58" s="188"/>
      <c r="K58" s="188"/>
      <c r="L58" s="188"/>
      <c r="M58" s="188"/>
      <c r="N58" s="173"/>
      <c r="O58" s="173"/>
      <c r="P58" s="173"/>
      <c r="Q58" s="173"/>
      <c r="R58" s="173"/>
      <c r="S58" s="173"/>
      <c r="T58" s="173"/>
      <c r="U58" s="173"/>
    </row>
    <row r="59" spans="1:21">
      <c r="A59" s="177" t="s">
        <v>7</v>
      </c>
      <c r="B59" s="173" t="s">
        <v>566</v>
      </c>
      <c r="C59" s="176"/>
      <c r="D59" s="173"/>
      <c r="E59" s="173"/>
      <c r="F59" s="173"/>
      <c r="G59" s="173"/>
      <c r="H59" s="173"/>
      <c r="I59" s="173"/>
      <c r="J59" s="173"/>
      <c r="K59" s="173"/>
      <c r="L59" s="173"/>
      <c r="M59" s="173"/>
      <c r="N59" s="173"/>
      <c r="O59" s="173"/>
      <c r="P59" s="173"/>
      <c r="Q59" s="173"/>
      <c r="R59" s="173"/>
      <c r="S59" s="173"/>
      <c r="T59" s="173"/>
      <c r="U59" s="173"/>
    </row>
    <row r="60" spans="1:21">
      <c r="A60" s="276" t="s">
        <v>9</v>
      </c>
      <c r="B60" s="173" t="s">
        <v>1345</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11</v>
      </c>
      <c r="B61" s="179" t="s">
        <v>913</v>
      </c>
      <c r="C61" s="173"/>
      <c r="D61" s="173"/>
      <c r="E61" s="173"/>
      <c r="F61" s="173"/>
      <c r="G61" s="173"/>
      <c r="H61" s="173"/>
      <c r="I61" s="173"/>
      <c r="J61" s="173"/>
      <c r="K61" s="173"/>
      <c r="L61" s="173"/>
      <c r="M61" s="173"/>
      <c r="N61" s="173"/>
      <c r="O61" s="173"/>
      <c r="P61" s="173"/>
      <c r="Q61" s="173"/>
      <c r="R61" s="173"/>
      <c r="S61" s="173"/>
      <c r="T61" s="173"/>
      <c r="U61" s="173"/>
    </row>
    <row r="62" spans="1:21">
      <c r="A62" s="177" t="s">
        <v>13</v>
      </c>
      <c r="B62" s="173" t="s">
        <v>14</v>
      </c>
      <c r="C62" s="173"/>
      <c r="D62" s="173"/>
      <c r="E62" s="173"/>
      <c r="F62" s="173"/>
      <c r="G62" s="173"/>
      <c r="H62" s="173"/>
      <c r="I62" s="173"/>
      <c r="J62" s="173"/>
      <c r="K62" s="173"/>
      <c r="L62" s="173"/>
      <c r="M62" s="173"/>
      <c r="N62" s="173"/>
      <c r="O62" s="173"/>
      <c r="P62" s="173"/>
      <c r="Q62" s="173"/>
      <c r="R62" s="173"/>
      <c r="S62" s="173"/>
      <c r="T62" s="173"/>
      <c r="U62" s="173"/>
    </row>
    <row r="63" spans="1:21">
      <c r="A63" s="177" t="s">
        <v>15</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16</v>
      </c>
      <c r="B64" s="173" t="s">
        <v>17</v>
      </c>
      <c r="C64" s="173"/>
      <c r="D64" s="173"/>
      <c r="E64" s="173"/>
      <c r="F64" s="173"/>
      <c r="G64" s="173"/>
      <c r="H64" s="173"/>
      <c r="I64" s="173"/>
      <c r="J64" s="173"/>
      <c r="K64" s="173"/>
      <c r="L64" s="173"/>
      <c r="M64" s="173"/>
      <c r="N64" s="173"/>
      <c r="O64" s="173"/>
      <c r="P64" s="173"/>
      <c r="Q64" s="173"/>
      <c r="R64" s="173"/>
      <c r="S64" s="173"/>
      <c r="T64" s="173"/>
      <c r="U64" s="173"/>
    </row>
    <row r="65" spans="1:21">
      <c r="A65" s="177" t="s">
        <v>18</v>
      </c>
      <c r="B65" s="173" t="s">
        <v>18</v>
      </c>
      <c r="C65" s="173"/>
      <c r="D65" s="173"/>
      <c r="E65" s="173"/>
      <c r="F65" s="173"/>
      <c r="G65" s="173"/>
      <c r="H65" s="173"/>
      <c r="I65" s="173"/>
      <c r="J65" s="173"/>
      <c r="K65" s="173"/>
      <c r="L65" s="173"/>
      <c r="M65" s="173"/>
      <c r="N65" s="173"/>
      <c r="O65" s="173"/>
      <c r="P65" s="173"/>
      <c r="Q65" s="173"/>
      <c r="R65" s="173"/>
      <c r="S65" s="173"/>
      <c r="T65" s="173"/>
      <c r="U65" s="173"/>
    </row>
    <row r="66" spans="1:21">
      <c r="A66" s="174" t="s">
        <v>19</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20</v>
      </c>
      <c r="B67" s="175" t="s">
        <v>21</v>
      </c>
      <c r="C67" s="175" t="s">
        <v>18</v>
      </c>
      <c r="D67" s="175" t="s">
        <v>22</v>
      </c>
      <c r="E67" s="175" t="s">
        <v>7</v>
      </c>
      <c r="F67" s="175" t="s">
        <v>13</v>
      </c>
      <c r="G67" s="175" t="s">
        <v>16</v>
      </c>
      <c r="H67" s="175" t="s">
        <v>23</v>
      </c>
      <c r="I67" s="175" t="s">
        <v>24</v>
      </c>
      <c r="J67" s="175" t="s">
        <v>25</v>
      </c>
      <c r="K67" s="175" t="s">
        <v>26</v>
      </c>
      <c r="L67" s="175" t="s">
        <v>27</v>
      </c>
      <c r="M67" s="175" t="s">
        <v>28</v>
      </c>
      <c r="N67" s="175" t="s">
        <v>11</v>
      </c>
      <c r="O67" s="173"/>
      <c r="P67" s="173"/>
      <c r="Q67" s="173"/>
      <c r="R67" s="173"/>
      <c r="S67" s="173"/>
      <c r="T67" s="173"/>
      <c r="U67" s="173"/>
    </row>
    <row r="68" spans="1:21">
      <c r="A68" s="185" t="s">
        <v>1343</v>
      </c>
      <c r="B68" s="173">
        <v>1</v>
      </c>
      <c r="C68" s="173" t="s">
        <v>18</v>
      </c>
      <c r="D68" s="258" t="s">
        <v>2</v>
      </c>
      <c r="E68" s="173" t="s">
        <v>29</v>
      </c>
      <c r="F68" s="185" t="s">
        <v>14</v>
      </c>
      <c r="G68" s="173" t="s">
        <v>30</v>
      </c>
      <c r="H68" s="173">
        <v>1</v>
      </c>
      <c r="I68" s="173">
        <f t="shared" ref="I68:I70" si="4">B68</f>
        <v>1</v>
      </c>
      <c r="J68" s="173" t="s">
        <v>31</v>
      </c>
      <c r="K68" s="173" t="s">
        <v>31</v>
      </c>
      <c r="L68" s="173" t="s">
        <v>31</v>
      </c>
      <c r="M68" s="173" t="s">
        <v>31</v>
      </c>
      <c r="N68" s="173"/>
      <c r="O68" s="173"/>
      <c r="P68" s="173"/>
      <c r="Q68" s="173"/>
      <c r="R68" s="173"/>
      <c r="S68" s="173"/>
      <c r="T68" s="173"/>
      <c r="U68" s="173"/>
    </row>
    <row r="69" spans="1:21">
      <c r="A69" s="185" t="s">
        <v>1346</v>
      </c>
      <c r="B69" s="231">
        <v>0.03</v>
      </c>
      <c r="C69" s="173" t="s">
        <v>37</v>
      </c>
      <c r="D69" s="258" t="s">
        <v>2</v>
      </c>
      <c r="E69" s="173" t="s">
        <v>29</v>
      </c>
      <c r="F69" s="185" t="s">
        <v>14</v>
      </c>
      <c r="G69" s="173" t="s">
        <v>33</v>
      </c>
      <c r="H69" s="173">
        <v>1</v>
      </c>
      <c r="I69" s="173">
        <f t="shared" si="4"/>
        <v>0.03</v>
      </c>
      <c r="J69" s="173" t="s">
        <v>31</v>
      </c>
      <c r="K69" s="173" t="s">
        <v>31</v>
      </c>
      <c r="L69" s="173" t="s">
        <v>31</v>
      </c>
      <c r="M69" s="173" t="s">
        <v>31</v>
      </c>
      <c r="N69" s="173"/>
      <c r="O69" s="222"/>
      <c r="P69" s="234"/>
      <c r="Q69" s="173" t="s">
        <v>337</v>
      </c>
      <c r="R69" s="231">
        <v>0.01</v>
      </c>
      <c r="S69" s="173"/>
      <c r="T69" s="173"/>
      <c r="U69" s="173"/>
    </row>
    <row r="70" spans="1:21">
      <c r="A70" s="185" t="s">
        <v>1347</v>
      </c>
      <c r="B70" s="184">
        <v>1</v>
      </c>
      <c r="C70" s="173" t="s">
        <v>18</v>
      </c>
      <c r="D70" s="258" t="s">
        <v>2</v>
      </c>
      <c r="E70" s="173" t="s">
        <v>29</v>
      </c>
      <c r="F70" s="185" t="s">
        <v>14</v>
      </c>
      <c r="G70" s="173" t="s">
        <v>33</v>
      </c>
      <c r="H70" s="173">
        <v>1</v>
      </c>
      <c r="I70" s="173">
        <f t="shared" si="4"/>
        <v>1</v>
      </c>
      <c r="J70" s="173" t="s">
        <v>31</v>
      </c>
      <c r="K70" s="173" t="s">
        <v>31</v>
      </c>
      <c r="L70" s="173" t="s">
        <v>31</v>
      </c>
      <c r="M70" s="173" t="s">
        <v>31</v>
      </c>
      <c r="N70" s="173"/>
      <c r="O70" s="222"/>
      <c r="P70" s="297"/>
      <c r="Q70" s="173"/>
      <c r="R70" s="184"/>
      <c r="S70" s="173"/>
      <c r="T70" s="173"/>
      <c r="U70" s="173"/>
    </row>
    <row r="71" spans="1:21">
      <c r="A71" s="177" t="s">
        <v>168</v>
      </c>
      <c r="B71" s="184">
        <f>R71</f>
        <v>0.21</v>
      </c>
      <c r="C71" s="173" t="s">
        <v>41</v>
      </c>
      <c r="D71" s="173" t="s">
        <v>38</v>
      </c>
      <c r="E71" s="173" t="s">
        <v>29</v>
      </c>
      <c r="F71" s="185" t="s">
        <v>35</v>
      </c>
      <c r="G71" s="173" t="s">
        <v>33</v>
      </c>
      <c r="H71" s="173">
        <v>2</v>
      </c>
      <c r="I71" s="173">
        <f t="shared" ref="I71" si="5">LN(B71)</f>
        <v>-1.5606477482646683</v>
      </c>
      <c r="J71" s="173">
        <v>7.2284161474004766E-2</v>
      </c>
      <c r="K71" s="173" t="s">
        <v>31</v>
      </c>
      <c r="L71" s="173" t="s">
        <v>31</v>
      </c>
      <c r="M71" s="173" t="s">
        <v>31</v>
      </c>
      <c r="N71" s="173"/>
      <c r="O71" s="222" t="s">
        <v>332</v>
      </c>
      <c r="P71" s="297">
        <v>0.21</v>
      </c>
      <c r="Q71" s="173" t="s">
        <v>332</v>
      </c>
      <c r="R71" s="184">
        <f>P71</f>
        <v>0.21</v>
      </c>
      <c r="S71" s="173"/>
      <c r="T71" s="173"/>
      <c r="U71" s="173"/>
    </row>
    <row r="72" spans="1:21">
      <c r="A72" s="209" t="s">
        <v>5</v>
      </c>
      <c r="B72" s="255" t="s">
        <v>1346</v>
      </c>
      <c r="C72" s="211"/>
      <c r="D72" s="188"/>
      <c r="E72" s="188"/>
      <c r="F72" s="188"/>
      <c r="G72" s="188"/>
      <c r="H72" s="188"/>
      <c r="I72" s="188"/>
      <c r="J72" s="188"/>
      <c r="K72" s="188"/>
      <c r="L72" s="188"/>
      <c r="M72" s="188"/>
      <c r="N72" s="173"/>
      <c r="O72" s="173"/>
      <c r="P72" s="173"/>
      <c r="Q72" s="173"/>
      <c r="R72" s="173"/>
      <c r="S72" s="173"/>
      <c r="T72" s="173"/>
      <c r="U72" s="173"/>
    </row>
    <row r="73" spans="1:21">
      <c r="A73" s="177" t="s">
        <v>7</v>
      </c>
      <c r="B73" s="173" t="s">
        <v>566</v>
      </c>
      <c r="C73" s="176"/>
      <c r="D73" s="173"/>
      <c r="E73" s="173"/>
      <c r="F73" s="173"/>
      <c r="G73" s="173"/>
      <c r="H73" s="173"/>
      <c r="I73" s="173"/>
      <c r="J73" s="173"/>
      <c r="K73" s="173"/>
      <c r="L73" s="173"/>
      <c r="M73" s="173"/>
      <c r="N73" s="173"/>
      <c r="O73" s="173"/>
      <c r="P73" s="173"/>
      <c r="Q73" s="173"/>
      <c r="R73" s="173"/>
      <c r="S73" s="173"/>
      <c r="T73" s="173"/>
      <c r="U73" s="173"/>
    </row>
    <row r="74" spans="1:21">
      <c r="A74" s="276" t="s">
        <v>9</v>
      </c>
      <c r="B74" s="173" t="s">
        <v>1348</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11</v>
      </c>
      <c r="B75" s="179" t="s">
        <v>913</v>
      </c>
      <c r="C75" s="173"/>
      <c r="D75" s="173"/>
      <c r="E75" s="173"/>
      <c r="F75" s="173"/>
      <c r="G75" s="173"/>
      <c r="H75" s="173"/>
      <c r="I75" s="173"/>
      <c r="J75" s="173"/>
      <c r="K75" s="173"/>
      <c r="L75" s="173"/>
      <c r="M75" s="173"/>
      <c r="N75" s="173"/>
      <c r="O75" s="173"/>
      <c r="P75" s="173"/>
      <c r="Q75" s="173"/>
      <c r="R75" s="173"/>
      <c r="S75" s="173"/>
      <c r="T75" s="173"/>
      <c r="U75" s="173"/>
    </row>
    <row r="76" spans="1:21">
      <c r="A76" s="177" t="s">
        <v>13</v>
      </c>
      <c r="B76" s="173" t="s">
        <v>14</v>
      </c>
      <c r="C76" s="173"/>
      <c r="D76" s="173"/>
      <c r="E76" s="173"/>
      <c r="F76" s="173"/>
      <c r="G76" s="173"/>
      <c r="H76" s="173"/>
      <c r="I76" s="173"/>
      <c r="J76" s="173"/>
      <c r="K76" s="173"/>
      <c r="L76" s="173"/>
      <c r="M76" s="173"/>
      <c r="N76" s="173"/>
      <c r="O76" s="173"/>
      <c r="P76" s="173"/>
      <c r="Q76" s="173"/>
      <c r="R76" s="173"/>
      <c r="S76" s="173"/>
      <c r="T76" s="173"/>
      <c r="U76" s="173"/>
    </row>
    <row r="77" spans="1:21">
      <c r="A77" s="177" t="s">
        <v>15</v>
      </c>
      <c r="B77" s="173">
        <v>0.03</v>
      </c>
      <c r="C77" s="173"/>
      <c r="D77" s="173"/>
      <c r="E77" s="173"/>
      <c r="F77" s="173"/>
      <c r="G77" s="173"/>
      <c r="H77" s="173"/>
      <c r="I77" s="173"/>
      <c r="J77" s="173"/>
      <c r="K77" s="173"/>
      <c r="L77" s="173"/>
      <c r="M77" s="173"/>
      <c r="N77" s="173"/>
      <c r="O77" s="173"/>
      <c r="P77" s="173"/>
      <c r="Q77" s="173"/>
      <c r="R77" s="173"/>
      <c r="S77" s="173"/>
      <c r="T77" s="173"/>
      <c r="U77" s="173"/>
    </row>
    <row r="78" spans="1:21">
      <c r="A78" s="177" t="s">
        <v>16</v>
      </c>
      <c r="B78" s="173" t="s">
        <v>17</v>
      </c>
      <c r="C78" s="173"/>
      <c r="D78" s="173"/>
      <c r="E78" s="173"/>
      <c r="F78" s="173"/>
      <c r="G78" s="173"/>
      <c r="H78" s="173"/>
      <c r="I78" s="173"/>
      <c r="J78" s="173"/>
      <c r="K78" s="173"/>
      <c r="L78" s="173"/>
      <c r="M78" s="173"/>
      <c r="N78" s="173"/>
      <c r="O78" s="173"/>
      <c r="P78" s="173"/>
      <c r="Q78" s="173"/>
      <c r="R78" s="173"/>
      <c r="S78" s="173"/>
      <c r="T78" s="173"/>
      <c r="U78" s="173"/>
    </row>
    <row r="79" spans="1:21">
      <c r="A79" s="177" t="s">
        <v>18</v>
      </c>
      <c r="B79" s="173" t="s">
        <v>37</v>
      </c>
      <c r="C79" s="173"/>
      <c r="D79" s="173"/>
      <c r="E79" s="173"/>
      <c r="F79" s="173"/>
      <c r="G79" s="173"/>
      <c r="H79" s="173"/>
      <c r="I79" s="173"/>
      <c r="J79" s="173"/>
      <c r="K79" s="173"/>
      <c r="L79" s="173"/>
      <c r="M79" s="173"/>
      <c r="N79" s="173"/>
      <c r="O79" s="173"/>
      <c r="P79" s="173"/>
      <c r="Q79" s="173"/>
      <c r="R79" s="173"/>
      <c r="S79" s="173"/>
      <c r="T79" s="173"/>
      <c r="U79" s="173"/>
    </row>
    <row r="80" spans="1:21">
      <c r="A80" s="174" t="s">
        <v>19</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20</v>
      </c>
      <c r="B81" s="175" t="s">
        <v>21</v>
      </c>
      <c r="C81" s="175" t="s">
        <v>18</v>
      </c>
      <c r="D81" s="175" t="s">
        <v>22</v>
      </c>
      <c r="E81" s="175" t="s">
        <v>7</v>
      </c>
      <c r="F81" s="175" t="s">
        <v>13</v>
      </c>
      <c r="G81" s="175" t="s">
        <v>16</v>
      </c>
      <c r="H81" s="175" t="s">
        <v>23</v>
      </c>
      <c r="I81" s="175" t="s">
        <v>24</v>
      </c>
      <c r="J81" s="175" t="s">
        <v>25</v>
      </c>
      <c r="K81" s="175" t="s">
        <v>26</v>
      </c>
      <c r="L81" s="175" t="s">
        <v>27</v>
      </c>
      <c r="M81" s="175" t="s">
        <v>28</v>
      </c>
      <c r="N81" s="175" t="s">
        <v>11</v>
      </c>
      <c r="O81" s="173"/>
      <c r="P81" s="173"/>
      <c r="Q81" s="173"/>
      <c r="R81" s="173"/>
      <c r="S81" s="173"/>
      <c r="T81" s="173"/>
      <c r="U81" s="173"/>
    </row>
    <row r="82" spans="1:21">
      <c r="A82" s="185" t="s">
        <v>1346</v>
      </c>
      <c r="B82" s="191">
        <v>0.03</v>
      </c>
      <c r="C82" s="173" t="s">
        <v>37</v>
      </c>
      <c r="D82" s="258" t="s">
        <v>2</v>
      </c>
      <c r="E82" s="173" t="s">
        <v>29</v>
      </c>
      <c r="F82" s="185" t="s">
        <v>14</v>
      </c>
      <c r="G82" s="173" t="s">
        <v>30</v>
      </c>
      <c r="H82" s="173">
        <v>1</v>
      </c>
      <c r="I82" s="173">
        <f t="shared" ref="I82:I84" si="6">B82</f>
        <v>0.03</v>
      </c>
      <c r="J82" s="173" t="s">
        <v>31</v>
      </c>
      <c r="K82" s="173" t="s">
        <v>31</v>
      </c>
      <c r="L82" s="173" t="s">
        <v>31</v>
      </c>
      <c r="M82" s="173" t="s">
        <v>31</v>
      </c>
      <c r="N82" s="173"/>
      <c r="O82" s="222"/>
      <c r="P82" s="234"/>
      <c r="Q82" s="173" t="s">
        <v>337</v>
      </c>
      <c r="R82" s="231">
        <v>0.01</v>
      </c>
      <c r="S82" s="173"/>
      <c r="T82" s="173"/>
      <c r="U82" s="173"/>
    </row>
    <row r="83" spans="1:21">
      <c r="A83" s="185" t="s">
        <v>918</v>
      </c>
      <c r="B83" s="271">
        <v>0.03</v>
      </c>
      <c r="C83" s="173" t="s">
        <v>37</v>
      </c>
      <c r="D83" s="173" t="s">
        <v>38</v>
      </c>
      <c r="E83" s="173" t="s">
        <v>29</v>
      </c>
      <c r="F83" s="185" t="s">
        <v>60</v>
      </c>
      <c r="G83" s="173" t="s">
        <v>33</v>
      </c>
      <c r="H83" s="173">
        <v>1</v>
      </c>
      <c r="I83" s="173">
        <f t="shared" si="6"/>
        <v>0.03</v>
      </c>
      <c r="J83" s="173" t="s">
        <v>31</v>
      </c>
      <c r="K83" s="173" t="s">
        <v>31</v>
      </c>
      <c r="L83" s="173" t="s">
        <v>31</v>
      </c>
      <c r="M83" s="173" t="s">
        <v>31</v>
      </c>
      <c r="N83" s="173"/>
      <c r="O83" s="222"/>
      <c r="P83" s="297"/>
      <c r="Q83" s="173"/>
      <c r="R83" s="184"/>
      <c r="S83" s="173"/>
      <c r="T83" s="173"/>
      <c r="U83" s="173"/>
    </row>
    <row r="84" spans="1:21">
      <c r="A84" s="185" t="s">
        <v>146</v>
      </c>
      <c r="B84" s="173">
        <v>0.03</v>
      </c>
      <c r="C84" s="173" t="s">
        <v>37</v>
      </c>
      <c r="D84" s="173" t="s">
        <v>38</v>
      </c>
      <c r="E84" s="173" t="s">
        <v>29</v>
      </c>
      <c r="F84" s="173" t="s">
        <v>60</v>
      </c>
      <c r="G84" s="173" t="s">
        <v>33</v>
      </c>
      <c r="H84" s="173">
        <v>1</v>
      </c>
      <c r="I84" s="173">
        <f t="shared" si="6"/>
        <v>0.03</v>
      </c>
      <c r="J84" s="173" t="s">
        <v>31</v>
      </c>
      <c r="K84" s="173" t="s">
        <v>31</v>
      </c>
      <c r="L84" s="173" t="s">
        <v>31</v>
      </c>
      <c r="M84" s="173" t="s">
        <v>31</v>
      </c>
      <c r="N84" s="173"/>
      <c r="O84" s="173"/>
      <c r="P84" s="173"/>
      <c r="Q84" s="173"/>
      <c r="R84" s="173"/>
      <c r="S84" s="173"/>
      <c r="T84" s="173"/>
      <c r="U84" s="173"/>
    </row>
    <row r="85" spans="1:21" s="42" customFormat="1">
      <c r="A85" s="209" t="s">
        <v>5</v>
      </c>
      <c r="B85" s="255" t="s">
        <v>1347</v>
      </c>
      <c r="C85" s="211"/>
      <c r="D85" s="188"/>
      <c r="E85" s="188"/>
      <c r="F85" s="188"/>
      <c r="G85" s="188"/>
      <c r="H85" s="188"/>
      <c r="I85" s="188"/>
      <c r="J85" s="188"/>
      <c r="K85" s="188"/>
      <c r="L85" s="188"/>
      <c r="M85" s="188"/>
      <c r="N85" s="188"/>
      <c r="O85" s="188"/>
      <c r="P85" s="188"/>
      <c r="Q85" s="188"/>
      <c r="R85" s="188"/>
      <c r="S85" s="188"/>
      <c r="T85" s="188"/>
      <c r="U85" s="188"/>
    </row>
    <row r="86" spans="1:21">
      <c r="A86" s="177" t="s">
        <v>7</v>
      </c>
      <c r="B86" s="173" t="s">
        <v>566</v>
      </c>
      <c r="C86" s="176"/>
      <c r="D86" s="173"/>
      <c r="E86" s="173"/>
      <c r="F86" s="173"/>
      <c r="G86" s="173"/>
      <c r="H86" s="173"/>
      <c r="I86" s="173"/>
      <c r="J86" s="173"/>
      <c r="K86" s="173"/>
      <c r="L86" s="173"/>
      <c r="M86" s="173"/>
      <c r="N86" s="173"/>
      <c r="O86" s="173"/>
      <c r="P86" s="173"/>
      <c r="Q86" s="173"/>
      <c r="R86" s="173"/>
      <c r="S86" s="173"/>
      <c r="T86" s="173"/>
      <c r="U86" s="173"/>
    </row>
    <row r="87" spans="1:21">
      <c r="A87" s="276" t="s">
        <v>9</v>
      </c>
      <c r="B87" s="173" t="s">
        <v>1349</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11</v>
      </c>
      <c r="B88" s="179" t="s">
        <v>913</v>
      </c>
      <c r="C88" s="173"/>
      <c r="D88" s="173"/>
      <c r="E88" s="173"/>
      <c r="F88" s="173"/>
      <c r="G88" s="173"/>
      <c r="H88" s="173"/>
      <c r="I88" s="173"/>
      <c r="J88" s="173"/>
      <c r="K88" s="173"/>
      <c r="L88" s="173"/>
      <c r="M88" s="173"/>
      <c r="N88" s="173"/>
      <c r="O88" s="173"/>
      <c r="P88" s="173"/>
      <c r="Q88" s="173"/>
      <c r="R88" s="173"/>
      <c r="S88" s="173"/>
      <c r="T88" s="173"/>
      <c r="U88" s="173"/>
    </row>
    <row r="89" spans="1:21">
      <c r="A89" s="177" t="s">
        <v>13</v>
      </c>
      <c r="B89" s="173" t="s">
        <v>14</v>
      </c>
      <c r="C89" s="173"/>
      <c r="D89" s="173"/>
      <c r="E89" s="173"/>
      <c r="F89" s="173"/>
      <c r="G89" s="173"/>
      <c r="H89" s="173"/>
      <c r="I89" s="173"/>
      <c r="J89" s="173"/>
      <c r="K89" s="173"/>
      <c r="L89" s="173"/>
      <c r="M89" s="173"/>
      <c r="N89" s="173"/>
      <c r="O89" s="173"/>
      <c r="P89" s="173"/>
      <c r="Q89" s="173"/>
      <c r="R89" s="173"/>
      <c r="S89" s="173"/>
      <c r="T89" s="173"/>
      <c r="U89" s="173"/>
    </row>
    <row r="90" spans="1:21">
      <c r="A90" s="177" t="s">
        <v>15</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16</v>
      </c>
      <c r="B91" s="173" t="s">
        <v>17</v>
      </c>
      <c r="C91" s="173"/>
      <c r="D91" s="173"/>
      <c r="E91" s="173"/>
      <c r="F91" s="173"/>
      <c r="G91" s="173"/>
      <c r="H91" s="173"/>
      <c r="I91" s="173"/>
      <c r="J91" s="173"/>
      <c r="K91" s="173"/>
      <c r="L91" s="173"/>
      <c r="M91" s="173"/>
      <c r="N91" s="173"/>
      <c r="O91" s="173"/>
      <c r="P91" s="173"/>
      <c r="Q91" s="173"/>
      <c r="R91" s="173"/>
      <c r="S91" s="173"/>
      <c r="T91" s="173"/>
      <c r="U91" s="173"/>
    </row>
    <row r="92" spans="1:21">
      <c r="A92" s="177" t="s">
        <v>18</v>
      </c>
      <c r="B92" s="173" t="s">
        <v>18</v>
      </c>
      <c r="C92" s="173"/>
      <c r="D92" s="173"/>
      <c r="E92" s="173"/>
      <c r="F92" s="173"/>
      <c r="G92" s="173"/>
      <c r="H92" s="173"/>
      <c r="I92" s="173"/>
      <c r="J92" s="173"/>
      <c r="K92" s="173"/>
      <c r="L92" s="173"/>
      <c r="M92" s="173"/>
      <c r="N92" s="173"/>
      <c r="O92" s="173"/>
      <c r="P92" s="173"/>
      <c r="Q92" s="173"/>
      <c r="R92" s="173"/>
      <c r="S92" s="173"/>
      <c r="T92" s="173"/>
      <c r="U92" s="173"/>
    </row>
    <row r="93" spans="1:21">
      <c r="A93" s="174" t="s">
        <v>19</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20</v>
      </c>
      <c r="B94" s="175" t="s">
        <v>21</v>
      </c>
      <c r="C94" s="175" t="s">
        <v>18</v>
      </c>
      <c r="D94" s="175" t="s">
        <v>22</v>
      </c>
      <c r="E94" s="175" t="s">
        <v>7</v>
      </c>
      <c r="F94" s="175" t="s">
        <v>13</v>
      </c>
      <c r="G94" s="175" t="s">
        <v>16</v>
      </c>
      <c r="H94" s="175" t="s">
        <v>23</v>
      </c>
      <c r="I94" s="175" t="s">
        <v>24</v>
      </c>
      <c r="J94" s="175" t="s">
        <v>25</v>
      </c>
      <c r="K94" s="175" t="s">
        <v>26</v>
      </c>
      <c r="L94" s="175" t="s">
        <v>27</v>
      </c>
      <c r="M94" s="175" t="s">
        <v>28</v>
      </c>
      <c r="N94" s="175" t="s">
        <v>11</v>
      </c>
      <c r="O94" s="173"/>
      <c r="P94" s="173"/>
      <c r="Q94" s="173"/>
      <c r="R94" s="173"/>
      <c r="S94" s="173"/>
      <c r="T94" s="173"/>
      <c r="U94" s="173"/>
    </row>
    <row r="95" spans="1:21">
      <c r="A95" s="185" t="s">
        <v>1347</v>
      </c>
      <c r="B95" s="184">
        <v>1</v>
      </c>
      <c r="C95" s="173" t="s">
        <v>18</v>
      </c>
      <c r="D95" s="258" t="s">
        <v>2</v>
      </c>
      <c r="E95" s="173" t="s">
        <v>29</v>
      </c>
      <c r="F95" s="185" t="s">
        <v>14</v>
      </c>
      <c r="G95" s="173" t="s">
        <v>30</v>
      </c>
      <c r="H95" s="173">
        <v>1</v>
      </c>
      <c r="I95" s="173">
        <f t="shared" ref="I95:I96" si="7">B95</f>
        <v>1</v>
      </c>
      <c r="J95" s="173" t="s">
        <v>31</v>
      </c>
      <c r="K95" s="173" t="s">
        <v>31</v>
      </c>
      <c r="L95" s="173" t="s">
        <v>31</v>
      </c>
      <c r="M95" s="173" t="s">
        <v>31</v>
      </c>
      <c r="N95" s="173"/>
      <c r="O95" s="222"/>
      <c r="P95" s="297"/>
      <c r="Q95" s="173"/>
      <c r="R95" s="184"/>
      <c r="S95" s="173"/>
      <c r="T95" s="173"/>
      <c r="U95" s="173"/>
    </row>
    <row r="96" spans="1:21">
      <c r="A96" s="185" t="s">
        <v>1350</v>
      </c>
      <c r="B96" s="173">
        <v>1</v>
      </c>
      <c r="C96" s="173" t="s">
        <v>18</v>
      </c>
      <c r="D96" s="258" t="s">
        <v>2</v>
      </c>
      <c r="E96" s="173" t="s">
        <v>29</v>
      </c>
      <c r="F96" s="185" t="s">
        <v>14</v>
      </c>
      <c r="G96" s="173" t="s">
        <v>33</v>
      </c>
      <c r="H96" s="173">
        <v>1</v>
      </c>
      <c r="I96" s="173">
        <f t="shared" si="7"/>
        <v>1</v>
      </c>
      <c r="J96" s="173" t="s">
        <v>31</v>
      </c>
      <c r="K96" s="173" t="s">
        <v>31</v>
      </c>
      <c r="L96" s="173" t="s">
        <v>31</v>
      </c>
      <c r="M96" s="173" t="s">
        <v>31</v>
      </c>
      <c r="N96" s="173"/>
      <c r="O96" s="222"/>
      <c r="P96" s="297"/>
      <c r="Q96" s="173"/>
      <c r="R96" s="173"/>
      <c r="S96" s="173"/>
      <c r="T96" s="173"/>
      <c r="U96" s="173"/>
    </row>
    <row r="97" spans="1:21">
      <c r="A97" s="177" t="s">
        <v>168</v>
      </c>
      <c r="B97" s="184">
        <f>R97</f>
        <v>0.05</v>
      </c>
      <c r="C97" s="173" t="s">
        <v>41</v>
      </c>
      <c r="D97" s="173" t="s">
        <v>38</v>
      </c>
      <c r="E97" s="173" t="s">
        <v>29</v>
      </c>
      <c r="F97" s="185" t="s">
        <v>35</v>
      </c>
      <c r="G97" s="173" t="s">
        <v>33</v>
      </c>
      <c r="H97" s="173">
        <v>2</v>
      </c>
      <c r="I97" s="173">
        <f t="shared" ref="I97" si="8">LN(B97)</f>
        <v>-2.9957322735539909</v>
      </c>
      <c r="J97" s="173">
        <v>7.2284161474004766E-2</v>
      </c>
      <c r="K97" s="173" t="s">
        <v>31</v>
      </c>
      <c r="L97" s="173" t="s">
        <v>31</v>
      </c>
      <c r="M97" s="173" t="s">
        <v>31</v>
      </c>
      <c r="N97" s="173"/>
      <c r="O97" s="222" t="s">
        <v>332</v>
      </c>
      <c r="P97" s="297">
        <v>0.05</v>
      </c>
      <c r="Q97" s="173" t="s">
        <v>332</v>
      </c>
      <c r="R97" s="184">
        <f>P97</f>
        <v>0.05</v>
      </c>
      <c r="S97" s="173"/>
      <c r="T97" s="173"/>
      <c r="U97" s="173"/>
    </row>
    <row r="98" spans="1:21" s="42" customFormat="1">
      <c r="A98" s="209" t="s">
        <v>5</v>
      </c>
      <c r="B98" s="255" t="s">
        <v>1350</v>
      </c>
      <c r="C98" s="211"/>
      <c r="D98" s="188"/>
      <c r="E98" s="188"/>
      <c r="F98" s="188"/>
      <c r="G98" s="188"/>
      <c r="H98" s="188"/>
      <c r="I98" s="188"/>
      <c r="J98" s="188"/>
      <c r="K98" s="188"/>
      <c r="L98" s="188"/>
      <c r="M98" s="188"/>
      <c r="N98" s="188"/>
      <c r="O98" s="188"/>
      <c r="P98" s="188"/>
      <c r="Q98" s="188"/>
      <c r="R98" s="188"/>
      <c r="S98" s="188"/>
      <c r="T98" s="188"/>
      <c r="U98" s="188"/>
    </row>
    <row r="99" spans="1:21">
      <c r="A99" s="177" t="s">
        <v>7</v>
      </c>
      <c r="B99" s="173" t="s">
        <v>566</v>
      </c>
      <c r="C99" s="176"/>
      <c r="D99" s="173"/>
      <c r="E99" s="173"/>
      <c r="F99" s="173"/>
      <c r="G99" s="173"/>
      <c r="H99" s="173"/>
      <c r="I99" s="173"/>
      <c r="J99" s="173"/>
      <c r="K99" s="173"/>
      <c r="L99" s="173"/>
      <c r="M99" s="173"/>
      <c r="N99" s="173"/>
      <c r="O99" s="173"/>
      <c r="P99" s="173"/>
      <c r="Q99" s="173"/>
      <c r="R99" s="173"/>
      <c r="S99" s="173"/>
      <c r="T99" s="173"/>
      <c r="U99" s="173"/>
    </row>
    <row r="100" spans="1:21">
      <c r="A100" s="276" t="s">
        <v>9</v>
      </c>
      <c r="B100" s="173" t="s">
        <v>1351</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11</v>
      </c>
      <c r="B101" s="179" t="s">
        <v>913</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13</v>
      </c>
      <c r="B102" s="173" t="s">
        <v>14</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15</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16</v>
      </c>
      <c r="B104" s="173" t="s">
        <v>17</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18</v>
      </c>
      <c r="B105" s="173" t="s">
        <v>18</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19</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20</v>
      </c>
      <c r="B107" s="175" t="s">
        <v>21</v>
      </c>
      <c r="C107" s="175" t="s">
        <v>18</v>
      </c>
      <c r="D107" s="175" t="s">
        <v>22</v>
      </c>
      <c r="E107" s="175" t="s">
        <v>7</v>
      </c>
      <c r="F107" s="175" t="s">
        <v>13</v>
      </c>
      <c r="G107" s="175" t="s">
        <v>16</v>
      </c>
      <c r="H107" s="175" t="s">
        <v>23</v>
      </c>
      <c r="I107" s="175" t="s">
        <v>24</v>
      </c>
      <c r="J107" s="175" t="s">
        <v>25</v>
      </c>
      <c r="K107" s="175" t="s">
        <v>26</v>
      </c>
      <c r="L107" s="175" t="s">
        <v>27</v>
      </c>
      <c r="M107" s="175" t="s">
        <v>28</v>
      </c>
      <c r="N107" s="175" t="s">
        <v>11</v>
      </c>
      <c r="O107" s="173"/>
      <c r="P107" s="173"/>
      <c r="Q107" s="173"/>
      <c r="R107" s="173"/>
      <c r="S107" s="173"/>
      <c r="T107" s="173"/>
      <c r="U107" s="173"/>
    </row>
    <row r="108" spans="1:21">
      <c r="A108" s="185" t="s">
        <v>1350</v>
      </c>
      <c r="B108" s="173">
        <v>1</v>
      </c>
      <c r="C108" s="173" t="s">
        <v>18</v>
      </c>
      <c r="D108" s="258" t="s">
        <v>2</v>
      </c>
      <c r="E108" s="173" t="s">
        <v>29</v>
      </c>
      <c r="F108" s="185" t="s">
        <v>14</v>
      </c>
      <c r="G108" s="173" t="s">
        <v>30</v>
      </c>
      <c r="H108" s="173">
        <v>1</v>
      </c>
      <c r="I108" s="173">
        <f t="shared" ref="I108:I111" si="9">B108</f>
        <v>1</v>
      </c>
      <c r="J108" s="173" t="s">
        <v>31</v>
      </c>
      <c r="K108" s="173" t="s">
        <v>31</v>
      </c>
      <c r="L108" s="173" t="s">
        <v>31</v>
      </c>
      <c r="M108" s="173" t="s">
        <v>31</v>
      </c>
      <c r="N108" s="173"/>
      <c r="O108" s="173"/>
      <c r="P108" s="173"/>
      <c r="Q108" s="173"/>
      <c r="R108" s="173"/>
      <c r="S108" s="173"/>
      <c r="T108" s="173"/>
      <c r="U108" s="173"/>
    </row>
    <row r="109" spans="1:21">
      <c r="A109" s="177" t="s">
        <v>1352</v>
      </c>
      <c r="B109" s="298">
        <f>B133</f>
        <v>0.02</v>
      </c>
      <c r="C109" s="173" t="s">
        <v>206</v>
      </c>
      <c r="D109" s="258" t="s">
        <v>2</v>
      </c>
      <c r="E109" s="173" t="s">
        <v>29</v>
      </c>
      <c r="F109" s="185" t="s">
        <v>14</v>
      </c>
      <c r="G109" s="173" t="s">
        <v>33</v>
      </c>
      <c r="H109" s="173">
        <v>1</v>
      </c>
      <c r="I109" s="173">
        <f t="shared" si="9"/>
        <v>0.02</v>
      </c>
      <c r="J109" s="173" t="s">
        <v>31</v>
      </c>
      <c r="K109" s="173" t="s">
        <v>31</v>
      </c>
      <c r="L109" s="173" t="s">
        <v>31</v>
      </c>
      <c r="M109" s="173" t="s">
        <v>31</v>
      </c>
      <c r="N109" s="173"/>
      <c r="O109" s="259"/>
      <c r="P109" s="260"/>
      <c r="Q109" s="184"/>
      <c r="R109" s="173"/>
      <c r="S109" s="173"/>
      <c r="T109" s="173"/>
      <c r="U109" s="173"/>
    </row>
    <row r="110" spans="1:21">
      <c r="A110" s="173" t="s">
        <v>1303</v>
      </c>
      <c r="B110" s="231">
        <f>U110</f>
        <v>1.2000000000000001E-3</v>
      </c>
      <c r="C110" s="178" t="s">
        <v>206</v>
      </c>
      <c r="D110" s="258" t="s">
        <v>2</v>
      </c>
      <c r="E110" s="173" t="s">
        <v>29</v>
      </c>
      <c r="F110" s="185" t="s">
        <v>14</v>
      </c>
      <c r="G110" s="173" t="s">
        <v>33</v>
      </c>
      <c r="H110" s="173">
        <v>1</v>
      </c>
      <c r="I110" s="173">
        <f t="shared" si="9"/>
        <v>1.2000000000000001E-3</v>
      </c>
      <c r="J110" s="173" t="s">
        <v>31</v>
      </c>
      <c r="K110" s="173" t="s">
        <v>31</v>
      </c>
      <c r="L110" s="173" t="s">
        <v>31</v>
      </c>
      <c r="M110" s="173" t="s">
        <v>31</v>
      </c>
      <c r="N110" s="173"/>
      <c r="O110" s="299" t="s">
        <v>947</v>
      </c>
      <c r="P110" s="300">
        <v>6</v>
      </c>
      <c r="Q110" s="301" t="s">
        <v>1072</v>
      </c>
      <c r="R110" s="301">
        <f>'2A. Reusable'!O37</f>
        <v>0.2</v>
      </c>
      <c r="S110" s="301" t="s">
        <v>1304</v>
      </c>
      <c r="T110" s="299" t="s">
        <v>945</v>
      </c>
      <c r="U110" s="300">
        <f>(P110*0.001)*R110</f>
        <v>1.2000000000000001E-3</v>
      </c>
    </row>
    <row r="111" spans="1:21">
      <c r="A111" s="173" t="s">
        <v>1353</v>
      </c>
      <c r="B111" s="173">
        <v>1</v>
      </c>
      <c r="C111" s="173" t="s">
        <v>18</v>
      </c>
      <c r="D111" s="258" t="s">
        <v>2</v>
      </c>
      <c r="E111" s="173" t="s">
        <v>29</v>
      </c>
      <c r="F111" s="185" t="s">
        <v>14</v>
      </c>
      <c r="G111" s="173" t="s">
        <v>33</v>
      </c>
      <c r="H111" s="173">
        <v>1</v>
      </c>
      <c r="I111" s="173">
        <f t="shared" si="9"/>
        <v>1</v>
      </c>
      <c r="J111" s="173" t="s">
        <v>31</v>
      </c>
      <c r="K111" s="173" t="s">
        <v>31</v>
      </c>
      <c r="L111" s="173" t="s">
        <v>31</v>
      </c>
      <c r="M111" s="173" t="s">
        <v>31</v>
      </c>
      <c r="N111" s="173"/>
      <c r="O111" s="259"/>
      <c r="P111" s="260"/>
      <c r="Q111" s="173"/>
      <c r="R111" s="173"/>
      <c r="S111" s="173"/>
      <c r="T111" s="173"/>
      <c r="U111" s="173"/>
    </row>
    <row r="112" spans="1:21">
      <c r="A112" s="185" t="s">
        <v>533</v>
      </c>
      <c r="B112" s="231">
        <f>R112</f>
        <v>8.7000000000000001E-5</v>
      </c>
      <c r="C112" s="173" t="s">
        <v>37</v>
      </c>
      <c r="D112" s="173" t="s">
        <v>38</v>
      </c>
      <c r="E112" s="173" t="s">
        <v>29</v>
      </c>
      <c r="F112" s="185" t="s">
        <v>35</v>
      </c>
      <c r="G112" s="173" t="s">
        <v>33</v>
      </c>
      <c r="H112" s="173">
        <v>2</v>
      </c>
      <c r="I112" s="173">
        <f>LN(B112)</f>
        <v>-9.3496024393096899</v>
      </c>
      <c r="J112" s="173">
        <v>2.8722813232690055E-2</v>
      </c>
      <c r="K112" s="173" t="s">
        <v>31</v>
      </c>
      <c r="L112" s="173" t="s">
        <v>31</v>
      </c>
      <c r="M112" s="173" t="s">
        <v>31</v>
      </c>
      <c r="N112" s="173"/>
      <c r="O112" s="299" t="s">
        <v>947</v>
      </c>
      <c r="P112" s="302">
        <v>8.6999999999999994E-2</v>
      </c>
      <c r="Q112" s="173" t="s">
        <v>337</v>
      </c>
      <c r="R112" s="231">
        <f>P112*10^-3</f>
        <v>8.7000000000000001E-5</v>
      </c>
      <c r="S112" s="173"/>
      <c r="T112" s="173"/>
      <c r="U112" s="173"/>
    </row>
    <row r="113" spans="1:21" s="42" customFormat="1">
      <c r="A113" s="209" t="s">
        <v>5</v>
      </c>
      <c r="B113" s="210" t="s">
        <v>1353</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7</v>
      </c>
      <c r="B114" s="173" t="s">
        <v>566</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9</v>
      </c>
      <c r="B115" s="173" t="s">
        <v>1354</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11</v>
      </c>
      <c r="B116" s="179" t="s">
        <v>913</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13</v>
      </c>
      <c r="B117" s="173" t="s">
        <v>14</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15</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16</v>
      </c>
      <c r="B119" s="173" t="s">
        <v>17</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18</v>
      </c>
      <c r="B120" s="173" t="s">
        <v>18</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19</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20</v>
      </c>
      <c r="B122" s="175" t="s">
        <v>21</v>
      </c>
      <c r="C122" s="175" t="s">
        <v>18</v>
      </c>
      <c r="D122" s="175" t="s">
        <v>22</v>
      </c>
      <c r="E122" s="175" t="s">
        <v>7</v>
      </c>
      <c r="F122" s="175" t="s">
        <v>13</v>
      </c>
      <c r="G122" s="175" t="s">
        <v>16</v>
      </c>
      <c r="H122" s="175" t="s">
        <v>23</v>
      </c>
      <c r="I122" s="175" t="s">
        <v>24</v>
      </c>
      <c r="J122" s="175" t="s">
        <v>25</v>
      </c>
      <c r="K122" s="175" t="s">
        <v>26</v>
      </c>
      <c r="L122" s="175" t="s">
        <v>27</v>
      </c>
      <c r="M122" s="175" t="s">
        <v>28</v>
      </c>
      <c r="N122" s="175" t="s">
        <v>11</v>
      </c>
      <c r="O122" s="173"/>
      <c r="P122" s="173"/>
      <c r="Q122" s="173"/>
      <c r="R122" s="173"/>
      <c r="S122" s="173"/>
      <c r="T122" s="173"/>
      <c r="U122" s="173"/>
    </row>
    <row r="123" spans="1:21">
      <c r="A123" s="173" t="s">
        <v>1353</v>
      </c>
      <c r="B123" s="173">
        <v>1</v>
      </c>
      <c r="C123" s="173" t="s">
        <v>18</v>
      </c>
      <c r="D123" s="258" t="s">
        <v>2</v>
      </c>
      <c r="E123" s="173" t="s">
        <v>29</v>
      </c>
      <c r="F123" s="185" t="s">
        <v>14</v>
      </c>
      <c r="G123" s="173" t="s">
        <v>30</v>
      </c>
      <c r="H123" s="173">
        <v>1</v>
      </c>
      <c r="I123" s="173">
        <f t="shared" ref="I123:I124" si="10">B123</f>
        <v>1</v>
      </c>
      <c r="J123" s="173" t="s">
        <v>31</v>
      </c>
      <c r="K123" s="173" t="s">
        <v>31</v>
      </c>
      <c r="L123" s="173" t="s">
        <v>31</v>
      </c>
      <c r="M123" s="173" t="s">
        <v>31</v>
      </c>
      <c r="N123" s="173"/>
      <c r="O123" s="173"/>
      <c r="P123" s="173"/>
      <c r="Q123" s="173"/>
      <c r="R123" s="173"/>
      <c r="S123" s="173"/>
      <c r="T123" s="173"/>
      <c r="U123" s="173"/>
    </row>
    <row r="124" spans="1:21">
      <c r="A124" s="185" t="s">
        <v>1056</v>
      </c>
      <c r="B124" s="173">
        <v>0.17</v>
      </c>
      <c r="C124" s="173" t="s">
        <v>37</v>
      </c>
      <c r="D124" s="173" t="s">
        <v>38</v>
      </c>
      <c r="E124" s="173" t="s">
        <v>29</v>
      </c>
      <c r="F124" s="173" t="s">
        <v>60</v>
      </c>
      <c r="G124" s="173" t="s">
        <v>33</v>
      </c>
      <c r="H124" s="173">
        <v>1</v>
      </c>
      <c r="I124" s="173">
        <f t="shared" si="10"/>
        <v>0.17</v>
      </c>
      <c r="J124" s="173" t="s">
        <v>31</v>
      </c>
      <c r="K124" s="173" t="s">
        <v>31</v>
      </c>
      <c r="L124" s="173" t="s">
        <v>31</v>
      </c>
      <c r="M124" s="173" t="s">
        <v>31</v>
      </c>
      <c r="N124" s="173"/>
      <c r="O124" s="173"/>
      <c r="P124" s="173"/>
      <c r="Q124" s="173"/>
      <c r="R124" s="173"/>
      <c r="S124" s="173"/>
      <c r="T124" s="173"/>
      <c r="U124" s="173"/>
    </row>
    <row r="125" spans="1:21">
      <c r="A125" s="185" t="s">
        <v>1057</v>
      </c>
      <c r="B125" s="173">
        <f>R125</f>
        <v>0.112</v>
      </c>
      <c r="C125" s="173" t="s">
        <v>37</v>
      </c>
      <c r="D125" s="173" t="s">
        <v>38</v>
      </c>
      <c r="E125" s="173" t="s">
        <v>29</v>
      </c>
      <c r="F125" s="173" t="s">
        <v>60</v>
      </c>
      <c r="G125" s="173" t="s">
        <v>33</v>
      </c>
      <c r="H125" s="173">
        <v>2</v>
      </c>
      <c r="I125" s="173">
        <f>LN(B125)</f>
        <v>-2.1892564076870427</v>
      </c>
      <c r="J125" s="173">
        <v>3.7749172176353707E-2</v>
      </c>
      <c r="K125" s="173" t="s">
        <v>31</v>
      </c>
      <c r="L125" s="173" t="s">
        <v>31</v>
      </c>
      <c r="M125" s="173" t="s">
        <v>31</v>
      </c>
      <c r="N125" s="173"/>
      <c r="O125" s="242" t="s">
        <v>947</v>
      </c>
      <c r="P125" s="296">
        <v>112</v>
      </c>
      <c r="Q125" s="173" t="s">
        <v>337</v>
      </c>
      <c r="R125" s="173">
        <f>P125*0.001</f>
        <v>0.112</v>
      </c>
      <c r="S125" s="173"/>
      <c r="T125" s="173"/>
      <c r="U125" s="173"/>
    </row>
    <row r="126" spans="1:21">
      <c r="A126" s="185" t="s">
        <v>1058</v>
      </c>
      <c r="B126" s="173">
        <f>R126</f>
        <v>6.7000000000000002E-3</v>
      </c>
      <c r="C126" s="173" t="s">
        <v>37</v>
      </c>
      <c r="D126" s="173" t="s">
        <v>38</v>
      </c>
      <c r="E126" s="173" t="s">
        <v>29</v>
      </c>
      <c r="F126" s="173" t="s">
        <v>60</v>
      </c>
      <c r="G126" s="173" t="s">
        <v>33</v>
      </c>
      <c r="H126" s="173">
        <v>2</v>
      </c>
      <c r="I126" s="173">
        <f>LN(B126)</f>
        <v>-5.005647752585217</v>
      </c>
      <c r="J126" s="173">
        <v>3.7749172176353707E-2</v>
      </c>
      <c r="K126" s="173" t="s">
        <v>31</v>
      </c>
      <c r="L126" s="173" t="s">
        <v>31</v>
      </c>
      <c r="M126" s="173" t="s">
        <v>31</v>
      </c>
      <c r="N126" s="173"/>
      <c r="O126" s="242" t="s">
        <v>947</v>
      </c>
      <c r="P126" s="296">
        <v>6.7</v>
      </c>
      <c r="Q126" s="173" t="s">
        <v>337</v>
      </c>
      <c r="R126" s="173">
        <f t="shared" ref="R126:R127" si="11">P126*0.001</f>
        <v>6.7000000000000002E-3</v>
      </c>
      <c r="S126" s="173"/>
      <c r="T126" s="173"/>
      <c r="U126" s="173"/>
    </row>
    <row r="127" spans="1:21">
      <c r="A127" s="185" t="s">
        <v>1059</v>
      </c>
      <c r="B127" s="173">
        <f>R127</f>
        <v>5.1000000000000004E-2</v>
      </c>
      <c r="C127" s="173" t="s">
        <v>37</v>
      </c>
      <c r="D127" s="173" t="s">
        <v>38</v>
      </c>
      <c r="E127" s="173" t="s">
        <v>29</v>
      </c>
      <c r="F127" s="173" t="s">
        <v>60</v>
      </c>
      <c r="G127" s="173" t="s">
        <v>33</v>
      </c>
      <c r="H127" s="173">
        <v>2</v>
      </c>
      <c r="I127" s="173">
        <f>LN(B127)</f>
        <v>-2.9759296462578111</v>
      </c>
      <c r="J127" s="173">
        <v>3.7749172176353707E-2</v>
      </c>
      <c r="K127" s="173" t="s">
        <v>31</v>
      </c>
      <c r="L127" s="173" t="s">
        <v>31</v>
      </c>
      <c r="M127" s="173" t="s">
        <v>31</v>
      </c>
      <c r="N127" s="173"/>
      <c r="O127" s="242" t="s">
        <v>947</v>
      </c>
      <c r="P127" s="296">
        <v>51</v>
      </c>
      <c r="Q127" s="173" t="s">
        <v>337</v>
      </c>
      <c r="R127" s="173">
        <f t="shared" si="11"/>
        <v>5.1000000000000004E-2</v>
      </c>
      <c r="S127" s="173"/>
      <c r="T127" s="173"/>
      <c r="U127" s="173"/>
    </row>
    <row r="128" spans="1:21" s="42" customFormat="1">
      <c r="A128" s="209" t="s">
        <v>5</v>
      </c>
      <c r="B128" s="255" t="s">
        <v>1352</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7</v>
      </c>
      <c r="B129" s="173" t="s">
        <v>566</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9</v>
      </c>
      <c r="B130" s="173" t="s">
        <v>1355</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11</v>
      </c>
      <c r="B131" s="179" t="s">
        <v>913</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13</v>
      </c>
      <c r="B132" s="173" t="s">
        <v>14</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15</v>
      </c>
      <c r="B133" s="277">
        <f>B138</f>
        <v>0.02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16</v>
      </c>
      <c r="B134" s="173" t="s">
        <v>17</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18</v>
      </c>
      <c r="B135" s="173" t="s">
        <v>206</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19</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20</v>
      </c>
      <c r="B137" s="175" t="s">
        <v>21</v>
      </c>
      <c r="C137" s="175" t="s">
        <v>18</v>
      </c>
      <c r="D137" s="175" t="s">
        <v>22</v>
      </c>
      <c r="E137" s="175" t="s">
        <v>7</v>
      </c>
      <c r="F137" s="175" t="s">
        <v>13</v>
      </c>
      <c r="G137" s="175" t="s">
        <v>16</v>
      </c>
      <c r="H137" s="175" t="s">
        <v>23</v>
      </c>
      <c r="I137" s="175" t="s">
        <v>24</v>
      </c>
      <c r="J137" s="175" t="s">
        <v>25</v>
      </c>
      <c r="K137" s="175" t="s">
        <v>26</v>
      </c>
      <c r="L137" s="175" t="s">
        <v>27</v>
      </c>
      <c r="M137" s="175" t="s">
        <v>28</v>
      </c>
      <c r="N137" s="175" t="s">
        <v>11</v>
      </c>
      <c r="O137" s="173"/>
      <c r="P137" s="173"/>
      <c r="Q137" s="173"/>
      <c r="R137" s="173"/>
      <c r="S137" s="173"/>
      <c r="T137" s="173"/>
      <c r="U137" s="173"/>
    </row>
    <row r="138" spans="1:21">
      <c r="A138" s="173" t="s">
        <v>1352</v>
      </c>
      <c r="B138" s="303">
        <v>0.02</v>
      </c>
      <c r="C138" s="173" t="s">
        <v>206</v>
      </c>
      <c r="D138" s="258" t="s">
        <v>2</v>
      </c>
      <c r="E138" s="173" t="s">
        <v>29</v>
      </c>
      <c r="F138" s="185" t="s">
        <v>14</v>
      </c>
      <c r="G138" s="173" t="s">
        <v>30</v>
      </c>
      <c r="H138" s="173">
        <v>1</v>
      </c>
      <c r="I138" s="173">
        <f t="shared" ref="I138:I139" si="12">B138</f>
        <v>0.02</v>
      </c>
      <c r="J138" s="173" t="s">
        <v>31</v>
      </c>
      <c r="K138" s="173" t="s">
        <v>31</v>
      </c>
      <c r="L138" s="173" t="s">
        <v>31</v>
      </c>
      <c r="M138" s="173" t="s">
        <v>31</v>
      </c>
      <c r="N138" s="173"/>
      <c r="O138" s="259"/>
      <c r="P138" s="260"/>
      <c r="Q138" s="184"/>
      <c r="R138" s="173"/>
      <c r="S138" s="173"/>
      <c r="T138" s="173"/>
      <c r="U138" s="173"/>
    </row>
    <row r="139" spans="1:21">
      <c r="A139" s="271" t="s">
        <v>1356</v>
      </c>
      <c r="B139" s="303">
        <v>0.02</v>
      </c>
      <c r="C139" s="173" t="s">
        <v>206</v>
      </c>
      <c r="D139" s="258" t="s">
        <v>2</v>
      </c>
      <c r="E139" s="173" t="s">
        <v>29</v>
      </c>
      <c r="F139" s="185" t="s">
        <v>14</v>
      </c>
      <c r="G139" s="173" t="s">
        <v>33</v>
      </c>
      <c r="H139" s="173">
        <v>1</v>
      </c>
      <c r="I139" s="173">
        <f t="shared" si="12"/>
        <v>0.02</v>
      </c>
      <c r="J139" s="173" t="s">
        <v>31</v>
      </c>
      <c r="K139" s="173" t="s">
        <v>31</v>
      </c>
      <c r="L139" s="173" t="s">
        <v>31</v>
      </c>
      <c r="M139" s="173" t="s">
        <v>31</v>
      </c>
      <c r="N139" s="173"/>
      <c r="O139" s="173"/>
      <c r="P139" s="173"/>
      <c r="Q139" s="173"/>
      <c r="R139" s="173"/>
      <c r="S139" s="173"/>
      <c r="T139" s="173"/>
      <c r="U139" s="173"/>
    </row>
    <row r="140" spans="1:21">
      <c r="A140" s="185" t="s">
        <v>1077</v>
      </c>
      <c r="B140" s="173">
        <f>R140</f>
        <v>1.8000000000000002E-3</v>
      </c>
      <c r="C140" s="173" t="s">
        <v>37</v>
      </c>
      <c r="D140" s="173" t="s">
        <v>38</v>
      </c>
      <c r="E140" s="173" t="s">
        <v>29</v>
      </c>
      <c r="F140" s="173" t="s">
        <v>35</v>
      </c>
      <c r="G140" s="173" t="s">
        <v>33</v>
      </c>
      <c r="H140" s="173">
        <v>2</v>
      </c>
      <c r="I140" s="173">
        <f>LN(B140)</f>
        <v>-6.3199686140800182</v>
      </c>
      <c r="J140" s="173">
        <v>0.20928449536456342</v>
      </c>
      <c r="K140" s="173" t="s">
        <v>31</v>
      </c>
      <c r="L140" s="173" t="s">
        <v>31</v>
      </c>
      <c r="M140" s="173" t="s">
        <v>31</v>
      </c>
      <c r="N140" s="173"/>
      <c r="O140" s="242" t="s">
        <v>947</v>
      </c>
      <c r="P140" s="264">
        <v>1.8</v>
      </c>
      <c r="Q140" s="173" t="s">
        <v>337</v>
      </c>
      <c r="R140" s="173">
        <f>0.001*P140</f>
        <v>1.8000000000000002E-3</v>
      </c>
      <c r="S140" s="173"/>
      <c r="T140" s="173"/>
      <c r="U140" s="173"/>
    </row>
    <row r="141" spans="1:21">
      <c r="A141" s="185" t="s">
        <v>1078</v>
      </c>
      <c r="B141" s="173">
        <f>R141</f>
        <v>1.8000000000000002E-3</v>
      </c>
      <c r="C141" s="173" t="s">
        <v>37</v>
      </c>
      <c r="D141" s="173" t="s">
        <v>38</v>
      </c>
      <c r="E141" s="173" t="s">
        <v>29</v>
      </c>
      <c r="F141" s="173" t="s">
        <v>35</v>
      </c>
      <c r="G141" s="173" t="s">
        <v>33</v>
      </c>
      <c r="H141" s="173">
        <v>2</v>
      </c>
      <c r="I141" s="173">
        <f>LN(B141)</f>
        <v>-6.3199686140800182</v>
      </c>
      <c r="J141" s="173">
        <v>0.20928449536456342</v>
      </c>
      <c r="K141" s="173" t="s">
        <v>31</v>
      </c>
      <c r="L141" s="173" t="s">
        <v>31</v>
      </c>
      <c r="M141" s="173" t="s">
        <v>31</v>
      </c>
      <c r="N141" s="173"/>
      <c r="O141" s="242" t="s">
        <v>947</v>
      </c>
      <c r="P141" s="264">
        <v>1.8</v>
      </c>
      <c r="Q141" s="173" t="s">
        <v>337</v>
      </c>
      <c r="R141" s="173">
        <f>0.001*P141</f>
        <v>1.8000000000000002E-3</v>
      </c>
      <c r="S141" s="173"/>
      <c r="T141" s="173"/>
      <c r="U141" s="173"/>
    </row>
    <row r="142" spans="1:21" s="42" customFormat="1">
      <c r="A142" s="209" t="s">
        <v>5</v>
      </c>
      <c r="B142" s="304" t="s">
        <v>1356</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7</v>
      </c>
      <c r="B143" s="173" t="s">
        <v>566</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9</v>
      </c>
      <c r="B144" s="173" t="s">
        <v>1357</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11</v>
      </c>
      <c r="B145" s="179" t="s">
        <v>913</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13</v>
      </c>
      <c r="B146" s="173" t="s">
        <v>14</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15</v>
      </c>
      <c r="B147" s="303">
        <f>B154</f>
        <v>0.02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16</v>
      </c>
      <c r="B148" s="173" t="s">
        <v>17</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18</v>
      </c>
      <c r="B149" s="173" t="s">
        <v>206</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19</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20</v>
      </c>
      <c r="B151" s="175" t="s">
        <v>21</v>
      </c>
      <c r="C151" s="175" t="s">
        <v>18</v>
      </c>
      <c r="D151" s="175" t="s">
        <v>22</v>
      </c>
      <c r="E151" s="175" t="s">
        <v>7</v>
      </c>
      <c r="F151" s="175" t="s">
        <v>13</v>
      </c>
      <c r="G151" s="175" t="s">
        <v>16</v>
      </c>
      <c r="H151" s="175" t="s">
        <v>23</v>
      </c>
      <c r="I151" s="175" t="s">
        <v>24</v>
      </c>
      <c r="J151" s="175" t="s">
        <v>25</v>
      </c>
      <c r="K151" s="175" t="s">
        <v>26</v>
      </c>
      <c r="L151" s="175" t="s">
        <v>27</v>
      </c>
      <c r="M151" s="175" t="s">
        <v>28</v>
      </c>
      <c r="N151" s="175" t="s">
        <v>11</v>
      </c>
      <c r="O151" s="173"/>
      <c r="P151" s="173"/>
      <c r="Q151" s="173"/>
      <c r="R151" s="173"/>
      <c r="S151" s="173"/>
      <c r="T151" s="173"/>
      <c r="U151" s="173"/>
    </row>
    <row r="152" spans="1:21">
      <c r="A152" s="271" t="s">
        <v>1356</v>
      </c>
      <c r="B152" s="303">
        <f>B154</f>
        <v>0.02</v>
      </c>
      <c r="C152" s="173" t="s">
        <v>206</v>
      </c>
      <c r="D152" s="258" t="s">
        <v>2</v>
      </c>
      <c r="E152" s="173" t="s">
        <v>29</v>
      </c>
      <c r="F152" s="185" t="s">
        <v>14</v>
      </c>
      <c r="G152" s="173" t="s">
        <v>30</v>
      </c>
      <c r="H152" s="173">
        <v>1</v>
      </c>
      <c r="I152" s="173">
        <f t="shared" ref="I152:I154" si="13">B152</f>
        <v>0.02</v>
      </c>
      <c r="J152" s="173" t="s">
        <v>31</v>
      </c>
      <c r="K152" s="173" t="s">
        <v>31</v>
      </c>
      <c r="L152" s="173" t="s">
        <v>31</v>
      </c>
      <c r="M152" s="173" t="s">
        <v>31</v>
      </c>
      <c r="N152" s="173"/>
      <c r="O152" s="173"/>
      <c r="P152" s="173"/>
      <c r="Q152" s="173"/>
      <c r="R152" s="173"/>
      <c r="S152" s="173"/>
      <c r="T152" s="173"/>
      <c r="U152" s="173"/>
    </row>
    <row r="153" spans="1:21">
      <c r="A153" s="173" t="s">
        <v>1358</v>
      </c>
      <c r="B153" s="265">
        <f>B233</f>
        <v>6.0000000000000001E-3</v>
      </c>
      <c r="C153" s="173" t="s">
        <v>206</v>
      </c>
      <c r="D153" s="258" t="s">
        <v>2</v>
      </c>
      <c r="E153" s="173" t="s">
        <v>29</v>
      </c>
      <c r="F153" s="185" t="s">
        <v>14</v>
      </c>
      <c r="G153" s="173" t="s">
        <v>33</v>
      </c>
      <c r="H153" s="173">
        <v>1</v>
      </c>
      <c r="I153" s="173">
        <f t="shared" si="13"/>
        <v>6.0000000000000001E-3</v>
      </c>
      <c r="J153" s="173" t="s">
        <v>31</v>
      </c>
      <c r="K153" s="173" t="s">
        <v>31</v>
      </c>
      <c r="L153" s="173" t="s">
        <v>31</v>
      </c>
      <c r="M153" s="173" t="s">
        <v>31</v>
      </c>
      <c r="N153" s="173"/>
      <c r="O153" s="173"/>
      <c r="P153" s="173"/>
      <c r="Q153" s="173"/>
      <c r="R153" s="173"/>
      <c r="S153" s="173"/>
      <c r="T153" s="173"/>
      <c r="U153" s="173"/>
    </row>
    <row r="154" spans="1:21">
      <c r="A154" s="173" t="s">
        <v>1359</v>
      </c>
      <c r="B154" s="265">
        <f>B162</f>
        <v>0.02</v>
      </c>
      <c r="C154" s="173" t="s">
        <v>206</v>
      </c>
      <c r="D154" s="258" t="s">
        <v>2</v>
      </c>
      <c r="E154" s="173" t="s">
        <v>29</v>
      </c>
      <c r="F154" s="185" t="s">
        <v>14</v>
      </c>
      <c r="G154" s="173" t="s">
        <v>33</v>
      </c>
      <c r="H154" s="173">
        <v>1</v>
      </c>
      <c r="I154" s="173">
        <f t="shared" si="13"/>
        <v>0.02</v>
      </c>
      <c r="J154" s="173" t="s">
        <v>31</v>
      </c>
      <c r="K154" s="173" t="s">
        <v>31</v>
      </c>
      <c r="L154" s="173" t="s">
        <v>31</v>
      </c>
      <c r="M154" s="173" t="s">
        <v>31</v>
      </c>
      <c r="N154" s="173"/>
      <c r="O154" s="173"/>
      <c r="P154" s="173"/>
      <c r="Q154" s="173"/>
      <c r="R154" s="173"/>
      <c r="S154" s="173"/>
      <c r="T154" s="173"/>
      <c r="U154" s="173"/>
    </row>
    <row r="155" spans="1:21">
      <c r="A155" s="177" t="s">
        <v>168</v>
      </c>
      <c r="B155" s="184">
        <f>R155</f>
        <v>0.47</v>
      </c>
      <c r="C155" s="173" t="s">
        <v>41</v>
      </c>
      <c r="D155" s="173" t="s">
        <v>38</v>
      </c>
      <c r="E155" s="173" t="s">
        <v>29</v>
      </c>
      <c r="F155" s="185" t="s">
        <v>35</v>
      </c>
      <c r="G155" s="173" t="s">
        <v>33</v>
      </c>
      <c r="H155" s="173">
        <v>2</v>
      </c>
      <c r="I155" s="173">
        <f t="shared" ref="I155:I156" si="14">LN(B155)</f>
        <v>-0.75502258427803282</v>
      </c>
      <c r="J155" s="173">
        <v>9.7082439194738052E-2</v>
      </c>
      <c r="K155" s="173" t="s">
        <v>31</v>
      </c>
      <c r="L155" s="173" t="s">
        <v>31</v>
      </c>
      <c r="M155" s="173" t="s">
        <v>31</v>
      </c>
      <c r="N155" s="173"/>
      <c r="O155" s="222" t="s">
        <v>332</v>
      </c>
      <c r="P155" s="297">
        <v>0.47</v>
      </c>
      <c r="Q155" s="173" t="s">
        <v>332</v>
      </c>
      <c r="R155" s="184">
        <f>P155</f>
        <v>0.47</v>
      </c>
      <c r="S155" s="173"/>
      <c r="T155" s="173"/>
      <c r="U155" s="173"/>
    </row>
    <row r="156" spans="1:21">
      <c r="A156" s="177" t="s">
        <v>934</v>
      </c>
      <c r="B156" s="173">
        <v>1.2</v>
      </c>
      <c r="C156" s="173" t="s">
        <v>37</v>
      </c>
      <c r="D156" s="173" t="s">
        <v>38</v>
      </c>
      <c r="E156" s="173" t="s">
        <v>29</v>
      </c>
      <c r="F156" s="185" t="s">
        <v>35</v>
      </c>
      <c r="G156" s="173" t="s">
        <v>33</v>
      </c>
      <c r="H156" s="173">
        <v>2</v>
      </c>
      <c r="I156" s="173">
        <f t="shared" si="14"/>
        <v>0.18232155679395459</v>
      </c>
      <c r="J156" s="173">
        <v>9.7082439194738052E-2</v>
      </c>
      <c r="K156" s="173" t="s">
        <v>31</v>
      </c>
      <c r="L156" s="173" t="s">
        <v>31</v>
      </c>
      <c r="M156" s="173" t="s">
        <v>31</v>
      </c>
      <c r="N156" s="173"/>
      <c r="O156" s="173"/>
      <c r="P156" s="173"/>
      <c r="Q156" s="173"/>
      <c r="R156" s="173"/>
      <c r="S156" s="173"/>
      <c r="T156" s="173"/>
      <c r="U156" s="173"/>
    </row>
    <row r="157" spans="1:21" s="42" customFormat="1">
      <c r="A157" s="209" t="s">
        <v>5</v>
      </c>
      <c r="B157" s="210" t="s">
        <v>1359</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7</v>
      </c>
      <c r="B158" s="173" t="s">
        <v>566</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9</v>
      </c>
      <c r="B159" s="173" t="s">
        <v>1360</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11</v>
      </c>
      <c r="B160" s="179" t="s">
        <v>913</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13</v>
      </c>
      <c r="B161" s="173" t="s">
        <v>14</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15</v>
      </c>
      <c r="B162" s="277">
        <f>B168</f>
        <v>0.02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16</v>
      </c>
      <c r="B163" s="173" t="s">
        <v>17</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18</v>
      </c>
      <c r="B164" s="173" t="s">
        <v>206</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19</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20</v>
      </c>
      <c r="B166" s="175" t="s">
        <v>21</v>
      </c>
      <c r="C166" s="175" t="s">
        <v>18</v>
      </c>
      <c r="D166" s="175" t="s">
        <v>22</v>
      </c>
      <c r="E166" s="175" t="s">
        <v>7</v>
      </c>
      <c r="F166" s="175" t="s">
        <v>13</v>
      </c>
      <c r="G166" s="175" t="s">
        <v>16</v>
      </c>
      <c r="H166" s="175" t="s">
        <v>23</v>
      </c>
      <c r="I166" s="175" t="s">
        <v>24</v>
      </c>
      <c r="J166" s="175" t="s">
        <v>25</v>
      </c>
      <c r="K166" s="175" t="s">
        <v>26</v>
      </c>
      <c r="L166" s="175" t="s">
        <v>27</v>
      </c>
      <c r="M166" s="175" t="s">
        <v>28</v>
      </c>
      <c r="N166" s="175" t="s">
        <v>11</v>
      </c>
      <c r="O166" s="173"/>
      <c r="P166" s="173"/>
      <c r="Q166" s="173"/>
      <c r="R166" s="173"/>
      <c r="S166" s="173"/>
      <c r="T166" s="173"/>
      <c r="U166" s="173"/>
    </row>
    <row r="167" spans="1:21">
      <c r="A167" s="173" t="s">
        <v>1359</v>
      </c>
      <c r="B167" s="265">
        <f>B168</f>
        <v>0.02</v>
      </c>
      <c r="C167" s="173" t="s">
        <v>206</v>
      </c>
      <c r="D167" s="258" t="s">
        <v>2</v>
      </c>
      <c r="E167" s="173" t="s">
        <v>29</v>
      </c>
      <c r="F167" s="185" t="s">
        <v>14</v>
      </c>
      <c r="G167" s="173" t="s">
        <v>30</v>
      </c>
      <c r="H167" s="173">
        <v>1</v>
      </c>
      <c r="I167" s="173">
        <f t="shared" ref="I167:I168" si="15">B167</f>
        <v>0.02</v>
      </c>
      <c r="J167" s="173" t="s">
        <v>31</v>
      </c>
      <c r="K167" s="173" t="s">
        <v>31</v>
      </c>
      <c r="L167" s="173" t="s">
        <v>31</v>
      </c>
      <c r="M167" s="173" t="s">
        <v>31</v>
      </c>
      <c r="N167" s="173"/>
      <c r="O167" s="173"/>
      <c r="P167" s="173"/>
      <c r="Q167" s="173"/>
      <c r="R167" s="173"/>
      <c r="S167" s="173"/>
      <c r="T167" s="173"/>
      <c r="U167" s="173"/>
    </row>
    <row r="168" spans="1:21">
      <c r="A168" s="271" t="s">
        <v>1361</v>
      </c>
      <c r="B168" s="265">
        <f>B185</f>
        <v>0.02</v>
      </c>
      <c r="C168" s="173" t="s">
        <v>206</v>
      </c>
      <c r="D168" s="258" t="s">
        <v>2</v>
      </c>
      <c r="E168" s="173" t="s">
        <v>29</v>
      </c>
      <c r="F168" s="185" t="s">
        <v>14</v>
      </c>
      <c r="G168" s="173" t="s">
        <v>33</v>
      </c>
      <c r="H168" s="173">
        <v>1</v>
      </c>
      <c r="I168" s="173">
        <f t="shared" si="15"/>
        <v>0.02</v>
      </c>
      <c r="J168" s="173" t="s">
        <v>31</v>
      </c>
      <c r="K168" s="173" t="s">
        <v>31</v>
      </c>
      <c r="L168" s="173" t="s">
        <v>31</v>
      </c>
      <c r="M168" s="173" t="s">
        <v>31</v>
      </c>
      <c r="N168" s="173"/>
      <c r="O168" s="173"/>
      <c r="P168" s="173"/>
      <c r="Q168" s="173"/>
      <c r="R168" s="173"/>
      <c r="S168" s="173"/>
      <c r="T168" s="173"/>
      <c r="U168" s="173"/>
    </row>
    <row r="169" spans="1:21">
      <c r="A169" s="177" t="s">
        <v>168</v>
      </c>
      <c r="B169" s="184">
        <f>R169</f>
        <v>0.05</v>
      </c>
      <c r="C169" s="173" t="s">
        <v>41</v>
      </c>
      <c r="D169" s="173" t="s">
        <v>38</v>
      </c>
      <c r="E169" s="173" t="s">
        <v>29</v>
      </c>
      <c r="F169" s="185" t="s">
        <v>35</v>
      </c>
      <c r="G169" s="173" t="s">
        <v>33</v>
      </c>
      <c r="H169" s="173">
        <v>2</v>
      </c>
      <c r="I169" s="173">
        <f t="shared" ref="I169:I173" si="16">LN(B169)</f>
        <v>-2.9957322735539909</v>
      </c>
      <c r="J169" s="173">
        <v>0.20928449536456342</v>
      </c>
      <c r="K169" s="173" t="s">
        <v>31</v>
      </c>
      <c r="L169" s="173" t="s">
        <v>31</v>
      </c>
      <c r="M169" s="173" t="s">
        <v>31</v>
      </c>
      <c r="N169" s="173"/>
      <c r="O169" s="222" t="s">
        <v>332</v>
      </c>
      <c r="P169" s="296">
        <v>0.05</v>
      </c>
      <c r="Q169" s="173" t="s">
        <v>332</v>
      </c>
      <c r="R169" s="184">
        <f>P169</f>
        <v>0.05</v>
      </c>
      <c r="S169" s="173"/>
      <c r="T169" s="173"/>
      <c r="U169" s="173"/>
    </row>
    <row r="170" spans="1:21">
      <c r="A170" s="185" t="s">
        <v>931</v>
      </c>
      <c r="B170" s="173">
        <f>R170</f>
        <v>1.6999999999999999E-3</v>
      </c>
      <c r="C170" s="173" t="s">
        <v>37</v>
      </c>
      <c r="D170" s="173" t="s">
        <v>38</v>
      </c>
      <c r="E170" s="173" t="s">
        <v>29</v>
      </c>
      <c r="F170" s="185" t="s">
        <v>35</v>
      </c>
      <c r="G170" s="173" t="s">
        <v>33</v>
      </c>
      <c r="H170" s="173">
        <v>2</v>
      </c>
      <c r="I170" s="173">
        <f t="shared" si="16"/>
        <v>-6.3771270279199666</v>
      </c>
      <c r="J170" s="173">
        <v>0.20928449536456342</v>
      </c>
      <c r="K170" s="173" t="s">
        <v>31</v>
      </c>
      <c r="L170" s="173" t="s">
        <v>31</v>
      </c>
      <c r="M170" s="173" t="s">
        <v>31</v>
      </c>
      <c r="N170" s="173"/>
      <c r="O170" s="242" t="s">
        <v>947</v>
      </c>
      <c r="P170" s="296">
        <v>1.7</v>
      </c>
      <c r="Q170" s="173" t="s">
        <v>337</v>
      </c>
      <c r="R170" s="173">
        <f>0.001*P170</f>
        <v>1.6999999999999999E-3</v>
      </c>
      <c r="S170" s="173"/>
      <c r="T170" s="173"/>
      <c r="U170" s="173"/>
    </row>
    <row r="171" spans="1:21">
      <c r="A171" s="185" t="s">
        <v>932</v>
      </c>
      <c r="B171" s="173">
        <f>R171</f>
        <v>2.9999999999999997E-4</v>
      </c>
      <c r="C171" s="173" t="s">
        <v>37</v>
      </c>
      <c r="D171" s="173" t="s">
        <v>38</v>
      </c>
      <c r="E171" s="173" t="s">
        <v>29</v>
      </c>
      <c r="F171" s="185" t="s">
        <v>60</v>
      </c>
      <c r="G171" s="173" t="s">
        <v>33</v>
      </c>
      <c r="H171" s="173">
        <v>2</v>
      </c>
      <c r="I171" s="173">
        <f t="shared" si="16"/>
        <v>-8.1117280833080727</v>
      </c>
      <c r="J171" s="173">
        <v>0.20928449536456342</v>
      </c>
      <c r="K171" s="173" t="s">
        <v>31</v>
      </c>
      <c r="L171" s="173" t="s">
        <v>31</v>
      </c>
      <c r="M171" s="173" t="s">
        <v>31</v>
      </c>
      <c r="N171" s="173"/>
      <c r="O171" s="242" t="s">
        <v>947</v>
      </c>
      <c r="P171" s="296">
        <v>0.3</v>
      </c>
      <c r="Q171" s="173" t="s">
        <v>337</v>
      </c>
      <c r="R171" s="173">
        <f t="shared" ref="R171:R173" si="17">0.001*P171</f>
        <v>2.9999999999999997E-4</v>
      </c>
      <c r="S171" s="173"/>
      <c r="T171" s="173"/>
      <c r="U171" s="173"/>
    </row>
    <row r="172" spans="1:21">
      <c r="A172" s="177" t="s">
        <v>933</v>
      </c>
      <c r="B172" s="173">
        <f>R172</f>
        <v>8.0999999999999996E-3</v>
      </c>
      <c r="C172" s="173" t="s">
        <v>37</v>
      </c>
      <c r="D172" s="173" t="s">
        <v>38</v>
      </c>
      <c r="E172" s="173" t="s">
        <v>29</v>
      </c>
      <c r="F172" s="185" t="s">
        <v>39</v>
      </c>
      <c r="G172" s="173" t="s">
        <v>33</v>
      </c>
      <c r="H172" s="173">
        <v>2</v>
      </c>
      <c r="I172" s="173">
        <f t="shared" si="16"/>
        <v>-4.8158912173037436</v>
      </c>
      <c r="J172" s="173">
        <v>0.20928449536456342</v>
      </c>
      <c r="K172" s="173" t="s">
        <v>31</v>
      </c>
      <c r="L172" s="173" t="s">
        <v>31</v>
      </c>
      <c r="M172" s="173" t="s">
        <v>31</v>
      </c>
      <c r="N172" s="173"/>
      <c r="O172" s="242" t="s">
        <v>947</v>
      </c>
      <c r="P172" s="296">
        <v>8.1</v>
      </c>
      <c r="Q172" s="173" t="s">
        <v>337</v>
      </c>
      <c r="R172" s="173">
        <f t="shared" si="17"/>
        <v>8.0999999999999996E-3</v>
      </c>
      <c r="S172" s="173"/>
      <c r="T172" s="173"/>
      <c r="U172" s="173"/>
    </row>
    <row r="173" spans="1:21">
      <c r="A173" s="173" t="s">
        <v>1285</v>
      </c>
      <c r="B173" s="173">
        <f>R173</f>
        <v>1.9E-3</v>
      </c>
      <c r="C173" s="173" t="s">
        <v>37</v>
      </c>
      <c r="D173" s="258" t="s">
        <v>2</v>
      </c>
      <c r="E173" s="173" t="s">
        <v>29</v>
      </c>
      <c r="F173" s="185" t="s">
        <v>39</v>
      </c>
      <c r="G173" s="173" t="s">
        <v>33</v>
      </c>
      <c r="H173" s="173">
        <v>2</v>
      </c>
      <c r="I173" s="173">
        <f t="shared" si="16"/>
        <v>-6.2659013928097425</v>
      </c>
      <c r="J173" s="173">
        <v>0.20928449536456342</v>
      </c>
      <c r="K173" s="173" t="s">
        <v>31</v>
      </c>
      <c r="L173" s="173" t="s">
        <v>31</v>
      </c>
      <c r="M173" s="173" t="s">
        <v>31</v>
      </c>
      <c r="N173" s="173"/>
      <c r="O173" s="305" t="s">
        <v>947</v>
      </c>
      <c r="P173" s="306">
        <v>1.9</v>
      </c>
      <c r="Q173" s="173" t="s">
        <v>337</v>
      </c>
      <c r="R173" s="173">
        <f t="shared" si="17"/>
        <v>1.9E-3</v>
      </c>
      <c r="S173" s="173"/>
      <c r="T173" s="173"/>
      <c r="U173" s="173"/>
    </row>
    <row r="174" spans="1:21" s="42" customFormat="1">
      <c r="A174" s="209" t="s">
        <v>5</v>
      </c>
      <c r="B174" s="210" t="s">
        <v>1361</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7</v>
      </c>
      <c r="B175" s="173" t="s">
        <v>566</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9</v>
      </c>
      <c r="B176" s="173" t="s">
        <v>1362</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11</v>
      </c>
      <c r="B177" s="179" t="s">
        <v>913</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13</v>
      </c>
      <c r="B178" s="173" t="s">
        <v>14</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15</v>
      </c>
      <c r="B179" s="277">
        <f>B184</f>
        <v>0.02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16</v>
      </c>
      <c r="B180" s="173" t="s">
        <v>17</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18</v>
      </c>
      <c r="B181" s="173" t="s">
        <v>206</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19</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20</v>
      </c>
      <c r="B183" s="175" t="s">
        <v>21</v>
      </c>
      <c r="C183" s="175" t="s">
        <v>18</v>
      </c>
      <c r="D183" s="175" t="s">
        <v>22</v>
      </c>
      <c r="E183" s="175" t="s">
        <v>7</v>
      </c>
      <c r="F183" s="175" t="s">
        <v>13</v>
      </c>
      <c r="G183" s="175" t="s">
        <v>16</v>
      </c>
      <c r="H183" s="175" t="s">
        <v>23</v>
      </c>
      <c r="I183" s="175" t="s">
        <v>24</v>
      </c>
      <c r="J183" s="175" t="s">
        <v>25</v>
      </c>
      <c r="K183" s="175" t="s">
        <v>26</v>
      </c>
      <c r="L183" s="175" t="s">
        <v>27</v>
      </c>
      <c r="M183" s="175" t="s">
        <v>28</v>
      </c>
      <c r="N183" s="175" t="s">
        <v>11</v>
      </c>
      <c r="O183" s="173"/>
      <c r="P183" s="173"/>
      <c r="Q183" s="173"/>
      <c r="R183" s="173"/>
      <c r="S183" s="173"/>
      <c r="T183" s="173"/>
      <c r="U183" s="173"/>
    </row>
    <row r="184" spans="1:21">
      <c r="A184" s="271" t="s">
        <v>1361</v>
      </c>
      <c r="B184" s="265">
        <v>0.02</v>
      </c>
      <c r="C184" s="173" t="s">
        <v>206</v>
      </c>
      <c r="D184" s="258" t="s">
        <v>2</v>
      </c>
      <c r="E184" s="173" t="s">
        <v>29</v>
      </c>
      <c r="F184" s="185" t="s">
        <v>14</v>
      </c>
      <c r="G184" s="173" t="s">
        <v>30</v>
      </c>
      <c r="H184" s="173">
        <v>1</v>
      </c>
      <c r="I184" s="265">
        <f>B184</f>
        <v>0.02</v>
      </c>
      <c r="J184" s="173" t="s">
        <v>31</v>
      </c>
      <c r="K184" s="173" t="s">
        <v>31</v>
      </c>
      <c r="L184" s="173" t="s">
        <v>31</v>
      </c>
      <c r="M184" s="173" t="s">
        <v>31</v>
      </c>
      <c r="N184" s="173"/>
      <c r="O184" s="173"/>
      <c r="P184" s="173"/>
      <c r="Q184" s="173"/>
      <c r="R184" s="173"/>
      <c r="S184" s="173"/>
      <c r="T184" s="173"/>
      <c r="U184" s="173"/>
    </row>
    <row r="185" spans="1:21">
      <c r="A185" s="173" t="s">
        <v>1363</v>
      </c>
      <c r="B185" s="265">
        <v>0.02</v>
      </c>
      <c r="C185" s="173" t="s">
        <v>206</v>
      </c>
      <c r="D185" s="258" t="s">
        <v>2</v>
      </c>
      <c r="E185" s="173" t="s">
        <v>29</v>
      </c>
      <c r="F185" s="185" t="s">
        <v>14</v>
      </c>
      <c r="G185" s="173" t="s">
        <v>33</v>
      </c>
      <c r="H185" s="173">
        <v>1</v>
      </c>
      <c r="I185" s="265">
        <f>B185</f>
        <v>0.02</v>
      </c>
      <c r="J185" s="173" t="s">
        <v>31</v>
      </c>
      <c r="K185" s="173" t="s">
        <v>31</v>
      </c>
      <c r="L185" s="173" t="s">
        <v>31</v>
      </c>
      <c r="M185" s="173" t="s">
        <v>31</v>
      </c>
      <c r="N185" s="173"/>
      <c r="O185" s="173"/>
      <c r="P185" s="173"/>
      <c r="Q185" s="173"/>
      <c r="R185" s="173"/>
      <c r="S185" s="173"/>
      <c r="T185" s="173"/>
      <c r="U185" s="173"/>
    </row>
    <row r="186" spans="1:21">
      <c r="A186" s="177" t="s">
        <v>168</v>
      </c>
      <c r="B186" s="184">
        <f>P186</f>
        <v>1.1499999999999999</v>
      </c>
      <c r="C186" s="173" t="s">
        <v>41</v>
      </c>
      <c r="D186" s="173" t="s">
        <v>38</v>
      </c>
      <c r="E186" s="173" t="s">
        <v>29</v>
      </c>
      <c r="F186" s="185" t="s">
        <v>35</v>
      </c>
      <c r="G186" s="173" t="s">
        <v>33</v>
      </c>
      <c r="H186" s="173">
        <v>2</v>
      </c>
      <c r="I186" s="173">
        <f t="shared" ref="I186:I187" si="18">LN(B186)</f>
        <v>0.13976194237515863</v>
      </c>
      <c r="J186" s="173">
        <v>0.20928449536456342</v>
      </c>
      <c r="K186" s="173" t="s">
        <v>31</v>
      </c>
      <c r="L186" s="173" t="s">
        <v>31</v>
      </c>
      <c r="M186" s="173" t="s">
        <v>31</v>
      </c>
      <c r="N186" s="173"/>
      <c r="O186" s="242" t="s">
        <v>332</v>
      </c>
      <c r="P186" s="264">
        <f>0.36+0.79</f>
        <v>1.1499999999999999</v>
      </c>
      <c r="Q186" s="173"/>
      <c r="R186" s="173"/>
      <c r="S186" s="173"/>
      <c r="T186" s="173"/>
      <c r="U186" s="173"/>
    </row>
    <row r="187" spans="1:21">
      <c r="A187" s="177" t="s">
        <v>933</v>
      </c>
      <c r="B187" s="173">
        <f>R187</f>
        <v>2.3E-3</v>
      </c>
      <c r="C187" s="173" t="s">
        <v>37</v>
      </c>
      <c r="D187" s="173" t="s">
        <v>38</v>
      </c>
      <c r="E187" s="173" t="s">
        <v>29</v>
      </c>
      <c r="F187" s="185" t="s">
        <v>39</v>
      </c>
      <c r="G187" s="173" t="s">
        <v>33</v>
      </c>
      <c r="H187" s="173">
        <v>2</v>
      </c>
      <c r="I187" s="173">
        <f t="shared" si="18"/>
        <v>-6.074846156047033</v>
      </c>
      <c r="J187" s="173">
        <v>0.20928449536456342</v>
      </c>
      <c r="K187" s="173" t="s">
        <v>31</v>
      </c>
      <c r="L187" s="173" t="s">
        <v>31</v>
      </c>
      <c r="M187" s="173" t="s">
        <v>31</v>
      </c>
      <c r="N187" s="173"/>
      <c r="O187" s="242" t="s">
        <v>947</v>
      </c>
      <c r="P187" s="264">
        <v>2.2999999999999998</v>
      </c>
      <c r="Q187" s="173" t="s">
        <v>337</v>
      </c>
      <c r="R187" s="173">
        <f>P187*0.001</f>
        <v>2.3E-3</v>
      </c>
      <c r="S187" s="173"/>
      <c r="T187" s="173"/>
      <c r="U187" s="173"/>
    </row>
    <row r="188" spans="1:21">
      <c r="A188" s="185" t="s">
        <v>1078</v>
      </c>
      <c r="B188" s="173">
        <f>R188</f>
        <v>2.8E-3</v>
      </c>
      <c r="C188" s="173" t="s">
        <v>37</v>
      </c>
      <c r="D188" s="173" t="s">
        <v>38</v>
      </c>
      <c r="E188" s="173" t="s">
        <v>29</v>
      </c>
      <c r="F188" s="173" t="s">
        <v>35</v>
      </c>
      <c r="G188" s="173" t="s">
        <v>33</v>
      </c>
      <c r="H188" s="173">
        <v>2</v>
      </c>
      <c r="I188" s="173">
        <f>LN(B188)</f>
        <v>-5.8781358618009785</v>
      </c>
      <c r="J188" s="173">
        <v>0.20928449536456342</v>
      </c>
      <c r="K188" s="173" t="s">
        <v>31</v>
      </c>
      <c r="L188" s="173" t="s">
        <v>31</v>
      </c>
      <c r="M188" s="173" t="s">
        <v>31</v>
      </c>
      <c r="N188" s="173"/>
      <c r="O188" s="242" t="s">
        <v>947</v>
      </c>
      <c r="P188" s="264">
        <v>2.8</v>
      </c>
      <c r="Q188" s="173" t="s">
        <v>337</v>
      </c>
      <c r="R188" s="173">
        <f>P188*0.001</f>
        <v>2.8E-3</v>
      </c>
      <c r="S188" s="173"/>
      <c r="T188" s="173"/>
      <c r="U188" s="173"/>
    </row>
    <row r="189" spans="1:21">
      <c r="A189" s="173" t="s">
        <v>1285</v>
      </c>
      <c r="B189" s="173">
        <f>R189</f>
        <v>2.8E-3</v>
      </c>
      <c r="C189" s="173" t="s">
        <v>37</v>
      </c>
      <c r="D189" s="258" t="s">
        <v>2</v>
      </c>
      <c r="E189" s="173" t="s">
        <v>29</v>
      </c>
      <c r="F189" s="185" t="s">
        <v>39</v>
      </c>
      <c r="G189" s="173" t="s">
        <v>33</v>
      </c>
      <c r="H189" s="173">
        <v>2</v>
      </c>
      <c r="I189" s="173">
        <f t="shared" ref="I189" si="19">LN(B189)</f>
        <v>-5.8781358618009785</v>
      </c>
      <c r="J189" s="173">
        <v>0.20928449536456342</v>
      </c>
      <c r="K189" s="173" t="s">
        <v>31</v>
      </c>
      <c r="L189" s="173" t="s">
        <v>31</v>
      </c>
      <c r="M189" s="173" t="s">
        <v>31</v>
      </c>
      <c r="N189" s="173"/>
      <c r="O189" s="305" t="s">
        <v>947</v>
      </c>
      <c r="P189" s="307">
        <v>2.8</v>
      </c>
      <c r="Q189" s="173" t="s">
        <v>337</v>
      </c>
      <c r="R189" s="173">
        <f t="shared" ref="R189" si="20">0.001*P189</f>
        <v>2.8E-3</v>
      </c>
      <c r="S189" s="173"/>
      <c r="T189" s="173"/>
      <c r="U189" s="173"/>
    </row>
    <row r="190" spans="1:21" s="42" customFormat="1">
      <c r="A190" s="209" t="s">
        <v>5</v>
      </c>
      <c r="B190" s="210" t="s">
        <v>1363</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7</v>
      </c>
      <c r="B191" s="173" t="s">
        <v>566</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9</v>
      </c>
      <c r="B192" s="173" t="s">
        <v>1364</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11</v>
      </c>
      <c r="B193" s="179" t="s">
        <v>913</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13</v>
      </c>
      <c r="B194" s="173" t="s">
        <v>14</v>
      </c>
      <c r="C194" s="173"/>
      <c r="D194" s="173"/>
      <c r="E194" s="173"/>
      <c r="F194" s="173"/>
      <c r="G194" s="173"/>
      <c r="H194" s="173"/>
      <c r="I194" s="173"/>
      <c r="J194" s="173"/>
      <c r="K194" s="173"/>
      <c r="L194" s="173"/>
      <c r="M194" s="173"/>
      <c r="N194" s="173"/>
      <c r="O194" s="173"/>
      <c r="P194" s="173"/>
      <c r="Q194" s="173"/>
      <c r="R194" s="173"/>
      <c r="S194" s="173"/>
      <c r="T194" s="173"/>
      <c r="U194" s="173"/>
    </row>
    <row r="195" spans="1:21">
      <c r="A195" s="177" t="s">
        <v>15</v>
      </c>
      <c r="B195" s="277">
        <f>B200</f>
        <v>0.13</v>
      </c>
      <c r="C195" s="173"/>
      <c r="D195" s="173"/>
      <c r="E195" s="173"/>
      <c r="F195" s="173"/>
      <c r="G195" s="173"/>
      <c r="H195" s="173"/>
      <c r="I195" s="173"/>
      <c r="J195" s="173"/>
      <c r="K195" s="173"/>
      <c r="L195" s="173"/>
      <c r="M195" s="173"/>
      <c r="N195" s="173"/>
      <c r="O195" s="173"/>
      <c r="P195" s="173"/>
      <c r="Q195" s="173"/>
      <c r="R195" s="173"/>
      <c r="S195" s="173"/>
      <c r="T195" s="173"/>
      <c r="U195" s="173"/>
    </row>
    <row r="196" spans="1:21">
      <c r="A196" s="177" t="s">
        <v>16</v>
      </c>
      <c r="B196" s="173" t="s">
        <v>17</v>
      </c>
      <c r="C196" s="173"/>
      <c r="D196" s="173"/>
      <c r="E196" s="173"/>
      <c r="F196" s="173"/>
      <c r="G196" s="173"/>
      <c r="H196" s="173"/>
      <c r="I196" s="173"/>
      <c r="J196" s="173"/>
      <c r="K196" s="173"/>
      <c r="L196" s="173"/>
      <c r="M196" s="173"/>
      <c r="N196" s="173"/>
      <c r="O196" s="173"/>
      <c r="P196" s="173"/>
      <c r="Q196" s="173"/>
      <c r="R196" s="175" t="s">
        <v>1023</v>
      </c>
      <c r="S196" s="173"/>
      <c r="T196" s="173"/>
      <c r="U196" s="173"/>
    </row>
    <row r="197" spans="1:21">
      <c r="A197" s="177" t="s">
        <v>18</v>
      </c>
      <c r="B197" s="173" t="s">
        <v>206</v>
      </c>
      <c r="C197" s="173"/>
      <c r="D197" s="173"/>
      <c r="E197" s="173"/>
      <c r="F197" s="173"/>
      <c r="G197" s="173"/>
      <c r="H197" s="173"/>
      <c r="I197" s="173"/>
      <c r="J197" s="173"/>
      <c r="K197" s="173"/>
      <c r="L197" s="173"/>
      <c r="M197" s="173"/>
      <c r="N197" s="173"/>
      <c r="O197" s="173"/>
      <c r="P197" s="173"/>
      <c r="Q197" s="173"/>
      <c r="R197" s="173" t="s">
        <v>1024</v>
      </c>
      <c r="S197" s="173">
        <v>8900</v>
      </c>
      <c r="T197" s="173" t="s">
        <v>1025</v>
      </c>
      <c r="U197" s="173"/>
    </row>
    <row r="198" spans="1:21">
      <c r="A198" s="174" t="s">
        <v>19</v>
      </c>
      <c r="B198" s="173"/>
      <c r="C198" s="173"/>
      <c r="D198" s="173"/>
      <c r="E198" s="173"/>
      <c r="F198" s="173"/>
      <c r="G198" s="173"/>
      <c r="H198" s="173"/>
      <c r="I198" s="173"/>
      <c r="J198" s="173"/>
      <c r="K198" s="173"/>
      <c r="L198" s="173"/>
      <c r="M198" s="173"/>
      <c r="N198" s="173"/>
      <c r="O198" s="173"/>
      <c r="P198" s="173"/>
      <c r="Q198" s="173"/>
      <c r="R198" s="173" t="s">
        <v>1026</v>
      </c>
      <c r="S198" s="173">
        <f>5*10^-6</f>
        <v>4.9999999999999996E-6</v>
      </c>
      <c r="T198" s="173" t="s">
        <v>1027</v>
      </c>
      <c r="U198" s="173"/>
    </row>
    <row r="199" spans="1:21">
      <c r="A199" s="175" t="s">
        <v>20</v>
      </c>
      <c r="B199" s="175" t="s">
        <v>21</v>
      </c>
      <c r="C199" s="175" t="s">
        <v>18</v>
      </c>
      <c r="D199" s="175" t="s">
        <v>22</v>
      </c>
      <c r="E199" s="175" t="s">
        <v>7</v>
      </c>
      <c r="F199" s="175" t="s">
        <v>13</v>
      </c>
      <c r="G199" s="175" t="s">
        <v>16</v>
      </c>
      <c r="H199" s="175" t="s">
        <v>23</v>
      </c>
      <c r="I199" s="175" t="s">
        <v>24</v>
      </c>
      <c r="J199" s="175" t="s">
        <v>25</v>
      </c>
      <c r="K199" s="175" t="s">
        <v>26</v>
      </c>
      <c r="L199" s="175" t="s">
        <v>27</v>
      </c>
      <c r="M199" s="175" t="s">
        <v>28</v>
      </c>
      <c r="N199" s="175" t="s">
        <v>11</v>
      </c>
      <c r="O199" s="173"/>
      <c r="P199" s="173"/>
      <c r="Q199" s="173"/>
      <c r="R199" s="280" t="s">
        <v>1029</v>
      </c>
      <c r="S199" s="281">
        <f>S198*S197</f>
        <v>4.4499999999999998E-2</v>
      </c>
      <c r="T199" s="282" t="s">
        <v>985</v>
      </c>
      <c r="U199" s="173"/>
    </row>
    <row r="200" spans="1:21">
      <c r="A200" s="173" t="s">
        <v>1363</v>
      </c>
      <c r="B200" s="265">
        <v>0.13</v>
      </c>
      <c r="C200" s="173" t="s">
        <v>206</v>
      </c>
      <c r="D200" s="258" t="s">
        <v>2</v>
      </c>
      <c r="E200" s="173" t="s">
        <v>29</v>
      </c>
      <c r="F200" s="173" t="s">
        <v>14</v>
      </c>
      <c r="G200" s="173" t="s">
        <v>30</v>
      </c>
      <c r="H200" s="173">
        <v>1</v>
      </c>
      <c r="I200" s="173">
        <f t="shared" ref="I200:I202" si="21">B200</f>
        <v>0.13</v>
      </c>
      <c r="J200" s="173" t="s">
        <v>31</v>
      </c>
      <c r="K200" s="173" t="s">
        <v>31</v>
      </c>
      <c r="L200" s="173" t="s">
        <v>31</v>
      </c>
      <c r="M200" s="173" t="s">
        <v>31</v>
      </c>
      <c r="N200" s="173"/>
      <c r="O200" s="308" t="s">
        <v>1031</v>
      </c>
      <c r="P200" s="309">
        <f>B200*100</f>
        <v>13</v>
      </c>
      <c r="Q200" s="173"/>
      <c r="R200" s="173"/>
      <c r="S200" s="173"/>
      <c r="T200" s="173"/>
      <c r="U200" s="173"/>
    </row>
    <row r="201" spans="1:21">
      <c r="A201" s="173" t="s">
        <v>1365</v>
      </c>
      <c r="B201" s="265">
        <v>0.13</v>
      </c>
      <c r="C201" s="173" t="s">
        <v>206</v>
      </c>
      <c r="D201" s="258" t="s">
        <v>2</v>
      </c>
      <c r="E201" s="173" t="s">
        <v>29</v>
      </c>
      <c r="F201" s="173" t="s">
        <v>14</v>
      </c>
      <c r="G201" s="173" t="s">
        <v>33</v>
      </c>
      <c r="H201" s="173">
        <v>1</v>
      </c>
      <c r="I201" s="173">
        <f t="shared" si="21"/>
        <v>0.13</v>
      </c>
      <c r="J201" s="173">
        <v>7.2284161474004766E-2</v>
      </c>
      <c r="K201" s="173" t="s">
        <v>31</v>
      </c>
      <c r="L201" s="173" t="s">
        <v>31</v>
      </c>
      <c r="M201" s="173" t="s">
        <v>31</v>
      </c>
      <c r="N201" s="173"/>
      <c r="O201" s="242" t="s">
        <v>1031</v>
      </c>
      <c r="P201" s="264">
        <f>B201*100</f>
        <v>13</v>
      </c>
      <c r="Q201" s="173"/>
      <c r="R201" s="173" t="s">
        <v>1032</v>
      </c>
      <c r="S201" s="173"/>
      <c r="T201" s="173"/>
      <c r="U201" s="260"/>
    </row>
    <row r="202" spans="1:21">
      <c r="A202" s="271" t="s">
        <v>1321</v>
      </c>
      <c r="B202" s="270">
        <f>T202</f>
        <v>7.5650000000000005E-3</v>
      </c>
      <c r="C202" s="173" t="s">
        <v>37</v>
      </c>
      <c r="D202" s="258" t="s">
        <v>2</v>
      </c>
      <c r="E202" s="173" t="s">
        <v>29</v>
      </c>
      <c r="F202" s="185" t="s">
        <v>14</v>
      </c>
      <c r="G202" s="173" t="s">
        <v>33</v>
      </c>
      <c r="H202" s="173">
        <v>1</v>
      </c>
      <c r="I202" s="173">
        <f t="shared" si="21"/>
        <v>7.5650000000000005E-3</v>
      </c>
      <c r="J202" s="173">
        <v>7.2284161474004766E-2</v>
      </c>
      <c r="K202" s="173" t="s">
        <v>31</v>
      </c>
      <c r="L202" s="173" t="s">
        <v>31</v>
      </c>
      <c r="M202" s="173" t="s">
        <v>31</v>
      </c>
      <c r="N202" s="173"/>
      <c r="O202" s="271"/>
      <c r="P202" s="272"/>
      <c r="Q202" s="173"/>
      <c r="R202" s="284">
        <v>0.17</v>
      </c>
      <c r="S202" s="285" t="s">
        <v>945</v>
      </c>
      <c r="T202" s="284">
        <f>R202*S199</f>
        <v>7.5650000000000005E-3</v>
      </c>
      <c r="U202" s="285" t="s">
        <v>337</v>
      </c>
    </row>
    <row r="203" spans="1:21">
      <c r="A203" s="177" t="s">
        <v>933</v>
      </c>
      <c r="B203" s="173">
        <v>1.3</v>
      </c>
      <c r="C203" s="173" t="s">
        <v>37</v>
      </c>
      <c r="D203" s="173" t="s">
        <v>38</v>
      </c>
      <c r="E203" s="173" t="s">
        <v>29</v>
      </c>
      <c r="F203" s="185" t="s">
        <v>39</v>
      </c>
      <c r="G203" s="173" t="s">
        <v>33</v>
      </c>
      <c r="H203" s="173">
        <v>2</v>
      </c>
      <c r="I203" s="173">
        <f t="shared" ref="I203" si="22">LN(B203)</f>
        <v>0.26236426446749106</v>
      </c>
      <c r="J203" s="173">
        <v>7.2284161474004766E-2</v>
      </c>
      <c r="K203" s="173" t="s">
        <v>31</v>
      </c>
      <c r="L203" s="173" t="s">
        <v>31</v>
      </c>
      <c r="M203" s="173" t="s">
        <v>31</v>
      </c>
      <c r="N203" s="173"/>
      <c r="O203" s="271"/>
      <c r="P203" s="272"/>
      <c r="Q203" s="173"/>
      <c r="R203" s="173"/>
      <c r="S203" s="173"/>
      <c r="T203" s="173"/>
      <c r="U203" s="173"/>
    </row>
    <row r="204" spans="1:21">
      <c r="A204" s="185" t="s">
        <v>1021</v>
      </c>
      <c r="B204" s="310">
        <f>0.1*10^(-6)</f>
        <v>9.9999999999999995E-8</v>
      </c>
      <c r="C204" s="173" t="s">
        <v>37</v>
      </c>
      <c r="D204" s="173" t="s">
        <v>38</v>
      </c>
      <c r="E204" s="173" t="s">
        <v>29</v>
      </c>
      <c r="F204" s="185" t="s">
        <v>60</v>
      </c>
      <c r="G204" s="173" t="s">
        <v>33</v>
      </c>
      <c r="H204" s="173">
        <v>2</v>
      </c>
      <c r="I204" s="173">
        <f>LN(B204)</f>
        <v>-16.11809565095832</v>
      </c>
      <c r="J204" s="173">
        <v>7.2284161474004766E-2</v>
      </c>
      <c r="K204" s="173" t="s">
        <v>31</v>
      </c>
      <c r="L204" s="173" t="s">
        <v>31</v>
      </c>
      <c r="M204" s="173" t="s">
        <v>31</v>
      </c>
      <c r="N204" s="173"/>
      <c r="O204" s="271"/>
      <c r="P204" s="272"/>
      <c r="Q204" s="173"/>
      <c r="R204" s="173"/>
      <c r="S204" s="173"/>
      <c r="T204" s="173"/>
      <c r="U204" s="173"/>
    </row>
    <row r="205" spans="1:21">
      <c r="A205" s="185" t="s">
        <v>489</v>
      </c>
      <c r="B205" s="173">
        <f>0.001*1.3</f>
        <v>1.3000000000000002E-3</v>
      </c>
      <c r="C205" s="173" t="s">
        <v>50</v>
      </c>
      <c r="D205" s="173" t="s">
        <v>38</v>
      </c>
      <c r="E205" s="173" t="s">
        <v>29</v>
      </c>
      <c r="F205" s="185" t="s">
        <v>39</v>
      </c>
      <c r="G205" s="173" t="s">
        <v>33</v>
      </c>
      <c r="H205" s="173">
        <v>2</v>
      </c>
      <c r="I205" s="173">
        <f t="shared" ref="I205" si="23">LN(B205)</f>
        <v>-6.6453910145146455</v>
      </c>
      <c r="J205" s="173">
        <v>7.2284161474004766E-2</v>
      </c>
      <c r="K205" s="173" t="s">
        <v>31</v>
      </c>
      <c r="L205" s="173" t="s">
        <v>31</v>
      </c>
      <c r="M205" s="173" t="s">
        <v>31</v>
      </c>
      <c r="N205" s="173"/>
      <c r="O205" s="271"/>
      <c r="P205" s="272"/>
      <c r="Q205" s="289"/>
      <c r="R205" s="173"/>
      <c r="S205" s="173"/>
      <c r="T205" s="173"/>
      <c r="U205" s="173"/>
    </row>
    <row r="206" spans="1:21" s="42" customFormat="1">
      <c r="A206" s="209" t="s">
        <v>5</v>
      </c>
      <c r="B206" s="210" t="s">
        <v>1365</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7</v>
      </c>
      <c r="B207" s="173" t="s">
        <v>566</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9</v>
      </c>
      <c r="B208" s="173" t="s">
        <v>1366</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11</v>
      </c>
      <c r="B209" s="179" t="s">
        <v>913</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13</v>
      </c>
      <c r="B210" s="173" t="s">
        <v>14</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15</v>
      </c>
      <c r="B211" s="277">
        <v>0.1</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16</v>
      </c>
      <c r="B212" s="173" t="s">
        <v>17</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18</v>
      </c>
      <c r="B213" s="173" t="s">
        <v>206</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19</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20</v>
      </c>
      <c r="B215" s="175" t="s">
        <v>21</v>
      </c>
      <c r="C215" s="175" t="s">
        <v>18</v>
      </c>
      <c r="D215" s="175" t="s">
        <v>22</v>
      </c>
      <c r="E215" s="175" t="s">
        <v>7</v>
      </c>
      <c r="F215" s="175" t="s">
        <v>13</v>
      </c>
      <c r="G215" s="175" t="s">
        <v>16</v>
      </c>
      <c r="H215" s="175" t="s">
        <v>23</v>
      </c>
      <c r="I215" s="175" t="s">
        <v>24</v>
      </c>
      <c r="J215" s="175" t="s">
        <v>25</v>
      </c>
      <c r="K215" s="175" t="s">
        <v>26</v>
      </c>
      <c r="L215" s="175" t="s">
        <v>27</v>
      </c>
      <c r="M215" s="175" t="s">
        <v>28</v>
      </c>
      <c r="N215" s="175" t="s">
        <v>11</v>
      </c>
      <c r="O215" s="173"/>
      <c r="P215" s="173"/>
      <c r="Q215" s="173"/>
      <c r="R215" s="173"/>
      <c r="S215" s="173"/>
      <c r="T215" s="173"/>
      <c r="U215" s="173"/>
    </row>
    <row r="216" spans="1:21">
      <c r="A216" s="173" t="s">
        <v>1365</v>
      </c>
      <c r="B216" s="265">
        <f>0.01</f>
        <v>0.01</v>
      </c>
      <c r="C216" s="173" t="s">
        <v>206</v>
      </c>
      <c r="D216" s="258" t="s">
        <v>2</v>
      </c>
      <c r="E216" s="173" t="s">
        <v>29</v>
      </c>
      <c r="F216" s="173" t="s">
        <v>14</v>
      </c>
      <c r="G216" s="173" t="s">
        <v>30</v>
      </c>
      <c r="H216" s="173">
        <v>1</v>
      </c>
      <c r="I216" s="173">
        <f t="shared" ref="I216:I217" si="24">B216</f>
        <v>0.01</v>
      </c>
      <c r="J216" s="173" t="s">
        <v>31</v>
      </c>
      <c r="K216" s="173" t="s">
        <v>31</v>
      </c>
      <c r="L216" s="173" t="s">
        <v>31</v>
      </c>
      <c r="M216" s="173" t="s">
        <v>31</v>
      </c>
      <c r="N216" s="173"/>
      <c r="O216" s="242" t="s">
        <v>1031</v>
      </c>
      <c r="P216" s="264">
        <f>B216*100</f>
        <v>1</v>
      </c>
      <c r="Q216" s="173"/>
      <c r="R216" s="173"/>
      <c r="S216" s="173"/>
      <c r="T216" s="173"/>
      <c r="U216" s="173"/>
    </row>
    <row r="217" spans="1:21">
      <c r="A217" s="173" t="s">
        <v>1324</v>
      </c>
      <c r="B217" s="265">
        <f>0.01</f>
        <v>0.01</v>
      </c>
      <c r="C217" s="173" t="s">
        <v>37</v>
      </c>
      <c r="D217" s="258" t="s">
        <v>2</v>
      </c>
      <c r="E217" s="173" t="s">
        <v>29</v>
      </c>
      <c r="F217" s="173" t="s">
        <v>14</v>
      </c>
      <c r="G217" s="173" t="s">
        <v>33</v>
      </c>
      <c r="H217" s="173">
        <v>1</v>
      </c>
      <c r="I217" s="173">
        <f t="shared" si="24"/>
        <v>0.01</v>
      </c>
      <c r="J217" s="173" t="s">
        <v>31</v>
      </c>
      <c r="K217" s="173" t="s">
        <v>31</v>
      </c>
      <c r="L217" s="173" t="s">
        <v>31</v>
      </c>
      <c r="M217" s="173" t="s">
        <v>31</v>
      </c>
      <c r="N217" s="173"/>
      <c r="O217" s="286"/>
      <c r="P217" s="287"/>
      <c r="Q217" s="173"/>
      <c r="R217" s="173"/>
      <c r="S217" s="173"/>
      <c r="T217" s="173"/>
      <c r="U217" s="173"/>
    </row>
    <row r="218" spans="1:21">
      <c r="A218" s="177" t="s">
        <v>168</v>
      </c>
      <c r="B218" s="184">
        <f>P218</f>
        <v>0.09</v>
      </c>
      <c r="C218" s="173" t="s">
        <v>41</v>
      </c>
      <c r="D218" s="173" t="s">
        <v>38</v>
      </c>
      <c r="E218" s="173" t="s">
        <v>29</v>
      </c>
      <c r="F218" s="185" t="s">
        <v>35</v>
      </c>
      <c r="G218" s="173" t="s">
        <v>33</v>
      </c>
      <c r="H218" s="173">
        <v>2</v>
      </c>
      <c r="I218" s="173">
        <f t="shared" ref="I218:I219" si="25">LN(B218)</f>
        <v>-2.4079456086518722</v>
      </c>
      <c r="J218" s="173">
        <v>7.2284161474004766E-2</v>
      </c>
      <c r="K218" s="173" t="s">
        <v>31</v>
      </c>
      <c r="L218" s="173" t="s">
        <v>31</v>
      </c>
      <c r="M218" s="173" t="s">
        <v>31</v>
      </c>
      <c r="N218" s="173"/>
      <c r="O218" s="242" t="s">
        <v>332</v>
      </c>
      <c r="P218" s="296">
        <v>0.09</v>
      </c>
      <c r="Q218" s="173"/>
      <c r="R218" s="173"/>
      <c r="S218" s="173"/>
      <c r="T218" s="173"/>
      <c r="U218" s="173"/>
    </row>
    <row r="219" spans="1:21">
      <c r="A219" s="185" t="s">
        <v>1017</v>
      </c>
      <c r="B219" s="173">
        <f>R219</f>
        <v>2E-3</v>
      </c>
      <c r="C219" s="265" t="s">
        <v>37</v>
      </c>
      <c r="D219" s="173" t="s">
        <v>38</v>
      </c>
      <c r="E219" s="173" t="s">
        <v>29</v>
      </c>
      <c r="F219" s="173" t="s">
        <v>60</v>
      </c>
      <c r="G219" s="173" t="s">
        <v>33</v>
      </c>
      <c r="H219" s="173">
        <v>2</v>
      </c>
      <c r="I219" s="173">
        <f t="shared" si="25"/>
        <v>-6.2146080984221914</v>
      </c>
      <c r="J219" s="173">
        <v>7.2284161474004766E-2</v>
      </c>
      <c r="K219" s="173" t="s">
        <v>31</v>
      </c>
      <c r="L219" s="173" t="s">
        <v>31</v>
      </c>
      <c r="M219" s="173" t="s">
        <v>31</v>
      </c>
      <c r="N219" s="173"/>
      <c r="O219" s="242" t="s">
        <v>947</v>
      </c>
      <c r="P219" s="296">
        <v>2</v>
      </c>
      <c r="Q219" s="173" t="s">
        <v>337</v>
      </c>
      <c r="R219" s="173">
        <f>P219*0.001</f>
        <v>2E-3</v>
      </c>
      <c r="S219" s="173"/>
      <c r="T219" s="173"/>
      <c r="U219" s="173"/>
    </row>
    <row r="220" spans="1:21">
      <c r="A220" s="262" t="s">
        <v>1018</v>
      </c>
      <c r="B220" s="173">
        <f t="shared" ref="B220:B221" si="26">R220</f>
        <v>4.0000000000000001E-3</v>
      </c>
      <c r="C220" s="173" t="s">
        <v>37</v>
      </c>
      <c r="D220" s="173" t="s">
        <v>38</v>
      </c>
      <c r="E220" s="173" t="s">
        <v>29</v>
      </c>
      <c r="F220" s="185" t="s">
        <v>35</v>
      </c>
      <c r="G220" s="173" t="s">
        <v>33</v>
      </c>
      <c r="H220" s="173">
        <v>2</v>
      </c>
      <c r="I220" s="173">
        <f>LN(B220)</f>
        <v>-5.521460917862246</v>
      </c>
      <c r="J220" s="173">
        <v>7.2284161474004766E-2</v>
      </c>
      <c r="K220" s="173" t="s">
        <v>31</v>
      </c>
      <c r="L220" s="173" t="s">
        <v>31</v>
      </c>
      <c r="M220" s="173" t="s">
        <v>31</v>
      </c>
      <c r="N220" s="173"/>
      <c r="O220" s="242" t="s">
        <v>947</v>
      </c>
      <c r="P220" s="296">
        <v>4</v>
      </c>
      <c r="Q220" s="173" t="s">
        <v>337</v>
      </c>
      <c r="R220" s="173">
        <f>P220*0.001</f>
        <v>4.0000000000000001E-3</v>
      </c>
      <c r="S220" s="173"/>
      <c r="T220" s="173"/>
      <c r="U220" s="173"/>
    </row>
    <row r="221" spans="1:21">
      <c r="A221" s="177" t="s">
        <v>933</v>
      </c>
      <c r="B221" s="173">
        <f t="shared" si="26"/>
        <v>3.3999999999999998E-3</v>
      </c>
      <c r="C221" s="173" t="s">
        <v>37</v>
      </c>
      <c r="D221" s="173" t="s">
        <v>38</v>
      </c>
      <c r="E221" s="173" t="s">
        <v>29</v>
      </c>
      <c r="F221" s="185" t="s">
        <v>39</v>
      </c>
      <c r="G221" s="173" t="s">
        <v>33</v>
      </c>
      <c r="H221" s="173">
        <v>2</v>
      </c>
      <c r="I221" s="173">
        <f t="shared" ref="I221:I222" si="27">LN(B221)</f>
        <v>-5.6839798473600212</v>
      </c>
      <c r="J221" s="173">
        <v>7.2284161474004766E-2</v>
      </c>
      <c r="K221" s="173" t="s">
        <v>31</v>
      </c>
      <c r="L221" s="173" t="s">
        <v>31</v>
      </c>
      <c r="M221" s="173" t="s">
        <v>31</v>
      </c>
      <c r="N221" s="173"/>
      <c r="O221" s="242" t="s">
        <v>337</v>
      </c>
      <c r="P221" s="296">
        <v>3.4</v>
      </c>
      <c r="Q221" s="173" t="s">
        <v>337</v>
      </c>
      <c r="R221" s="173">
        <f t="shared" ref="R221" si="28">0.001*P221</f>
        <v>3.3999999999999998E-3</v>
      </c>
      <c r="S221" s="173"/>
      <c r="T221" s="173"/>
      <c r="U221" s="173"/>
    </row>
    <row r="222" spans="1:21">
      <c r="A222" s="185" t="s">
        <v>489</v>
      </c>
      <c r="B222" s="173">
        <f>R222</f>
        <v>3.3999999999999998E-3</v>
      </c>
      <c r="C222" s="173" t="s">
        <v>50</v>
      </c>
      <c r="D222" s="173" t="s">
        <v>38</v>
      </c>
      <c r="E222" s="173" t="s">
        <v>29</v>
      </c>
      <c r="F222" s="185" t="s">
        <v>39</v>
      </c>
      <c r="G222" s="173" t="s">
        <v>33</v>
      </c>
      <c r="H222" s="173">
        <v>2</v>
      </c>
      <c r="I222" s="173">
        <f t="shared" si="27"/>
        <v>-5.6839798473600212</v>
      </c>
      <c r="J222" s="173">
        <v>7.2284161474004766E-2</v>
      </c>
      <c r="K222" s="173" t="s">
        <v>31</v>
      </c>
      <c r="L222" s="173" t="s">
        <v>31</v>
      </c>
      <c r="M222" s="173" t="s">
        <v>31</v>
      </c>
      <c r="N222" s="173"/>
      <c r="O222" s="268" t="s">
        <v>1009</v>
      </c>
      <c r="P222" s="306">
        <v>3.4</v>
      </c>
      <c r="Q222" s="173" t="s">
        <v>335</v>
      </c>
      <c r="R222" s="173">
        <f>0.001*P222</f>
        <v>3.3999999999999998E-3</v>
      </c>
      <c r="S222" s="173"/>
      <c r="T222" s="173"/>
      <c r="U222" s="173"/>
    </row>
    <row r="223" spans="1:21" s="42" customFormat="1">
      <c r="A223" s="209" t="s">
        <v>5</v>
      </c>
      <c r="B223" s="304" t="s">
        <v>1358</v>
      </c>
      <c r="C223" s="211"/>
      <c r="D223" s="188"/>
      <c r="E223" s="188"/>
      <c r="F223" s="188"/>
      <c r="G223" s="188"/>
      <c r="H223" s="188"/>
      <c r="I223" s="188"/>
      <c r="J223" s="188"/>
      <c r="K223" s="188"/>
      <c r="L223" s="188"/>
      <c r="M223" s="188"/>
      <c r="N223" s="188"/>
      <c r="O223" s="188"/>
      <c r="P223" s="188"/>
      <c r="Q223" s="188"/>
      <c r="R223" s="188"/>
      <c r="S223" s="188"/>
      <c r="T223" s="188"/>
      <c r="U223" s="188"/>
    </row>
    <row r="224" spans="1:21">
      <c r="A224" s="177" t="s">
        <v>7</v>
      </c>
      <c r="B224" s="173" t="s">
        <v>566</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9</v>
      </c>
      <c r="B225" s="173" t="s">
        <v>1367</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11</v>
      </c>
      <c r="B226" s="179" t="s">
        <v>913</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13</v>
      </c>
      <c r="B227" s="173" t="s">
        <v>14</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15</v>
      </c>
      <c r="B228" s="277">
        <f>B233</f>
        <v>6.0000000000000001E-3</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16</v>
      </c>
      <c r="B229" s="173" t="s">
        <v>17</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18</v>
      </c>
      <c r="B230" s="173" t="s">
        <v>206</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19</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20</v>
      </c>
      <c r="B232" s="175" t="s">
        <v>21</v>
      </c>
      <c r="C232" s="175" t="s">
        <v>18</v>
      </c>
      <c r="D232" s="175" t="s">
        <v>22</v>
      </c>
      <c r="E232" s="175" t="s">
        <v>7</v>
      </c>
      <c r="F232" s="175" t="s">
        <v>13</v>
      </c>
      <c r="G232" s="175" t="s">
        <v>16</v>
      </c>
      <c r="H232" s="175" t="s">
        <v>23</v>
      </c>
      <c r="I232" s="175" t="s">
        <v>24</v>
      </c>
      <c r="J232" s="175" t="s">
        <v>25</v>
      </c>
      <c r="K232" s="175" t="s">
        <v>26</v>
      </c>
      <c r="L232" s="175" t="s">
        <v>27</v>
      </c>
      <c r="M232" s="175" t="s">
        <v>28</v>
      </c>
      <c r="N232" s="175" t="s">
        <v>11</v>
      </c>
      <c r="O232" s="173"/>
      <c r="P232" s="173"/>
      <c r="Q232" s="173"/>
      <c r="R232" s="173"/>
      <c r="S232" s="173"/>
      <c r="T232" s="173"/>
      <c r="U232" s="173"/>
    </row>
    <row r="233" spans="1:21">
      <c r="A233" s="173" t="s">
        <v>1358</v>
      </c>
      <c r="B233" s="265">
        <f>B234</f>
        <v>6.0000000000000001E-3</v>
      </c>
      <c r="C233" s="173" t="s">
        <v>206</v>
      </c>
      <c r="D233" s="258" t="s">
        <v>2</v>
      </c>
      <c r="E233" s="173" t="s">
        <v>29</v>
      </c>
      <c r="F233" s="185" t="s">
        <v>14</v>
      </c>
      <c r="G233" s="173" t="s">
        <v>30</v>
      </c>
      <c r="H233" s="173">
        <v>1</v>
      </c>
      <c r="I233" s="173">
        <f t="shared" ref="I233:I235" si="29">B233</f>
        <v>6.0000000000000001E-3</v>
      </c>
      <c r="J233" s="173" t="s">
        <v>31</v>
      </c>
      <c r="K233" s="173" t="s">
        <v>31</v>
      </c>
      <c r="L233" s="173" t="s">
        <v>31</v>
      </c>
      <c r="M233" s="173" t="s">
        <v>31</v>
      </c>
      <c r="N233" s="173"/>
      <c r="O233" s="173"/>
      <c r="P233" s="173"/>
      <c r="Q233" s="173"/>
      <c r="R233" s="173"/>
      <c r="S233" s="173"/>
      <c r="T233" s="173"/>
      <c r="U233" s="173"/>
    </row>
    <row r="234" spans="1:21">
      <c r="A234" s="173" t="s">
        <v>1368</v>
      </c>
      <c r="B234" s="265">
        <f>B254</f>
        <v>6.0000000000000001E-3</v>
      </c>
      <c r="C234" s="173" t="s">
        <v>206</v>
      </c>
      <c r="D234" s="258" t="s">
        <v>2</v>
      </c>
      <c r="E234" s="173" t="s">
        <v>29</v>
      </c>
      <c r="F234" s="185" t="s">
        <v>14</v>
      </c>
      <c r="G234" s="173" t="s">
        <v>33</v>
      </c>
      <c r="H234" s="173">
        <v>1</v>
      </c>
      <c r="I234" s="173">
        <f t="shared" si="29"/>
        <v>6.0000000000000001E-3</v>
      </c>
      <c r="J234" s="173" t="s">
        <v>31</v>
      </c>
      <c r="K234" s="173" t="s">
        <v>31</v>
      </c>
      <c r="L234" s="173" t="s">
        <v>31</v>
      </c>
      <c r="M234" s="173" t="s">
        <v>31</v>
      </c>
      <c r="N234" s="173"/>
      <c r="O234" s="173"/>
      <c r="P234" s="173"/>
      <c r="Q234" s="173"/>
      <c r="R234" s="173"/>
      <c r="S234" s="173"/>
      <c r="T234" s="173"/>
      <c r="U234" s="173"/>
    </row>
    <row r="235" spans="1:21">
      <c r="A235" s="173" t="s">
        <v>1369</v>
      </c>
      <c r="B235" s="265">
        <f>B242</f>
        <v>1.0300000000000001E-3</v>
      </c>
      <c r="C235" s="173" t="s">
        <v>206</v>
      </c>
      <c r="D235" s="258" t="s">
        <v>2</v>
      </c>
      <c r="E235" s="173" t="s">
        <v>29</v>
      </c>
      <c r="F235" s="185" t="s">
        <v>14</v>
      </c>
      <c r="G235" s="173" t="s">
        <v>33</v>
      </c>
      <c r="H235" s="173">
        <v>1</v>
      </c>
      <c r="I235" s="173">
        <f t="shared" si="29"/>
        <v>1.0300000000000001E-3</v>
      </c>
      <c r="J235" s="173" t="s">
        <v>31</v>
      </c>
      <c r="K235" s="173" t="s">
        <v>31</v>
      </c>
      <c r="L235" s="173" t="s">
        <v>31</v>
      </c>
      <c r="M235" s="173" t="s">
        <v>31</v>
      </c>
      <c r="N235" s="173"/>
      <c r="O235" s="173"/>
      <c r="P235" s="173"/>
      <c r="Q235" s="173"/>
      <c r="R235" s="173"/>
      <c r="S235" s="173"/>
      <c r="T235" s="173"/>
      <c r="U235" s="173"/>
    </row>
    <row r="236" spans="1:21">
      <c r="A236" s="177" t="s">
        <v>168</v>
      </c>
      <c r="B236" s="184">
        <v>0.14000000000000001</v>
      </c>
      <c r="C236" s="173" t="s">
        <v>41</v>
      </c>
      <c r="D236" s="173" t="s">
        <v>38</v>
      </c>
      <c r="E236" s="173" t="s">
        <v>29</v>
      </c>
      <c r="F236" s="185" t="s">
        <v>35</v>
      </c>
      <c r="G236" s="173" t="s">
        <v>33</v>
      </c>
      <c r="H236" s="173">
        <v>2</v>
      </c>
      <c r="I236" s="173">
        <f t="shared" ref="I236" si="30">LN(B236)</f>
        <v>-1.9661128563728327</v>
      </c>
      <c r="J236" s="173">
        <v>0.20928449536456342</v>
      </c>
      <c r="K236" s="173" t="s">
        <v>31</v>
      </c>
      <c r="L236" s="173" t="s">
        <v>31</v>
      </c>
      <c r="M236" s="173" t="s">
        <v>31</v>
      </c>
      <c r="N236" s="173"/>
      <c r="O236" s="173"/>
      <c r="P236" s="173"/>
      <c r="Q236" s="173"/>
      <c r="R236" s="173"/>
      <c r="S236" s="173"/>
      <c r="T236" s="173"/>
      <c r="U236" s="173"/>
    </row>
    <row r="237" spans="1:21" s="42" customFormat="1">
      <c r="A237" s="209" t="s">
        <v>5</v>
      </c>
      <c r="B237" s="304" t="s">
        <v>1369</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7</v>
      </c>
      <c r="B238" s="173" t="s">
        <v>566</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9</v>
      </c>
      <c r="B239" s="173" t="s">
        <v>1370</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11</v>
      </c>
      <c r="B240" s="179" t="s">
        <v>913</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13</v>
      </c>
      <c r="B241" s="173" t="s">
        <v>14</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15</v>
      </c>
      <c r="B242" s="265">
        <f>B247</f>
        <v>1.0300000000000001E-3</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16</v>
      </c>
      <c r="B243" s="173" t="s">
        <v>17</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18</v>
      </c>
      <c r="B244" s="173" t="s">
        <v>206</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19</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20</v>
      </c>
      <c r="B246" s="175" t="s">
        <v>21</v>
      </c>
      <c r="C246" s="175" t="s">
        <v>18</v>
      </c>
      <c r="D246" s="175" t="s">
        <v>22</v>
      </c>
      <c r="E246" s="175" t="s">
        <v>7</v>
      </c>
      <c r="F246" s="175" t="s">
        <v>13</v>
      </c>
      <c r="G246" s="175" t="s">
        <v>16</v>
      </c>
      <c r="H246" s="175" t="s">
        <v>23</v>
      </c>
      <c r="I246" s="175" t="s">
        <v>24</v>
      </c>
      <c r="J246" s="175" t="s">
        <v>25</v>
      </c>
      <c r="K246" s="175" t="s">
        <v>26</v>
      </c>
      <c r="L246" s="175" t="s">
        <v>27</v>
      </c>
      <c r="M246" s="175" t="s">
        <v>28</v>
      </c>
      <c r="N246" s="175" t="s">
        <v>11</v>
      </c>
      <c r="O246" s="173"/>
      <c r="P246" s="173"/>
      <c r="Q246" s="173"/>
      <c r="R246" s="173"/>
      <c r="S246" s="173"/>
      <c r="T246" s="173"/>
      <c r="U246" s="173"/>
    </row>
    <row r="247" spans="1:21">
      <c r="A247" s="173" t="s">
        <v>1369</v>
      </c>
      <c r="B247" s="265">
        <f>B248</f>
        <v>1.0300000000000001E-3</v>
      </c>
      <c r="C247" s="173" t="s">
        <v>206</v>
      </c>
      <c r="D247" s="258" t="s">
        <v>2</v>
      </c>
      <c r="E247" s="173" t="s">
        <v>29</v>
      </c>
      <c r="F247" s="185" t="s">
        <v>14</v>
      </c>
      <c r="G247" s="173" t="s">
        <v>30</v>
      </c>
      <c r="H247" s="173">
        <v>1</v>
      </c>
      <c r="I247" s="173">
        <f>B247</f>
        <v>1.0300000000000001E-3</v>
      </c>
      <c r="J247" s="173" t="s">
        <v>31</v>
      </c>
      <c r="K247" s="173" t="s">
        <v>31</v>
      </c>
      <c r="L247" s="173" t="s">
        <v>31</v>
      </c>
      <c r="M247" s="173" t="s">
        <v>31</v>
      </c>
      <c r="N247" s="173"/>
      <c r="O247" s="173"/>
      <c r="P247" s="173"/>
      <c r="Q247" s="173"/>
      <c r="R247" s="173"/>
      <c r="S247" s="173"/>
      <c r="T247" s="173"/>
      <c r="U247" s="173"/>
    </row>
    <row r="248" spans="1:21">
      <c r="A248" s="185" t="s">
        <v>1095</v>
      </c>
      <c r="B248" s="265">
        <f>R248</f>
        <v>1.0300000000000001E-3</v>
      </c>
      <c r="C248" s="173" t="s">
        <v>206</v>
      </c>
      <c r="D248" s="173" t="s">
        <v>38</v>
      </c>
      <c r="E248" s="173" t="s">
        <v>29</v>
      </c>
      <c r="F248" s="173" t="s">
        <v>60</v>
      </c>
      <c r="G248" s="173" t="s">
        <v>33</v>
      </c>
      <c r="H248" s="173">
        <v>2</v>
      </c>
      <c r="I248" s="173">
        <f>LN(B248)</f>
        <v>-6.8781964767405928</v>
      </c>
      <c r="J248" s="173">
        <v>3.7749172176353707E-2</v>
      </c>
      <c r="K248" s="173" t="s">
        <v>31</v>
      </c>
      <c r="L248" s="173" t="s">
        <v>31</v>
      </c>
      <c r="M248" s="173" t="s">
        <v>31</v>
      </c>
      <c r="O248" s="173" t="s">
        <v>1371</v>
      </c>
      <c r="P248" s="296">
        <v>10.3</v>
      </c>
      <c r="Q248" s="173" t="s">
        <v>945</v>
      </c>
      <c r="R248" s="173">
        <f>P248*0.0001</f>
        <v>1.0300000000000001E-3</v>
      </c>
      <c r="S248" s="173"/>
      <c r="T248" s="173"/>
      <c r="U248" s="173"/>
    </row>
    <row r="249" spans="1:21" s="42" customFormat="1">
      <c r="A249" s="209" t="s">
        <v>5</v>
      </c>
      <c r="B249" s="210" t="s">
        <v>1368</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7</v>
      </c>
      <c r="B250" s="173" t="s">
        <v>566</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9</v>
      </c>
      <c r="B251" s="173" t="s">
        <v>1372</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11</v>
      </c>
      <c r="B252" s="179" t="s">
        <v>913</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13</v>
      </c>
      <c r="B253" s="173" t="s">
        <v>14</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15</v>
      </c>
      <c r="B254" s="265">
        <f>B259</f>
        <v>6.0000000000000001E-3</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16</v>
      </c>
      <c r="B255" s="173" t="s">
        <v>17</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18</v>
      </c>
      <c r="B256" s="173" t="s">
        <v>206</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19</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20</v>
      </c>
      <c r="B258" s="175" t="s">
        <v>21</v>
      </c>
      <c r="C258" s="175" t="s">
        <v>18</v>
      </c>
      <c r="D258" s="175" t="s">
        <v>22</v>
      </c>
      <c r="E258" s="175" t="s">
        <v>7</v>
      </c>
      <c r="F258" s="175" t="s">
        <v>13</v>
      </c>
      <c r="G258" s="175" t="s">
        <v>16</v>
      </c>
      <c r="H258" s="175" t="s">
        <v>23</v>
      </c>
      <c r="I258" s="175" t="s">
        <v>24</v>
      </c>
      <c r="J258" s="175" t="s">
        <v>25</v>
      </c>
      <c r="K258" s="175" t="s">
        <v>26</v>
      </c>
      <c r="L258" s="175" t="s">
        <v>27</v>
      </c>
      <c r="M258" s="175" t="s">
        <v>28</v>
      </c>
      <c r="N258" s="175" t="s">
        <v>11</v>
      </c>
      <c r="O258" s="173"/>
      <c r="P258" s="173"/>
      <c r="Q258" s="173"/>
      <c r="R258" s="173"/>
      <c r="S258" s="173"/>
      <c r="T258" s="173"/>
      <c r="U258" s="173"/>
    </row>
    <row r="259" spans="1:21">
      <c r="A259" s="173" t="s">
        <v>1368</v>
      </c>
      <c r="B259" s="265">
        <f>B271</f>
        <v>6.0000000000000001E-3</v>
      </c>
      <c r="C259" s="173" t="s">
        <v>206</v>
      </c>
      <c r="D259" s="258" t="s">
        <v>2</v>
      </c>
      <c r="E259" s="173" t="s">
        <v>29</v>
      </c>
      <c r="F259" s="185" t="s">
        <v>14</v>
      </c>
      <c r="G259" s="173" t="s">
        <v>30</v>
      </c>
      <c r="H259" s="173">
        <v>1</v>
      </c>
      <c r="I259" s="173">
        <f t="shared" ref="I259:I260" si="31">B259</f>
        <v>6.0000000000000001E-3</v>
      </c>
      <c r="J259" s="173" t="s">
        <v>31</v>
      </c>
      <c r="K259" s="173" t="s">
        <v>31</v>
      </c>
      <c r="L259" s="173" t="s">
        <v>31</v>
      </c>
      <c r="M259" s="173" t="s">
        <v>31</v>
      </c>
      <c r="N259" s="173"/>
      <c r="O259" s="173"/>
      <c r="P259" s="173"/>
      <c r="Q259" s="173"/>
      <c r="R259" s="173"/>
      <c r="S259" s="173"/>
      <c r="T259" s="173"/>
      <c r="U259" s="173"/>
    </row>
    <row r="260" spans="1:21">
      <c r="A260" s="173" t="s">
        <v>1373</v>
      </c>
      <c r="B260" s="265">
        <f>B271</f>
        <v>6.0000000000000001E-3</v>
      </c>
      <c r="C260" s="173" t="s">
        <v>206</v>
      </c>
      <c r="D260" s="258" t="s">
        <v>2</v>
      </c>
      <c r="E260" s="173" t="s">
        <v>29</v>
      </c>
      <c r="F260" s="173" t="s">
        <v>14</v>
      </c>
      <c r="G260" s="173" t="s">
        <v>33</v>
      </c>
      <c r="H260" s="173">
        <v>1</v>
      </c>
      <c r="I260" s="173">
        <f t="shared" si="31"/>
        <v>6.0000000000000001E-3</v>
      </c>
      <c r="J260" s="173" t="s">
        <v>31</v>
      </c>
      <c r="K260" s="173" t="s">
        <v>31</v>
      </c>
      <c r="L260" s="173" t="s">
        <v>31</v>
      </c>
      <c r="M260" s="173" t="s">
        <v>31</v>
      </c>
      <c r="N260" s="173"/>
      <c r="O260" s="173"/>
      <c r="P260" s="173"/>
      <c r="Q260" s="173"/>
      <c r="R260" s="173"/>
      <c r="S260" s="173"/>
      <c r="T260" s="173"/>
      <c r="U260" s="173"/>
    </row>
    <row r="261" spans="1:21">
      <c r="A261" s="177" t="s">
        <v>168</v>
      </c>
      <c r="B261" s="184">
        <f>R261</f>
        <v>0.05</v>
      </c>
      <c r="C261" s="173" t="s">
        <v>41</v>
      </c>
      <c r="D261" s="173" t="s">
        <v>38</v>
      </c>
      <c r="E261" s="173" t="s">
        <v>29</v>
      </c>
      <c r="F261" s="185" t="s">
        <v>35</v>
      </c>
      <c r="G261" s="173" t="s">
        <v>33</v>
      </c>
      <c r="H261" s="173">
        <v>2</v>
      </c>
      <c r="I261" s="173">
        <f t="shared" ref="I261:I265" si="32">LN(B261)</f>
        <v>-2.9957322735539909</v>
      </c>
      <c r="J261" s="173">
        <v>0.20928449536456342</v>
      </c>
      <c r="K261" s="173" t="s">
        <v>31</v>
      </c>
      <c r="L261" s="173" t="s">
        <v>31</v>
      </c>
      <c r="M261" s="173" t="s">
        <v>31</v>
      </c>
      <c r="N261" s="173"/>
      <c r="O261" s="222" t="s">
        <v>332</v>
      </c>
      <c r="P261" s="296">
        <v>0.05</v>
      </c>
      <c r="Q261" s="173" t="s">
        <v>332</v>
      </c>
      <c r="R261" s="184">
        <f>P261</f>
        <v>0.05</v>
      </c>
      <c r="S261" s="173"/>
      <c r="T261" s="173"/>
      <c r="U261" s="173"/>
    </row>
    <row r="262" spans="1:21">
      <c r="A262" s="185" t="s">
        <v>931</v>
      </c>
      <c r="B262" s="173">
        <f>R262</f>
        <v>1.6999999999999999E-3</v>
      </c>
      <c r="C262" s="173" t="s">
        <v>37</v>
      </c>
      <c r="D262" s="173" t="s">
        <v>38</v>
      </c>
      <c r="E262" s="173" t="s">
        <v>29</v>
      </c>
      <c r="F262" s="185" t="s">
        <v>35</v>
      </c>
      <c r="G262" s="173" t="s">
        <v>33</v>
      </c>
      <c r="H262" s="173">
        <v>2</v>
      </c>
      <c r="I262" s="173">
        <f t="shared" si="32"/>
        <v>-6.3771270279199666</v>
      </c>
      <c r="J262" s="173">
        <v>0.20928449536456342</v>
      </c>
      <c r="K262" s="173" t="s">
        <v>31</v>
      </c>
      <c r="L262" s="173" t="s">
        <v>31</v>
      </c>
      <c r="M262" s="173" t="s">
        <v>31</v>
      </c>
      <c r="N262" s="173"/>
      <c r="O262" s="242" t="s">
        <v>947</v>
      </c>
      <c r="P262" s="296">
        <v>1.7</v>
      </c>
      <c r="Q262" s="173" t="s">
        <v>337</v>
      </c>
      <c r="R262" s="173">
        <f>0.001*P262</f>
        <v>1.6999999999999999E-3</v>
      </c>
      <c r="S262" s="173"/>
      <c r="T262" s="173"/>
      <c r="U262" s="173"/>
    </row>
    <row r="263" spans="1:21">
      <c r="A263" s="185" t="s">
        <v>932</v>
      </c>
      <c r="B263" s="173">
        <f>R263</f>
        <v>2.9999999999999997E-4</v>
      </c>
      <c r="C263" s="173" t="s">
        <v>37</v>
      </c>
      <c r="D263" s="173" t="s">
        <v>38</v>
      </c>
      <c r="E263" s="173" t="s">
        <v>29</v>
      </c>
      <c r="F263" s="185" t="s">
        <v>60</v>
      </c>
      <c r="G263" s="173" t="s">
        <v>33</v>
      </c>
      <c r="H263" s="173">
        <v>2</v>
      </c>
      <c r="I263" s="173">
        <f t="shared" si="32"/>
        <v>-8.1117280833080727</v>
      </c>
      <c r="J263" s="173">
        <v>0.20928449536456342</v>
      </c>
      <c r="K263" s="173" t="s">
        <v>31</v>
      </c>
      <c r="L263" s="173" t="s">
        <v>31</v>
      </c>
      <c r="M263" s="173" t="s">
        <v>31</v>
      </c>
      <c r="N263" s="173"/>
      <c r="O263" s="242" t="s">
        <v>947</v>
      </c>
      <c r="P263" s="296">
        <v>0.3</v>
      </c>
      <c r="Q263" s="173" t="s">
        <v>337</v>
      </c>
      <c r="R263" s="173">
        <f t="shared" ref="R263:R265" si="33">0.001*P263</f>
        <v>2.9999999999999997E-4</v>
      </c>
      <c r="S263" s="173"/>
      <c r="T263" s="173"/>
      <c r="U263" s="173"/>
    </row>
    <row r="264" spans="1:21">
      <c r="A264" s="177" t="s">
        <v>933</v>
      </c>
      <c r="B264" s="173">
        <f>R264</f>
        <v>8.0999999999999996E-3</v>
      </c>
      <c r="C264" s="173" t="s">
        <v>37</v>
      </c>
      <c r="D264" s="173" t="s">
        <v>38</v>
      </c>
      <c r="E264" s="173" t="s">
        <v>29</v>
      </c>
      <c r="F264" s="185" t="s">
        <v>39</v>
      </c>
      <c r="G264" s="173" t="s">
        <v>33</v>
      </c>
      <c r="H264" s="173">
        <v>2</v>
      </c>
      <c r="I264" s="173">
        <f t="shared" si="32"/>
        <v>-4.8158912173037436</v>
      </c>
      <c r="J264" s="173">
        <v>0.20928449536456342</v>
      </c>
      <c r="K264" s="173" t="s">
        <v>31</v>
      </c>
      <c r="L264" s="173" t="s">
        <v>31</v>
      </c>
      <c r="M264" s="173" t="s">
        <v>31</v>
      </c>
      <c r="N264" s="173"/>
      <c r="O264" s="242" t="s">
        <v>947</v>
      </c>
      <c r="P264" s="296">
        <v>8.1</v>
      </c>
      <c r="Q264" s="173" t="s">
        <v>337</v>
      </c>
      <c r="R264" s="173">
        <f t="shared" si="33"/>
        <v>8.0999999999999996E-3</v>
      </c>
      <c r="S264" s="173"/>
      <c r="T264" s="173"/>
      <c r="U264" s="173"/>
    </row>
    <row r="265" spans="1:21">
      <c r="A265" s="173" t="s">
        <v>1285</v>
      </c>
      <c r="B265" s="173">
        <f>R265</f>
        <v>1.9E-3</v>
      </c>
      <c r="C265" s="173" t="s">
        <v>37</v>
      </c>
      <c r="D265" s="258" t="s">
        <v>2</v>
      </c>
      <c r="E265" s="173" t="s">
        <v>29</v>
      </c>
      <c r="F265" s="185" t="s">
        <v>39</v>
      </c>
      <c r="G265" s="173" t="s">
        <v>33</v>
      </c>
      <c r="H265" s="173">
        <v>2</v>
      </c>
      <c r="I265" s="173">
        <f t="shared" si="32"/>
        <v>-6.2659013928097425</v>
      </c>
      <c r="J265" s="173">
        <v>0.20928449536456342</v>
      </c>
      <c r="K265" s="173" t="s">
        <v>31</v>
      </c>
      <c r="L265" s="173" t="s">
        <v>31</v>
      </c>
      <c r="M265" s="173" t="s">
        <v>31</v>
      </c>
      <c r="N265" s="173"/>
      <c r="O265" s="305" t="s">
        <v>947</v>
      </c>
      <c r="P265" s="306">
        <v>1.9</v>
      </c>
      <c r="Q265" s="173" t="s">
        <v>337</v>
      </c>
      <c r="R265" s="173">
        <f t="shared" si="33"/>
        <v>1.9E-3</v>
      </c>
      <c r="S265" s="173"/>
      <c r="T265" s="173"/>
      <c r="U265" s="173"/>
    </row>
    <row r="266" spans="1:21" s="42" customFormat="1">
      <c r="A266" s="209" t="s">
        <v>5</v>
      </c>
      <c r="B266" s="210" t="s">
        <v>1373</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7</v>
      </c>
      <c r="B267" s="173" t="s">
        <v>566</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9</v>
      </c>
      <c r="B268" s="173" t="s">
        <v>1374</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11</v>
      </c>
      <c r="B269" s="179" t="s">
        <v>913</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13</v>
      </c>
      <c r="B270" s="173" t="s">
        <v>14</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15</v>
      </c>
      <c r="B271" s="265">
        <f>B276</f>
        <v>6.0000000000000001E-3</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16</v>
      </c>
      <c r="B272" s="173" t="s">
        <v>17</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18</v>
      </c>
      <c r="B273" s="173" t="s">
        <v>206</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19</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20</v>
      </c>
      <c r="B275" s="175" t="s">
        <v>21</v>
      </c>
      <c r="C275" s="175" t="s">
        <v>18</v>
      </c>
      <c r="D275" s="175" t="s">
        <v>22</v>
      </c>
      <c r="E275" s="175" t="s">
        <v>7</v>
      </c>
      <c r="F275" s="175" t="s">
        <v>13</v>
      </c>
      <c r="G275" s="175" t="s">
        <v>16</v>
      </c>
      <c r="H275" s="175" t="s">
        <v>23</v>
      </c>
      <c r="I275" s="175" t="s">
        <v>24</v>
      </c>
      <c r="J275" s="175" t="s">
        <v>25</v>
      </c>
      <c r="K275" s="175" t="s">
        <v>26</v>
      </c>
      <c r="L275" s="175" t="s">
        <v>27</v>
      </c>
      <c r="M275" s="175" t="s">
        <v>28</v>
      </c>
      <c r="N275" s="175" t="s">
        <v>11</v>
      </c>
      <c r="O275" s="173"/>
      <c r="P275" s="173"/>
      <c r="Q275" s="173"/>
      <c r="R275" s="173"/>
      <c r="S275" s="173"/>
      <c r="T275" s="173"/>
      <c r="U275" s="173"/>
    </row>
    <row r="276" spans="1:21">
      <c r="A276" s="173" t="s">
        <v>1373</v>
      </c>
      <c r="B276" s="265">
        <f>B303</f>
        <v>6.0000000000000001E-3</v>
      </c>
      <c r="C276" s="173" t="s">
        <v>206</v>
      </c>
      <c r="D276" s="258" t="s">
        <v>2</v>
      </c>
      <c r="E276" s="173" t="s">
        <v>29</v>
      </c>
      <c r="F276" s="173" t="s">
        <v>14</v>
      </c>
      <c r="G276" s="173" t="s">
        <v>30</v>
      </c>
      <c r="H276" s="173">
        <v>1</v>
      </c>
      <c r="I276" s="173">
        <f t="shared" ref="I276:I277" si="34">B276</f>
        <v>6.0000000000000001E-3</v>
      </c>
      <c r="J276" s="173" t="s">
        <v>31</v>
      </c>
      <c r="K276" s="173" t="s">
        <v>31</v>
      </c>
      <c r="L276" s="173" t="s">
        <v>31</v>
      </c>
      <c r="M276" s="173" t="s">
        <v>31</v>
      </c>
      <c r="N276" s="173"/>
      <c r="O276" s="173"/>
      <c r="P276" s="173"/>
      <c r="Q276" s="173"/>
      <c r="R276" s="173"/>
      <c r="S276" s="173"/>
      <c r="T276" s="173"/>
      <c r="U276" s="173"/>
    </row>
    <row r="277" spans="1:21">
      <c r="A277" s="173" t="s">
        <v>1375</v>
      </c>
      <c r="B277" s="265">
        <f>B303</f>
        <v>6.0000000000000001E-3</v>
      </c>
      <c r="C277" s="173" t="s">
        <v>206</v>
      </c>
      <c r="D277" s="258" t="s">
        <v>2</v>
      </c>
      <c r="E277" s="173" t="s">
        <v>29</v>
      </c>
      <c r="F277" s="173" t="s">
        <v>14</v>
      </c>
      <c r="G277" s="173" t="s">
        <v>33</v>
      </c>
      <c r="H277" s="173">
        <v>1</v>
      </c>
      <c r="I277" s="173">
        <f t="shared" si="34"/>
        <v>6.0000000000000001E-3</v>
      </c>
      <c r="J277" s="173" t="s">
        <v>31</v>
      </c>
      <c r="K277" s="173" t="s">
        <v>31</v>
      </c>
      <c r="L277" s="173" t="s">
        <v>31</v>
      </c>
      <c r="M277" s="173" t="s">
        <v>31</v>
      </c>
      <c r="N277" s="173"/>
      <c r="O277" s="173"/>
      <c r="P277" s="173"/>
      <c r="Q277" s="173"/>
      <c r="R277" s="173"/>
      <c r="S277" s="173"/>
      <c r="T277" s="173"/>
      <c r="U277" s="173"/>
    </row>
    <row r="278" spans="1:21">
      <c r="A278" s="177" t="s">
        <v>168</v>
      </c>
      <c r="B278" s="184">
        <f>P278</f>
        <v>1.1499999999999999</v>
      </c>
      <c r="C278" s="173" t="s">
        <v>41</v>
      </c>
      <c r="D278" s="173" t="s">
        <v>38</v>
      </c>
      <c r="E278" s="173" t="s">
        <v>29</v>
      </c>
      <c r="F278" s="185" t="s">
        <v>35</v>
      </c>
      <c r="G278" s="173" t="s">
        <v>33</v>
      </c>
      <c r="H278" s="173">
        <v>2</v>
      </c>
      <c r="I278" s="173">
        <f t="shared" ref="I278:I279" si="35">LN(B278)</f>
        <v>0.13976194237515863</v>
      </c>
      <c r="J278" s="173">
        <v>0.20928449536456342</v>
      </c>
      <c r="K278" s="173" t="s">
        <v>31</v>
      </c>
      <c r="L278" s="173" t="s">
        <v>31</v>
      </c>
      <c r="M278" s="173" t="s">
        <v>31</v>
      </c>
      <c r="N278" s="173"/>
      <c r="O278" s="242" t="s">
        <v>332</v>
      </c>
      <c r="P278" s="264">
        <f>0.79+0.36</f>
        <v>1.1499999999999999</v>
      </c>
      <c r="Q278" s="173"/>
      <c r="R278" s="173"/>
      <c r="S278" s="173"/>
      <c r="T278" s="173"/>
      <c r="U278" s="173"/>
    </row>
    <row r="279" spans="1:21">
      <c r="A279" s="177" t="s">
        <v>933</v>
      </c>
      <c r="B279" s="173">
        <f>R279</f>
        <v>2.3E-3</v>
      </c>
      <c r="C279" s="173" t="s">
        <v>37</v>
      </c>
      <c r="D279" s="173" t="s">
        <v>38</v>
      </c>
      <c r="E279" s="173" t="s">
        <v>29</v>
      </c>
      <c r="F279" s="185" t="s">
        <v>39</v>
      </c>
      <c r="G279" s="173" t="s">
        <v>33</v>
      </c>
      <c r="H279" s="173">
        <v>2</v>
      </c>
      <c r="I279" s="173">
        <f t="shared" si="35"/>
        <v>-6.074846156047033</v>
      </c>
      <c r="J279" s="173">
        <v>0.20928449536456342</v>
      </c>
      <c r="K279" s="173" t="s">
        <v>31</v>
      </c>
      <c r="L279" s="173" t="s">
        <v>31</v>
      </c>
      <c r="M279" s="173" t="s">
        <v>31</v>
      </c>
      <c r="N279" s="173"/>
      <c r="O279" s="242" t="s">
        <v>947</v>
      </c>
      <c r="P279" s="296">
        <v>2.2999999999999998</v>
      </c>
      <c r="Q279" s="173" t="s">
        <v>337</v>
      </c>
      <c r="R279" s="173">
        <f>P279*0.001</f>
        <v>2.3E-3</v>
      </c>
      <c r="S279" s="173"/>
      <c r="T279" s="173"/>
      <c r="U279" s="173"/>
    </row>
    <row r="280" spans="1:21">
      <c r="A280" s="185" t="s">
        <v>1078</v>
      </c>
      <c r="B280" s="173">
        <f>R280</f>
        <v>2.8E-3</v>
      </c>
      <c r="C280" s="173" t="s">
        <v>37</v>
      </c>
      <c r="D280" s="173" t="s">
        <v>38</v>
      </c>
      <c r="E280" s="173" t="s">
        <v>29</v>
      </c>
      <c r="F280" s="173" t="s">
        <v>35</v>
      </c>
      <c r="G280" s="173" t="s">
        <v>33</v>
      </c>
      <c r="H280" s="173">
        <v>2</v>
      </c>
      <c r="I280" s="173">
        <f>LN(B280)</f>
        <v>-5.8781358618009785</v>
      </c>
      <c r="J280" s="173">
        <v>0.20928449536456342</v>
      </c>
      <c r="K280" s="173" t="s">
        <v>31</v>
      </c>
      <c r="L280" s="173" t="s">
        <v>31</v>
      </c>
      <c r="M280" s="173" t="s">
        <v>31</v>
      </c>
      <c r="N280" s="173"/>
      <c r="O280" s="242" t="s">
        <v>947</v>
      </c>
      <c r="P280" s="296">
        <v>2.8</v>
      </c>
      <c r="Q280" s="173" t="s">
        <v>337</v>
      </c>
      <c r="R280" s="173">
        <f>P280*0.001</f>
        <v>2.8E-3</v>
      </c>
      <c r="S280" s="173"/>
      <c r="T280" s="173"/>
      <c r="U280" s="173"/>
    </row>
    <row r="281" spans="1:21">
      <c r="A281" s="173" t="s">
        <v>1285</v>
      </c>
      <c r="B281" s="173">
        <f>R281</f>
        <v>2.8E-3</v>
      </c>
      <c r="C281" s="173" t="s">
        <v>37</v>
      </c>
      <c r="D281" s="258" t="s">
        <v>2</v>
      </c>
      <c r="E281" s="173" t="s">
        <v>29</v>
      </c>
      <c r="F281" s="185" t="s">
        <v>39</v>
      </c>
      <c r="G281" s="173" t="s">
        <v>33</v>
      </c>
      <c r="H281" s="173">
        <v>2</v>
      </c>
      <c r="I281" s="173">
        <f t="shared" ref="I281" si="36">LN(B281)</f>
        <v>-5.8781358618009785</v>
      </c>
      <c r="J281" s="173">
        <v>0.20928449536456342</v>
      </c>
      <c r="K281" s="173" t="s">
        <v>31</v>
      </c>
      <c r="L281" s="173" t="s">
        <v>31</v>
      </c>
      <c r="M281" s="173" t="s">
        <v>31</v>
      </c>
      <c r="N281" s="173"/>
      <c r="O281" s="305" t="s">
        <v>947</v>
      </c>
      <c r="P281" s="306">
        <v>2.8</v>
      </c>
      <c r="Q281" s="173" t="s">
        <v>337</v>
      </c>
      <c r="R281" s="173">
        <f t="shared" ref="R281" si="37">0.001*P281</f>
        <v>2.8E-3</v>
      </c>
      <c r="S281" s="173"/>
      <c r="T281" s="173"/>
      <c r="U281" s="173"/>
    </row>
    <row r="282" spans="1:21" s="42" customFormat="1">
      <c r="A282" s="209" t="s">
        <v>5</v>
      </c>
      <c r="B282" s="210" t="s">
        <v>1375</v>
      </c>
      <c r="C282" s="188"/>
      <c r="D282" s="188"/>
      <c r="E282" s="188"/>
      <c r="F282" s="188"/>
      <c r="G282" s="188"/>
      <c r="H282" s="188"/>
      <c r="I282" s="188"/>
      <c r="J282" s="188"/>
      <c r="K282" s="188"/>
      <c r="L282" s="188"/>
      <c r="M282" s="188"/>
      <c r="N282" s="188"/>
      <c r="O282" s="188"/>
      <c r="P282" s="188"/>
      <c r="Q282" s="188"/>
      <c r="R282" s="188"/>
      <c r="S282" s="188"/>
      <c r="T282" s="188"/>
      <c r="U282" s="188"/>
    </row>
    <row r="283" spans="1:21">
      <c r="A283" s="177" t="s">
        <v>7</v>
      </c>
      <c r="B283" s="173" t="s">
        <v>566</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9</v>
      </c>
      <c r="B284" s="173" t="s">
        <v>1376</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11</v>
      </c>
      <c r="B285" s="179" t="s">
        <v>913</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13</v>
      </c>
      <c r="B286" s="173" t="s">
        <v>14</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15</v>
      </c>
      <c r="B287" s="265">
        <f>B292</f>
        <v>0.01</v>
      </c>
      <c r="C287" s="173"/>
      <c r="D287" s="173"/>
      <c r="E287" s="173"/>
      <c r="F287" s="173"/>
      <c r="G287" s="173"/>
      <c r="H287" s="173"/>
      <c r="I287" s="173"/>
      <c r="J287" s="173"/>
      <c r="K287" s="173"/>
      <c r="L287" s="173"/>
      <c r="M287" s="173"/>
      <c r="N287" s="173"/>
      <c r="O287" s="173"/>
      <c r="P287" s="173"/>
      <c r="Q287" s="173"/>
      <c r="R287" s="175" t="s">
        <v>1023</v>
      </c>
      <c r="S287" s="173"/>
      <c r="T287" s="173"/>
      <c r="U287" s="173"/>
    </row>
    <row r="288" spans="1:21">
      <c r="A288" s="177" t="s">
        <v>16</v>
      </c>
      <c r="B288" s="173" t="s">
        <v>17</v>
      </c>
      <c r="C288" s="173"/>
      <c r="D288" s="173"/>
      <c r="E288" s="173"/>
      <c r="F288" s="173"/>
      <c r="G288" s="173"/>
      <c r="H288" s="173"/>
      <c r="I288" s="173"/>
      <c r="J288" s="173"/>
      <c r="K288" s="173"/>
      <c r="L288" s="173"/>
      <c r="M288" s="173"/>
      <c r="N288" s="173"/>
      <c r="O288" s="173"/>
      <c r="P288" s="173"/>
      <c r="Q288" s="173"/>
      <c r="R288" s="173" t="s">
        <v>1024</v>
      </c>
      <c r="S288" s="173">
        <v>8900</v>
      </c>
      <c r="T288" s="173" t="s">
        <v>1025</v>
      </c>
      <c r="U288" s="173"/>
    </row>
    <row r="289" spans="1:21">
      <c r="A289" s="177" t="s">
        <v>18</v>
      </c>
      <c r="B289" s="173" t="s">
        <v>206</v>
      </c>
      <c r="C289" s="173"/>
      <c r="D289" s="173"/>
      <c r="E289" s="173"/>
      <c r="F289" s="173"/>
      <c r="G289" s="173"/>
      <c r="H289" s="173"/>
      <c r="I289" s="173"/>
      <c r="J289" s="173"/>
      <c r="K289" s="173"/>
      <c r="L289" s="173"/>
      <c r="M289" s="173"/>
      <c r="N289" s="173"/>
      <c r="O289" s="173"/>
      <c r="P289" s="173"/>
      <c r="Q289" s="173"/>
      <c r="R289" s="173" t="s">
        <v>1026</v>
      </c>
      <c r="S289" s="173">
        <f>5*10^-6</f>
        <v>4.9999999999999996E-6</v>
      </c>
      <c r="T289" s="173" t="s">
        <v>1027</v>
      </c>
      <c r="U289" s="173"/>
    </row>
    <row r="290" spans="1:21">
      <c r="A290" s="174" t="s">
        <v>19</v>
      </c>
      <c r="B290" s="173"/>
      <c r="C290" s="173"/>
      <c r="D290" s="173"/>
      <c r="E290" s="173"/>
      <c r="F290" s="173"/>
      <c r="G290" s="173"/>
      <c r="H290" s="173"/>
      <c r="I290" s="173"/>
      <c r="J290" s="173"/>
      <c r="K290" s="173"/>
      <c r="L290" s="173"/>
      <c r="M290" s="173"/>
      <c r="N290" s="173"/>
      <c r="O290" s="173"/>
      <c r="P290" s="173"/>
      <c r="Q290" s="173"/>
      <c r="R290" s="280" t="s">
        <v>1029</v>
      </c>
      <c r="S290" s="281">
        <f>S289*S288</f>
        <v>4.4499999999999998E-2</v>
      </c>
      <c r="T290" s="282" t="s">
        <v>985</v>
      </c>
      <c r="U290" s="173"/>
    </row>
    <row r="291" spans="1:21">
      <c r="A291" s="175" t="s">
        <v>20</v>
      </c>
      <c r="B291" s="175" t="s">
        <v>21</v>
      </c>
      <c r="C291" s="175" t="s">
        <v>18</v>
      </c>
      <c r="D291" s="175" t="s">
        <v>22</v>
      </c>
      <c r="E291" s="175" t="s">
        <v>7</v>
      </c>
      <c r="F291" s="175" t="s">
        <v>13</v>
      </c>
      <c r="G291" s="175" t="s">
        <v>16</v>
      </c>
      <c r="H291" s="175" t="s">
        <v>23</v>
      </c>
      <c r="I291" s="175" t="s">
        <v>24</v>
      </c>
      <c r="J291" s="175" t="s">
        <v>25</v>
      </c>
      <c r="K291" s="175" t="s">
        <v>26</v>
      </c>
      <c r="L291" s="175" t="s">
        <v>27</v>
      </c>
      <c r="M291" s="175" t="s">
        <v>28</v>
      </c>
      <c r="N291" s="175" t="s">
        <v>11</v>
      </c>
      <c r="O291" s="173"/>
      <c r="P291" s="173"/>
      <c r="Q291" s="173"/>
      <c r="R291" s="173"/>
      <c r="S291" s="173"/>
      <c r="T291" s="173"/>
      <c r="U291" s="173"/>
    </row>
    <row r="292" spans="1:21">
      <c r="A292" s="173" t="s">
        <v>1375</v>
      </c>
      <c r="B292" s="265">
        <v>0.01</v>
      </c>
      <c r="C292" s="173" t="s">
        <v>206</v>
      </c>
      <c r="D292" s="258" t="s">
        <v>2</v>
      </c>
      <c r="E292" s="173" t="s">
        <v>29</v>
      </c>
      <c r="F292" s="173" t="s">
        <v>14</v>
      </c>
      <c r="G292" s="173" t="s">
        <v>30</v>
      </c>
      <c r="H292" s="173">
        <v>1</v>
      </c>
      <c r="I292" s="173">
        <f t="shared" ref="I292:I294" si="38">B292</f>
        <v>0.01</v>
      </c>
      <c r="J292" s="173" t="s">
        <v>31</v>
      </c>
      <c r="K292" s="173" t="s">
        <v>31</v>
      </c>
      <c r="L292" s="173" t="s">
        <v>31</v>
      </c>
      <c r="M292" s="173" t="s">
        <v>31</v>
      </c>
      <c r="N292" s="173"/>
      <c r="O292" s="242" t="s">
        <v>1031</v>
      </c>
      <c r="P292" s="264">
        <f>B292*100</f>
        <v>1</v>
      </c>
      <c r="Q292" s="173"/>
      <c r="R292" s="173" t="s">
        <v>1032</v>
      </c>
      <c r="S292" s="173"/>
      <c r="T292" s="173"/>
      <c r="U292" s="260"/>
    </row>
    <row r="293" spans="1:21">
      <c r="A293" s="173" t="s">
        <v>1377</v>
      </c>
      <c r="B293" s="265">
        <v>0.01</v>
      </c>
      <c r="C293" s="173" t="s">
        <v>206</v>
      </c>
      <c r="D293" s="258" t="s">
        <v>2</v>
      </c>
      <c r="E293" s="173" t="s">
        <v>29</v>
      </c>
      <c r="F293" s="173" t="s">
        <v>14</v>
      </c>
      <c r="G293" s="173" t="s">
        <v>33</v>
      </c>
      <c r="H293" s="173">
        <v>1</v>
      </c>
      <c r="I293" s="173">
        <f t="shared" si="38"/>
        <v>0.01</v>
      </c>
      <c r="J293" s="173">
        <v>7.2284161474004766E-2</v>
      </c>
      <c r="K293" s="173" t="s">
        <v>31</v>
      </c>
      <c r="L293" s="173" t="s">
        <v>31</v>
      </c>
      <c r="M293" s="173" t="s">
        <v>31</v>
      </c>
      <c r="N293" s="173"/>
      <c r="O293" s="242" t="s">
        <v>1031</v>
      </c>
      <c r="P293" s="264">
        <f>B293*100</f>
        <v>1</v>
      </c>
      <c r="Q293" s="173"/>
      <c r="R293" s="284">
        <v>0.17</v>
      </c>
      <c r="S293" s="285" t="s">
        <v>945</v>
      </c>
      <c r="T293" s="284">
        <f>R293*S290</f>
        <v>7.5650000000000005E-3</v>
      </c>
      <c r="U293" s="285" t="s">
        <v>337</v>
      </c>
    </row>
    <row r="294" spans="1:21">
      <c r="A294" s="271" t="s">
        <v>1321</v>
      </c>
      <c r="B294" s="270">
        <f>T293</f>
        <v>7.5650000000000005E-3</v>
      </c>
      <c r="C294" s="173" t="s">
        <v>37</v>
      </c>
      <c r="D294" s="258" t="s">
        <v>2</v>
      </c>
      <c r="E294" s="173" t="s">
        <v>29</v>
      </c>
      <c r="F294" s="185" t="s">
        <v>14</v>
      </c>
      <c r="G294" s="173" t="s">
        <v>33</v>
      </c>
      <c r="H294" s="173">
        <v>1</v>
      </c>
      <c r="I294" s="173">
        <f t="shared" si="38"/>
        <v>7.5650000000000005E-3</v>
      </c>
      <c r="J294" s="173">
        <v>7.2284161474004766E-2</v>
      </c>
      <c r="K294" s="173" t="s">
        <v>31</v>
      </c>
      <c r="L294" s="173" t="s">
        <v>31</v>
      </c>
      <c r="M294" s="173" t="s">
        <v>31</v>
      </c>
      <c r="N294" s="173"/>
      <c r="O294" s="286"/>
      <c r="P294" s="287"/>
      <c r="Q294" s="173"/>
      <c r="R294" s="173"/>
      <c r="S294" s="173"/>
      <c r="T294" s="173"/>
      <c r="U294" s="173"/>
    </row>
    <row r="295" spans="1:21">
      <c r="A295" s="177" t="s">
        <v>933</v>
      </c>
      <c r="B295" s="173">
        <v>1.3</v>
      </c>
      <c r="C295" s="173" t="s">
        <v>37</v>
      </c>
      <c r="D295" s="173" t="s">
        <v>38</v>
      </c>
      <c r="E295" s="173" t="s">
        <v>29</v>
      </c>
      <c r="F295" s="185" t="s">
        <v>39</v>
      </c>
      <c r="G295" s="173" t="s">
        <v>33</v>
      </c>
      <c r="H295" s="173">
        <v>2</v>
      </c>
      <c r="I295" s="173">
        <f t="shared" ref="I295" si="39">LN(B295)</f>
        <v>0.26236426446749106</v>
      </c>
      <c r="J295" s="173">
        <v>7.2284161474004766E-2</v>
      </c>
      <c r="K295" s="173" t="s">
        <v>31</v>
      </c>
      <c r="L295" s="173" t="s">
        <v>31</v>
      </c>
      <c r="M295" s="173" t="s">
        <v>31</v>
      </c>
      <c r="N295" s="173"/>
      <c r="O295" s="286"/>
      <c r="P295" s="287"/>
      <c r="Q295" s="173"/>
      <c r="R295" s="173"/>
      <c r="S295" s="173"/>
      <c r="T295" s="173"/>
      <c r="U295" s="173"/>
    </row>
    <row r="296" spans="1:21">
      <c r="A296" s="185" t="s">
        <v>1021</v>
      </c>
      <c r="B296" s="184">
        <v>0.1</v>
      </c>
      <c r="C296" s="173" t="s">
        <v>37</v>
      </c>
      <c r="D296" s="173" t="s">
        <v>38</v>
      </c>
      <c r="E296" s="173" t="s">
        <v>29</v>
      </c>
      <c r="F296" s="185" t="s">
        <v>60</v>
      </c>
      <c r="G296" s="173" t="s">
        <v>33</v>
      </c>
      <c r="H296" s="173">
        <v>2</v>
      </c>
      <c r="I296" s="173">
        <f>LN(B296)</f>
        <v>-2.3025850929940455</v>
      </c>
      <c r="J296" s="173">
        <v>7.2284161474004766E-2</v>
      </c>
      <c r="K296" s="173" t="s">
        <v>31</v>
      </c>
      <c r="L296" s="173" t="s">
        <v>31</v>
      </c>
      <c r="M296" s="173" t="s">
        <v>31</v>
      </c>
      <c r="N296" s="173"/>
      <c r="O296" s="286"/>
      <c r="P296" s="287"/>
      <c r="Q296" s="173"/>
      <c r="R296" s="173"/>
      <c r="S296" s="173"/>
      <c r="T296" s="173"/>
      <c r="U296" s="173"/>
    </row>
    <row r="297" spans="1:21">
      <c r="A297" s="185" t="s">
        <v>489</v>
      </c>
      <c r="B297" s="173">
        <v>1.3</v>
      </c>
      <c r="C297" s="173" t="s">
        <v>50</v>
      </c>
      <c r="D297" s="173" t="s">
        <v>38</v>
      </c>
      <c r="E297" s="173" t="s">
        <v>29</v>
      </c>
      <c r="F297" s="185" t="s">
        <v>39</v>
      </c>
      <c r="G297" s="173" t="s">
        <v>33</v>
      </c>
      <c r="H297" s="173">
        <v>2</v>
      </c>
      <c r="I297" s="173">
        <f t="shared" ref="I297" si="40">LN(B297)</f>
        <v>0.26236426446749106</v>
      </c>
      <c r="J297" s="173">
        <v>7.2284161474004766E-2</v>
      </c>
      <c r="K297" s="173" t="s">
        <v>31</v>
      </c>
      <c r="L297" s="173" t="s">
        <v>31</v>
      </c>
      <c r="M297" s="173" t="s">
        <v>31</v>
      </c>
      <c r="N297" s="173"/>
      <c r="O297" s="271"/>
      <c r="P297" s="272"/>
      <c r="Q297" s="289"/>
      <c r="R297" s="173"/>
      <c r="S297" s="173"/>
      <c r="T297" s="173"/>
      <c r="U297" s="173"/>
    </row>
    <row r="298" spans="1:21" s="42" customFormat="1">
      <c r="A298" s="209" t="s">
        <v>5</v>
      </c>
      <c r="B298" s="210" t="s">
        <v>1377</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7</v>
      </c>
      <c r="B299" s="173" t="s">
        <v>566</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9</v>
      </c>
      <c r="B300" s="173" t="s">
        <v>1378</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11</v>
      </c>
      <c r="B301" s="179" t="s">
        <v>913</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13</v>
      </c>
      <c r="B302" s="173" t="s">
        <v>14</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15</v>
      </c>
      <c r="B303" s="265">
        <f>B308</f>
        <v>6.0000000000000001E-3</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16</v>
      </c>
      <c r="B304" s="173" t="s">
        <v>17</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18</v>
      </c>
      <c r="B305" s="173" t="s">
        <v>206</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19</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20</v>
      </c>
      <c r="B307" s="175" t="s">
        <v>21</v>
      </c>
      <c r="C307" s="175" t="s">
        <v>18</v>
      </c>
      <c r="D307" s="175" t="s">
        <v>22</v>
      </c>
      <c r="E307" s="175" t="s">
        <v>7</v>
      </c>
      <c r="F307" s="175" t="s">
        <v>13</v>
      </c>
      <c r="G307" s="175" t="s">
        <v>16</v>
      </c>
      <c r="H307" s="175" t="s">
        <v>23</v>
      </c>
      <c r="I307" s="175" t="s">
        <v>24</v>
      </c>
      <c r="J307" s="175" t="s">
        <v>25</v>
      </c>
      <c r="K307" s="175" t="s">
        <v>26</v>
      </c>
      <c r="L307" s="175" t="s">
        <v>27</v>
      </c>
      <c r="M307" s="175" t="s">
        <v>28</v>
      </c>
      <c r="N307" s="175" t="s">
        <v>11</v>
      </c>
      <c r="O307" s="173"/>
      <c r="P307" s="173"/>
      <c r="Q307" s="173"/>
      <c r="R307" s="173"/>
      <c r="S307" s="173"/>
      <c r="T307" s="265"/>
      <c r="U307" s="173"/>
    </row>
    <row r="308" spans="1:21">
      <c r="A308" s="173" t="s">
        <v>1377</v>
      </c>
      <c r="B308" s="265">
        <f>B309</f>
        <v>6.0000000000000001E-3</v>
      </c>
      <c r="C308" s="173" t="s">
        <v>206</v>
      </c>
      <c r="D308" s="258" t="s">
        <v>2</v>
      </c>
      <c r="E308" s="173" t="s">
        <v>29</v>
      </c>
      <c r="F308" s="173" t="s">
        <v>14</v>
      </c>
      <c r="G308" s="173" t="s">
        <v>30</v>
      </c>
      <c r="H308" s="173">
        <v>1</v>
      </c>
      <c r="I308" s="173">
        <f t="shared" ref="I308:I309" si="41">B308</f>
        <v>6.0000000000000001E-3</v>
      </c>
      <c r="J308" s="173" t="s">
        <v>31</v>
      </c>
      <c r="K308" s="173" t="s">
        <v>31</v>
      </c>
      <c r="L308" s="173" t="s">
        <v>31</v>
      </c>
      <c r="M308" s="173" t="s">
        <v>31</v>
      </c>
      <c r="N308" s="173"/>
      <c r="O308" s="173"/>
      <c r="P308" s="173"/>
      <c r="Q308" s="173"/>
      <c r="R308" s="173"/>
      <c r="S308" s="173"/>
      <c r="T308" s="173"/>
      <c r="U308" s="173"/>
    </row>
    <row r="309" spans="1:21">
      <c r="A309" s="173" t="s">
        <v>1379</v>
      </c>
      <c r="B309" s="265">
        <v>6.0000000000000001E-3</v>
      </c>
      <c r="C309" s="173" t="s">
        <v>206</v>
      </c>
      <c r="D309" s="258" t="s">
        <v>2</v>
      </c>
      <c r="E309" s="173" t="s">
        <v>29</v>
      </c>
      <c r="F309" s="173" t="s">
        <v>14</v>
      </c>
      <c r="G309" s="173" t="s">
        <v>33</v>
      </c>
      <c r="H309" s="173">
        <v>1</v>
      </c>
      <c r="I309" s="173">
        <f t="shared" si="41"/>
        <v>6.0000000000000001E-3</v>
      </c>
      <c r="J309" s="173" t="s">
        <v>31</v>
      </c>
      <c r="K309" s="173" t="s">
        <v>31</v>
      </c>
      <c r="L309" s="173" t="s">
        <v>31</v>
      </c>
      <c r="M309" s="173" t="s">
        <v>31</v>
      </c>
      <c r="N309" s="173"/>
      <c r="O309" s="173"/>
      <c r="P309" s="173"/>
      <c r="Q309" s="173"/>
      <c r="R309" s="173"/>
      <c r="S309" s="173"/>
      <c r="T309" s="173"/>
      <c r="U309" s="173"/>
    </row>
    <row r="310" spans="1:21">
      <c r="A310" s="177" t="s">
        <v>168</v>
      </c>
      <c r="B310" s="184">
        <f>P310</f>
        <v>7.8E-2</v>
      </c>
      <c r="C310" s="173" t="s">
        <v>41</v>
      </c>
      <c r="D310" s="173" t="s">
        <v>38</v>
      </c>
      <c r="E310" s="173" t="s">
        <v>29</v>
      </c>
      <c r="F310" s="185" t="s">
        <v>35</v>
      </c>
      <c r="G310" s="173" t="s">
        <v>33</v>
      </c>
      <c r="H310" s="173">
        <v>2</v>
      </c>
      <c r="I310" s="173">
        <f t="shared" ref="I310" si="42">LN(B310)</f>
        <v>-2.5510464522925451</v>
      </c>
      <c r="J310" s="173">
        <v>0.22500000000000006</v>
      </c>
      <c r="K310" s="173" t="s">
        <v>31</v>
      </c>
      <c r="L310" s="173" t="s">
        <v>31</v>
      </c>
      <c r="M310" s="173" t="s">
        <v>31</v>
      </c>
      <c r="N310" s="173"/>
      <c r="O310" s="242" t="s">
        <v>332</v>
      </c>
      <c r="P310" s="264">
        <v>7.8E-2</v>
      </c>
      <c r="Q310" s="173"/>
      <c r="R310" s="173"/>
      <c r="S310" s="173"/>
      <c r="T310" s="173"/>
      <c r="U310" s="173"/>
    </row>
    <row r="311" spans="1:21">
      <c r="A311" s="185" t="s">
        <v>1077</v>
      </c>
      <c r="B311" s="265">
        <f>P311</f>
        <v>3.5999999999999999E-3</v>
      </c>
      <c r="C311" s="173" t="s">
        <v>37</v>
      </c>
      <c r="D311" s="173" t="s">
        <v>38</v>
      </c>
      <c r="E311" s="173" t="s">
        <v>29</v>
      </c>
      <c r="F311" s="173" t="s">
        <v>35</v>
      </c>
      <c r="G311" s="173" t="s">
        <v>33</v>
      </c>
      <c r="H311" s="173">
        <v>2</v>
      </c>
      <c r="I311" s="173">
        <f>LN(B311)</f>
        <v>-5.6268214335200728</v>
      </c>
      <c r="J311" s="173">
        <v>0.22500000000000006</v>
      </c>
      <c r="K311" s="173" t="s">
        <v>31</v>
      </c>
      <c r="L311" s="173" t="s">
        <v>31</v>
      </c>
      <c r="M311" s="173" t="s">
        <v>31</v>
      </c>
      <c r="N311" s="173"/>
      <c r="O311" s="242" t="s">
        <v>337</v>
      </c>
      <c r="P311" s="311">
        <v>3.5999999999999999E-3</v>
      </c>
      <c r="Q311" s="173"/>
      <c r="R311" s="173"/>
      <c r="S311" s="173"/>
      <c r="T311" s="173"/>
      <c r="U311" s="173"/>
    </row>
    <row r="312" spans="1:21">
      <c r="A312" s="173" t="s">
        <v>1104</v>
      </c>
      <c r="B312" s="265">
        <f>P312</f>
        <v>7.7999999999999996E-3</v>
      </c>
      <c r="C312" s="173" t="s">
        <v>37</v>
      </c>
      <c r="D312" s="173" t="s">
        <v>38</v>
      </c>
      <c r="E312" s="173" t="s">
        <v>29</v>
      </c>
      <c r="F312" s="173" t="s">
        <v>60</v>
      </c>
      <c r="G312" s="173" t="s">
        <v>33</v>
      </c>
      <c r="H312" s="173">
        <v>2</v>
      </c>
      <c r="I312" s="173">
        <f t="shared" ref="I312:I318" si="43">LN(B312)</f>
        <v>-4.853631545286591</v>
      </c>
      <c r="J312" s="173">
        <v>0.22500000000000006</v>
      </c>
      <c r="K312" s="173" t="s">
        <v>31</v>
      </c>
      <c r="L312" s="173" t="s">
        <v>31</v>
      </c>
      <c r="M312" s="173" t="s">
        <v>31</v>
      </c>
      <c r="N312" s="173"/>
      <c r="O312" s="242" t="s">
        <v>337</v>
      </c>
      <c r="P312" s="311">
        <v>7.7999999999999996E-3</v>
      </c>
      <c r="Q312" s="173"/>
      <c r="R312" s="173"/>
      <c r="S312" s="173"/>
      <c r="T312" s="173"/>
      <c r="U312" s="173"/>
    </row>
    <row r="313" spans="1:21">
      <c r="A313" s="185" t="s">
        <v>1078</v>
      </c>
      <c r="B313" s="265">
        <f t="shared" ref="B313:B318" si="44">P313</f>
        <v>3.5999999999999999E-3</v>
      </c>
      <c r="C313" s="173" t="s">
        <v>37</v>
      </c>
      <c r="D313" s="173" t="s">
        <v>38</v>
      </c>
      <c r="E313" s="173" t="s">
        <v>29</v>
      </c>
      <c r="F313" s="173" t="s">
        <v>35</v>
      </c>
      <c r="G313" s="173" t="s">
        <v>33</v>
      </c>
      <c r="H313" s="173">
        <v>2</v>
      </c>
      <c r="I313" s="173">
        <f t="shared" si="43"/>
        <v>-5.6268214335200728</v>
      </c>
      <c r="J313" s="173">
        <v>0.22500000000000006</v>
      </c>
      <c r="K313" s="173" t="s">
        <v>31</v>
      </c>
      <c r="L313" s="173" t="s">
        <v>31</v>
      </c>
      <c r="M313" s="173" t="s">
        <v>31</v>
      </c>
      <c r="N313" s="173"/>
      <c r="O313" s="242" t="s">
        <v>337</v>
      </c>
      <c r="P313" s="311">
        <v>3.5999999999999999E-3</v>
      </c>
      <c r="Q313" s="173"/>
      <c r="R313" s="173"/>
      <c r="S313" s="173"/>
      <c r="T313" s="173"/>
      <c r="U313" s="173"/>
    </row>
    <row r="314" spans="1:21">
      <c r="A314" s="185" t="s">
        <v>1105</v>
      </c>
      <c r="B314" s="265">
        <f t="shared" si="44"/>
        <v>2.7000000000000001E-3</v>
      </c>
      <c r="C314" s="173" t="s">
        <v>37</v>
      </c>
      <c r="D314" s="173" t="s">
        <v>38</v>
      </c>
      <c r="E314" s="173" t="s">
        <v>29</v>
      </c>
      <c r="F314" s="173" t="s">
        <v>60</v>
      </c>
      <c r="G314" s="173" t="s">
        <v>33</v>
      </c>
      <c r="H314" s="173">
        <v>2</v>
      </c>
      <c r="I314" s="173">
        <f t="shared" si="43"/>
        <v>-5.9145035059718536</v>
      </c>
      <c r="J314" s="173">
        <v>0.22500000000000006</v>
      </c>
      <c r="K314" s="173" t="s">
        <v>31</v>
      </c>
      <c r="L314" s="173" t="s">
        <v>31</v>
      </c>
      <c r="M314" s="173" t="s">
        <v>31</v>
      </c>
      <c r="N314" s="173"/>
      <c r="O314" s="242" t="s">
        <v>337</v>
      </c>
      <c r="P314" s="311">
        <v>2.7000000000000001E-3</v>
      </c>
      <c r="Q314" s="173"/>
      <c r="R314" s="173"/>
      <c r="S314" s="173"/>
      <c r="T314" s="173"/>
      <c r="U314" s="173"/>
    </row>
    <row r="315" spans="1:21">
      <c r="A315" s="185" t="s">
        <v>1106</v>
      </c>
      <c r="B315" s="265">
        <f t="shared" si="44"/>
        <v>7.7999999999999996E-3</v>
      </c>
      <c r="C315" s="173" t="s">
        <v>37</v>
      </c>
      <c r="D315" s="173" t="s">
        <v>38</v>
      </c>
      <c r="E315" s="173" t="s">
        <v>29</v>
      </c>
      <c r="F315" s="173" t="s">
        <v>60</v>
      </c>
      <c r="G315" s="173" t="s">
        <v>33</v>
      </c>
      <c r="H315" s="173">
        <v>2</v>
      </c>
      <c r="I315" s="173">
        <f t="shared" si="43"/>
        <v>-4.853631545286591</v>
      </c>
      <c r="J315" s="173">
        <v>0.22500000000000006</v>
      </c>
      <c r="K315" s="173" t="s">
        <v>31</v>
      </c>
      <c r="L315" s="173" t="s">
        <v>31</v>
      </c>
      <c r="M315" s="173" t="s">
        <v>31</v>
      </c>
      <c r="N315" s="173"/>
      <c r="O315" s="242" t="s">
        <v>337</v>
      </c>
      <c r="P315" s="311">
        <v>7.7999999999999996E-3</v>
      </c>
      <c r="Q315" s="173"/>
      <c r="R315" s="173"/>
      <c r="S315" s="173"/>
      <c r="T315" s="173"/>
      <c r="U315" s="173"/>
    </row>
    <row r="316" spans="1:21">
      <c r="A316" s="177" t="s">
        <v>933</v>
      </c>
      <c r="B316" s="265">
        <f t="shared" si="44"/>
        <v>0.14299999999999999</v>
      </c>
      <c r="C316" s="173" t="s">
        <v>37</v>
      </c>
      <c r="D316" s="173" t="s">
        <v>38</v>
      </c>
      <c r="E316" s="173" t="s">
        <v>29</v>
      </c>
      <c r="F316" s="185" t="s">
        <v>39</v>
      </c>
      <c r="G316" s="173" t="s">
        <v>33</v>
      </c>
      <c r="H316" s="173">
        <v>2</v>
      </c>
      <c r="I316" s="173">
        <f t="shared" si="43"/>
        <v>-1.9449106487222299</v>
      </c>
      <c r="J316" s="173">
        <v>0.22500000000000006</v>
      </c>
      <c r="K316" s="173" t="s">
        <v>31</v>
      </c>
      <c r="L316" s="173" t="s">
        <v>31</v>
      </c>
      <c r="M316" s="173" t="s">
        <v>31</v>
      </c>
      <c r="N316" s="173"/>
      <c r="O316" s="242" t="s">
        <v>337</v>
      </c>
      <c r="P316" s="311">
        <v>0.14299999999999999</v>
      </c>
      <c r="Q316" s="173"/>
      <c r="R316" s="173"/>
      <c r="S316" s="173"/>
      <c r="T316" s="173"/>
      <c r="U316" s="173"/>
    </row>
    <row r="317" spans="1:21">
      <c r="A317" s="185" t="s">
        <v>941</v>
      </c>
      <c r="B317" s="265">
        <f t="shared" si="44"/>
        <v>1.4E-3</v>
      </c>
      <c r="C317" s="173" t="s">
        <v>37</v>
      </c>
      <c r="D317" s="173" t="s">
        <v>43</v>
      </c>
      <c r="E317" s="173" t="s">
        <v>44</v>
      </c>
      <c r="F317" s="173" t="s">
        <v>29</v>
      </c>
      <c r="G317" s="173" t="s">
        <v>45</v>
      </c>
      <c r="H317" s="173">
        <v>2</v>
      </c>
      <c r="I317" s="173">
        <f t="shared" si="43"/>
        <v>-6.5712830423609239</v>
      </c>
      <c r="J317" s="173">
        <v>0.22500000000000006</v>
      </c>
      <c r="K317" s="173" t="s">
        <v>31</v>
      </c>
      <c r="L317" s="173" t="s">
        <v>31</v>
      </c>
      <c r="M317" s="173" t="s">
        <v>31</v>
      </c>
      <c r="N317" s="173"/>
      <c r="O317" s="266" t="s">
        <v>337</v>
      </c>
      <c r="P317" s="267">
        <v>1.4E-3</v>
      </c>
      <c r="Q317" s="173"/>
      <c r="R317" s="173"/>
      <c r="S317" s="173"/>
      <c r="T317" s="173"/>
      <c r="U317" s="173"/>
    </row>
    <row r="318" spans="1:21">
      <c r="A318" s="173" t="s">
        <v>1285</v>
      </c>
      <c r="B318" s="265">
        <f t="shared" si="44"/>
        <v>2.5999999999999999E-2</v>
      </c>
      <c r="C318" s="173" t="s">
        <v>37</v>
      </c>
      <c r="D318" s="258" t="s">
        <v>2</v>
      </c>
      <c r="E318" s="173" t="s">
        <v>29</v>
      </c>
      <c r="F318" s="185" t="s">
        <v>39</v>
      </c>
      <c r="G318" s="173" t="s">
        <v>33</v>
      </c>
      <c r="H318" s="173">
        <v>2</v>
      </c>
      <c r="I318" s="173">
        <f t="shared" si="43"/>
        <v>-3.6496587409606551</v>
      </c>
      <c r="J318" s="173">
        <v>0.22500000000000006</v>
      </c>
      <c r="K318" s="173" t="s">
        <v>31</v>
      </c>
      <c r="L318" s="173" t="s">
        <v>31</v>
      </c>
      <c r="M318" s="173" t="s">
        <v>31</v>
      </c>
      <c r="N318" s="173"/>
      <c r="O318" s="268" t="s">
        <v>337</v>
      </c>
      <c r="P318" s="312">
        <v>2.5999999999999999E-2</v>
      </c>
      <c r="Q318" s="173"/>
      <c r="R318" s="173"/>
      <c r="S318" s="173"/>
      <c r="T318" s="173"/>
      <c r="U318" s="173"/>
    </row>
    <row r="319" spans="1:21" s="42" customFormat="1">
      <c r="A319" s="209" t="s">
        <v>5</v>
      </c>
      <c r="B319" s="210" t="s">
        <v>1379</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7</v>
      </c>
      <c r="B320" s="173" t="s">
        <v>566</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9</v>
      </c>
      <c r="B321" s="173" t="s">
        <v>1380</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11</v>
      </c>
      <c r="B322" s="179" t="s">
        <v>913</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13</v>
      </c>
      <c r="B323" s="173" t="s">
        <v>14</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15</v>
      </c>
      <c r="B324" s="265">
        <f>B329</f>
        <v>6.0000000000000001E-3</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16</v>
      </c>
      <c r="B325" s="173" t="s">
        <v>17</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18</v>
      </c>
      <c r="B326" s="173" t="s">
        <v>206</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19</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20</v>
      </c>
      <c r="B328" s="175" t="s">
        <v>21</v>
      </c>
      <c r="C328" s="175" t="s">
        <v>18</v>
      </c>
      <c r="D328" s="175" t="s">
        <v>22</v>
      </c>
      <c r="E328" s="175" t="s">
        <v>7</v>
      </c>
      <c r="F328" s="175" t="s">
        <v>13</v>
      </c>
      <c r="G328" s="175" t="s">
        <v>16</v>
      </c>
      <c r="H328" s="175" t="s">
        <v>23</v>
      </c>
      <c r="I328" s="175" t="s">
        <v>24</v>
      </c>
      <c r="J328" s="175" t="s">
        <v>25</v>
      </c>
      <c r="K328" s="175" t="s">
        <v>26</v>
      </c>
      <c r="L328" s="175" t="s">
        <v>27</v>
      </c>
      <c r="M328" s="175" t="s">
        <v>28</v>
      </c>
      <c r="N328" s="175" t="s">
        <v>11</v>
      </c>
      <c r="O328" s="173"/>
      <c r="P328" s="173"/>
      <c r="Q328" s="173"/>
      <c r="R328" s="173"/>
      <c r="S328" s="173"/>
      <c r="T328" s="265"/>
      <c r="U328" s="173"/>
    </row>
    <row r="329" spans="1:21">
      <c r="A329" s="173" t="s">
        <v>1379</v>
      </c>
      <c r="B329" s="265">
        <f>B330</f>
        <v>6.0000000000000001E-3</v>
      </c>
      <c r="C329" s="173" t="s">
        <v>206</v>
      </c>
      <c r="D329" s="258" t="s">
        <v>2</v>
      </c>
      <c r="E329" s="173" t="s">
        <v>29</v>
      </c>
      <c r="F329" s="173" t="s">
        <v>14</v>
      </c>
      <c r="G329" s="173" t="s">
        <v>30</v>
      </c>
      <c r="H329" s="173">
        <v>1</v>
      </c>
      <c r="I329" s="173">
        <f t="shared" ref="I329:I331" si="45">B329</f>
        <v>6.0000000000000001E-3</v>
      </c>
      <c r="J329" s="173" t="s">
        <v>31</v>
      </c>
      <c r="K329" s="173" t="s">
        <v>31</v>
      </c>
      <c r="L329" s="173" t="s">
        <v>31</v>
      </c>
      <c r="M329" s="173" t="s">
        <v>31</v>
      </c>
      <c r="N329" s="173"/>
      <c r="O329" s="173"/>
      <c r="P329" s="173"/>
      <c r="Q329" s="173"/>
      <c r="R329" s="173"/>
      <c r="S329" s="173"/>
      <c r="T329" s="173"/>
      <c r="U329" s="173"/>
    </row>
    <row r="330" spans="1:21">
      <c r="A330" s="271" t="s">
        <v>1381</v>
      </c>
      <c r="B330" s="265">
        <f>P330</f>
        <v>6.0000000000000001E-3</v>
      </c>
      <c r="C330" s="173" t="s">
        <v>206</v>
      </c>
      <c r="D330" s="258" t="s">
        <v>2</v>
      </c>
      <c r="E330" s="173" t="s">
        <v>29</v>
      </c>
      <c r="F330" s="173" t="s">
        <v>14</v>
      </c>
      <c r="G330" s="173" t="s">
        <v>33</v>
      </c>
      <c r="H330" s="173">
        <v>1</v>
      </c>
      <c r="I330" s="173">
        <f t="shared" si="45"/>
        <v>6.0000000000000001E-3</v>
      </c>
      <c r="J330" s="173">
        <v>2.8722813232690055E-2</v>
      </c>
      <c r="K330" s="173" t="s">
        <v>31</v>
      </c>
      <c r="L330" s="173" t="s">
        <v>31</v>
      </c>
      <c r="M330" s="173" t="s">
        <v>31</v>
      </c>
      <c r="N330" s="173"/>
      <c r="O330" s="236" t="s">
        <v>963</v>
      </c>
      <c r="P330" s="313">
        <v>6.0000000000000001E-3</v>
      </c>
      <c r="Q330" s="173"/>
      <c r="R330" s="173"/>
      <c r="S330" s="173"/>
      <c r="T330" s="173"/>
      <c r="U330" s="173"/>
    </row>
    <row r="331" spans="1:21">
      <c r="A331" s="271" t="s">
        <v>1324</v>
      </c>
      <c r="B331" s="173">
        <f>R331</f>
        <v>6.2E-2</v>
      </c>
      <c r="C331" s="173" t="s">
        <v>337</v>
      </c>
      <c r="D331" s="258" t="s">
        <v>2</v>
      </c>
      <c r="E331" s="173" t="s">
        <v>29</v>
      </c>
      <c r="F331" s="173" t="s">
        <v>14</v>
      </c>
      <c r="G331" s="173" t="s">
        <v>33</v>
      </c>
      <c r="H331" s="173">
        <v>1</v>
      </c>
      <c r="I331" s="173">
        <f t="shared" si="45"/>
        <v>6.2E-2</v>
      </c>
      <c r="J331" s="173">
        <v>2.8722813232690055E-2</v>
      </c>
      <c r="K331" s="173" t="s">
        <v>31</v>
      </c>
      <c r="L331" s="173" t="s">
        <v>31</v>
      </c>
      <c r="M331" s="173" t="s">
        <v>31</v>
      </c>
      <c r="N331" s="173"/>
      <c r="O331" s="236" t="s">
        <v>947</v>
      </c>
      <c r="P331" s="314">
        <v>62</v>
      </c>
      <c r="Q331" s="173" t="s">
        <v>337</v>
      </c>
      <c r="R331" s="173">
        <f>P331*0.001</f>
        <v>6.2E-2</v>
      </c>
      <c r="S331" s="173"/>
      <c r="T331" s="173"/>
      <c r="U331" s="173"/>
    </row>
    <row r="332" spans="1:21">
      <c r="A332" s="177" t="s">
        <v>168</v>
      </c>
      <c r="B332" s="184">
        <f t="shared" ref="B332:B334" si="46">P332</f>
        <v>6.0000000000000001E-3</v>
      </c>
      <c r="C332" s="173" t="s">
        <v>41</v>
      </c>
      <c r="D332" s="173" t="s">
        <v>38</v>
      </c>
      <c r="E332" s="173" t="s">
        <v>29</v>
      </c>
      <c r="F332" s="185" t="s">
        <v>35</v>
      </c>
      <c r="G332" s="173" t="s">
        <v>33</v>
      </c>
      <c r="H332" s="173">
        <v>2</v>
      </c>
      <c r="I332" s="173">
        <f t="shared" ref="I332:I334" si="47">LN(B332)</f>
        <v>-5.1159958097540823</v>
      </c>
      <c r="J332" s="173">
        <v>0.20928449536456342</v>
      </c>
      <c r="K332" s="173" t="s">
        <v>31</v>
      </c>
      <c r="L332" s="173" t="s">
        <v>31</v>
      </c>
      <c r="M332" s="173" t="s">
        <v>31</v>
      </c>
      <c r="N332" s="173"/>
      <c r="O332" s="242" t="s">
        <v>332</v>
      </c>
      <c r="P332" s="302">
        <v>6.0000000000000001E-3</v>
      </c>
      <c r="Q332" s="173"/>
      <c r="R332" s="173"/>
      <c r="S332" s="173"/>
      <c r="T332" s="173"/>
      <c r="U332" s="173"/>
    </row>
    <row r="333" spans="1:21">
      <c r="A333" s="177" t="s">
        <v>168</v>
      </c>
      <c r="B333" s="184">
        <f t="shared" si="46"/>
        <v>0.35</v>
      </c>
      <c r="C333" s="173" t="s">
        <v>41</v>
      </c>
      <c r="D333" s="173" t="s">
        <v>38</v>
      </c>
      <c r="E333" s="173" t="s">
        <v>29</v>
      </c>
      <c r="F333" s="185" t="s">
        <v>35</v>
      </c>
      <c r="G333" s="173" t="s">
        <v>33</v>
      </c>
      <c r="H333" s="173">
        <v>2</v>
      </c>
      <c r="I333" s="173">
        <f t="shared" si="47"/>
        <v>-1.0498221244986778</v>
      </c>
      <c r="J333" s="173">
        <v>0.20928449536456342</v>
      </c>
      <c r="K333" s="173" t="s">
        <v>31</v>
      </c>
      <c r="L333" s="173" t="s">
        <v>31</v>
      </c>
      <c r="M333" s="173" t="s">
        <v>31</v>
      </c>
      <c r="N333" s="173"/>
      <c r="O333" s="242" t="s">
        <v>332</v>
      </c>
      <c r="P333" s="296">
        <v>0.35</v>
      </c>
      <c r="Q333" s="173"/>
      <c r="R333" s="173"/>
      <c r="S333" s="173"/>
      <c r="T333" s="173"/>
      <c r="U333" s="173"/>
    </row>
    <row r="334" spans="1:21">
      <c r="A334" s="177" t="s">
        <v>168</v>
      </c>
      <c r="B334" s="184">
        <f t="shared" si="46"/>
        <v>0.09</v>
      </c>
      <c r="C334" s="173" t="s">
        <v>41</v>
      </c>
      <c r="D334" s="173" t="s">
        <v>38</v>
      </c>
      <c r="E334" s="173" t="s">
        <v>29</v>
      </c>
      <c r="F334" s="185" t="s">
        <v>35</v>
      </c>
      <c r="G334" s="173" t="s">
        <v>33</v>
      </c>
      <c r="H334" s="173">
        <v>2</v>
      </c>
      <c r="I334" s="173">
        <f t="shared" si="47"/>
        <v>-2.4079456086518722</v>
      </c>
      <c r="J334" s="173">
        <v>9.6436507609929598E-2</v>
      </c>
      <c r="K334" s="173" t="s">
        <v>31</v>
      </c>
      <c r="L334" s="173" t="s">
        <v>31</v>
      </c>
      <c r="M334" s="173" t="s">
        <v>31</v>
      </c>
      <c r="N334" s="173"/>
      <c r="O334" s="242" t="s">
        <v>332</v>
      </c>
      <c r="P334" s="296">
        <v>0.09</v>
      </c>
      <c r="Q334" s="173"/>
      <c r="R334" s="173"/>
      <c r="S334" s="173"/>
      <c r="T334" s="173"/>
      <c r="U334" s="173"/>
    </row>
    <row r="335" spans="1:21">
      <c r="A335" s="185" t="s">
        <v>1077</v>
      </c>
      <c r="B335" s="265">
        <f>R335</f>
        <v>5.0000000000000001E-4</v>
      </c>
      <c r="C335" s="173" t="s">
        <v>37</v>
      </c>
      <c r="D335" s="173" t="s">
        <v>38</v>
      </c>
      <c r="E335" s="173" t="s">
        <v>29</v>
      </c>
      <c r="F335" s="173" t="s">
        <v>35</v>
      </c>
      <c r="G335" s="173" t="s">
        <v>33</v>
      </c>
      <c r="H335" s="173">
        <v>2</v>
      </c>
      <c r="I335" s="173">
        <f>LN(B335)</f>
        <v>-7.6009024595420822</v>
      </c>
      <c r="J335" s="173">
        <v>0.20928449536456342</v>
      </c>
      <c r="K335" s="173" t="s">
        <v>31</v>
      </c>
      <c r="L335" s="173" t="s">
        <v>31</v>
      </c>
      <c r="M335" s="173" t="s">
        <v>31</v>
      </c>
      <c r="N335" s="173"/>
      <c r="O335" s="242" t="s">
        <v>947</v>
      </c>
      <c r="P335" s="296">
        <v>0.5</v>
      </c>
      <c r="Q335" s="173" t="s">
        <v>337</v>
      </c>
      <c r="R335" s="173">
        <f>P335*0.001</f>
        <v>5.0000000000000001E-4</v>
      </c>
      <c r="S335" s="173"/>
      <c r="T335" s="173"/>
      <c r="U335" s="173"/>
    </row>
    <row r="336" spans="1:21">
      <c r="A336" s="177" t="s">
        <v>933</v>
      </c>
      <c r="B336" s="265">
        <f t="shared" ref="B336" si="48">P336</f>
        <v>5.0000000000000001E-3</v>
      </c>
      <c r="C336" s="173" t="s">
        <v>37</v>
      </c>
      <c r="D336" s="173" t="s">
        <v>38</v>
      </c>
      <c r="E336" s="173" t="s">
        <v>29</v>
      </c>
      <c r="F336" s="185" t="s">
        <v>39</v>
      </c>
      <c r="G336" s="173" t="s">
        <v>33</v>
      </c>
      <c r="H336" s="173">
        <v>2</v>
      </c>
      <c r="I336" s="173">
        <f>LN(B336)</f>
        <v>-5.2983173665480363</v>
      </c>
      <c r="J336" s="173">
        <v>0.20928449536456342</v>
      </c>
      <c r="K336" s="173" t="s">
        <v>31</v>
      </c>
      <c r="L336" s="173" t="s">
        <v>31</v>
      </c>
      <c r="M336" s="173" t="s">
        <v>31</v>
      </c>
      <c r="N336" s="173"/>
      <c r="O336" s="242" t="s">
        <v>337</v>
      </c>
      <c r="P336" s="302">
        <v>5.0000000000000001E-3</v>
      </c>
      <c r="Q336" s="173"/>
      <c r="R336" s="173"/>
      <c r="S336" s="173"/>
      <c r="T336" s="173"/>
      <c r="U336" s="173"/>
    </row>
    <row r="337" spans="1:21">
      <c r="A337" s="185" t="s">
        <v>1109</v>
      </c>
      <c r="B337" s="298">
        <f>R337</f>
        <v>9.0000000000000008E-4</v>
      </c>
      <c r="C337" s="173" t="s">
        <v>37</v>
      </c>
      <c r="D337" s="173" t="s">
        <v>38</v>
      </c>
      <c r="E337" s="173" t="s">
        <v>29</v>
      </c>
      <c r="F337" s="185" t="s">
        <v>86</v>
      </c>
      <c r="G337" s="173" t="s">
        <v>33</v>
      </c>
      <c r="H337" s="173">
        <v>2</v>
      </c>
      <c r="I337" s="173">
        <f>LN(B337)</f>
        <v>-7.0131157946399636</v>
      </c>
      <c r="J337" s="173">
        <v>0.20928449536456342</v>
      </c>
      <c r="K337" s="173" t="s">
        <v>31</v>
      </c>
      <c r="L337" s="173" t="s">
        <v>31</v>
      </c>
      <c r="M337" s="173" t="s">
        <v>31</v>
      </c>
      <c r="N337" s="173"/>
      <c r="O337" s="242" t="s">
        <v>947</v>
      </c>
      <c r="P337" s="296">
        <v>0.9</v>
      </c>
      <c r="Q337" s="173" t="s">
        <v>337</v>
      </c>
      <c r="R337" s="173">
        <f>P337*0.001</f>
        <v>9.0000000000000008E-4</v>
      </c>
      <c r="S337" s="173"/>
      <c r="T337" s="173"/>
      <c r="U337" s="173"/>
    </row>
    <row r="338" spans="1:21">
      <c r="A338" s="185" t="s">
        <v>1078</v>
      </c>
      <c r="B338" s="173">
        <f>R338</f>
        <v>2E-3</v>
      </c>
      <c r="C338" s="173" t="s">
        <v>37</v>
      </c>
      <c r="D338" s="173" t="s">
        <v>38</v>
      </c>
      <c r="E338" s="173" t="s">
        <v>29</v>
      </c>
      <c r="F338" s="173" t="s">
        <v>35</v>
      </c>
      <c r="G338" s="173" t="s">
        <v>33</v>
      </c>
      <c r="H338" s="173">
        <v>2</v>
      </c>
      <c r="I338" s="173">
        <f>LN(B338)</f>
        <v>-6.2146080984221914</v>
      </c>
      <c r="J338" s="173">
        <v>0.20928449536456342</v>
      </c>
      <c r="K338" s="173" t="s">
        <v>31</v>
      </c>
      <c r="L338" s="173" t="s">
        <v>31</v>
      </c>
      <c r="M338" s="173" t="s">
        <v>31</v>
      </c>
      <c r="N338" s="173"/>
      <c r="O338" s="242" t="s">
        <v>947</v>
      </c>
      <c r="P338" s="296">
        <v>2</v>
      </c>
      <c r="Q338" s="173" t="s">
        <v>337</v>
      </c>
      <c r="R338" s="173">
        <f>P338*0.001</f>
        <v>2E-3</v>
      </c>
      <c r="S338" s="173"/>
      <c r="T338" s="173"/>
      <c r="U338" s="173"/>
    </row>
    <row r="339" spans="1:21">
      <c r="A339" s="177" t="s">
        <v>934</v>
      </c>
      <c r="B339" s="173">
        <f>P339</f>
        <v>1</v>
      </c>
      <c r="C339" s="173" t="s">
        <v>37</v>
      </c>
      <c r="D339" s="173" t="s">
        <v>38</v>
      </c>
      <c r="E339" s="173" t="s">
        <v>29</v>
      </c>
      <c r="F339" s="185" t="s">
        <v>35</v>
      </c>
      <c r="G339" s="173" t="s">
        <v>33</v>
      </c>
      <c r="H339" s="173">
        <v>2</v>
      </c>
      <c r="I339" s="173">
        <f t="shared" ref="I339:I340" si="49">LN(B339)</f>
        <v>0</v>
      </c>
      <c r="J339" s="173">
        <v>0.20928449536456342</v>
      </c>
      <c r="K339" s="173" t="s">
        <v>31</v>
      </c>
      <c r="L339" s="173" t="s">
        <v>31</v>
      </c>
      <c r="M339" s="173" t="s">
        <v>31</v>
      </c>
      <c r="N339" s="173"/>
      <c r="O339" s="242" t="s">
        <v>337</v>
      </c>
      <c r="P339" s="296">
        <v>1</v>
      </c>
      <c r="Q339" s="173"/>
      <c r="R339" s="173"/>
      <c r="S339" s="173"/>
      <c r="T339" s="173"/>
      <c r="U339" s="173"/>
    </row>
    <row r="340" spans="1:21">
      <c r="A340" s="173" t="s">
        <v>1285</v>
      </c>
      <c r="B340" s="265">
        <f t="shared" ref="B340" si="50">P340</f>
        <v>3.0000000000000001E-3</v>
      </c>
      <c r="C340" s="173" t="s">
        <v>37</v>
      </c>
      <c r="D340" s="258" t="s">
        <v>2</v>
      </c>
      <c r="E340" s="173" t="s">
        <v>29</v>
      </c>
      <c r="F340" s="185" t="s">
        <v>39</v>
      </c>
      <c r="G340" s="173" t="s">
        <v>33</v>
      </c>
      <c r="H340" s="173">
        <v>2</v>
      </c>
      <c r="I340" s="173">
        <f t="shared" si="49"/>
        <v>-5.8091429903140277</v>
      </c>
      <c r="J340" s="173">
        <v>0.20928449536456342</v>
      </c>
      <c r="K340" s="173" t="s">
        <v>31</v>
      </c>
      <c r="L340" s="173" t="s">
        <v>31</v>
      </c>
      <c r="M340" s="173" t="s">
        <v>31</v>
      </c>
      <c r="N340" s="173"/>
      <c r="O340" s="268" t="s">
        <v>337</v>
      </c>
      <c r="P340" s="315">
        <v>3.0000000000000001E-3</v>
      </c>
      <c r="Q340" s="173"/>
      <c r="R340" s="173"/>
      <c r="S340" s="173"/>
      <c r="T340" s="173"/>
      <c r="U340" s="173"/>
    </row>
    <row r="341" spans="1:21" s="42" customFormat="1">
      <c r="A341" s="209" t="s">
        <v>5</v>
      </c>
      <c r="B341" s="210" t="s">
        <v>1381</v>
      </c>
      <c r="C341" s="188"/>
      <c r="D341" s="188"/>
      <c r="E341" s="188"/>
      <c r="F341" s="188"/>
      <c r="G341" s="188"/>
      <c r="H341" s="188"/>
      <c r="I341" s="188"/>
      <c r="J341" s="188"/>
      <c r="K341" s="188"/>
      <c r="L341" s="188"/>
      <c r="M341" s="188"/>
      <c r="N341" s="188"/>
      <c r="O341" s="188"/>
      <c r="P341" s="188"/>
      <c r="Q341" s="188"/>
      <c r="R341" s="188"/>
      <c r="S341" s="188"/>
      <c r="T341" s="188"/>
      <c r="U341" s="188"/>
    </row>
    <row r="342" spans="1:21">
      <c r="A342" s="177" t="s">
        <v>7</v>
      </c>
      <c r="B342" s="173" t="s">
        <v>566</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9</v>
      </c>
      <c r="B343" s="173" t="s">
        <v>1382</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11</v>
      </c>
      <c r="B344" s="179" t="s">
        <v>913</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13</v>
      </c>
      <c r="B345" s="173" t="s">
        <v>14</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15</v>
      </c>
      <c r="B346" s="265">
        <f>B351</f>
        <v>6.0000000000000001E-3</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16</v>
      </c>
      <c r="B347" s="173" t="s">
        <v>17</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18</v>
      </c>
      <c r="B348" s="173" t="s">
        <v>206</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19</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20</v>
      </c>
      <c r="B350" s="175" t="s">
        <v>21</v>
      </c>
      <c r="C350" s="175" t="s">
        <v>18</v>
      </c>
      <c r="D350" s="175" t="s">
        <v>22</v>
      </c>
      <c r="E350" s="175" t="s">
        <v>7</v>
      </c>
      <c r="F350" s="175" t="s">
        <v>13</v>
      </c>
      <c r="G350" s="175" t="s">
        <v>16</v>
      </c>
      <c r="H350" s="175" t="s">
        <v>23</v>
      </c>
      <c r="I350" s="175" t="s">
        <v>24</v>
      </c>
      <c r="J350" s="175" t="s">
        <v>25</v>
      </c>
      <c r="K350" s="175" t="s">
        <v>26</v>
      </c>
      <c r="L350" s="175" t="s">
        <v>27</v>
      </c>
      <c r="M350" s="175" t="s">
        <v>28</v>
      </c>
      <c r="N350" s="175" t="s">
        <v>11</v>
      </c>
      <c r="O350" s="173"/>
      <c r="P350" s="173"/>
      <c r="Q350" s="173"/>
      <c r="R350" s="173"/>
      <c r="S350" s="173"/>
      <c r="T350" s="265"/>
      <c r="U350" s="173"/>
    </row>
    <row r="351" spans="1:21">
      <c r="A351" s="271" t="s">
        <v>1381</v>
      </c>
      <c r="B351" s="265">
        <f>P351</f>
        <v>6.0000000000000001E-3</v>
      </c>
      <c r="C351" s="173" t="s">
        <v>206</v>
      </c>
      <c r="D351" s="258" t="s">
        <v>2</v>
      </c>
      <c r="E351" s="173" t="s">
        <v>29</v>
      </c>
      <c r="F351" s="173" t="s">
        <v>14</v>
      </c>
      <c r="G351" s="173" t="s">
        <v>30</v>
      </c>
      <c r="H351" s="173">
        <v>1</v>
      </c>
      <c r="I351" s="173">
        <f>B351</f>
        <v>6.0000000000000001E-3</v>
      </c>
      <c r="J351" s="173" t="s">
        <v>31</v>
      </c>
      <c r="K351" s="173" t="s">
        <v>31</v>
      </c>
      <c r="L351" s="173" t="s">
        <v>31</v>
      </c>
      <c r="M351" s="173" t="s">
        <v>31</v>
      </c>
      <c r="N351" s="173"/>
      <c r="O351" s="236" t="s">
        <v>963</v>
      </c>
      <c r="P351" s="313">
        <v>6.0000000000000001E-3</v>
      </c>
      <c r="Q351" s="173"/>
      <c r="R351" s="173"/>
      <c r="S351" s="173"/>
      <c r="T351" s="173"/>
      <c r="U351" s="173"/>
    </row>
    <row r="352" spans="1:21">
      <c r="A352" s="185" t="s">
        <v>995</v>
      </c>
      <c r="B352" s="173">
        <f>P352</f>
        <v>0.01</v>
      </c>
      <c r="C352" s="173" t="s">
        <v>37</v>
      </c>
      <c r="D352" s="173" t="s">
        <v>38</v>
      </c>
      <c r="E352" s="173" t="s">
        <v>29</v>
      </c>
      <c r="F352" s="173" t="s">
        <v>86</v>
      </c>
      <c r="G352" s="173" t="s">
        <v>33</v>
      </c>
      <c r="H352" s="173">
        <v>2</v>
      </c>
      <c r="I352" s="173">
        <f t="shared" ref="I352:I362" si="51">LN(B352)</f>
        <v>-4.6051701859880909</v>
      </c>
      <c r="J352" s="263">
        <v>0.22516660498395411</v>
      </c>
      <c r="K352" s="173" t="s">
        <v>31</v>
      </c>
      <c r="L352" s="173" t="s">
        <v>31</v>
      </c>
      <c r="M352" s="173" t="s">
        <v>31</v>
      </c>
      <c r="N352" s="173"/>
      <c r="O352" s="242" t="s">
        <v>337</v>
      </c>
      <c r="P352" s="264">
        <v>0.01</v>
      </c>
      <c r="Q352" s="173"/>
      <c r="R352" s="173"/>
      <c r="S352" s="173"/>
      <c r="T352" s="173"/>
      <c r="U352" s="173"/>
    </row>
    <row r="353" spans="1:21">
      <c r="A353" s="177" t="s">
        <v>168</v>
      </c>
      <c r="B353" s="184">
        <f>P353</f>
        <v>0.13</v>
      </c>
      <c r="C353" s="173" t="s">
        <v>41</v>
      </c>
      <c r="D353" s="173" t="s">
        <v>38</v>
      </c>
      <c r="E353" s="173" t="s">
        <v>29</v>
      </c>
      <c r="F353" s="185" t="s">
        <v>35</v>
      </c>
      <c r="G353" s="173" t="s">
        <v>33</v>
      </c>
      <c r="H353" s="173">
        <v>2</v>
      </c>
      <c r="I353" s="173">
        <f t="shared" si="51"/>
        <v>-2.0402208285265546</v>
      </c>
      <c r="J353" s="263">
        <v>0.22516660498395411</v>
      </c>
      <c r="K353" s="173" t="s">
        <v>31</v>
      </c>
      <c r="L353" s="173" t="s">
        <v>31</v>
      </c>
      <c r="M353" s="173" t="s">
        <v>31</v>
      </c>
      <c r="N353" s="173"/>
      <c r="O353" s="242" t="s">
        <v>332</v>
      </c>
      <c r="P353" s="264">
        <v>0.13</v>
      </c>
      <c r="Q353" s="173"/>
      <c r="R353" s="173"/>
      <c r="S353" s="173"/>
      <c r="T353" s="173"/>
      <c r="U353" s="173"/>
    </row>
    <row r="354" spans="1:21">
      <c r="A354" s="185" t="s">
        <v>1111</v>
      </c>
      <c r="B354" s="265">
        <f>R354</f>
        <v>2.1000000000000001E-4</v>
      </c>
      <c r="C354" s="173" t="s">
        <v>37</v>
      </c>
      <c r="D354" s="173" t="s">
        <v>38</v>
      </c>
      <c r="E354" s="173" t="s">
        <v>29</v>
      </c>
      <c r="F354" s="173" t="s">
        <v>35</v>
      </c>
      <c r="G354" s="173" t="s">
        <v>33</v>
      </c>
      <c r="H354" s="173">
        <v>2</v>
      </c>
      <c r="I354" s="173">
        <f t="shared" si="51"/>
        <v>-8.468403027246806</v>
      </c>
      <c r="J354" s="263">
        <v>0.22516660498395411</v>
      </c>
      <c r="K354" s="173" t="s">
        <v>31</v>
      </c>
      <c r="L354" s="173" t="s">
        <v>31</v>
      </c>
      <c r="M354" s="173" t="s">
        <v>31</v>
      </c>
      <c r="N354" s="173"/>
      <c r="O354" s="242" t="s">
        <v>947</v>
      </c>
      <c r="P354" s="311">
        <v>0.21</v>
      </c>
      <c r="Q354" s="173" t="s">
        <v>337</v>
      </c>
      <c r="R354" s="265">
        <f>0.001*P354</f>
        <v>2.1000000000000001E-4</v>
      </c>
      <c r="S354" s="173"/>
      <c r="T354" s="173"/>
      <c r="U354" s="173"/>
    </row>
    <row r="355" spans="1:21">
      <c r="A355" s="185" t="s">
        <v>1112</v>
      </c>
      <c r="B355" s="265">
        <f>P355</f>
        <v>1E-3</v>
      </c>
      <c r="C355" s="173" t="s">
        <v>37</v>
      </c>
      <c r="D355" s="173" t="s">
        <v>38</v>
      </c>
      <c r="E355" s="173" t="s">
        <v>29</v>
      </c>
      <c r="F355" s="173" t="s">
        <v>35</v>
      </c>
      <c r="G355" s="173" t="s">
        <v>33</v>
      </c>
      <c r="H355" s="173">
        <v>2</v>
      </c>
      <c r="I355" s="173">
        <f t="shared" si="51"/>
        <v>-6.9077552789821368</v>
      </c>
      <c r="J355" s="263">
        <v>0.22516660498395411</v>
      </c>
      <c r="K355" s="173" t="s">
        <v>31</v>
      </c>
      <c r="L355" s="173" t="s">
        <v>31</v>
      </c>
      <c r="M355" s="173" t="s">
        <v>31</v>
      </c>
      <c r="N355" s="173"/>
      <c r="O355" s="242" t="s">
        <v>337</v>
      </c>
      <c r="P355" s="311">
        <v>1E-3</v>
      </c>
      <c r="Q355" s="173"/>
      <c r="R355" s="173"/>
      <c r="S355" s="173"/>
      <c r="T355" s="173"/>
      <c r="U355" s="173"/>
    </row>
    <row r="356" spans="1:21">
      <c r="A356" s="185" t="s">
        <v>1113</v>
      </c>
      <c r="B356" s="265">
        <f>P356</f>
        <v>8.0000000000000004E-4</v>
      </c>
      <c r="C356" s="173" t="s">
        <v>37</v>
      </c>
      <c r="D356" s="173" t="s">
        <v>38</v>
      </c>
      <c r="E356" s="173" t="s">
        <v>29</v>
      </c>
      <c r="F356" s="173" t="s">
        <v>35</v>
      </c>
      <c r="G356" s="173" t="s">
        <v>33</v>
      </c>
      <c r="H356" s="173">
        <v>2</v>
      </c>
      <c r="I356" s="173">
        <f t="shared" si="51"/>
        <v>-7.1308988302963465</v>
      </c>
      <c r="J356" s="263">
        <v>0.22516660498395411</v>
      </c>
      <c r="K356" s="173" t="s">
        <v>31</v>
      </c>
      <c r="L356" s="173" t="s">
        <v>31</v>
      </c>
      <c r="M356" s="173" t="s">
        <v>31</v>
      </c>
      <c r="N356" s="173"/>
      <c r="O356" s="242" t="s">
        <v>337</v>
      </c>
      <c r="P356" s="311">
        <v>8.0000000000000004E-4</v>
      </c>
      <c r="Q356" s="173"/>
      <c r="R356" s="173"/>
      <c r="S356" s="173"/>
      <c r="T356" s="173"/>
      <c r="U356" s="173"/>
    </row>
    <row r="357" spans="1:21">
      <c r="A357" s="185" t="s">
        <v>1114</v>
      </c>
      <c r="B357" s="265">
        <f>P357</f>
        <v>7.3000000000000001E-3</v>
      </c>
      <c r="C357" s="173" t="s">
        <v>37</v>
      </c>
      <c r="D357" s="173" t="s">
        <v>38</v>
      </c>
      <c r="E357" s="173" t="s">
        <v>29</v>
      </c>
      <c r="F357" s="173" t="s">
        <v>35</v>
      </c>
      <c r="G357" s="173" t="s">
        <v>33</v>
      </c>
      <c r="H357" s="173">
        <v>2</v>
      </c>
      <c r="I357" s="173">
        <f t="shared" si="51"/>
        <v>-4.9198809308277918</v>
      </c>
      <c r="J357" s="263">
        <v>0.22516660498395411</v>
      </c>
      <c r="K357" s="173" t="s">
        <v>31</v>
      </c>
      <c r="L357" s="173" t="s">
        <v>31</v>
      </c>
      <c r="M357" s="173" t="s">
        <v>31</v>
      </c>
      <c r="N357" s="173"/>
      <c r="O357" s="242" t="s">
        <v>337</v>
      </c>
      <c r="P357" s="264">
        <v>7.3000000000000001E-3</v>
      </c>
      <c r="Q357" s="173"/>
      <c r="R357" s="173"/>
      <c r="S357" s="173"/>
      <c r="T357" s="173"/>
      <c r="U357" s="173"/>
    </row>
    <row r="358" spans="1:21">
      <c r="A358" s="185" t="s">
        <v>1115</v>
      </c>
      <c r="B358" s="265">
        <f>R358</f>
        <v>4.2000000000000004E-5</v>
      </c>
      <c r="C358" s="173" t="s">
        <v>37</v>
      </c>
      <c r="D358" s="173" t="s">
        <v>43</v>
      </c>
      <c r="E358" s="173" t="s">
        <v>44</v>
      </c>
      <c r="F358" s="173" t="s">
        <v>29</v>
      </c>
      <c r="G358" s="173" t="s">
        <v>45</v>
      </c>
      <c r="H358" s="173">
        <v>2</v>
      </c>
      <c r="I358" s="173">
        <f t="shared" si="51"/>
        <v>-10.077840939680906</v>
      </c>
      <c r="J358" s="263">
        <v>0.10344080432788608</v>
      </c>
      <c r="K358" s="173" t="s">
        <v>31</v>
      </c>
      <c r="L358" s="173" t="s">
        <v>31</v>
      </c>
      <c r="M358" s="173" t="s">
        <v>31</v>
      </c>
      <c r="N358" s="173"/>
      <c r="O358" s="266" t="s">
        <v>947</v>
      </c>
      <c r="P358" s="267">
        <v>4.2000000000000003E-2</v>
      </c>
      <c r="Q358" s="173" t="s">
        <v>337</v>
      </c>
      <c r="R358" s="265">
        <f t="shared" ref="R358:R361" si="52">0.001*P358</f>
        <v>4.2000000000000004E-5</v>
      </c>
      <c r="S358" s="173"/>
      <c r="T358" s="173"/>
      <c r="U358" s="173"/>
    </row>
    <row r="359" spans="1:21">
      <c r="A359" s="185" t="s">
        <v>48</v>
      </c>
      <c r="B359" s="265">
        <f t="shared" ref="B359:B361" si="53">R359</f>
        <v>4.6000000000000001E-4</v>
      </c>
      <c r="C359" s="173" t="s">
        <v>37</v>
      </c>
      <c r="D359" s="173" t="s">
        <v>43</v>
      </c>
      <c r="E359" s="173" t="s">
        <v>44</v>
      </c>
      <c r="F359" s="173" t="s">
        <v>29</v>
      </c>
      <c r="G359" s="173" t="s">
        <v>45</v>
      </c>
      <c r="H359" s="173">
        <v>2</v>
      </c>
      <c r="I359" s="173">
        <f t="shared" si="51"/>
        <v>-7.6842840684811335</v>
      </c>
      <c r="J359" s="263">
        <v>0.10344080432788608</v>
      </c>
      <c r="K359" s="173" t="s">
        <v>31</v>
      </c>
      <c r="L359" s="173" t="s">
        <v>31</v>
      </c>
      <c r="M359" s="173" t="s">
        <v>31</v>
      </c>
      <c r="N359" s="173"/>
      <c r="O359" s="266" t="s">
        <v>947</v>
      </c>
      <c r="P359" s="267">
        <v>0.46</v>
      </c>
      <c r="Q359" s="173" t="s">
        <v>337</v>
      </c>
      <c r="R359" s="265">
        <f t="shared" si="52"/>
        <v>4.6000000000000001E-4</v>
      </c>
      <c r="S359" s="173"/>
      <c r="T359" s="173"/>
      <c r="U359" s="173"/>
    </row>
    <row r="360" spans="1:21">
      <c r="A360" s="185" t="s">
        <v>46</v>
      </c>
      <c r="B360" s="265">
        <f t="shared" si="53"/>
        <v>2.9E-4</v>
      </c>
      <c r="C360" s="173" t="s">
        <v>37</v>
      </c>
      <c r="D360" s="173" t="s">
        <v>43</v>
      </c>
      <c r="E360" s="173" t="s">
        <v>44</v>
      </c>
      <c r="F360" s="173" t="s">
        <v>29</v>
      </c>
      <c r="G360" s="173" t="s">
        <v>45</v>
      </c>
      <c r="H360" s="173">
        <v>2</v>
      </c>
      <c r="I360" s="173">
        <f t="shared" si="51"/>
        <v>-8.145629634983754</v>
      </c>
      <c r="J360" s="263">
        <v>0.10344080432788608</v>
      </c>
      <c r="K360" s="173" t="s">
        <v>31</v>
      </c>
      <c r="L360" s="173" t="s">
        <v>31</v>
      </c>
      <c r="M360" s="173" t="s">
        <v>31</v>
      </c>
      <c r="N360" s="173"/>
      <c r="O360" s="266" t="s">
        <v>947</v>
      </c>
      <c r="P360" s="267">
        <v>0.28999999999999998</v>
      </c>
      <c r="Q360" s="173" t="s">
        <v>337</v>
      </c>
      <c r="R360" s="265">
        <f t="shared" si="52"/>
        <v>2.9E-4</v>
      </c>
      <c r="S360" s="173"/>
      <c r="T360" s="173"/>
      <c r="U360" s="173"/>
    </row>
    <row r="361" spans="1:21">
      <c r="A361" s="185" t="s">
        <v>941</v>
      </c>
      <c r="B361" s="265">
        <f t="shared" si="53"/>
        <v>1.7000000000000001E-4</v>
      </c>
      <c r="C361" s="173" t="s">
        <v>37</v>
      </c>
      <c r="D361" s="173" t="s">
        <v>43</v>
      </c>
      <c r="E361" s="173" t="s">
        <v>44</v>
      </c>
      <c r="F361" s="173" t="s">
        <v>29</v>
      </c>
      <c r="G361" s="173" t="s">
        <v>45</v>
      </c>
      <c r="H361" s="173">
        <v>2</v>
      </c>
      <c r="I361" s="173">
        <f t="shared" si="51"/>
        <v>-8.6797121209140116</v>
      </c>
      <c r="J361" s="263">
        <v>0.10344080432788608</v>
      </c>
      <c r="K361" s="173" t="s">
        <v>31</v>
      </c>
      <c r="L361" s="173" t="s">
        <v>31</v>
      </c>
      <c r="M361" s="173" t="s">
        <v>31</v>
      </c>
      <c r="N361" s="173"/>
      <c r="O361" s="266" t="s">
        <v>947</v>
      </c>
      <c r="P361" s="267">
        <v>0.17</v>
      </c>
      <c r="Q361" s="173" t="s">
        <v>337</v>
      </c>
      <c r="R361" s="265">
        <f t="shared" si="52"/>
        <v>1.7000000000000001E-4</v>
      </c>
      <c r="S361" s="173"/>
      <c r="T361" s="173"/>
      <c r="U361" s="173"/>
    </row>
    <row r="362" spans="1:21">
      <c r="A362" s="173" t="s">
        <v>1287</v>
      </c>
      <c r="B362" s="265">
        <f t="shared" ref="B362" si="54">P362</f>
        <v>2.3E-3</v>
      </c>
      <c r="C362" s="173" t="s">
        <v>37</v>
      </c>
      <c r="D362" s="258" t="s">
        <v>2</v>
      </c>
      <c r="E362" s="173" t="s">
        <v>29</v>
      </c>
      <c r="F362" s="185" t="s">
        <v>39</v>
      </c>
      <c r="G362" s="173" t="s">
        <v>33</v>
      </c>
      <c r="H362" s="173">
        <v>2</v>
      </c>
      <c r="I362" s="173">
        <f t="shared" si="51"/>
        <v>-6.074846156047033</v>
      </c>
      <c r="J362" s="173">
        <v>0.11269427669584645</v>
      </c>
      <c r="K362" s="173" t="s">
        <v>31</v>
      </c>
      <c r="L362" s="173" t="s">
        <v>31</v>
      </c>
      <c r="M362" s="173" t="s">
        <v>31</v>
      </c>
      <c r="N362" s="173"/>
      <c r="O362" s="268" t="s">
        <v>337</v>
      </c>
      <c r="P362" s="312">
        <v>2.3E-3</v>
      </c>
      <c r="Q362" s="173"/>
      <c r="R362" s="173"/>
      <c r="S362" s="173"/>
      <c r="T362" s="173"/>
      <c r="U362" s="173"/>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691-AC76-4B03-BE7A-71D7F30C159C}">
  <sheetPr>
    <tabColor theme="5"/>
  </sheetPr>
  <dimension ref="A1:AC57"/>
  <sheetViews>
    <sheetView topLeftCell="B1" zoomScale="85" zoomScaleNormal="85" workbookViewId="0">
      <selection activeCell="I13" sqref="I13:I30"/>
    </sheetView>
  </sheetViews>
  <sheetFormatPr defaultRowHeight="12.75"/>
  <cols>
    <col min="1" max="1" width="69.7109375" style="173" bestFit="1"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B549C97ED59645FF9653B9F90C594503</v>
      </c>
    </row>
    <row r="2" spans="1:26">
      <c r="A2" s="209" t="s">
        <v>5</v>
      </c>
      <c r="B2" s="210" t="s">
        <v>1279</v>
      </c>
      <c r="C2" s="211"/>
      <c r="D2" s="188"/>
      <c r="E2" s="188"/>
      <c r="F2" s="188"/>
      <c r="G2" s="188"/>
      <c r="H2" s="188"/>
      <c r="I2" s="188"/>
      <c r="J2" s="188"/>
      <c r="K2" s="188"/>
      <c r="L2" s="188"/>
      <c r="M2" s="188"/>
    </row>
    <row r="3" spans="1:26">
      <c r="A3" s="177" t="s">
        <v>7</v>
      </c>
      <c r="B3" s="173" t="s">
        <v>566</v>
      </c>
      <c r="C3" s="176"/>
    </row>
    <row r="4" spans="1:26">
      <c r="A4" s="177" t="s">
        <v>9</v>
      </c>
      <c r="B4" s="173" t="s">
        <v>1383</v>
      </c>
      <c r="C4" s="176"/>
    </row>
    <row r="5" spans="1:26" ht="25.5">
      <c r="A5" s="177" t="s">
        <v>11</v>
      </c>
      <c r="B5" s="179" t="s">
        <v>1301</v>
      </c>
    </row>
    <row r="6" spans="1:26">
      <c r="A6" s="177" t="s">
        <v>13</v>
      </c>
      <c r="B6" s="173" t="s">
        <v>14</v>
      </c>
    </row>
    <row r="7" spans="1:26">
      <c r="A7" s="177" t="s">
        <v>15</v>
      </c>
      <c r="B7" s="173">
        <v>1</v>
      </c>
    </row>
    <row r="8" spans="1:26">
      <c r="A8" s="177" t="s">
        <v>16</v>
      </c>
      <c r="B8" s="173" t="s">
        <v>17</v>
      </c>
    </row>
    <row r="9" spans="1:26">
      <c r="A9" s="177" t="s">
        <v>18</v>
      </c>
      <c r="B9" s="173" t="s">
        <v>18</v>
      </c>
    </row>
    <row r="10" spans="1:26">
      <c r="A10" s="174" t="s">
        <v>19</v>
      </c>
    </row>
    <row r="11" spans="1:26">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row>
    <row r="12" spans="1:26">
      <c r="A12" s="210" t="s">
        <v>1279</v>
      </c>
      <c r="B12" s="173">
        <v>1</v>
      </c>
      <c r="C12" s="173" t="s">
        <v>18</v>
      </c>
      <c r="D12" s="173" t="s">
        <v>2</v>
      </c>
      <c r="E12" s="173" t="s">
        <v>29</v>
      </c>
      <c r="F12" s="185" t="s">
        <v>14</v>
      </c>
      <c r="G12" s="173" t="s">
        <v>30</v>
      </c>
      <c r="H12" s="173">
        <v>1</v>
      </c>
      <c r="I12" s="173">
        <v>1</v>
      </c>
      <c r="J12" s="173" t="s">
        <v>31</v>
      </c>
      <c r="K12" s="173" t="s">
        <v>31</v>
      </c>
      <c r="L12" s="173" t="s">
        <v>31</v>
      </c>
      <c r="M12" s="173" t="s">
        <v>31</v>
      </c>
    </row>
    <row r="13" spans="1:26">
      <c r="A13" s="235" t="s">
        <v>1290</v>
      </c>
      <c r="B13" s="173">
        <f>Z13</f>
        <v>7.8E-2</v>
      </c>
      <c r="C13" s="173" t="s">
        <v>37</v>
      </c>
      <c r="D13" s="173" t="s">
        <v>2</v>
      </c>
      <c r="E13" s="173" t="s">
        <v>29</v>
      </c>
      <c r="F13" s="185" t="s">
        <v>14</v>
      </c>
      <c r="G13" s="173" t="s">
        <v>33</v>
      </c>
      <c r="H13" s="173">
        <v>1</v>
      </c>
      <c r="I13" s="173">
        <f>B13</f>
        <v>7.8E-2</v>
      </c>
      <c r="J13" s="173" t="s">
        <v>31</v>
      </c>
      <c r="K13" s="173" t="s">
        <v>31</v>
      </c>
      <c r="L13" s="173" t="s">
        <v>31</v>
      </c>
      <c r="M13" s="173" t="s">
        <v>31</v>
      </c>
      <c r="U13" s="236" t="s">
        <v>976</v>
      </c>
      <c r="V13" s="236" t="s">
        <v>947</v>
      </c>
      <c r="W13" s="237">
        <v>78</v>
      </c>
      <c r="Y13" s="173" t="s">
        <v>337</v>
      </c>
      <c r="Z13" s="173">
        <f>0.001*W13</f>
        <v>7.8E-2</v>
      </c>
    </row>
    <row r="14" spans="1:26">
      <c r="A14" s="235" t="s">
        <v>1294</v>
      </c>
      <c r="B14" s="173">
        <f t="shared" ref="B14:B27" si="0">Z14</f>
        <v>9.8000000000000004E-2</v>
      </c>
      <c r="C14" s="173" t="s">
        <v>37</v>
      </c>
      <c r="D14" s="173" t="s">
        <v>2</v>
      </c>
      <c r="E14" s="173" t="s">
        <v>29</v>
      </c>
      <c r="F14" s="185" t="s">
        <v>14</v>
      </c>
      <c r="G14" s="173" t="s">
        <v>33</v>
      </c>
      <c r="H14" s="173">
        <v>1</v>
      </c>
      <c r="I14" s="173">
        <f t="shared" ref="I14:I30" si="1">B14</f>
        <v>9.8000000000000004E-2</v>
      </c>
      <c r="J14" s="173" t="s">
        <v>31</v>
      </c>
      <c r="K14" s="173" t="s">
        <v>31</v>
      </c>
      <c r="L14" s="173" t="s">
        <v>31</v>
      </c>
      <c r="M14" s="173" t="s">
        <v>31</v>
      </c>
      <c r="U14" s="236" t="s">
        <v>977</v>
      </c>
      <c r="V14" s="236" t="s">
        <v>947</v>
      </c>
      <c r="W14" s="237">
        <v>98</v>
      </c>
      <c r="Y14" s="173" t="s">
        <v>337</v>
      </c>
      <c r="Z14" s="173">
        <f>0.001*W14</f>
        <v>9.8000000000000004E-2</v>
      </c>
    </row>
    <row r="15" spans="1:26">
      <c r="A15" s="238" t="s">
        <v>978</v>
      </c>
      <c r="B15" s="173">
        <f t="shared" si="0"/>
        <v>0.1</v>
      </c>
      <c r="C15" s="173" t="s">
        <v>37</v>
      </c>
      <c r="D15" s="173" t="s">
        <v>38</v>
      </c>
      <c r="E15" s="173" t="s">
        <v>29</v>
      </c>
      <c r="F15" s="185" t="s">
        <v>60</v>
      </c>
      <c r="G15" s="173" t="s">
        <v>33</v>
      </c>
      <c r="H15" s="173">
        <v>1</v>
      </c>
      <c r="I15" s="173">
        <f t="shared" si="1"/>
        <v>0.1</v>
      </c>
      <c r="J15" s="173" t="s">
        <v>31</v>
      </c>
      <c r="K15" s="173" t="s">
        <v>31</v>
      </c>
      <c r="L15" s="173" t="s">
        <v>31</v>
      </c>
      <c r="M15" s="173" t="s">
        <v>31</v>
      </c>
      <c r="U15" s="236" t="s">
        <v>979</v>
      </c>
      <c r="V15" s="236" t="s">
        <v>337</v>
      </c>
      <c r="W15" s="237">
        <v>0.1</v>
      </c>
      <c r="Y15" s="173" t="s">
        <v>337</v>
      </c>
      <c r="Z15" s="173">
        <f>W15</f>
        <v>0.1</v>
      </c>
    </row>
    <row r="16" spans="1:26">
      <c r="A16" s="235" t="s">
        <v>1384</v>
      </c>
      <c r="B16" s="173">
        <f t="shared" si="0"/>
        <v>0.19</v>
      </c>
      <c r="C16" s="173" t="s">
        <v>37</v>
      </c>
      <c r="D16" s="173" t="s">
        <v>2</v>
      </c>
      <c r="E16" s="173" t="s">
        <v>29</v>
      </c>
      <c r="F16" s="185" t="s">
        <v>14</v>
      </c>
      <c r="G16" s="173" t="s">
        <v>33</v>
      </c>
      <c r="H16" s="173">
        <v>1</v>
      </c>
      <c r="I16" s="173">
        <f t="shared" si="1"/>
        <v>0.19</v>
      </c>
      <c r="J16" s="173" t="s">
        <v>31</v>
      </c>
      <c r="K16" s="173" t="s">
        <v>31</v>
      </c>
      <c r="L16" s="173" t="s">
        <v>31</v>
      </c>
      <c r="M16" s="173" t="s">
        <v>31</v>
      </c>
      <c r="U16" s="236" t="s">
        <v>981</v>
      </c>
      <c r="V16" s="236" t="s">
        <v>337</v>
      </c>
      <c r="W16" s="237">
        <v>0.19</v>
      </c>
      <c r="Y16" s="173" t="s">
        <v>337</v>
      </c>
      <c r="Z16" s="173">
        <f>W16</f>
        <v>0.19</v>
      </c>
    </row>
    <row r="17" spans="1:29">
      <c r="A17" s="316" t="s">
        <v>1385</v>
      </c>
      <c r="B17" s="173">
        <f t="shared" si="0"/>
        <v>2.6437500000000003E-2</v>
      </c>
      <c r="C17" s="216" t="s">
        <v>206</v>
      </c>
      <c r="D17" s="216" t="s">
        <v>2</v>
      </c>
      <c r="E17" s="216" t="s">
        <v>29</v>
      </c>
      <c r="F17" s="317" t="s">
        <v>14</v>
      </c>
      <c r="G17" s="216" t="s">
        <v>33</v>
      </c>
      <c r="H17" s="173">
        <v>1</v>
      </c>
      <c r="I17" s="173">
        <f t="shared" si="1"/>
        <v>2.6437500000000003E-2</v>
      </c>
      <c r="J17" s="216" t="s">
        <v>31</v>
      </c>
      <c r="K17" s="216" t="s">
        <v>31</v>
      </c>
      <c r="L17" s="216" t="s">
        <v>31</v>
      </c>
      <c r="M17" s="216" t="s">
        <v>31</v>
      </c>
      <c r="N17" s="216"/>
      <c r="O17" s="216" t="s">
        <v>983</v>
      </c>
      <c r="P17" s="216"/>
      <c r="Q17" s="216"/>
      <c r="R17" s="216"/>
      <c r="S17" s="216"/>
      <c r="T17" s="216"/>
      <c r="U17" s="318" t="s">
        <v>984</v>
      </c>
      <c r="V17" s="319" t="s">
        <v>947</v>
      </c>
      <c r="W17" s="237">
        <v>141</v>
      </c>
      <c r="X17" s="216"/>
      <c r="Y17" s="216" t="s">
        <v>945</v>
      </c>
      <c r="Z17" s="216">
        <f>W17*0.001*AB17</f>
        <v>2.6437500000000003E-2</v>
      </c>
      <c r="AA17" s="216"/>
      <c r="AB17" s="216">
        <f>'2B. Reusable'!O37</f>
        <v>0.1875</v>
      </c>
      <c r="AC17" s="216" t="s">
        <v>1304</v>
      </c>
    </row>
    <row r="18" spans="1:29">
      <c r="A18" s="235" t="s">
        <v>1386</v>
      </c>
      <c r="B18" s="173">
        <f t="shared" si="0"/>
        <v>0.33500000000000002</v>
      </c>
      <c r="C18" s="173" t="s">
        <v>37</v>
      </c>
      <c r="D18" s="173" t="s">
        <v>2</v>
      </c>
      <c r="E18" s="173" t="s">
        <v>29</v>
      </c>
      <c r="F18" s="185" t="s">
        <v>14</v>
      </c>
      <c r="G18" s="173" t="s">
        <v>33</v>
      </c>
      <c r="H18" s="173">
        <v>1</v>
      </c>
      <c r="I18" s="173">
        <f t="shared" si="1"/>
        <v>0.33500000000000002</v>
      </c>
      <c r="J18" s="173" t="s">
        <v>31</v>
      </c>
      <c r="K18" s="173" t="s">
        <v>31</v>
      </c>
      <c r="L18" s="173" t="s">
        <v>31</v>
      </c>
      <c r="M18" s="173" t="s">
        <v>31</v>
      </c>
      <c r="U18" s="320" t="s">
        <v>987</v>
      </c>
      <c r="V18" s="236" t="s">
        <v>947</v>
      </c>
      <c r="W18" s="237">
        <v>335</v>
      </c>
      <c r="Y18" s="173" t="s">
        <v>337</v>
      </c>
      <c r="Z18" s="173">
        <f>0.001*W18</f>
        <v>0.33500000000000002</v>
      </c>
    </row>
    <row r="19" spans="1:29">
      <c r="A19" s="15" t="s">
        <v>988</v>
      </c>
      <c r="B19" s="173">
        <f t="shared" si="0"/>
        <v>3.0000000000000001E-3</v>
      </c>
      <c r="C19" s="173" t="s">
        <v>37</v>
      </c>
      <c r="D19" s="173" t="s">
        <v>38</v>
      </c>
      <c r="E19" s="173" t="s">
        <v>29</v>
      </c>
      <c r="F19" s="185" t="s">
        <v>35</v>
      </c>
      <c r="G19" s="173" t="s">
        <v>33</v>
      </c>
      <c r="H19" s="173">
        <v>1</v>
      </c>
      <c r="I19" s="173">
        <f t="shared" si="1"/>
        <v>3.0000000000000001E-3</v>
      </c>
      <c r="J19" s="173" t="s">
        <v>31</v>
      </c>
      <c r="K19" s="173" t="s">
        <v>31</v>
      </c>
      <c r="L19" s="173" t="s">
        <v>31</v>
      </c>
      <c r="M19" s="173" t="s">
        <v>31</v>
      </c>
      <c r="N19" s="177" t="s">
        <v>989</v>
      </c>
      <c r="U19" s="236" t="s">
        <v>989</v>
      </c>
      <c r="V19" s="236" t="s">
        <v>947</v>
      </c>
      <c r="W19" s="237">
        <v>3</v>
      </c>
      <c r="Y19" s="173" t="s">
        <v>337</v>
      </c>
      <c r="Z19" s="173">
        <f>0.001*W19</f>
        <v>3.0000000000000001E-3</v>
      </c>
    </row>
    <row r="20" spans="1:29">
      <c r="A20" s="15" t="s">
        <v>533</v>
      </c>
      <c r="B20" s="173">
        <f t="shared" si="0"/>
        <v>1.4E-2</v>
      </c>
      <c r="C20" s="173" t="s">
        <v>37</v>
      </c>
      <c r="D20" s="173" t="s">
        <v>38</v>
      </c>
      <c r="E20" s="173" t="s">
        <v>29</v>
      </c>
      <c r="F20" s="185" t="s">
        <v>35</v>
      </c>
      <c r="G20" s="173" t="s">
        <v>33</v>
      </c>
      <c r="H20" s="173">
        <v>1</v>
      </c>
      <c r="I20" s="173">
        <f t="shared" si="1"/>
        <v>1.4E-2</v>
      </c>
      <c r="J20" s="173" t="s">
        <v>31</v>
      </c>
      <c r="K20" s="173" t="s">
        <v>31</v>
      </c>
      <c r="L20" s="173" t="s">
        <v>31</v>
      </c>
      <c r="M20" s="173" t="s">
        <v>31</v>
      </c>
      <c r="N20" s="177" t="s">
        <v>990</v>
      </c>
      <c r="U20" s="320" t="s">
        <v>990</v>
      </c>
      <c r="V20" s="236" t="s">
        <v>947</v>
      </c>
      <c r="W20" s="237">
        <v>14</v>
      </c>
      <c r="Y20" s="173" t="s">
        <v>337</v>
      </c>
      <c r="Z20" s="173">
        <f t="shared" ref="Z20:Z22" si="2">0.001*W20</f>
        <v>1.4E-2</v>
      </c>
    </row>
    <row r="21" spans="1:29">
      <c r="A21" s="15" t="s">
        <v>988</v>
      </c>
      <c r="B21" s="173">
        <f t="shared" si="0"/>
        <v>2E-3</v>
      </c>
      <c r="C21" s="173" t="s">
        <v>37</v>
      </c>
      <c r="D21" s="173" t="s">
        <v>38</v>
      </c>
      <c r="E21" s="173" t="s">
        <v>29</v>
      </c>
      <c r="F21" s="185" t="s">
        <v>35</v>
      </c>
      <c r="G21" s="173" t="s">
        <v>33</v>
      </c>
      <c r="H21" s="173">
        <v>1</v>
      </c>
      <c r="I21" s="173">
        <f t="shared" si="1"/>
        <v>2E-3</v>
      </c>
      <c r="J21" s="173" t="s">
        <v>31</v>
      </c>
      <c r="K21" s="173" t="s">
        <v>31</v>
      </c>
      <c r="L21" s="173" t="s">
        <v>31</v>
      </c>
      <c r="M21" s="173" t="s">
        <v>31</v>
      </c>
      <c r="N21" s="177" t="s">
        <v>991</v>
      </c>
      <c r="U21" s="320" t="s">
        <v>991</v>
      </c>
      <c r="V21" s="236" t="s">
        <v>947</v>
      </c>
      <c r="W21" s="237">
        <v>2</v>
      </c>
      <c r="Y21" s="173" t="s">
        <v>337</v>
      </c>
      <c r="Z21" s="173">
        <f t="shared" si="2"/>
        <v>2E-3</v>
      </c>
    </row>
    <row r="22" spans="1:29">
      <c r="A22" s="15" t="s">
        <v>992</v>
      </c>
      <c r="B22" s="173">
        <f t="shared" si="0"/>
        <v>2E-3</v>
      </c>
      <c r="C22" s="173" t="s">
        <v>37</v>
      </c>
      <c r="D22" s="173" t="s">
        <v>38</v>
      </c>
      <c r="E22" s="173" t="s">
        <v>29</v>
      </c>
      <c r="F22" s="185" t="s">
        <v>35</v>
      </c>
      <c r="G22" s="173" t="s">
        <v>33</v>
      </c>
      <c r="H22" s="173">
        <v>1</v>
      </c>
      <c r="I22" s="173">
        <f t="shared" si="1"/>
        <v>2E-3</v>
      </c>
      <c r="J22" s="173" t="s">
        <v>31</v>
      </c>
      <c r="K22" s="173" t="s">
        <v>31</v>
      </c>
      <c r="L22" s="173" t="s">
        <v>31</v>
      </c>
      <c r="M22" s="173" t="s">
        <v>31</v>
      </c>
      <c r="N22" s="177" t="s">
        <v>991</v>
      </c>
      <c r="U22" s="320" t="s">
        <v>991</v>
      </c>
      <c r="V22" s="236" t="s">
        <v>947</v>
      </c>
      <c r="W22" s="237">
        <v>2</v>
      </c>
      <c r="Y22" s="173" t="s">
        <v>337</v>
      </c>
      <c r="Z22" s="173">
        <f t="shared" si="2"/>
        <v>2E-3</v>
      </c>
    </row>
    <row r="23" spans="1:29">
      <c r="A23" s="238" t="s">
        <v>1387</v>
      </c>
      <c r="B23" s="173">
        <f t="shared" si="0"/>
        <v>0.02</v>
      </c>
      <c r="C23" s="173" t="s">
        <v>37</v>
      </c>
      <c r="D23" s="173" t="s">
        <v>2</v>
      </c>
      <c r="E23" s="173" t="s">
        <v>29</v>
      </c>
      <c r="F23" s="185" t="s">
        <v>14</v>
      </c>
      <c r="G23" s="173" t="s">
        <v>33</v>
      </c>
      <c r="H23" s="173">
        <v>1</v>
      </c>
      <c r="I23" s="173">
        <f t="shared" si="1"/>
        <v>0.02</v>
      </c>
      <c r="J23" s="173" t="s">
        <v>31</v>
      </c>
      <c r="K23" s="173" t="s">
        <v>31</v>
      </c>
      <c r="L23" s="173" t="s">
        <v>31</v>
      </c>
      <c r="M23" s="173" t="s">
        <v>31</v>
      </c>
      <c r="N23" s="177" t="s">
        <v>1388</v>
      </c>
      <c r="U23" s="236" t="s">
        <v>1388</v>
      </c>
      <c r="V23" s="236" t="s">
        <v>337</v>
      </c>
      <c r="W23" s="237">
        <v>0.02</v>
      </c>
      <c r="Y23" s="173" t="s">
        <v>337</v>
      </c>
      <c r="Z23" s="173">
        <f t="shared" ref="Z23:Z24" si="3">W23</f>
        <v>0.02</v>
      </c>
    </row>
    <row r="24" spans="1:29">
      <c r="A24" s="235" t="s">
        <v>1389</v>
      </c>
      <c r="B24" s="191">
        <f>'2B. Machined casing'!B7</f>
        <v>3.15</v>
      </c>
      <c r="C24" s="173" t="s">
        <v>37</v>
      </c>
      <c r="D24" s="173" t="s">
        <v>2</v>
      </c>
      <c r="E24" s="173" t="s">
        <v>29</v>
      </c>
      <c r="F24" s="185" t="s">
        <v>14</v>
      </c>
      <c r="G24" s="173" t="s">
        <v>33</v>
      </c>
      <c r="H24" s="173">
        <v>1</v>
      </c>
      <c r="I24" s="173">
        <f t="shared" si="1"/>
        <v>3.15</v>
      </c>
      <c r="J24" s="173" t="s">
        <v>31</v>
      </c>
      <c r="K24" s="173" t="s">
        <v>31</v>
      </c>
      <c r="L24" s="173" t="s">
        <v>31</v>
      </c>
      <c r="M24" s="173" t="s">
        <v>31</v>
      </c>
      <c r="N24" s="177" t="s">
        <v>1121</v>
      </c>
      <c r="U24" s="236" t="s">
        <v>994</v>
      </c>
      <c r="V24" s="241" t="s">
        <v>337</v>
      </c>
      <c r="W24" s="237">
        <v>3</v>
      </c>
      <c r="Y24" s="173" t="s">
        <v>337</v>
      </c>
      <c r="Z24" s="173">
        <f t="shared" si="3"/>
        <v>3</v>
      </c>
    </row>
    <row r="25" spans="1:29">
      <c r="A25" s="15" t="s">
        <v>995</v>
      </c>
      <c r="B25" s="173">
        <f t="shared" si="0"/>
        <v>6.0000000000000001E-3</v>
      </c>
      <c r="C25" s="173" t="s">
        <v>37</v>
      </c>
      <c r="D25" s="173" t="s">
        <v>38</v>
      </c>
      <c r="E25" s="173" t="s">
        <v>29</v>
      </c>
      <c r="F25" s="185" t="s">
        <v>86</v>
      </c>
      <c r="G25" s="173" t="s">
        <v>33</v>
      </c>
      <c r="H25" s="173">
        <v>1</v>
      </c>
      <c r="I25" s="173">
        <f t="shared" si="1"/>
        <v>6.0000000000000001E-3</v>
      </c>
      <c r="J25" s="173" t="s">
        <v>31</v>
      </c>
      <c r="K25" s="173" t="s">
        <v>31</v>
      </c>
      <c r="L25" s="173" t="s">
        <v>31</v>
      </c>
      <c r="M25" s="173" t="s">
        <v>31</v>
      </c>
      <c r="N25" s="177" t="s">
        <v>996</v>
      </c>
      <c r="U25" s="242" t="s">
        <v>996</v>
      </c>
      <c r="V25" s="242" t="s">
        <v>947</v>
      </c>
      <c r="W25" s="243">
        <v>6</v>
      </c>
      <c r="Y25" s="173" t="s">
        <v>337</v>
      </c>
      <c r="Z25" s="173">
        <f t="shared" ref="Z25:Z27" si="4">0.001*W25</f>
        <v>6.0000000000000001E-3</v>
      </c>
    </row>
    <row r="26" spans="1:29">
      <c r="A26" s="15" t="s">
        <v>997</v>
      </c>
      <c r="B26" s="173">
        <f t="shared" si="0"/>
        <v>1E-3</v>
      </c>
      <c r="C26" s="173" t="s">
        <v>37</v>
      </c>
      <c r="D26" s="173" t="s">
        <v>38</v>
      </c>
      <c r="E26" s="173" t="s">
        <v>29</v>
      </c>
      <c r="F26" s="185" t="s">
        <v>60</v>
      </c>
      <c r="G26" s="173" t="s">
        <v>33</v>
      </c>
      <c r="H26" s="173">
        <v>1</v>
      </c>
      <c r="I26" s="173">
        <f t="shared" si="1"/>
        <v>1E-3</v>
      </c>
      <c r="J26" s="173" t="s">
        <v>31</v>
      </c>
      <c r="K26" s="173" t="s">
        <v>31</v>
      </c>
      <c r="L26" s="173" t="s">
        <v>31</v>
      </c>
      <c r="M26" s="173" t="s">
        <v>31</v>
      </c>
      <c r="N26" s="173" t="s">
        <v>998</v>
      </c>
      <c r="U26" s="242" t="s">
        <v>998</v>
      </c>
      <c r="V26" s="242" t="s">
        <v>947</v>
      </c>
      <c r="W26" s="243">
        <v>1</v>
      </c>
      <c r="Y26" s="173" t="s">
        <v>337</v>
      </c>
      <c r="Z26" s="173">
        <f t="shared" si="4"/>
        <v>1E-3</v>
      </c>
    </row>
    <row r="27" spans="1:29">
      <c r="A27" s="15" t="s">
        <v>533</v>
      </c>
      <c r="B27" s="173">
        <f t="shared" si="0"/>
        <v>1E-3</v>
      </c>
      <c r="C27" s="173" t="s">
        <v>37</v>
      </c>
      <c r="D27" s="173" t="s">
        <v>38</v>
      </c>
      <c r="E27" s="173" t="s">
        <v>29</v>
      </c>
      <c r="F27" s="185" t="s">
        <v>35</v>
      </c>
      <c r="G27" s="173" t="s">
        <v>33</v>
      </c>
      <c r="H27" s="173">
        <v>1</v>
      </c>
      <c r="I27" s="173">
        <f t="shared" si="1"/>
        <v>1E-3</v>
      </c>
      <c r="J27" s="173" t="s">
        <v>31</v>
      </c>
      <c r="K27" s="173" t="s">
        <v>31</v>
      </c>
      <c r="L27" s="173" t="s">
        <v>31</v>
      </c>
      <c r="M27" s="173" t="s">
        <v>31</v>
      </c>
      <c r="N27" s="173" t="s">
        <v>999</v>
      </c>
      <c r="U27" s="242" t="s">
        <v>999</v>
      </c>
      <c r="V27" s="242" t="s">
        <v>947</v>
      </c>
      <c r="W27" s="243">
        <v>1</v>
      </c>
      <c r="Y27" s="173" t="s">
        <v>337</v>
      </c>
      <c r="Z27" s="173">
        <f t="shared" si="4"/>
        <v>1E-3</v>
      </c>
    </row>
    <row r="28" spans="1:29">
      <c r="A28" s="321" t="s">
        <v>168</v>
      </c>
      <c r="B28" s="173">
        <v>0.7</v>
      </c>
      <c r="C28" s="173" t="s">
        <v>41</v>
      </c>
      <c r="D28" s="173" t="s">
        <v>38</v>
      </c>
      <c r="E28" s="173" t="s">
        <v>29</v>
      </c>
      <c r="F28" s="173" t="s">
        <v>14</v>
      </c>
      <c r="G28" s="173" t="s">
        <v>33</v>
      </c>
      <c r="H28" s="173">
        <v>1</v>
      </c>
      <c r="I28" s="173">
        <f t="shared" si="1"/>
        <v>0.7</v>
      </c>
      <c r="J28" s="173" t="s">
        <v>31</v>
      </c>
      <c r="K28" s="173" t="s">
        <v>31</v>
      </c>
      <c r="L28" s="173" t="s">
        <v>31</v>
      </c>
      <c r="M28" s="173" t="s">
        <v>31</v>
      </c>
      <c r="N28" s="173" t="s">
        <v>1000</v>
      </c>
      <c r="U28" s="236"/>
      <c r="V28" s="241"/>
      <c r="W28" s="237"/>
    </row>
    <row r="29" spans="1:29">
      <c r="A29" s="321" t="s">
        <v>168</v>
      </c>
      <c r="B29" s="173">
        <v>0.2</v>
      </c>
      <c r="C29" s="173" t="s">
        <v>41</v>
      </c>
      <c r="D29" s="173" t="s">
        <v>38</v>
      </c>
      <c r="E29" s="173" t="s">
        <v>29</v>
      </c>
      <c r="F29" s="173" t="s">
        <v>14</v>
      </c>
      <c r="G29" s="173" t="s">
        <v>33</v>
      </c>
      <c r="H29" s="173">
        <v>1</v>
      </c>
      <c r="I29" s="173">
        <f t="shared" si="1"/>
        <v>0.2</v>
      </c>
      <c r="J29" s="173" t="s">
        <v>31</v>
      </c>
      <c r="K29" s="173" t="s">
        <v>31</v>
      </c>
      <c r="L29" s="173" t="s">
        <v>31</v>
      </c>
      <c r="M29" s="173" t="s">
        <v>31</v>
      </c>
      <c r="N29" s="173" t="s">
        <v>1001</v>
      </c>
    </row>
    <row r="30" spans="1:29">
      <c r="A30" s="321" t="s">
        <v>168</v>
      </c>
      <c r="B30" s="173">
        <v>1.5</v>
      </c>
      <c r="C30" s="173" t="s">
        <v>41</v>
      </c>
      <c r="D30" s="173" t="s">
        <v>38</v>
      </c>
      <c r="E30" s="173" t="s">
        <v>29</v>
      </c>
      <c r="F30" s="173" t="s">
        <v>14</v>
      </c>
      <c r="G30" s="173" t="s">
        <v>33</v>
      </c>
      <c r="H30" s="173">
        <v>1</v>
      </c>
      <c r="I30" s="173">
        <f t="shared" si="1"/>
        <v>1.5</v>
      </c>
      <c r="J30" s="173" t="s">
        <v>31</v>
      </c>
      <c r="K30" s="173" t="s">
        <v>31</v>
      </c>
      <c r="L30" s="173" t="s">
        <v>31</v>
      </c>
      <c r="M30" s="173" t="s">
        <v>31</v>
      </c>
      <c r="N30" s="173" t="s">
        <v>1002</v>
      </c>
    </row>
    <row r="31" spans="1:29">
      <c r="A31" s="209"/>
      <c r="B31" s="210"/>
      <c r="C31" s="211"/>
      <c r="D31" s="188"/>
      <c r="E31" s="188"/>
      <c r="F31" s="188"/>
      <c r="G31" s="188"/>
      <c r="H31" s="188"/>
      <c r="I31" s="188"/>
      <c r="J31" s="188"/>
      <c r="K31" s="188"/>
      <c r="L31" s="188"/>
      <c r="M31" s="188"/>
      <c r="N31" s="173" t="s">
        <v>1310</v>
      </c>
    </row>
    <row r="32" spans="1:29">
      <c r="A32" s="177"/>
      <c r="C32" s="176"/>
      <c r="N32" s="258">
        <f>SUM(B13:B27)-B17+0.141</f>
        <v>4.1410000000000009</v>
      </c>
    </row>
    <row r="33" spans="1:14">
      <c r="A33" s="177"/>
      <c r="C33" s="176"/>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53EAB-9D88-4C9B-9C86-DA0F4AC6A64D}">
  <sheetPr>
    <tabColor theme="5"/>
  </sheetPr>
  <dimension ref="A1:U104"/>
  <sheetViews>
    <sheetView topLeftCell="A62" zoomScale="70" zoomScaleNormal="70"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1">
      <c r="A1" s="173" t="s">
        <v>0</v>
      </c>
      <c r="B1">
        <v>13</v>
      </c>
    </row>
    <row r="2" spans="1:21" ht="15.75">
      <c r="A2" s="322" t="s">
        <v>5</v>
      </c>
      <c r="B2" s="323" t="s">
        <v>1385</v>
      </c>
      <c r="C2" s="120"/>
      <c r="D2" s="42"/>
      <c r="E2" s="42"/>
      <c r="F2" s="42"/>
      <c r="G2" s="42"/>
      <c r="H2" s="42"/>
      <c r="I2" s="42"/>
      <c r="J2" s="42"/>
      <c r="K2" s="42"/>
      <c r="L2" s="42"/>
      <c r="M2" s="42"/>
      <c r="N2" s="42"/>
      <c r="O2" s="42"/>
      <c r="P2" s="42"/>
      <c r="Q2" s="42"/>
      <c r="R2" s="42"/>
    </row>
    <row r="3" spans="1:21">
      <c r="A3" s="324" t="s">
        <v>7</v>
      </c>
      <c r="B3" t="s">
        <v>566</v>
      </c>
      <c r="C3" s="23"/>
    </row>
    <row r="4" spans="1:21">
      <c r="A4" s="324" t="s">
        <v>9</v>
      </c>
      <c r="B4" t="s">
        <v>1390</v>
      </c>
      <c r="C4" s="23"/>
      <c r="U4" s="65"/>
    </row>
    <row r="5" spans="1:21" ht="12.75" customHeight="1">
      <c r="A5" s="324" t="s">
        <v>11</v>
      </c>
      <c r="B5" s="249" t="s">
        <v>913</v>
      </c>
    </row>
    <row r="6" spans="1:21">
      <c r="A6" s="324" t="s">
        <v>13</v>
      </c>
      <c r="B6" t="s">
        <v>14</v>
      </c>
    </row>
    <row r="7" spans="1:21">
      <c r="A7" s="324" t="s">
        <v>15</v>
      </c>
      <c r="B7">
        <f>B12</f>
        <v>1E-3</v>
      </c>
    </row>
    <row r="8" spans="1:21">
      <c r="A8" s="324" t="s">
        <v>16</v>
      </c>
      <c r="B8" t="s">
        <v>17</v>
      </c>
    </row>
    <row r="9" spans="1:21">
      <c r="A9" s="324" t="s">
        <v>18</v>
      </c>
      <c r="B9" t="s">
        <v>206</v>
      </c>
    </row>
    <row r="10" spans="1:21" ht="15.75">
      <c r="A10" s="325" t="s">
        <v>19</v>
      </c>
    </row>
    <row r="11" spans="1:21" ht="15.75">
      <c r="A11" s="32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75">
      <c r="A12" s="31" t="s">
        <v>1385</v>
      </c>
      <c r="B12">
        <v>1E-3</v>
      </c>
      <c r="C12" t="s">
        <v>206</v>
      </c>
      <c r="D12" s="326" t="s">
        <v>2</v>
      </c>
      <c r="E12" t="s">
        <v>29</v>
      </c>
      <c r="F12" s="251" t="s">
        <v>14</v>
      </c>
      <c r="G12" t="s">
        <v>30</v>
      </c>
      <c r="H12">
        <v>1</v>
      </c>
      <c r="I12">
        <f>B12</f>
        <v>1E-3</v>
      </c>
      <c r="J12" t="s">
        <v>31</v>
      </c>
      <c r="K12" t="s">
        <v>31</v>
      </c>
      <c r="L12" t="s">
        <v>31</v>
      </c>
      <c r="M12" t="s">
        <v>31</v>
      </c>
      <c r="O12" s="327"/>
      <c r="P12" s="328"/>
    </row>
    <row r="13" spans="1:21" ht="15.75">
      <c r="A13" s="31" t="s">
        <v>1391</v>
      </c>
      <c r="B13">
        <f>Q13</f>
        <v>5.3333333333333332E-3</v>
      </c>
      <c r="C13" t="s">
        <v>37</v>
      </c>
      <c r="D13" s="326" t="s">
        <v>2</v>
      </c>
      <c r="E13" t="s">
        <v>29</v>
      </c>
      <c r="F13" s="251" t="s">
        <v>14</v>
      </c>
      <c r="G13" t="s">
        <v>33</v>
      </c>
      <c r="H13">
        <v>1</v>
      </c>
      <c r="I13">
        <f t="shared" ref="I13:I14" si="0">B13</f>
        <v>5.3333333333333332E-3</v>
      </c>
      <c r="J13" t="s">
        <v>31</v>
      </c>
      <c r="K13" t="s">
        <v>31</v>
      </c>
      <c r="L13" t="s">
        <v>31</v>
      </c>
      <c r="M13" t="s">
        <v>31</v>
      </c>
      <c r="O13" s="329" t="s">
        <v>1392</v>
      </c>
      <c r="Q13">
        <f>B12/O37</f>
        <v>5.3333333333333332E-3</v>
      </c>
    </row>
    <row r="14" spans="1:21" ht="15.75">
      <c r="A14" s="31" t="s">
        <v>1393</v>
      </c>
      <c r="B14">
        <v>1E-3</v>
      </c>
      <c r="C14" t="s">
        <v>206</v>
      </c>
      <c r="D14" s="326" t="s">
        <v>2</v>
      </c>
      <c r="E14" t="s">
        <v>29</v>
      </c>
      <c r="F14" s="251" t="s">
        <v>14</v>
      </c>
      <c r="G14" t="s">
        <v>33</v>
      </c>
      <c r="H14">
        <v>1</v>
      </c>
      <c r="I14">
        <f t="shared" si="0"/>
        <v>1E-3</v>
      </c>
      <c r="J14" t="s">
        <v>31</v>
      </c>
      <c r="K14" t="s">
        <v>31</v>
      </c>
      <c r="L14" t="s">
        <v>31</v>
      </c>
      <c r="M14" t="s">
        <v>31</v>
      </c>
    </row>
    <row r="15" spans="1:21" ht="15.75">
      <c r="A15" s="83" t="s">
        <v>933</v>
      </c>
      <c r="B15">
        <f>P15</f>
        <v>7.0000000000000001E-3</v>
      </c>
      <c r="C15" t="s">
        <v>37</v>
      </c>
      <c r="D15" s="17" t="s">
        <v>38</v>
      </c>
      <c r="E15" t="s">
        <v>29</v>
      </c>
      <c r="F15" s="251" t="s">
        <v>39</v>
      </c>
      <c r="G15" t="s">
        <v>33</v>
      </c>
      <c r="H15">
        <v>2</v>
      </c>
      <c r="I15">
        <f>LN(B15)</f>
        <v>-4.9618451299268234</v>
      </c>
      <c r="J15" s="330">
        <v>0.11236102527122109</v>
      </c>
      <c r="K15" t="s">
        <v>31</v>
      </c>
      <c r="L15" t="s">
        <v>31</v>
      </c>
      <c r="M15" t="s">
        <v>31</v>
      </c>
      <c r="O15" s="331" t="s">
        <v>337</v>
      </c>
      <c r="P15" s="296">
        <v>7.0000000000000001E-3</v>
      </c>
    </row>
    <row r="16" spans="1:21" ht="15.75">
      <c r="A16" s="83" t="s">
        <v>1008</v>
      </c>
      <c r="B16" s="283">
        <f>Q16</f>
        <v>4.0000000000000001E-10</v>
      </c>
      <c r="C16" t="s">
        <v>37</v>
      </c>
      <c r="D16" s="17" t="s">
        <v>38</v>
      </c>
      <c r="E16" t="s">
        <v>29</v>
      </c>
      <c r="F16" s="251" t="s">
        <v>60</v>
      </c>
      <c r="G16" t="s">
        <v>33</v>
      </c>
      <c r="H16">
        <v>2</v>
      </c>
      <c r="I16">
        <f t="shared" ref="I16:I17" si="1">LN(B16)</f>
        <v>-21.639556568820566</v>
      </c>
      <c r="J16" s="330">
        <v>0.11236102527122109</v>
      </c>
      <c r="K16" t="s">
        <v>31</v>
      </c>
      <c r="L16" t="s">
        <v>31</v>
      </c>
      <c r="M16" t="s">
        <v>31</v>
      </c>
      <c r="O16" s="332" t="s">
        <v>952</v>
      </c>
      <c r="P16" s="333">
        <v>4.0000000000000002E-4</v>
      </c>
      <c r="Q16" s="283">
        <f>P16*10^(-6)</f>
        <v>4.0000000000000001E-10</v>
      </c>
      <c r="R16" t="s">
        <v>37</v>
      </c>
    </row>
    <row r="17" spans="1:18" ht="15.75">
      <c r="A17" s="83" t="s">
        <v>489</v>
      </c>
      <c r="B17">
        <f>Q17</f>
        <v>6.9999999999999999E-6</v>
      </c>
      <c r="C17" t="s">
        <v>50</v>
      </c>
      <c r="D17" s="17" t="s">
        <v>38</v>
      </c>
      <c r="E17" t="s">
        <v>29</v>
      </c>
      <c r="F17" s="251" t="s">
        <v>39</v>
      </c>
      <c r="G17" t="s">
        <v>33</v>
      </c>
      <c r="H17">
        <v>2</v>
      </c>
      <c r="I17">
        <f t="shared" si="1"/>
        <v>-11.86960040890896</v>
      </c>
      <c r="J17" s="330">
        <v>0.11236102527122109</v>
      </c>
      <c r="K17" t="s">
        <v>31</v>
      </c>
      <c r="L17" t="s">
        <v>31</v>
      </c>
      <c r="M17" t="s">
        <v>31</v>
      </c>
      <c r="O17" s="334" t="s">
        <v>1009</v>
      </c>
      <c r="P17" s="306">
        <v>7.0000000000000001E-3</v>
      </c>
      <c r="Q17">
        <f>P17/1000</f>
        <v>6.9999999999999999E-6</v>
      </c>
      <c r="R17" t="s">
        <v>1010</v>
      </c>
    </row>
    <row r="18" spans="1:18" ht="15.75">
      <c r="A18" s="322" t="s">
        <v>5</v>
      </c>
      <c r="B18" s="323" t="s">
        <v>1391</v>
      </c>
      <c r="C18" s="120"/>
      <c r="D18" s="42"/>
      <c r="E18" s="42"/>
      <c r="F18" s="42"/>
      <c r="G18" s="42"/>
      <c r="H18" s="42"/>
      <c r="I18" s="42"/>
      <c r="J18" s="42"/>
      <c r="K18" s="42"/>
      <c r="L18" s="42"/>
      <c r="M18" s="42"/>
      <c r="N18" s="42"/>
      <c r="O18" s="42"/>
      <c r="P18" s="42"/>
      <c r="Q18" s="42"/>
      <c r="R18" s="42"/>
    </row>
    <row r="19" spans="1:18">
      <c r="A19" s="324" t="s">
        <v>7</v>
      </c>
      <c r="B19" t="s">
        <v>566</v>
      </c>
      <c r="C19" s="23"/>
    </row>
    <row r="20" spans="1:18">
      <c r="A20" s="324" t="s">
        <v>9</v>
      </c>
      <c r="B20" t="s">
        <v>1394</v>
      </c>
      <c r="C20" s="23"/>
    </row>
    <row r="21" spans="1:18" ht="10.5" customHeight="1">
      <c r="A21" s="324" t="s">
        <v>11</v>
      </c>
      <c r="B21" s="249" t="s">
        <v>913</v>
      </c>
    </row>
    <row r="22" spans="1:18">
      <c r="A22" s="324" t="s">
        <v>13</v>
      </c>
      <c r="B22" t="s">
        <v>14</v>
      </c>
    </row>
    <row r="23" spans="1:18">
      <c r="A23" s="324" t="s">
        <v>15</v>
      </c>
      <c r="B23">
        <f>B28</f>
        <v>3.0000000000000001E-3</v>
      </c>
    </row>
    <row r="24" spans="1:18">
      <c r="A24" s="324" t="s">
        <v>16</v>
      </c>
      <c r="B24" t="s">
        <v>17</v>
      </c>
    </row>
    <row r="25" spans="1:18">
      <c r="A25" s="324" t="s">
        <v>18</v>
      </c>
      <c r="B25" t="s">
        <v>37</v>
      </c>
    </row>
    <row r="26" spans="1:18" ht="15.75">
      <c r="A26" s="325" t="s">
        <v>19</v>
      </c>
    </row>
    <row r="27" spans="1:18" ht="15.75">
      <c r="A27" s="325"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75">
      <c r="A28" s="31" t="s">
        <v>1391</v>
      </c>
      <c r="B28">
        <v>3.0000000000000001E-3</v>
      </c>
      <c r="C28" t="s">
        <v>37</v>
      </c>
      <c r="D28" s="326" t="s">
        <v>2</v>
      </c>
      <c r="E28" t="s">
        <v>29</v>
      </c>
      <c r="F28" s="251" t="s">
        <v>14</v>
      </c>
      <c r="G28" t="s">
        <v>30</v>
      </c>
      <c r="H28">
        <v>1</v>
      </c>
      <c r="I28">
        <f>B28</f>
        <v>3.0000000000000001E-3</v>
      </c>
      <c r="J28" t="s">
        <v>31</v>
      </c>
      <c r="K28" t="s">
        <v>31</v>
      </c>
      <c r="L28" t="s">
        <v>31</v>
      </c>
      <c r="M28" t="s">
        <v>31</v>
      </c>
    </row>
    <row r="29" spans="1:18" ht="15.75">
      <c r="A29" s="83" t="s">
        <v>1008</v>
      </c>
      <c r="B29" s="283">
        <f>R29</f>
        <v>3.1000000000000003E-3</v>
      </c>
      <c r="C29" t="s">
        <v>37</v>
      </c>
      <c r="D29" s="17" t="s">
        <v>38</v>
      </c>
      <c r="E29" t="s">
        <v>29</v>
      </c>
      <c r="F29" s="251" t="s">
        <v>60</v>
      </c>
      <c r="G29" t="s">
        <v>33</v>
      </c>
      <c r="H29">
        <v>2</v>
      </c>
      <c r="I29">
        <f t="shared" ref="I29:I31" si="2">LN(B29)</f>
        <v>-5.7763531674910364</v>
      </c>
      <c r="J29" s="330">
        <v>0.11236102527122109</v>
      </c>
      <c r="K29" t="s">
        <v>31</v>
      </c>
      <c r="L29" t="s">
        <v>31</v>
      </c>
      <c r="M29" t="s">
        <v>31</v>
      </c>
      <c r="O29" s="331" t="s">
        <v>947</v>
      </c>
      <c r="P29" s="296">
        <v>3.1</v>
      </c>
      <c r="Q29" t="s">
        <v>337</v>
      </c>
      <c r="R29">
        <f>P29*0.001</f>
        <v>3.1000000000000003E-3</v>
      </c>
    </row>
    <row r="30" spans="1:18" ht="15.75">
      <c r="A30" s="335" t="s">
        <v>168</v>
      </c>
      <c r="B30" s="336">
        <f>P30</f>
        <v>0.01</v>
      </c>
      <c r="C30" t="s">
        <v>41</v>
      </c>
      <c r="D30" s="17" t="s">
        <v>38</v>
      </c>
      <c r="E30" t="s">
        <v>29</v>
      </c>
      <c r="F30" s="251" t="s">
        <v>35</v>
      </c>
      <c r="G30" t="s">
        <v>33</v>
      </c>
      <c r="H30">
        <v>2</v>
      </c>
      <c r="I30">
        <f t="shared" si="2"/>
        <v>-4.6051701859880909</v>
      </c>
      <c r="J30" s="330">
        <v>0.11236102527122109</v>
      </c>
      <c r="K30" t="s">
        <v>31</v>
      </c>
      <c r="L30" t="s">
        <v>31</v>
      </c>
      <c r="M30" t="s">
        <v>31</v>
      </c>
      <c r="O30" s="331" t="s">
        <v>332</v>
      </c>
      <c r="P30" s="296">
        <v>0.01</v>
      </c>
    </row>
    <row r="31" spans="1:18" ht="15.75">
      <c r="A31" s="83" t="s">
        <v>1012</v>
      </c>
      <c r="B31">
        <f>R31</f>
        <v>2.0000000000000001E-4</v>
      </c>
      <c r="C31" t="s">
        <v>37</v>
      </c>
      <c r="D31" s="17" t="s">
        <v>43</v>
      </c>
      <c r="E31" t="s">
        <v>1013</v>
      </c>
      <c r="F31" s="251" t="s">
        <v>29</v>
      </c>
      <c r="G31" t="s">
        <v>45</v>
      </c>
      <c r="H31">
        <v>2</v>
      </c>
      <c r="I31">
        <f t="shared" si="2"/>
        <v>-8.5171931914162382</v>
      </c>
      <c r="J31" s="330">
        <v>0.11236102527122109</v>
      </c>
      <c r="K31" t="s">
        <v>31</v>
      </c>
      <c r="L31" t="s">
        <v>31</v>
      </c>
      <c r="M31" t="s">
        <v>31</v>
      </c>
      <c r="O31" s="334" t="s">
        <v>947</v>
      </c>
      <c r="P31" s="306">
        <v>0.2</v>
      </c>
      <c r="Q31" t="s">
        <v>337</v>
      </c>
      <c r="R31">
        <f>P31*0.001</f>
        <v>2.0000000000000001E-4</v>
      </c>
    </row>
    <row r="32" spans="1:18" ht="15.75">
      <c r="A32" s="322" t="s">
        <v>5</v>
      </c>
      <c r="B32" s="337" t="s">
        <v>1393</v>
      </c>
      <c r="C32" s="120"/>
      <c r="D32" s="42"/>
      <c r="E32" s="42"/>
      <c r="F32" s="42"/>
      <c r="G32" s="42"/>
      <c r="H32" s="42"/>
      <c r="I32" s="42"/>
      <c r="J32" s="42"/>
      <c r="K32" s="42"/>
      <c r="L32" s="42"/>
      <c r="M32" s="42"/>
      <c r="N32" s="42"/>
      <c r="O32" s="42"/>
      <c r="P32" s="42"/>
      <c r="Q32" s="42"/>
      <c r="R32" s="42"/>
    </row>
    <row r="33" spans="1:20">
      <c r="A33" s="324" t="s">
        <v>7</v>
      </c>
      <c r="B33" t="s">
        <v>566</v>
      </c>
      <c r="C33" s="23"/>
    </row>
    <row r="34" spans="1:20">
      <c r="A34" s="324" t="s">
        <v>9</v>
      </c>
      <c r="B34" t="s">
        <v>1395</v>
      </c>
      <c r="C34" s="23"/>
    </row>
    <row r="35" spans="1:20" ht="15.75" customHeight="1">
      <c r="A35" s="324" t="s">
        <v>11</v>
      </c>
      <c r="B35" s="249" t="s">
        <v>913</v>
      </c>
      <c r="T35" s="65" t="s">
        <v>1396</v>
      </c>
    </row>
    <row r="36" spans="1:20">
      <c r="A36" s="324" t="s">
        <v>13</v>
      </c>
      <c r="B36" t="s">
        <v>14</v>
      </c>
      <c r="O36" t="s">
        <v>1397</v>
      </c>
    </row>
    <row r="37" spans="1:20">
      <c r="A37" s="324" t="s">
        <v>15</v>
      </c>
      <c r="B37">
        <f>B42</f>
        <v>0.03</v>
      </c>
      <c r="O37">
        <f>0.03/0.16</f>
        <v>0.1875</v>
      </c>
      <c r="P37" t="s">
        <v>1304</v>
      </c>
    </row>
    <row r="38" spans="1:20">
      <c r="A38" s="324" t="s">
        <v>16</v>
      </c>
      <c r="B38" t="s">
        <v>17</v>
      </c>
    </row>
    <row r="39" spans="1:20">
      <c r="A39" s="324" t="s">
        <v>18</v>
      </c>
      <c r="B39" t="s">
        <v>206</v>
      </c>
    </row>
    <row r="40" spans="1:20" ht="15.75">
      <c r="A40" s="325" t="s">
        <v>19</v>
      </c>
    </row>
    <row r="41" spans="1:20" ht="15.75">
      <c r="A41" s="325"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75">
      <c r="A42" s="31" t="s">
        <v>1393</v>
      </c>
      <c r="B42">
        <v>0.03</v>
      </c>
      <c r="C42" t="s">
        <v>206</v>
      </c>
      <c r="D42" s="326" t="s">
        <v>2</v>
      </c>
      <c r="E42" t="s">
        <v>29</v>
      </c>
      <c r="F42" s="251" t="s">
        <v>14</v>
      </c>
      <c r="G42" t="s">
        <v>30</v>
      </c>
      <c r="H42">
        <v>1</v>
      </c>
      <c r="I42">
        <f t="shared" ref="I42:I43" si="3">B42</f>
        <v>0.03</v>
      </c>
      <c r="J42" t="s">
        <v>31</v>
      </c>
      <c r="K42" t="s">
        <v>31</v>
      </c>
      <c r="L42" t="s">
        <v>31</v>
      </c>
      <c r="M42" t="s">
        <v>31</v>
      </c>
    </row>
    <row r="43" spans="1:20" ht="15.75">
      <c r="A43" s="178" t="s">
        <v>1398</v>
      </c>
      <c r="B43" s="250">
        <v>0.16</v>
      </c>
      <c r="C43" t="s">
        <v>37</v>
      </c>
      <c r="D43" s="326" t="s">
        <v>2</v>
      </c>
      <c r="E43" t="s">
        <v>29</v>
      </c>
      <c r="F43" s="251" t="s">
        <v>14</v>
      </c>
      <c r="G43" t="s">
        <v>33</v>
      </c>
      <c r="H43">
        <v>1</v>
      </c>
      <c r="I43">
        <f t="shared" si="3"/>
        <v>0.16</v>
      </c>
      <c r="J43" t="s">
        <v>31</v>
      </c>
      <c r="K43" t="s">
        <v>31</v>
      </c>
      <c r="L43" t="s">
        <v>31</v>
      </c>
      <c r="M43" t="s">
        <v>31</v>
      </c>
      <c r="O43" t="s">
        <v>206</v>
      </c>
      <c r="P43">
        <v>0.03</v>
      </c>
    </row>
    <row r="44" spans="1:20" ht="15.75">
      <c r="A44" s="335" t="s">
        <v>168</v>
      </c>
      <c r="B44" s="336">
        <f>P44</f>
        <v>0.06</v>
      </c>
      <c r="C44" t="s">
        <v>41</v>
      </c>
      <c r="D44" s="17" t="s">
        <v>38</v>
      </c>
      <c r="E44" t="s">
        <v>29</v>
      </c>
      <c r="F44" s="251" t="s">
        <v>35</v>
      </c>
      <c r="G44" t="s">
        <v>33</v>
      </c>
      <c r="H44">
        <v>2</v>
      </c>
      <c r="I44">
        <f t="shared" ref="I44" si="4">LN(B44)</f>
        <v>-2.8134107167600364</v>
      </c>
      <c r="J44" s="330">
        <v>7.2284161474004766E-2</v>
      </c>
      <c r="K44" t="s">
        <v>31</v>
      </c>
      <c r="L44" t="s">
        <v>31</v>
      </c>
      <c r="M44" t="s">
        <v>31</v>
      </c>
      <c r="O44" s="331" t="s">
        <v>332</v>
      </c>
      <c r="P44" s="296">
        <v>0.06</v>
      </c>
    </row>
    <row r="45" spans="1:20" ht="15.75">
      <c r="A45" s="83" t="s">
        <v>1017</v>
      </c>
      <c r="B45">
        <f>R45</f>
        <v>1E-3</v>
      </c>
      <c r="C45" t="s">
        <v>37</v>
      </c>
      <c r="D45" s="17" t="s">
        <v>38</v>
      </c>
      <c r="E45" t="s">
        <v>29</v>
      </c>
      <c r="F45" s="251" t="s">
        <v>60</v>
      </c>
      <c r="G45" t="s">
        <v>33</v>
      </c>
      <c r="H45">
        <v>2</v>
      </c>
      <c r="I45">
        <f>LN(B45)</f>
        <v>-6.9077552789821368</v>
      </c>
      <c r="J45" s="330">
        <v>7.2284161474004766E-2</v>
      </c>
      <c r="K45" t="s">
        <v>31</v>
      </c>
      <c r="L45" t="s">
        <v>31</v>
      </c>
      <c r="M45" t="s">
        <v>31</v>
      </c>
      <c r="O45" s="331" t="s">
        <v>947</v>
      </c>
      <c r="P45" s="296">
        <v>1</v>
      </c>
      <c r="Q45" t="s">
        <v>337</v>
      </c>
      <c r="R45">
        <f>P45*0.001</f>
        <v>1E-3</v>
      </c>
    </row>
    <row r="46" spans="1:20" ht="15.75">
      <c r="A46" s="83" t="s">
        <v>1018</v>
      </c>
      <c r="B46">
        <f>R46</f>
        <v>2E-3</v>
      </c>
      <c r="C46" t="s">
        <v>37</v>
      </c>
      <c r="D46" s="17" t="s">
        <v>38</v>
      </c>
      <c r="E46" t="s">
        <v>29</v>
      </c>
      <c r="F46" s="251" t="s">
        <v>35</v>
      </c>
      <c r="G46" t="s">
        <v>33</v>
      </c>
      <c r="H46">
        <v>2</v>
      </c>
      <c r="I46">
        <f>LN(B46)</f>
        <v>-6.2146080984221914</v>
      </c>
      <c r="J46" s="330">
        <v>7.2284161474004766E-2</v>
      </c>
      <c r="K46" t="s">
        <v>31</v>
      </c>
      <c r="L46" t="s">
        <v>31</v>
      </c>
      <c r="M46" t="s">
        <v>31</v>
      </c>
      <c r="O46" s="331" t="s">
        <v>947</v>
      </c>
      <c r="P46" s="296">
        <v>2</v>
      </c>
      <c r="Q46" t="s">
        <v>337</v>
      </c>
      <c r="R46">
        <f>P46*0.001</f>
        <v>2E-3</v>
      </c>
    </row>
    <row r="47" spans="1:20" ht="15.75">
      <c r="A47" s="83" t="s">
        <v>933</v>
      </c>
      <c r="B47">
        <f>P47</f>
        <v>2.1</v>
      </c>
      <c r="C47" t="s">
        <v>37</v>
      </c>
      <c r="D47" s="17" t="s">
        <v>38</v>
      </c>
      <c r="E47" t="s">
        <v>29</v>
      </c>
      <c r="F47" s="251" t="s">
        <v>39</v>
      </c>
      <c r="G47" t="s">
        <v>33</v>
      </c>
      <c r="H47">
        <v>2</v>
      </c>
      <c r="I47">
        <f>LN(B47)</f>
        <v>0.74193734472937733</v>
      </c>
      <c r="J47" s="330">
        <v>7.2284161474004766E-2</v>
      </c>
      <c r="K47" t="s">
        <v>31</v>
      </c>
      <c r="L47" t="s">
        <v>31</v>
      </c>
      <c r="M47" t="s">
        <v>31</v>
      </c>
      <c r="O47" s="331" t="s">
        <v>337</v>
      </c>
      <c r="P47" s="296">
        <v>2.1</v>
      </c>
    </row>
    <row r="48" spans="1:20" ht="15.75">
      <c r="A48" s="83" t="s">
        <v>489</v>
      </c>
      <c r="B48">
        <f>R48</f>
        <v>2.1000000000000003E-3</v>
      </c>
      <c r="C48" t="s">
        <v>50</v>
      </c>
      <c r="D48" s="17" t="s">
        <v>38</v>
      </c>
      <c r="E48" t="s">
        <v>29</v>
      </c>
      <c r="F48" s="251" t="s">
        <v>39</v>
      </c>
      <c r="G48" t="s">
        <v>33</v>
      </c>
      <c r="H48">
        <v>2</v>
      </c>
      <c r="I48">
        <f t="shared" ref="I48" si="5">LN(B48)</f>
        <v>-6.1658179342527593</v>
      </c>
      <c r="J48" s="330">
        <v>7.2284161474004766E-2</v>
      </c>
      <c r="K48" t="s">
        <v>31</v>
      </c>
      <c r="L48" t="s">
        <v>31</v>
      </c>
      <c r="M48" t="s">
        <v>31</v>
      </c>
      <c r="O48" s="334" t="s">
        <v>1009</v>
      </c>
      <c r="P48" s="306">
        <v>2.1</v>
      </c>
      <c r="Q48" t="s">
        <v>335</v>
      </c>
      <c r="R48">
        <f>P48/1000</f>
        <v>2.1000000000000003E-3</v>
      </c>
    </row>
    <row r="49" spans="1:18" ht="15.75">
      <c r="A49" s="322" t="s">
        <v>5</v>
      </c>
      <c r="B49" s="337" t="s">
        <v>1399</v>
      </c>
      <c r="C49" s="120"/>
      <c r="D49" s="42"/>
      <c r="E49" s="42"/>
      <c r="F49" s="42"/>
      <c r="G49" s="42"/>
      <c r="H49" s="42"/>
      <c r="I49" s="42"/>
      <c r="J49" s="42"/>
      <c r="K49" s="42"/>
      <c r="L49" s="42"/>
      <c r="M49" s="42"/>
      <c r="N49" s="42"/>
      <c r="O49" s="42"/>
      <c r="P49" s="42"/>
      <c r="Q49" s="42"/>
      <c r="R49" s="42"/>
    </row>
    <row r="50" spans="1:18">
      <c r="A50" s="324" t="s">
        <v>7</v>
      </c>
      <c r="B50" t="s">
        <v>566</v>
      </c>
      <c r="C50" s="23"/>
    </row>
    <row r="51" spans="1:18">
      <c r="A51" s="324" t="s">
        <v>9</v>
      </c>
      <c r="B51" t="s">
        <v>1400</v>
      </c>
      <c r="C51" s="23"/>
    </row>
    <row r="52" spans="1:18" ht="10.5" customHeight="1">
      <c r="A52" s="324" t="s">
        <v>11</v>
      </c>
      <c r="B52" s="249" t="s">
        <v>913</v>
      </c>
    </row>
    <row r="53" spans="1:18">
      <c r="A53" s="324" t="s">
        <v>13</v>
      </c>
      <c r="B53" t="s">
        <v>14</v>
      </c>
    </row>
    <row r="54" spans="1:18">
      <c r="A54" s="324" t="s">
        <v>15</v>
      </c>
      <c r="B54" s="250">
        <f>B59</f>
        <v>4.0000000000000001E-3</v>
      </c>
    </row>
    <row r="55" spans="1:18">
      <c r="A55" s="324" t="s">
        <v>16</v>
      </c>
      <c r="B55" t="s">
        <v>17</v>
      </c>
    </row>
    <row r="56" spans="1:18">
      <c r="A56" s="324" t="s">
        <v>18</v>
      </c>
      <c r="B56" t="s">
        <v>37</v>
      </c>
    </row>
    <row r="57" spans="1:18" ht="15.75">
      <c r="A57" s="325" t="s">
        <v>19</v>
      </c>
    </row>
    <row r="58" spans="1:18" ht="15.75">
      <c r="A58" s="325"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75">
      <c r="A59" s="31" t="s">
        <v>1399</v>
      </c>
      <c r="B59" s="250">
        <f>0.004</f>
        <v>4.0000000000000001E-3</v>
      </c>
      <c r="C59" t="s">
        <v>37</v>
      </c>
      <c r="D59" s="326" t="s">
        <v>2</v>
      </c>
      <c r="E59" t="s">
        <v>29</v>
      </c>
      <c r="F59" s="251" t="s">
        <v>14</v>
      </c>
      <c r="G59" t="s">
        <v>30</v>
      </c>
      <c r="H59">
        <v>1</v>
      </c>
      <c r="I59">
        <f>B59</f>
        <v>4.0000000000000001E-3</v>
      </c>
      <c r="J59" t="s">
        <v>31</v>
      </c>
      <c r="K59" t="s">
        <v>31</v>
      </c>
      <c r="L59" t="s">
        <v>31</v>
      </c>
      <c r="M59" t="s">
        <v>31</v>
      </c>
      <c r="O59" s="30"/>
      <c r="P59" s="338"/>
    </row>
    <row r="60" spans="1:18" ht="15.75">
      <c r="A60" s="83" t="s">
        <v>1021</v>
      </c>
      <c r="B60" s="336">
        <f>2.2*0.001</f>
        <v>2.2000000000000001E-3</v>
      </c>
      <c r="C60" t="s">
        <v>37</v>
      </c>
      <c r="D60" s="17" t="s">
        <v>38</v>
      </c>
      <c r="E60" t="s">
        <v>29</v>
      </c>
      <c r="F60" s="251" t="s">
        <v>60</v>
      </c>
      <c r="G60" t="s">
        <v>33</v>
      </c>
      <c r="H60">
        <v>2</v>
      </c>
      <c r="I60">
        <f>LN(B60)</f>
        <v>-6.1192979186178666</v>
      </c>
      <c r="J60">
        <v>7.2284161474004766E-2</v>
      </c>
      <c r="K60" t="s">
        <v>31</v>
      </c>
      <c r="L60" t="s">
        <v>31</v>
      </c>
      <c r="M60" t="s">
        <v>31</v>
      </c>
      <c r="O60" s="331" t="s">
        <v>947</v>
      </c>
      <c r="P60" s="296">
        <v>5</v>
      </c>
      <c r="Q60" t="s">
        <v>337</v>
      </c>
      <c r="R60">
        <f>P60*0.001</f>
        <v>5.0000000000000001E-3</v>
      </c>
    </row>
    <row r="61" spans="1:18" ht="15.75">
      <c r="A61" s="335" t="s">
        <v>168</v>
      </c>
      <c r="B61" s="336">
        <v>0.25</v>
      </c>
      <c r="C61" t="s">
        <v>41</v>
      </c>
      <c r="D61" s="17" t="s">
        <v>38</v>
      </c>
      <c r="E61" t="s">
        <v>29</v>
      </c>
      <c r="F61" s="251" t="s">
        <v>35</v>
      </c>
      <c r="G61" t="s">
        <v>33</v>
      </c>
      <c r="H61">
        <v>2</v>
      </c>
      <c r="I61">
        <f t="shared" ref="I61:I62" si="6">LN(B61)</f>
        <v>-1.3862943611198906</v>
      </c>
      <c r="J61">
        <v>7.2284161474004766E-2</v>
      </c>
      <c r="K61" t="s">
        <v>31</v>
      </c>
      <c r="L61" t="s">
        <v>31</v>
      </c>
      <c r="M61" t="s">
        <v>31</v>
      </c>
      <c r="O61" s="331" t="s">
        <v>332</v>
      </c>
      <c r="P61" s="296">
        <v>0.02</v>
      </c>
    </row>
    <row r="62" spans="1:18" ht="15.75">
      <c r="A62" s="339" t="s">
        <v>1287</v>
      </c>
      <c r="B62">
        <f>0.2*0.001</f>
        <v>2.0000000000000001E-4</v>
      </c>
      <c r="C62" t="s">
        <v>37</v>
      </c>
      <c r="D62" s="326" t="s">
        <v>2</v>
      </c>
      <c r="E62" t="s">
        <v>29</v>
      </c>
      <c r="F62" s="251" t="s">
        <v>39</v>
      </c>
      <c r="G62" t="s">
        <v>33</v>
      </c>
      <c r="H62">
        <v>2</v>
      </c>
      <c r="I62">
        <f t="shared" si="6"/>
        <v>-8.5171931914162382</v>
      </c>
      <c r="J62">
        <v>7.2284161474004766E-2</v>
      </c>
      <c r="K62" t="s">
        <v>31</v>
      </c>
      <c r="L62" t="s">
        <v>31</v>
      </c>
      <c r="M62" t="s">
        <v>31</v>
      </c>
    </row>
    <row r="63" spans="1:18" s="17" customFormat="1" ht="15.75">
      <c r="A63" s="254" t="s">
        <v>5</v>
      </c>
      <c r="B63" s="210" t="s">
        <v>1398</v>
      </c>
      <c r="C63" s="211"/>
      <c r="D63" s="188"/>
      <c r="E63" s="188"/>
      <c r="F63" s="188"/>
      <c r="G63" s="188"/>
      <c r="H63" s="188"/>
      <c r="I63" s="188"/>
      <c r="J63" s="188"/>
      <c r="K63" s="188"/>
      <c r="L63" s="188"/>
      <c r="M63" s="188"/>
      <c r="N63" s="188"/>
      <c r="O63" s="273"/>
      <c r="P63" s="273"/>
      <c r="Q63" s="273"/>
      <c r="R63" s="273"/>
    </row>
    <row r="64" spans="1:18" s="17" customFormat="1" ht="15.75">
      <c r="A64" s="256" t="s">
        <v>7</v>
      </c>
      <c r="B64" s="173" t="s">
        <v>566</v>
      </c>
      <c r="C64" s="176"/>
      <c r="D64" s="173"/>
      <c r="E64" s="173"/>
      <c r="F64" s="173"/>
      <c r="G64" s="173"/>
      <c r="H64" s="173"/>
      <c r="I64" s="173"/>
      <c r="J64" s="173"/>
      <c r="K64" s="173"/>
      <c r="L64" s="173"/>
      <c r="M64" s="173"/>
      <c r="N64" s="173"/>
    </row>
    <row r="65" spans="1:16" s="17" customFormat="1" ht="15.75">
      <c r="A65" s="256" t="s">
        <v>9</v>
      </c>
      <c r="B65" s="173" t="s">
        <v>1401</v>
      </c>
      <c r="C65" s="176"/>
      <c r="D65" s="173"/>
      <c r="E65" s="173"/>
      <c r="F65" s="173"/>
      <c r="G65" s="173"/>
      <c r="H65" s="173"/>
      <c r="I65" s="173"/>
      <c r="J65" s="173"/>
      <c r="K65" s="173"/>
      <c r="L65" s="173"/>
      <c r="M65" s="173"/>
      <c r="N65" s="173"/>
    </row>
    <row r="66" spans="1:16" s="17" customFormat="1" ht="10.5" customHeight="1">
      <c r="A66" s="256" t="s">
        <v>11</v>
      </c>
      <c r="B66" s="179" t="s">
        <v>913</v>
      </c>
      <c r="C66" s="173"/>
      <c r="D66" s="173"/>
      <c r="E66" s="173"/>
      <c r="F66" s="173"/>
      <c r="G66" s="173"/>
      <c r="H66" s="173"/>
      <c r="I66" s="173"/>
      <c r="J66" s="173"/>
      <c r="K66" s="173"/>
      <c r="L66" s="173"/>
      <c r="M66" s="173"/>
      <c r="N66" s="173"/>
    </row>
    <row r="67" spans="1:16" s="17" customFormat="1" ht="15.75">
      <c r="A67" s="256" t="s">
        <v>13</v>
      </c>
      <c r="B67" s="173" t="s">
        <v>14</v>
      </c>
      <c r="C67" s="173"/>
      <c r="D67" s="173"/>
      <c r="E67" s="173"/>
      <c r="F67" s="173"/>
      <c r="G67" s="173"/>
      <c r="H67" s="173"/>
      <c r="I67" s="173"/>
      <c r="J67" s="173"/>
      <c r="K67" s="173"/>
      <c r="L67" s="173"/>
      <c r="M67" s="173"/>
      <c r="N67" s="173"/>
    </row>
    <row r="68" spans="1:16" s="17" customFormat="1" ht="15.75">
      <c r="A68" s="256" t="s">
        <v>15</v>
      </c>
      <c r="B68" s="191">
        <v>0.25</v>
      </c>
      <c r="C68" s="173"/>
      <c r="D68" s="173"/>
      <c r="E68" s="173"/>
      <c r="F68" s="173"/>
      <c r="G68" s="173"/>
      <c r="H68" s="173"/>
      <c r="I68" s="173"/>
      <c r="J68" s="173"/>
      <c r="K68" s="173"/>
      <c r="L68" s="173"/>
      <c r="M68" s="173"/>
      <c r="N68" s="173"/>
    </row>
    <row r="69" spans="1:16" s="17" customFormat="1" ht="15.75">
      <c r="A69" s="256" t="s">
        <v>16</v>
      </c>
      <c r="B69" s="173" t="s">
        <v>17</v>
      </c>
      <c r="C69" s="173"/>
      <c r="D69" s="173"/>
      <c r="E69" s="173"/>
      <c r="F69" s="173"/>
      <c r="G69" s="173"/>
      <c r="H69" s="173"/>
      <c r="I69" s="173"/>
      <c r="J69" s="173"/>
      <c r="K69" s="173"/>
      <c r="L69" s="173"/>
      <c r="M69" s="173"/>
      <c r="N69" s="173"/>
    </row>
    <row r="70" spans="1:16" s="17" customFormat="1" ht="15.75">
      <c r="A70" s="256" t="s">
        <v>18</v>
      </c>
      <c r="B70" s="173" t="s">
        <v>37</v>
      </c>
      <c r="C70" s="173"/>
      <c r="D70" s="173"/>
      <c r="E70" s="173"/>
      <c r="F70" s="173"/>
      <c r="G70" s="173"/>
      <c r="H70" s="173"/>
      <c r="I70" s="173"/>
      <c r="J70" s="173"/>
      <c r="K70" s="173"/>
      <c r="L70" s="173"/>
      <c r="M70" s="173"/>
      <c r="N70" s="173"/>
    </row>
    <row r="71" spans="1:16" s="17" customFormat="1" ht="15.75">
      <c r="A71" s="257" t="s">
        <v>19</v>
      </c>
      <c r="B71" s="173"/>
      <c r="C71" s="173"/>
      <c r="D71" s="173"/>
      <c r="E71" s="173"/>
      <c r="F71" s="173"/>
      <c r="G71" s="173"/>
      <c r="H71" s="173"/>
      <c r="I71" s="173"/>
      <c r="J71" s="173"/>
      <c r="K71" s="173"/>
      <c r="L71" s="173"/>
      <c r="M71" s="173"/>
      <c r="N71" s="173"/>
    </row>
    <row r="72" spans="1:16" s="17" customFormat="1" ht="15.75">
      <c r="A72" s="257" t="s">
        <v>20</v>
      </c>
      <c r="B72" s="175" t="s">
        <v>21</v>
      </c>
      <c r="C72" s="175" t="s">
        <v>18</v>
      </c>
      <c r="D72" s="175" t="s">
        <v>22</v>
      </c>
      <c r="E72" s="175" t="s">
        <v>7</v>
      </c>
      <c r="F72" s="175" t="s">
        <v>13</v>
      </c>
      <c r="G72" s="175" t="s">
        <v>16</v>
      </c>
      <c r="H72" s="175" t="s">
        <v>23</v>
      </c>
      <c r="I72" s="175" t="s">
        <v>24</v>
      </c>
      <c r="J72" s="175" t="s">
        <v>25</v>
      </c>
      <c r="K72" s="175" t="s">
        <v>26</v>
      </c>
      <c r="L72" s="175" t="s">
        <v>27</v>
      </c>
      <c r="M72" s="175" t="s">
        <v>28</v>
      </c>
      <c r="N72" s="175" t="s">
        <v>11</v>
      </c>
    </row>
    <row r="73" spans="1:16" s="17" customFormat="1" ht="15.75">
      <c r="A73" s="178" t="s">
        <v>1398</v>
      </c>
      <c r="B73" s="191">
        <v>0.25</v>
      </c>
      <c r="C73" s="173" t="s">
        <v>37</v>
      </c>
      <c r="D73" s="258" t="s">
        <v>2</v>
      </c>
      <c r="E73" s="173" t="s">
        <v>29</v>
      </c>
      <c r="F73" s="185" t="s">
        <v>14</v>
      </c>
      <c r="G73" s="173" t="s">
        <v>30</v>
      </c>
      <c r="H73" s="173">
        <v>1</v>
      </c>
      <c r="I73" s="191">
        <f>B73</f>
        <v>0.25</v>
      </c>
      <c r="J73" s="173" t="s">
        <v>31</v>
      </c>
      <c r="K73" s="173" t="s">
        <v>31</v>
      </c>
      <c r="L73" s="173" t="s">
        <v>31</v>
      </c>
      <c r="M73" s="173" t="s">
        <v>31</v>
      </c>
      <c r="N73" s="173"/>
      <c r="O73" s="274"/>
      <c r="P73" s="275"/>
    </row>
    <row r="74" spans="1:16" s="17" customFormat="1" ht="15.75">
      <c r="A74" s="83" t="s">
        <v>137</v>
      </c>
      <c r="B74" s="184">
        <v>0.25</v>
      </c>
      <c r="C74" s="173" t="s">
        <v>37</v>
      </c>
      <c r="D74" s="173" t="s">
        <v>38</v>
      </c>
      <c r="E74" s="173" t="s">
        <v>29</v>
      </c>
      <c r="F74" s="185" t="s">
        <v>60</v>
      </c>
      <c r="G74" s="173" t="s">
        <v>33</v>
      </c>
      <c r="H74" s="173">
        <v>1</v>
      </c>
      <c r="I74" s="191">
        <f t="shared" ref="I74:I75" si="7">B74</f>
        <v>0.25</v>
      </c>
      <c r="J74" s="173" t="s">
        <v>31</v>
      </c>
      <c r="K74" s="173" t="s">
        <v>31</v>
      </c>
      <c r="L74" s="173" t="s">
        <v>31</v>
      </c>
      <c r="M74" s="173" t="s">
        <v>31</v>
      </c>
      <c r="N74" s="173"/>
      <c r="O74" s="274"/>
      <c r="P74" s="275"/>
    </row>
    <row r="75" spans="1:16" s="17" customFormat="1" ht="15.75">
      <c r="A75" s="83" t="s">
        <v>914</v>
      </c>
      <c r="B75" s="184">
        <f>B74</f>
        <v>0.25</v>
      </c>
      <c r="C75" s="173" t="s">
        <v>37</v>
      </c>
      <c r="D75" s="173" t="s">
        <v>38</v>
      </c>
      <c r="E75" s="173" t="s">
        <v>29</v>
      </c>
      <c r="F75" s="185" t="s">
        <v>60</v>
      </c>
      <c r="G75" s="173" t="s">
        <v>33</v>
      </c>
      <c r="H75" s="173">
        <v>1</v>
      </c>
      <c r="I75" s="191">
        <f t="shared" si="7"/>
        <v>0.25</v>
      </c>
      <c r="J75" s="173" t="s">
        <v>31</v>
      </c>
      <c r="K75" s="173" t="s">
        <v>31</v>
      </c>
      <c r="L75" s="173" t="s">
        <v>31</v>
      </c>
      <c r="M75" s="173" t="s">
        <v>31</v>
      </c>
      <c r="N75" s="173"/>
      <c r="O75" s="274"/>
      <c r="P75" s="275"/>
    </row>
    <row r="76" spans="1:16" s="273" customFormat="1" ht="15.75">
      <c r="A76" s="209" t="s">
        <v>5</v>
      </c>
      <c r="B76" s="210" t="s">
        <v>1402</v>
      </c>
      <c r="C76" s="211"/>
      <c r="D76" s="188"/>
      <c r="E76" s="188"/>
      <c r="F76" s="188"/>
      <c r="G76" s="188"/>
      <c r="H76" s="188"/>
      <c r="I76" s="188"/>
      <c r="J76" s="188"/>
      <c r="K76" s="188"/>
      <c r="L76" s="188"/>
      <c r="M76" s="188"/>
      <c r="N76" s="188"/>
    </row>
    <row r="77" spans="1:16" s="17" customFormat="1" ht="15.75">
      <c r="A77" s="177" t="s">
        <v>7</v>
      </c>
      <c r="B77" s="173" t="s">
        <v>566</v>
      </c>
      <c r="C77" s="176"/>
      <c r="D77" s="173"/>
      <c r="E77" s="173"/>
      <c r="F77" s="173"/>
      <c r="G77" s="173"/>
      <c r="H77" s="173"/>
      <c r="I77" s="173"/>
      <c r="J77" s="173"/>
      <c r="K77" s="173"/>
      <c r="L77" s="173"/>
      <c r="M77" s="173"/>
      <c r="N77" s="173"/>
    </row>
    <row r="78" spans="1:16" s="17" customFormat="1" ht="15.75">
      <c r="A78" s="276" t="s">
        <v>9</v>
      </c>
      <c r="B78" s="173" t="s">
        <v>1403</v>
      </c>
      <c r="C78" s="176"/>
      <c r="D78" s="173"/>
      <c r="E78" s="173"/>
      <c r="F78" s="173"/>
      <c r="G78" s="173"/>
      <c r="H78" s="173"/>
      <c r="I78" s="173"/>
      <c r="J78" s="173"/>
      <c r="K78" s="173"/>
      <c r="L78" s="173"/>
      <c r="M78" s="173"/>
      <c r="N78" s="173"/>
    </row>
    <row r="79" spans="1:16" s="17" customFormat="1" ht="15.75" customHeight="1">
      <c r="A79" s="177" t="s">
        <v>11</v>
      </c>
      <c r="B79" s="179" t="s">
        <v>913</v>
      </c>
      <c r="C79" s="173"/>
      <c r="D79" s="173"/>
      <c r="E79" s="173"/>
      <c r="F79" s="173"/>
      <c r="G79" s="173"/>
      <c r="H79" s="173"/>
      <c r="I79" s="173"/>
      <c r="J79" s="173"/>
      <c r="K79" s="173"/>
      <c r="L79" s="173"/>
      <c r="M79" s="173"/>
      <c r="N79" s="173"/>
    </row>
    <row r="80" spans="1:16" s="17" customFormat="1" ht="15.75">
      <c r="A80" s="177" t="s">
        <v>13</v>
      </c>
      <c r="B80" s="173" t="s">
        <v>14</v>
      </c>
      <c r="C80" s="173"/>
      <c r="D80" s="173"/>
      <c r="E80" s="173"/>
      <c r="F80" s="173"/>
      <c r="G80" s="173"/>
      <c r="H80" s="173"/>
      <c r="I80" s="173"/>
      <c r="J80" s="173"/>
      <c r="K80" s="173"/>
      <c r="L80" s="173"/>
      <c r="M80" s="173"/>
      <c r="N80" s="173"/>
    </row>
    <row r="81" spans="1:19" s="17" customFormat="1" ht="15.75">
      <c r="A81" s="177" t="s">
        <v>15</v>
      </c>
      <c r="B81" s="277">
        <v>1.03</v>
      </c>
      <c r="C81" s="173"/>
      <c r="D81" s="173"/>
      <c r="E81" s="173"/>
      <c r="F81" s="173"/>
      <c r="G81" s="173"/>
      <c r="H81" s="173"/>
      <c r="I81" s="173"/>
      <c r="J81" s="173"/>
      <c r="K81" s="173"/>
      <c r="L81" s="173"/>
      <c r="M81" s="173"/>
      <c r="N81" s="173"/>
    </row>
    <row r="82" spans="1:19" s="17" customFormat="1" ht="15.75">
      <c r="A82" s="177" t="s">
        <v>16</v>
      </c>
      <c r="B82" s="173" t="s">
        <v>17</v>
      </c>
      <c r="C82" s="173"/>
      <c r="D82" s="173"/>
      <c r="E82" s="173"/>
      <c r="F82" s="173"/>
      <c r="G82" s="173"/>
      <c r="H82" s="173"/>
      <c r="I82" s="173"/>
      <c r="J82" s="173"/>
      <c r="K82" s="173"/>
      <c r="L82" s="173"/>
      <c r="M82" s="173"/>
      <c r="N82" s="173"/>
    </row>
    <row r="83" spans="1:19" s="17" customFormat="1" ht="15.75">
      <c r="A83" s="177" t="s">
        <v>18</v>
      </c>
      <c r="B83" s="173" t="s">
        <v>37</v>
      </c>
      <c r="C83" s="173"/>
      <c r="D83" s="173"/>
      <c r="E83" s="173"/>
      <c r="F83" s="173"/>
      <c r="G83" s="173"/>
      <c r="H83" s="173"/>
      <c r="I83" s="173"/>
      <c r="J83" s="173"/>
      <c r="K83" s="173"/>
      <c r="L83" s="173"/>
      <c r="M83" s="173"/>
      <c r="N83" s="173"/>
      <c r="S83" s="278"/>
    </row>
    <row r="84" spans="1:19" s="17" customFormat="1" ht="15.75">
      <c r="A84" s="174" t="s">
        <v>19</v>
      </c>
      <c r="B84" s="173"/>
      <c r="C84" s="173"/>
      <c r="D84" s="173"/>
      <c r="E84" s="173"/>
      <c r="F84" s="173"/>
      <c r="G84" s="173"/>
      <c r="H84" s="173"/>
      <c r="I84" s="173"/>
      <c r="J84" s="173"/>
      <c r="K84" s="173"/>
      <c r="L84" s="173"/>
      <c r="M84" s="173"/>
      <c r="N84" s="173"/>
    </row>
    <row r="85" spans="1:19" s="17" customFormat="1" ht="15.75">
      <c r="A85" s="175" t="s">
        <v>20</v>
      </c>
      <c r="B85" s="175" t="s">
        <v>21</v>
      </c>
      <c r="C85" s="175" t="s">
        <v>18</v>
      </c>
      <c r="D85" s="175" t="s">
        <v>22</v>
      </c>
      <c r="E85" s="175" t="s">
        <v>7</v>
      </c>
      <c r="F85" s="175" t="s">
        <v>13</v>
      </c>
      <c r="G85" s="175" t="s">
        <v>16</v>
      </c>
      <c r="H85" s="175" t="s">
        <v>23</v>
      </c>
      <c r="I85" s="175" t="s">
        <v>24</v>
      </c>
      <c r="J85" s="175" t="s">
        <v>25</v>
      </c>
      <c r="K85" s="175" t="s">
        <v>26</v>
      </c>
      <c r="L85" s="175" t="s">
        <v>27</v>
      </c>
      <c r="M85" s="175" t="s">
        <v>28</v>
      </c>
      <c r="N85" s="175" t="s">
        <v>11</v>
      </c>
    </row>
    <row r="86" spans="1:19" s="17" customFormat="1" ht="15.75">
      <c r="A86" s="173" t="s">
        <v>1402</v>
      </c>
      <c r="B86" s="191">
        <v>1.03</v>
      </c>
      <c r="C86" s="173" t="s">
        <v>37</v>
      </c>
      <c r="D86" s="258" t="s">
        <v>2</v>
      </c>
      <c r="E86" s="173" t="s">
        <v>29</v>
      </c>
      <c r="F86" s="173" t="s">
        <v>14</v>
      </c>
      <c r="G86" s="173" t="s">
        <v>917</v>
      </c>
      <c r="H86" s="173">
        <v>1</v>
      </c>
      <c r="I86" s="191">
        <f>B86</f>
        <v>1.03</v>
      </c>
      <c r="J86" s="173" t="s">
        <v>31</v>
      </c>
      <c r="K86" s="173" t="s">
        <v>31</v>
      </c>
      <c r="L86" s="173" t="s">
        <v>31</v>
      </c>
      <c r="M86" s="173" t="s">
        <v>31</v>
      </c>
      <c r="N86" s="173"/>
      <c r="O86" s="274"/>
      <c r="P86" s="275"/>
    </row>
    <row r="87" spans="1:19" s="17" customFormat="1" ht="15.75">
      <c r="A87" s="232" t="s">
        <v>918</v>
      </c>
      <c r="B87" s="191">
        <v>1.03</v>
      </c>
      <c r="C87" s="173" t="s">
        <v>37</v>
      </c>
      <c r="D87" s="173" t="s">
        <v>38</v>
      </c>
      <c r="E87" s="173" t="s">
        <v>29</v>
      </c>
      <c r="F87" s="185" t="s">
        <v>60</v>
      </c>
      <c r="G87" s="173" t="s">
        <v>33</v>
      </c>
      <c r="H87" s="173">
        <v>1</v>
      </c>
      <c r="I87" s="191">
        <f t="shared" ref="I87:I89" si="8">B87</f>
        <v>1.03</v>
      </c>
      <c r="J87" s="173" t="s">
        <v>31</v>
      </c>
      <c r="K87" s="173" t="s">
        <v>31</v>
      </c>
      <c r="L87" s="173" t="s">
        <v>31</v>
      </c>
      <c r="M87" s="173" t="s">
        <v>31</v>
      </c>
      <c r="N87" s="173"/>
      <c r="O87" s="274"/>
      <c r="P87" s="275"/>
    </row>
    <row r="88" spans="1:19" s="17" customFormat="1" ht="15.75">
      <c r="A88" s="232" t="s">
        <v>919</v>
      </c>
      <c r="B88" s="191">
        <v>1.03</v>
      </c>
      <c r="C88" s="173" t="s">
        <v>37</v>
      </c>
      <c r="D88" s="173" t="s">
        <v>38</v>
      </c>
      <c r="E88" s="173" t="s">
        <v>29</v>
      </c>
      <c r="F88" s="185" t="s">
        <v>60</v>
      </c>
      <c r="G88" s="173" t="s">
        <v>33</v>
      </c>
      <c r="H88" s="173">
        <v>1</v>
      </c>
      <c r="I88" s="191">
        <f t="shared" si="8"/>
        <v>1.03</v>
      </c>
      <c r="J88" s="173" t="s">
        <v>31</v>
      </c>
      <c r="K88" s="173" t="s">
        <v>31</v>
      </c>
      <c r="L88" s="173" t="s">
        <v>31</v>
      </c>
      <c r="M88" s="173" t="s">
        <v>31</v>
      </c>
      <c r="N88" s="173"/>
      <c r="O88" s="274"/>
      <c r="P88" s="275"/>
    </row>
    <row r="89" spans="1:19" s="17" customFormat="1" ht="15.75">
      <c r="A89" s="232" t="s">
        <v>920</v>
      </c>
      <c r="B89" s="191">
        <v>1.03</v>
      </c>
      <c r="C89" s="173" t="s">
        <v>37</v>
      </c>
      <c r="D89" s="173" t="s">
        <v>38</v>
      </c>
      <c r="E89" s="173" t="s">
        <v>29</v>
      </c>
      <c r="F89" s="185" t="s">
        <v>35</v>
      </c>
      <c r="G89" s="173" t="s">
        <v>33</v>
      </c>
      <c r="H89" s="173">
        <v>1</v>
      </c>
      <c r="I89" s="191">
        <f t="shared" si="8"/>
        <v>1.03</v>
      </c>
      <c r="J89" s="173" t="s">
        <v>31</v>
      </c>
      <c r="K89" s="173" t="s">
        <v>31</v>
      </c>
      <c r="L89" s="173" t="s">
        <v>31</v>
      </c>
      <c r="M89" s="173" t="s">
        <v>31</v>
      </c>
      <c r="N89" s="173"/>
      <c r="O89" s="274"/>
      <c r="P89" s="275"/>
    </row>
    <row r="90" spans="1:19" s="17" customFormat="1" ht="15.75">
      <c r="A90" s="209" t="s">
        <v>5</v>
      </c>
      <c r="B90" s="210" t="s">
        <v>1387</v>
      </c>
      <c r="C90" s="211"/>
      <c r="D90" s="273"/>
      <c r="E90" s="188"/>
      <c r="F90" s="188"/>
      <c r="G90" s="188"/>
      <c r="H90" s="188"/>
      <c r="I90" s="188"/>
      <c r="J90" s="188"/>
      <c r="K90" s="188"/>
      <c r="L90" s="188"/>
      <c r="M90" s="188"/>
      <c r="N90" s="173"/>
    </row>
    <row r="91" spans="1:19" s="17" customFormat="1" ht="15.75">
      <c r="A91" s="177" t="s">
        <v>7</v>
      </c>
      <c r="B91" s="173" t="s">
        <v>566</v>
      </c>
      <c r="C91" s="176"/>
      <c r="D91" s="173"/>
      <c r="E91" s="173"/>
      <c r="F91" s="173"/>
      <c r="G91" s="173"/>
      <c r="H91" s="173"/>
      <c r="I91" s="173"/>
      <c r="J91" s="173"/>
      <c r="K91" s="173"/>
      <c r="L91" s="173"/>
      <c r="M91" s="173"/>
      <c r="N91" s="173"/>
    </row>
    <row r="92" spans="1:19" s="17" customFormat="1" ht="15.75">
      <c r="A92" s="177" t="s">
        <v>9</v>
      </c>
      <c r="B92" s="178" t="s">
        <v>1404</v>
      </c>
      <c r="C92" s="176"/>
      <c r="D92" s="173"/>
      <c r="E92" s="173"/>
      <c r="F92" s="173"/>
      <c r="G92" s="173"/>
      <c r="H92" s="173"/>
      <c r="I92" s="173"/>
      <c r="J92" s="173"/>
      <c r="K92" s="173"/>
      <c r="L92" s="173"/>
      <c r="M92" s="173"/>
      <c r="N92" s="173"/>
    </row>
    <row r="93" spans="1:19" s="17" customFormat="1" ht="15.75">
      <c r="A93" s="177" t="s">
        <v>11</v>
      </c>
      <c r="B93" s="179" t="s">
        <v>906</v>
      </c>
      <c r="C93" s="173"/>
      <c r="D93" s="173"/>
      <c r="E93" s="173"/>
      <c r="F93" s="173"/>
      <c r="G93" s="173"/>
      <c r="H93" s="173"/>
      <c r="I93" s="173"/>
      <c r="J93" s="173"/>
      <c r="K93" s="173"/>
      <c r="L93" s="173"/>
      <c r="M93" s="173"/>
      <c r="N93" s="173"/>
    </row>
    <row r="94" spans="1:19" s="17" customFormat="1" ht="15.75">
      <c r="A94" s="177" t="s">
        <v>13</v>
      </c>
      <c r="B94" s="185" t="s">
        <v>14</v>
      </c>
      <c r="C94" s="173"/>
      <c r="D94" s="173"/>
      <c r="E94" s="173"/>
      <c r="F94" s="173"/>
      <c r="G94" s="173"/>
      <c r="H94" s="173"/>
      <c r="I94" s="173"/>
      <c r="J94" s="173"/>
      <c r="K94" s="173"/>
      <c r="L94" s="173"/>
      <c r="M94" s="173"/>
      <c r="N94" s="173"/>
    </row>
    <row r="95" spans="1:19" s="17" customFormat="1" ht="15.75">
      <c r="A95" s="177" t="s">
        <v>15</v>
      </c>
      <c r="B95" s="173">
        <f>B100</f>
        <v>1.03</v>
      </c>
      <c r="C95" s="173"/>
      <c r="D95" s="173"/>
      <c r="E95" s="173"/>
      <c r="F95" s="173"/>
      <c r="G95" s="173"/>
      <c r="H95" s="173"/>
      <c r="I95" s="173"/>
      <c r="J95" s="173"/>
      <c r="K95" s="173"/>
      <c r="L95" s="173"/>
      <c r="M95" s="173"/>
      <c r="N95" s="173"/>
    </row>
    <row r="96" spans="1:19" s="17" customFormat="1" ht="15.75">
      <c r="A96" s="177" t="s">
        <v>16</v>
      </c>
      <c r="B96" s="173" t="s">
        <v>17</v>
      </c>
      <c r="C96" s="173"/>
      <c r="D96" s="173"/>
      <c r="E96" s="173"/>
      <c r="F96" s="173"/>
      <c r="G96" s="173"/>
      <c r="H96" s="173"/>
      <c r="I96" s="173"/>
      <c r="J96" s="173"/>
      <c r="K96" s="173"/>
      <c r="L96" s="173"/>
      <c r="M96" s="173"/>
      <c r="N96" s="173"/>
    </row>
    <row r="97" spans="1:14" s="17" customFormat="1" ht="15.75">
      <c r="A97" s="177" t="s">
        <v>18</v>
      </c>
      <c r="B97" s="173" t="s">
        <v>37</v>
      </c>
      <c r="C97" s="173"/>
      <c r="D97" s="173"/>
      <c r="E97" s="173"/>
      <c r="F97" s="173"/>
      <c r="G97" s="173"/>
      <c r="H97" s="173"/>
      <c r="I97" s="173"/>
      <c r="J97" s="173"/>
      <c r="K97" s="173"/>
      <c r="L97" s="173"/>
      <c r="M97" s="173"/>
      <c r="N97" s="173"/>
    </row>
    <row r="98" spans="1:14" s="17" customFormat="1" ht="15.75">
      <c r="A98" s="174" t="s">
        <v>19</v>
      </c>
      <c r="B98" s="173"/>
      <c r="C98" s="173"/>
      <c r="D98" s="173"/>
      <c r="E98" s="173"/>
      <c r="F98" s="173"/>
      <c r="G98" s="173"/>
      <c r="H98" s="173"/>
      <c r="I98" s="173"/>
      <c r="J98" s="173"/>
      <c r="K98" s="173"/>
      <c r="L98" s="173"/>
      <c r="M98" s="173"/>
      <c r="N98" s="173"/>
    </row>
    <row r="99" spans="1:14" s="17" customFormat="1" ht="15.75">
      <c r="A99" s="174" t="s">
        <v>20</v>
      </c>
      <c r="B99" s="175" t="s">
        <v>21</v>
      </c>
      <c r="C99" s="175" t="s">
        <v>18</v>
      </c>
      <c r="D99" s="175" t="s">
        <v>22</v>
      </c>
      <c r="E99" s="175" t="s">
        <v>7</v>
      </c>
      <c r="F99" s="175" t="s">
        <v>13</v>
      </c>
      <c r="G99" s="175" t="s">
        <v>16</v>
      </c>
      <c r="H99" s="175" t="s">
        <v>23</v>
      </c>
      <c r="I99" s="175" t="s">
        <v>24</v>
      </c>
      <c r="J99" s="175" t="s">
        <v>25</v>
      </c>
      <c r="K99" s="175" t="s">
        <v>26</v>
      </c>
      <c r="L99" s="175" t="s">
        <v>27</v>
      </c>
      <c r="M99" s="175" t="s">
        <v>28</v>
      </c>
      <c r="N99" s="175" t="s">
        <v>11</v>
      </c>
    </row>
    <row r="100" spans="1:14" s="17" customFormat="1" ht="15.75">
      <c r="A100" s="271" t="s">
        <v>1387</v>
      </c>
      <c r="B100" s="271">
        <v>1.03</v>
      </c>
      <c r="C100" s="173" t="s">
        <v>37</v>
      </c>
      <c r="D100" s="173" t="s">
        <v>2</v>
      </c>
      <c r="E100" s="173" t="s">
        <v>29</v>
      </c>
      <c r="F100" s="185" t="s">
        <v>14</v>
      </c>
      <c r="G100" s="173" t="s">
        <v>30</v>
      </c>
      <c r="H100" s="173">
        <v>1</v>
      </c>
      <c r="I100" s="173">
        <f>B100</f>
        <v>1.03</v>
      </c>
      <c r="J100" s="173" t="s">
        <v>31</v>
      </c>
      <c r="K100" s="173" t="s">
        <v>31</v>
      </c>
      <c r="L100" s="173" t="s">
        <v>31</v>
      </c>
      <c r="M100" s="173" t="s">
        <v>31</v>
      </c>
      <c r="N100" s="173"/>
    </row>
    <row r="101" spans="1:14" s="17" customFormat="1" ht="15.75">
      <c r="A101" s="173" t="s">
        <v>1402</v>
      </c>
      <c r="B101" s="271">
        <v>1.03</v>
      </c>
      <c r="C101" s="173" t="s">
        <v>37</v>
      </c>
      <c r="D101" s="173" t="s">
        <v>2</v>
      </c>
      <c r="E101" s="173" t="s">
        <v>29</v>
      </c>
      <c r="F101" s="185" t="s">
        <v>14</v>
      </c>
      <c r="G101" s="173" t="s">
        <v>33</v>
      </c>
      <c r="H101" s="173">
        <v>1</v>
      </c>
      <c r="I101" s="173">
        <f>B101</f>
        <v>1.03</v>
      </c>
      <c r="J101" s="173" t="s">
        <v>31</v>
      </c>
      <c r="K101" s="173" t="s">
        <v>31</v>
      </c>
      <c r="L101" s="173" t="s">
        <v>31</v>
      </c>
      <c r="M101" s="173" t="s">
        <v>31</v>
      </c>
      <c r="N101" s="173"/>
    </row>
    <row r="102" spans="1:14" s="17" customFormat="1" ht="15.75">
      <c r="A102" s="279" t="s">
        <v>924</v>
      </c>
      <c r="B102" s="173">
        <v>1.2E-2</v>
      </c>
      <c r="C102" s="173" t="s">
        <v>37</v>
      </c>
      <c r="D102" s="173" t="s">
        <v>38</v>
      </c>
      <c r="E102" s="173" t="s">
        <v>29</v>
      </c>
      <c r="F102" s="185" t="s">
        <v>86</v>
      </c>
      <c r="G102" s="173" t="s">
        <v>33</v>
      </c>
      <c r="H102" s="173">
        <v>1</v>
      </c>
      <c r="I102" s="173">
        <f t="shared" ref="I102:I104" si="9">B102</f>
        <v>1.2E-2</v>
      </c>
      <c r="J102" s="173" t="s">
        <v>31</v>
      </c>
      <c r="K102" s="173" t="s">
        <v>31</v>
      </c>
      <c r="L102" s="173" t="s">
        <v>31</v>
      </c>
      <c r="M102" s="173" t="s">
        <v>31</v>
      </c>
      <c r="N102" s="173"/>
    </row>
    <row r="103" spans="1:14" s="17" customFormat="1" ht="15.75">
      <c r="A103" s="279" t="s">
        <v>925</v>
      </c>
      <c r="B103" s="173">
        <v>0.28000000000000003</v>
      </c>
      <c r="C103" s="173" t="s">
        <v>206</v>
      </c>
      <c r="D103" s="173" t="s">
        <v>38</v>
      </c>
      <c r="E103" s="173" t="s">
        <v>29</v>
      </c>
      <c r="F103" s="185" t="s">
        <v>60</v>
      </c>
      <c r="G103" s="173" t="s">
        <v>33</v>
      </c>
      <c r="H103" s="173">
        <v>1</v>
      </c>
      <c r="I103" s="173">
        <f t="shared" si="9"/>
        <v>0.28000000000000003</v>
      </c>
      <c r="J103" s="173" t="s">
        <v>31</v>
      </c>
      <c r="K103" s="173" t="s">
        <v>31</v>
      </c>
      <c r="L103" s="173" t="s">
        <v>31</v>
      </c>
      <c r="M103" s="173" t="s">
        <v>31</v>
      </c>
      <c r="N103" s="173"/>
    </row>
    <row r="104" spans="1:14" s="17" customFormat="1" ht="15.75">
      <c r="A104" s="279" t="s">
        <v>926</v>
      </c>
      <c r="B104" s="173">
        <v>1.2E-2</v>
      </c>
      <c r="C104" s="173" t="s">
        <v>37</v>
      </c>
      <c r="D104" s="173" t="s">
        <v>38</v>
      </c>
      <c r="E104" s="173" t="s">
        <v>29</v>
      </c>
      <c r="F104" s="185" t="s">
        <v>60</v>
      </c>
      <c r="G104" s="173" t="s">
        <v>33</v>
      </c>
      <c r="H104" s="173">
        <v>1</v>
      </c>
      <c r="I104" s="173">
        <f t="shared" si="9"/>
        <v>1.2E-2</v>
      </c>
      <c r="J104" s="173" t="s">
        <v>31</v>
      </c>
      <c r="K104" s="173" t="s">
        <v>31</v>
      </c>
      <c r="L104" s="173" t="s">
        <v>31</v>
      </c>
      <c r="M104" s="173" t="s">
        <v>31</v>
      </c>
      <c r="N104" s="173"/>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45FA-E627-42BF-853C-A7B0F7375756}">
  <dimension ref="A1:Z69"/>
  <sheetViews>
    <sheetView workbookViewId="0">
      <selection activeCell="B6" sqref="B6"/>
    </sheetView>
  </sheetViews>
  <sheetFormatPr defaultRowHeight="15"/>
  <cols>
    <col min="1" max="1" width="80.140625" bestFit="1" customWidth="1"/>
    <col min="5" max="5" width="31.28515625" bestFit="1" customWidth="1"/>
  </cols>
  <sheetData>
    <row r="1" spans="1:16">
      <c r="A1" t="s">
        <v>0</v>
      </c>
      <c r="B1">
        <v>14</v>
      </c>
    </row>
    <row r="2" spans="1:16" s="42" customFormat="1" ht="15.75">
      <c r="A2" s="392" t="s">
        <v>5</v>
      </c>
      <c r="B2" s="392" t="s">
        <v>126</v>
      </c>
      <c r="C2" s="392"/>
      <c r="D2" s="120"/>
      <c r="E2" s="393"/>
      <c r="F2" s="393"/>
      <c r="G2" s="393"/>
      <c r="H2" s="393"/>
      <c r="I2" s="393"/>
      <c r="J2" s="393"/>
      <c r="K2" s="393"/>
      <c r="L2" s="393"/>
      <c r="M2" s="393"/>
      <c r="N2" s="393"/>
      <c r="O2" s="393"/>
      <c r="P2" s="393"/>
    </row>
    <row r="3" spans="1:16">
      <c r="A3" s="30" t="s">
        <v>7</v>
      </c>
      <c r="B3" s="30" t="s">
        <v>82</v>
      </c>
      <c r="C3" s="30"/>
      <c r="D3" s="30"/>
      <c r="E3" s="30"/>
      <c r="F3" s="30"/>
      <c r="G3" s="30"/>
      <c r="H3" s="30"/>
      <c r="I3" s="30"/>
      <c r="J3" s="30"/>
      <c r="K3" s="30"/>
      <c r="L3" s="30"/>
      <c r="M3" s="30"/>
      <c r="N3" s="30"/>
      <c r="O3" s="30"/>
      <c r="P3" s="30"/>
    </row>
    <row r="4" spans="1:16">
      <c r="A4" s="30" t="s">
        <v>9</v>
      </c>
      <c r="B4" s="394" t="s">
        <v>127</v>
      </c>
      <c r="C4" s="30"/>
      <c r="D4" s="30"/>
      <c r="E4" s="30"/>
      <c r="F4" s="30"/>
      <c r="G4" s="30"/>
      <c r="H4" s="30"/>
      <c r="I4" s="30"/>
      <c r="J4" s="30"/>
      <c r="K4" s="30"/>
      <c r="L4" s="30"/>
      <c r="M4" s="30"/>
      <c r="N4" s="30"/>
      <c r="O4" s="30"/>
      <c r="P4" s="30"/>
    </row>
    <row r="5" spans="1:16">
      <c r="A5" s="30" t="s">
        <v>11</v>
      </c>
      <c r="B5" s="30" t="s">
        <v>91</v>
      </c>
      <c r="C5" s="30"/>
      <c r="D5" s="30"/>
      <c r="E5" s="30"/>
      <c r="F5" s="30"/>
      <c r="G5" s="30"/>
      <c r="H5" s="30"/>
      <c r="I5" s="30"/>
      <c r="J5" s="30"/>
      <c r="K5" s="30"/>
      <c r="L5" s="30"/>
      <c r="M5" s="30"/>
      <c r="N5" s="30"/>
      <c r="O5" s="30"/>
      <c r="P5" s="30"/>
    </row>
    <row r="6" spans="1:16">
      <c r="A6" s="30" t="s">
        <v>13</v>
      </c>
      <c r="B6" s="30" t="s">
        <v>60</v>
      </c>
      <c r="C6" s="30"/>
      <c r="D6" s="30"/>
      <c r="E6" s="30"/>
      <c r="F6" s="30"/>
      <c r="G6" s="30"/>
      <c r="H6" s="30"/>
      <c r="I6" s="30"/>
      <c r="J6" s="30"/>
      <c r="K6" s="30"/>
      <c r="L6" s="30"/>
      <c r="M6" s="30"/>
      <c r="N6" s="30"/>
      <c r="O6" s="30"/>
      <c r="P6" s="30"/>
    </row>
    <row r="7" spans="1:16">
      <c r="A7" s="30" t="s">
        <v>15</v>
      </c>
      <c r="B7" s="30">
        <v>1</v>
      </c>
      <c r="C7" s="30"/>
      <c r="D7" s="30"/>
      <c r="E7" s="30"/>
      <c r="F7" s="30"/>
      <c r="G7" s="30"/>
      <c r="H7" s="30"/>
      <c r="I7" s="30"/>
      <c r="J7" s="30"/>
      <c r="K7" s="30"/>
      <c r="L7" s="30"/>
      <c r="M7" s="30"/>
      <c r="N7" s="30"/>
      <c r="O7" s="30"/>
      <c r="P7" s="30"/>
    </row>
    <row r="8" spans="1:16">
      <c r="A8" s="30" t="s">
        <v>16</v>
      </c>
      <c r="B8" s="30" t="s">
        <v>17</v>
      </c>
      <c r="C8" s="30"/>
      <c r="D8" s="30"/>
      <c r="E8" s="30"/>
      <c r="F8" s="30"/>
      <c r="G8" s="30"/>
      <c r="H8" s="30"/>
      <c r="I8" s="30"/>
      <c r="J8" s="30"/>
      <c r="K8" s="30"/>
      <c r="L8" s="30"/>
      <c r="M8" s="30"/>
      <c r="N8" s="30"/>
      <c r="O8" s="30"/>
      <c r="P8" s="30"/>
    </row>
    <row r="9" spans="1:16">
      <c r="A9" s="30" t="s">
        <v>18</v>
      </c>
      <c r="B9" s="30" t="s">
        <v>18</v>
      </c>
      <c r="C9" s="30"/>
      <c r="D9" s="30"/>
      <c r="E9" s="30" t="s">
        <v>77</v>
      </c>
      <c r="F9" s="30"/>
      <c r="G9" s="30"/>
      <c r="H9" s="30"/>
      <c r="I9" s="30"/>
      <c r="J9" s="30"/>
      <c r="K9" s="30"/>
      <c r="L9" s="30"/>
      <c r="M9" s="30"/>
      <c r="N9" s="30"/>
      <c r="O9" s="30"/>
      <c r="P9" s="30"/>
    </row>
    <row r="10" spans="1:16" ht="15.75">
      <c r="A10" s="395" t="s">
        <v>19</v>
      </c>
      <c r="B10" s="30"/>
      <c r="C10" s="30"/>
      <c r="D10" s="30"/>
      <c r="E10" s="30"/>
      <c r="F10" s="30"/>
      <c r="G10" s="30"/>
      <c r="H10" s="30"/>
      <c r="I10" s="30"/>
      <c r="J10" s="30"/>
      <c r="K10" s="30"/>
      <c r="L10" s="30"/>
      <c r="M10" s="30"/>
      <c r="N10" s="30"/>
      <c r="O10" s="30"/>
      <c r="P10" s="30"/>
    </row>
    <row r="11" spans="1:16" ht="15.75">
      <c r="A11" s="395" t="s">
        <v>20</v>
      </c>
      <c r="B11" s="395" t="s">
        <v>21</v>
      </c>
      <c r="C11" s="395" t="s">
        <v>78</v>
      </c>
      <c r="D11" s="395" t="s">
        <v>18</v>
      </c>
      <c r="E11" s="395" t="s">
        <v>22</v>
      </c>
      <c r="F11" s="395" t="s">
        <v>7</v>
      </c>
      <c r="G11" s="395" t="s">
        <v>13</v>
      </c>
      <c r="H11" s="395" t="s">
        <v>16</v>
      </c>
      <c r="I11" s="395" t="s">
        <v>23</v>
      </c>
      <c r="J11" s="395" t="s">
        <v>24</v>
      </c>
      <c r="K11" s="395" t="s">
        <v>25</v>
      </c>
      <c r="L11" s="395" t="s">
        <v>26</v>
      </c>
      <c r="M11" s="395" t="s">
        <v>27</v>
      </c>
      <c r="N11" s="395" t="s">
        <v>28</v>
      </c>
      <c r="O11" s="395" t="s">
        <v>11</v>
      </c>
      <c r="P11" s="395" t="s">
        <v>79</v>
      </c>
    </row>
    <row r="12" spans="1:16" ht="15.75">
      <c r="A12" s="274" t="str">
        <f>B2</f>
        <v>treatment of alu,Battery charging station, GT-bat, Medium-Term</v>
      </c>
      <c r="B12" s="274">
        <v>1</v>
      </c>
      <c r="C12" s="274"/>
      <c r="D12" s="274" t="s">
        <v>18</v>
      </c>
      <c r="E12" s="30" t="s">
        <v>2</v>
      </c>
      <c r="F12" s="30" t="s">
        <v>80</v>
      </c>
      <c r="G12" s="274" t="s">
        <v>60</v>
      </c>
      <c r="H12" s="30" t="s">
        <v>30</v>
      </c>
      <c r="I12" s="30">
        <v>0</v>
      </c>
      <c r="J12" s="274" t="s">
        <v>31</v>
      </c>
      <c r="K12" s="274" t="s">
        <v>31</v>
      </c>
      <c r="L12" s="274" t="s">
        <v>31</v>
      </c>
      <c r="M12" s="274" t="s">
        <v>31</v>
      </c>
      <c r="N12" s="274" t="s">
        <v>31</v>
      </c>
      <c r="O12" s="30" t="s">
        <v>92</v>
      </c>
      <c r="P12" s="30"/>
    </row>
    <row r="13" spans="1:16" ht="15.75">
      <c r="A13" t="s">
        <v>93</v>
      </c>
      <c r="B13" s="22">
        <v>1584.56</v>
      </c>
      <c r="C13" s="274"/>
      <c r="D13" s="274" t="s">
        <v>37</v>
      </c>
      <c r="E13" s="185" t="s">
        <v>38</v>
      </c>
      <c r="F13" s="30" t="s">
        <v>80</v>
      </c>
      <c r="G13" t="s">
        <v>86</v>
      </c>
      <c r="H13" s="30" t="s">
        <v>33</v>
      </c>
      <c r="I13" s="30">
        <v>0</v>
      </c>
      <c r="J13" s="274" t="s">
        <v>31</v>
      </c>
      <c r="K13" s="274" t="s">
        <v>31</v>
      </c>
      <c r="L13" s="274" t="s">
        <v>31</v>
      </c>
      <c r="M13" s="274" t="s">
        <v>31</v>
      </c>
      <c r="N13" s="274" t="s">
        <v>31</v>
      </c>
      <c r="O13" s="30"/>
      <c r="P13" s="30"/>
    </row>
    <row r="14" spans="1:16" ht="15.75">
      <c r="A14" t="s">
        <v>94</v>
      </c>
      <c r="B14" s="22">
        <v>1584.56</v>
      </c>
      <c r="C14" s="31" t="s">
        <v>95</v>
      </c>
      <c r="D14" t="s">
        <v>37</v>
      </c>
      <c r="E14" s="173" t="s">
        <v>38</v>
      </c>
      <c r="F14" s="30" t="s">
        <v>80</v>
      </c>
      <c r="G14" t="s">
        <v>86</v>
      </c>
      <c r="H14" s="30" t="s">
        <v>33</v>
      </c>
      <c r="I14" s="30">
        <v>0</v>
      </c>
      <c r="J14" s="274" t="s">
        <v>31</v>
      </c>
      <c r="K14" s="274" t="s">
        <v>31</v>
      </c>
      <c r="L14" s="274" t="s">
        <v>31</v>
      </c>
      <c r="M14" s="274" t="s">
        <v>31</v>
      </c>
      <c r="N14" s="274" t="s">
        <v>31</v>
      </c>
      <c r="O14" t="s">
        <v>96</v>
      </c>
    </row>
    <row r="15" spans="1:16" ht="15.75">
      <c r="A15" t="s">
        <v>97</v>
      </c>
      <c r="B15" s="22">
        <f>B14*0.9</f>
        <v>1426.104</v>
      </c>
      <c r="D15" t="s">
        <v>37</v>
      </c>
      <c r="E15" s="173" t="s">
        <v>38</v>
      </c>
      <c r="F15" s="30" t="s">
        <v>80</v>
      </c>
      <c r="G15" t="s">
        <v>60</v>
      </c>
      <c r="H15" s="30" t="s">
        <v>98</v>
      </c>
      <c r="I15" s="30">
        <v>0</v>
      </c>
      <c r="J15" s="274" t="s">
        <v>31</v>
      </c>
      <c r="K15" s="274" t="s">
        <v>31</v>
      </c>
      <c r="L15" s="274" t="s">
        <v>31</v>
      </c>
      <c r="M15" s="274" t="s">
        <v>31</v>
      </c>
      <c r="N15" s="274" t="s">
        <v>31</v>
      </c>
      <c r="O15" s="30" t="s">
        <v>99</v>
      </c>
    </row>
    <row r="16" spans="1:16" ht="16.5" customHeight="1">
      <c r="A16" t="s">
        <v>103</v>
      </c>
      <c r="B16" s="22">
        <f>-0.1*B15+3.28</f>
        <v>-139.3304</v>
      </c>
      <c r="D16" t="s">
        <v>37</v>
      </c>
      <c r="E16" s="232" t="s">
        <v>38</v>
      </c>
      <c r="F16" s="30" t="s">
        <v>80</v>
      </c>
      <c r="G16" t="s">
        <v>60</v>
      </c>
      <c r="H16" t="s">
        <v>33</v>
      </c>
      <c r="I16">
        <v>0</v>
      </c>
      <c r="J16" t="s">
        <v>31</v>
      </c>
      <c r="K16" t="s">
        <v>31</v>
      </c>
      <c r="L16" t="s">
        <v>31</v>
      </c>
      <c r="M16" t="s">
        <v>31</v>
      </c>
      <c r="N16" t="s">
        <v>31</v>
      </c>
      <c r="O16" s="17" t="s">
        <v>128</v>
      </c>
    </row>
    <row r="17" spans="1:26" ht="15.75">
      <c r="A17" s="392" t="s">
        <v>5</v>
      </c>
      <c r="B17" s="392" t="str">
        <f>A27</f>
        <v>treatment of steel,Battery charging station, Gt-bat, Medium-Term</v>
      </c>
      <c r="C17" s="392"/>
      <c r="D17" s="120"/>
      <c r="E17" s="393"/>
      <c r="F17" s="393"/>
      <c r="G17" s="393"/>
      <c r="H17" s="393"/>
      <c r="I17" s="393"/>
      <c r="J17" s="393"/>
      <c r="K17" s="393"/>
      <c r="L17" s="393"/>
      <c r="M17" s="393"/>
      <c r="N17" s="393"/>
      <c r="O17" s="393"/>
      <c r="P17" s="393"/>
      <c r="Q17" s="393"/>
      <c r="R17" s="393"/>
      <c r="S17" s="393"/>
      <c r="T17" s="393"/>
      <c r="U17" s="393"/>
      <c r="V17" s="393"/>
      <c r="W17" s="393"/>
      <c r="X17" s="393"/>
      <c r="Y17" s="393"/>
      <c r="Z17" s="393"/>
    </row>
    <row r="18" spans="1:26">
      <c r="A18" s="30" t="s">
        <v>7</v>
      </c>
      <c r="B18" s="30" t="s">
        <v>129</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t="s">
        <v>9</v>
      </c>
      <c r="B19" s="478" t="s">
        <v>130</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t="s">
        <v>11</v>
      </c>
      <c r="B20" s="30" t="s">
        <v>131</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c r="A21" s="30" t="s">
        <v>13</v>
      </c>
      <c r="B21" s="30" t="s">
        <v>60</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c r="A22" s="30" t="s">
        <v>15</v>
      </c>
      <c r="B22" s="30">
        <v>1</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c r="A23" s="30" t="s">
        <v>16</v>
      </c>
      <c r="B23" s="30" t="s">
        <v>17</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5.75">
      <c r="A24" s="30" t="s">
        <v>18</v>
      </c>
      <c r="B24" s="274" t="s">
        <v>18</v>
      </c>
      <c r="C24" s="30"/>
      <c r="D24" s="30"/>
      <c r="E24" s="30" t="s">
        <v>77</v>
      </c>
      <c r="F24" s="30"/>
      <c r="G24" s="30"/>
      <c r="H24" s="30"/>
      <c r="I24" s="30"/>
      <c r="J24" s="30"/>
      <c r="K24" s="30"/>
      <c r="L24" s="30"/>
      <c r="M24" s="30"/>
      <c r="N24" s="30"/>
      <c r="O24" s="30"/>
      <c r="P24" s="30"/>
      <c r="Q24" s="30"/>
      <c r="R24" s="30"/>
      <c r="S24" s="30"/>
      <c r="T24" s="30"/>
      <c r="U24" s="30"/>
      <c r="V24" s="30"/>
      <c r="W24" s="30"/>
      <c r="X24" s="30"/>
      <c r="Y24" s="30"/>
      <c r="Z24" s="30"/>
    </row>
    <row r="25" spans="1:26" ht="15.75">
      <c r="A25" s="395" t="s">
        <v>19</v>
      </c>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5.75">
      <c r="A26" s="395" t="s">
        <v>20</v>
      </c>
      <c r="B26" s="395" t="s">
        <v>21</v>
      </c>
      <c r="C26" s="395" t="s">
        <v>78</v>
      </c>
      <c r="D26" s="395" t="s">
        <v>18</v>
      </c>
      <c r="E26" s="395" t="s">
        <v>22</v>
      </c>
      <c r="F26" s="395" t="s">
        <v>7</v>
      </c>
      <c r="G26" s="395" t="s">
        <v>13</v>
      </c>
      <c r="H26" s="395" t="s">
        <v>16</v>
      </c>
      <c r="I26" s="395" t="s">
        <v>23</v>
      </c>
      <c r="J26" s="395" t="s">
        <v>24</v>
      </c>
      <c r="K26" s="395" t="s">
        <v>25</v>
      </c>
      <c r="L26" s="395" t="s">
        <v>26</v>
      </c>
      <c r="M26" s="395" t="s">
        <v>27</v>
      </c>
      <c r="N26" s="395" t="s">
        <v>28</v>
      </c>
      <c r="O26" s="395" t="s">
        <v>11</v>
      </c>
      <c r="P26" s="395" t="s">
        <v>79</v>
      </c>
      <c r="Q26" s="30"/>
      <c r="R26" s="30"/>
      <c r="S26" s="30"/>
      <c r="T26" s="30"/>
      <c r="U26" s="30"/>
      <c r="V26" s="30"/>
      <c r="W26" s="30"/>
      <c r="X26" s="30"/>
      <c r="Y26" s="30"/>
      <c r="Z26" s="30"/>
    </row>
    <row r="27" spans="1:26" ht="15.75">
      <c r="A27" s="274" t="s">
        <v>132</v>
      </c>
      <c r="B27" s="274">
        <v>1</v>
      </c>
      <c r="C27" s="274"/>
      <c r="D27" s="274" t="s">
        <v>18</v>
      </c>
      <c r="E27" s="30" t="s">
        <v>2</v>
      </c>
      <c r="F27" s="30" t="s">
        <v>133</v>
      </c>
      <c r="G27" s="274" t="s">
        <v>60</v>
      </c>
      <c r="H27" s="30" t="s">
        <v>30</v>
      </c>
      <c r="I27" s="30">
        <v>0</v>
      </c>
      <c r="J27" s="274" t="s">
        <v>31</v>
      </c>
      <c r="K27" s="274" t="s">
        <v>31</v>
      </c>
      <c r="L27" s="274" t="s">
        <v>31</v>
      </c>
      <c r="M27" s="274" t="s">
        <v>31</v>
      </c>
      <c r="N27" s="274" t="s">
        <v>31</v>
      </c>
      <c r="O27" s="30"/>
      <c r="P27" s="30"/>
      <c r="Q27" s="30"/>
      <c r="R27" s="30"/>
      <c r="S27" s="30"/>
      <c r="T27" s="30"/>
      <c r="U27" s="30"/>
      <c r="V27" s="30"/>
      <c r="W27" s="30"/>
      <c r="X27" s="30"/>
      <c r="Y27" s="30"/>
      <c r="Z27" s="30"/>
    </row>
    <row r="28" spans="1:26" ht="15.75">
      <c r="A28" s="30" t="s">
        <v>134</v>
      </c>
      <c r="B28" s="30">
        <v>-9236.4320000000007</v>
      </c>
      <c r="C28" s="274"/>
      <c r="D28" s="274" t="s">
        <v>37</v>
      </c>
      <c r="E28" s="480" t="s">
        <v>38</v>
      </c>
      <c r="F28" s="30" t="s">
        <v>29</v>
      </c>
      <c r="G28" s="274" t="s">
        <v>86</v>
      </c>
      <c r="H28" s="30" t="s">
        <v>33</v>
      </c>
      <c r="I28" s="30">
        <v>0</v>
      </c>
      <c r="J28" s="274" t="s">
        <v>31</v>
      </c>
      <c r="K28" s="274" t="s">
        <v>31</v>
      </c>
      <c r="L28" s="274" t="s">
        <v>31</v>
      </c>
      <c r="M28" s="274" t="s">
        <v>31</v>
      </c>
      <c r="N28" s="274" t="s">
        <v>31</v>
      </c>
      <c r="O28" s="30"/>
      <c r="P28" s="30" t="s">
        <v>135</v>
      </c>
      <c r="Q28" s="30"/>
      <c r="R28" s="30" t="s">
        <v>136</v>
      </c>
      <c r="S28" s="30"/>
      <c r="T28" s="30"/>
      <c r="U28" s="30"/>
      <c r="V28" s="30"/>
      <c r="W28" s="30"/>
      <c r="X28" s="30"/>
      <c r="Y28" s="30"/>
      <c r="Z28" s="30"/>
    </row>
    <row r="29" spans="1:26" ht="15.75">
      <c r="A29" s="30" t="s">
        <v>137</v>
      </c>
      <c r="B29" s="30">
        <f>-B28*0.9</f>
        <v>8312.7888000000003</v>
      </c>
      <c r="C29" s="274"/>
      <c r="D29" s="274" t="s">
        <v>37</v>
      </c>
      <c r="E29" s="480" t="s">
        <v>38</v>
      </c>
      <c r="F29" s="30" t="s">
        <v>29</v>
      </c>
      <c r="G29" s="274" t="s">
        <v>60</v>
      </c>
      <c r="H29" s="30" t="s">
        <v>98</v>
      </c>
      <c r="I29" s="30">
        <v>0</v>
      </c>
      <c r="J29" s="274" t="s">
        <v>31</v>
      </c>
      <c r="K29" s="274" t="s">
        <v>31</v>
      </c>
      <c r="L29" s="274" t="s">
        <v>31</v>
      </c>
      <c r="M29" s="274" t="s">
        <v>31</v>
      </c>
      <c r="N29" s="274" t="s">
        <v>31</v>
      </c>
      <c r="O29" s="30"/>
      <c r="P29" s="30" t="s">
        <v>99</v>
      </c>
      <c r="Q29" s="30"/>
      <c r="R29" s="30" t="s">
        <v>136</v>
      </c>
      <c r="S29" s="30"/>
      <c r="T29" s="30"/>
      <c r="U29" s="30"/>
      <c r="V29" s="30"/>
      <c r="W29" s="30"/>
      <c r="X29" s="30"/>
      <c r="Y29" s="30"/>
      <c r="Z29" s="30"/>
    </row>
    <row r="30" spans="1:26" ht="15.75">
      <c r="A30" s="30" t="s">
        <v>103</v>
      </c>
      <c r="B30" s="30">
        <f>B28+B29</f>
        <v>-923.64320000000043</v>
      </c>
      <c r="C30" s="30"/>
      <c r="D30" s="30" t="s">
        <v>37</v>
      </c>
      <c r="E30" s="480" t="s">
        <v>38</v>
      </c>
      <c r="F30" s="30" t="s">
        <v>133</v>
      </c>
      <c r="G30" s="30" t="s">
        <v>60</v>
      </c>
      <c r="H30" s="30" t="s">
        <v>33</v>
      </c>
      <c r="I30" s="30">
        <v>0</v>
      </c>
      <c r="J30" s="30" t="s">
        <v>31</v>
      </c>
      <c r="K30" s="30" t="s">
        <v>31</v>
      </c>
      <c r="L30" s="30" t="s">
        <v>31</v>
      </c>
      <c r="M30" s="30" t="s">
        <v>31</v>
      </c>
      <c r="N30" s="30" t="s">
        <v>31</v>
      </c>
      <c r="O30" s="274"/>
      <c r="P30" s="30" t="s">
        <v>138</v>
      </c>
      <c r="Q30" s="30"/>
      <c r="R30" s="30" t="s">
        <v>136</v>
      </c>
      <c r="S30" s="30"/>
      <c r="T30" s="30"/>
      <c r="U30" s="30"/>
      <c r="V30" s="30"/>
      <c r="W30" s="30"/>
      <c r="X30" s="30"/>
      <c r="Y30" s="30"/>
      <c r="Z30" s="30"/>
    </row>
    <row r="31" spans="1:26" ht="15.75">
      <c r="A31" s="392" t="s">
        <v>5</v>
      </c>
      <c r="B31" s="392" t="str">
        <f>A41</f>
        <v>treatment of ferrite ,Battery charging station, Gt-bat, Medium-Term</v>
      </c>
      <c r="C31" s="392"/>
      <c r="D31" s="120"/>
      <c r="E31" s="393"/>
      <c r="F31" s="393"/>
      <c r="G31" s="393"/>
      <c r="H31" s="393"/>
      <c r="I31" s="393"/>
      <c r="J31" s="393"/>
      <c r="K31" s="393"/>
      <c r="L31" s="393"/>
      <c r="M31" s="393"/>
      <c r="N31" s="393"/>
      <c r="O31" s="393"/>
      <c r="P31" s="393"/>
      <c r="Q31" s="393"/>
      <c r="R31" s="393"/>
      <c r="S31" s="393"/>
      <c r="T31" s="393"/>
      <c r="U31" s="393"/>
      <c r="V31" s="393"/>
      <c r="W31" s="393"/>
      <c r="X31" s="393"/>
      <c r="Y31" s="393"/>
      <c r="Z31" s="393"/>
    </row>
    <row r="32" spans="1:26">
      <c r="A32" s="30" t="s">
        <v>7</v>
      </c>
      <c r="B32" s="30" t="s">
        <v>129</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c r="A33" s="30" t="s">
        <v>9</v>
      </c>
      <c r="B33" s="478" t="s">
        <v>139</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c r="A34" s="30" t="s">
        <v>11</v>
      </c>
      <c r="B34" s="30" t="s">
        <v>131</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c r="A35" s="30" t="s">
        <v>13</v>
      </c>
      <c r="B35" s="30" t="s">
        <v>60</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c r="A36" s="30" t="s">
        <v>15</v>
      </c>
      <c r="B36" s="30">
        <v>1</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c r="A37" s="30" t="s">
        <v>16</v>
      </c>
      <c r="B37" s="30" t="s">
        <v>17</v>
      </c>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5.75">
      <c r="A38" s="30" t="s">
        <v>18</v>
      </c>
      <c r="B38" s="274" t="s">
        <v>18</v>
      </c>
      <c r="C38" s="30"/>
      <c r="D38" s="30"/>
      <c r="E38" s="30" t="s">
        <v>77</v>
      </c>
      <c r="F38" s="30"/>
      <c r="G38" s="30"/>
      <c r="H38" s="30"/>
      <c r="I38" s="30"/>
      <c r="J38" s="30"/>
      <c r="K38" s="30"/>
      <c r="L38" s="30"/>
      <c r="M38" s="30"/>
      <c r="N38" s="30"/>
      <c r="O38" s="30"/>
      <c r="P38" s="30"/>
      <c r="Q38" s="30"/>
      <c r="R38" s="30"/>
      <c r="S38" s="30"/>
      <c r="T38" s="30"/>
      <c r="U38" s="30"/>
      <c r="V38" s="30"/>
      <c r="W38" s="30"/>
      <c r="X38" s="30"/>
      <c r="Y38" s="30"/>
      <c r="Z38" s="30"/>
    </row>
    <row r="39" spans="1:26" ht="15.75">
      <c r="A39" s="395" t="s">
        <v>19</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5.75">
      <c r="A40" s="395" t="s">
        <v>20</v>
      </c>
      <c r="B40" s="395" t="s">
        <v>21</v>
      </c>
      <c r="C40" s="395" t="s">
        <v>78</v>
      </c>
      <c r="D40" s="395" t="s">
        <v>18</v>
      </c>
      <c r="E40" s="395" t="s">
        <v>22</v>
      </c>
      <c r="F40" s="395" t="s">
        <v>7</v>
      </c>
      <c r="G40" s="395" t="s">
        <v>13</v>
      </c>
      <c r="H40" s="395" t="s">
        <v>16</v>
      </c>
      <c r="I40" s="395" t="s">
        <v>23</v>
      </c>
      <c r="J40" s="395" t="s">
        <v>24</v>
      </c>
      <c r="K40" s="395" t="s">
        <v>25</v>
      </c>
      <c r="L40" s="395" t="s">
        <v>26</v>
      </c>
      <c r="M40" s="395" t="s">
        <v>27</v>
      </c>
      <c r="N40" s="395" t="s">
        <v>28</v>
      </c>
      <c r="O40" s="395" t="s">
        <v>11</v>
      </c>
      <c r="P40" s="395" t="s">
        <v>79</v>
      </c>
      <c r="Q40" s="30"/>
      <c r="R40" s="30"/>
      <c r="S40" s="30"/>
      <c r="T40" s="30"/>
      <c r="U40" s="30"/>
      <c r="V40" s="30"/>
      <c r="W40" s="30"/>
      <c r="X40" s="30"/>
      <c r="Y40" s="30"/>
      <c r="Z40" s="30"/>
    </row>
    <row r="41" spans="1:26" ht="15.75">
      <c r="A41" s="274" t="s">
        <v>140</v>
      </c>
      <c r="B41" s="274">
        <v>1</v>
      </c>
      <c r="C41" s="274"/>
      <c r="D41" s="274" t="s">
        <v>18</v>
      </c>
      <c r="E41" s="30" t="s">
        <v>2</v>
      </c>
      <c r="F41" s="30" t="s">
        <v>29</v>
      </c>
      <c r="G41" s="274" t="s">
        <v>60</v>
      </c>
      <c r="H41" s="30" t="s">
        <v>30</v>
      </c>
      <c r="I41" s="30">
        <v>0</v>
      </c>
      <c r="J41" s="274" t="s">
        <v>31</v>
      </c>
      <c r="K41" s="274" t="s">
        <v>31</v>
      </c>
      <c r="L41" s="274" t="s">
        <v>31</v>
      </c>
      <c r="M41" s="274" t="s">
        <v>31</v>
      </c>
      <c r="N41" s="274" t="s">
        <v>31</v>
      </c>
      <c r="O41" s="30"/>
      <c r="P41" s="30"/>
      <c r="Q41" s="30"/>
      <c r="R41" s="30"/>
      <c r="S41" s="30"/>
      <c r="T41" s="30"/>
      <c r="U41" s="30"/>
      <c r="V41" s="30"/>
      <c r="W41" s="30"/>
      <c r="X41" s="30"/>
      <c r="Y41" s="30"/>
      <c r="Z41" s="30"/>
    </row>
    <row r="42" spans="1:26" ht="15.75">
      <c r="A42" s="232" t="s">
        <v>141</v>
      </c>
      <c r="B42">
        <v>-36149.760000000002</v>
      </c>
      <c r="C42" s="232"/>
      <c r="D42" s="274" t="s">
        <v>37</v>
      </c>
      <c r="E42" s="480" t="s">
        <v>38</v>
      </c>
      <c r="F42" s="30" t="s">
        <v>29</v>
      </c>
      <c r="G42" s="274" t="s">
        <v>86</v>
      </c>
      <c r="H42" s="30" t="s">
        <v>33</v>
      </c>
      <c r="I42" s="30">
        <v>0</v>
      </c>
      <c r="J42" s="274" t="s">
        <v>31</v>
      </c>
      <c r="K42" s="274" t="s">
        <v>31</v>
      </c>
      <c r="L42" s="274" t="s">
        <v>31</v>
      </c>
      <c r="M42" s="274" t="s">
        <v>31</v>
      </c>
      <c r="N42" s="274" t="s">
        <v>31</v>
      </c>
      <c r="O42" s="30"/>
      <c r="P42" s="30"/>
      <c r="Q42" s="30"/>
      <c r="R42" s="30"/>
      <c r="S42" s="30"/>
      <c r="T42" s="30"/>
      <c r="U42" s="30"/>
      <c r="V42" s="30"/>
      <c r="W42" s="30"/>
      <c r="X42" s="30"/>
      <c r="Y42" s="30"/>
      <c r="Z42" s="30"/>
    </row>
    <row r="43" spans="1:26" ht="15.75">
      <c r="A43" s="482" t="s">
        <v>142</v>
      </c>
      <c r="B43" s="30">
        <f>B42*0.47</f>
        <v>-16990.387200000001</v>
      </c>
      <c r="C43" s="274"/>
      <c r="D43" s="274" t="s">
        <v>37</v>
      </c>
      <c r="E43" s="480" t="s">
        <v>38</v>
      </c>
      <c r="F43" s="30" t="s">
        <v>29</v>
      </c>
      <c r="G43" s="274" t="s">
        <v>60</v>
      </c>
      <c r="H43" s="30" t="s">
        <v>98</v>
      </c>
      <c r="I43" s="30">
        <v>0</v>
      </c>
      <c r="J43" s="274" t="s">
        <v>31</v>
      </c>
      <c r="K43" s="274" t="s">
        <v>31</v>
      </c>
      <c r="L43" s="274" t="s">
        <v>31</v>
      </c>
      <c r="M43" s="274" t="s">
        <v>31</v>
      </c>
      <c r="N43" s="274" t="s">
        <v>31</v>
      </c>
      <c r="O43" s="30"/>
      <c r="P43" s="30" t="s">
        <v>143</v>
      </c>
      <c r="Q43" s="30"/>
      <c r="R43" s="30"/>
      <c r="S43" s="30"/>
      <c r="T43" s="30"/>
      <c r="U43" s="30"/>
      <c r="V43" s="30"/>
      <c r="W43" s="30"/>
      <c r="X43" s="30"/>
      <c r="Y43" s="30"/>
      <c r="Z43" s="30"/>
    </row>
    <row r="44" spans="1:26" ht="15.75">
      <c r="A44" s="30" t="s">
        <v>103</v>
      </c>
      <c r="B44" s="30">
        <f>-(B42-B43)</f>
        <v>19159.372800000001</v>
      </c>
      <c r="C44" s="30"/>
      <c r="D44" s="30" t="s">
        <v>37</v>
      </c>
      <c r="E44" s="480" t="s">
        <v>38</v>
      </c>
      <c r="F44" s="30" t="s">
        <v>133</v>
      </c>
      <c r="G44" s="30" t="s">
        <v>60</v>
      </c>
      <c r="H44" s="30" t="s">
        <v>33</v>
      </c>
      <c r="I44" s="30">
        <v>0</v>
      </c>
      <c r="J44" s="30" t="s">
        <v>31</v>
      </c>
      <c r="K44" s="30" t="s">
        <v>31</v>
      </c>
      <c r="L44" s="30" t="s">
        <v>31</v>
      </c>
      <c r="M44" s="30" t="s">
        <v>31</v>
      </c>
      <c r="N44" s="30" t="s">
        <v>31</v>
      </c>
      <c r="O44" s="274"/>
      <c r="P44" s="30"/>
      <c r="Q44" s="30"/>
      <c r="R44" s="30"/>
      <c r="S44" s="30"/>
      <c r="T44" s="30"/>
      <c r="U44" s="30"/>
      <c r="V44" s="30"/>
      <c r="W44" s="30"/>
      <c r="X44" s="30"/>
      <c r="Y44" s="30"/>
      <c r="Z44" s="30"/>
    </row>
    <row r="45" spans="1:26" ht="15.75">
      <c r="A45" s="392" t="s">
        <v>5</v>
      </c>
      <c r="B45" s="392" t="str">
        <f>A55</f>
        <v>treatment of electronic components and cables ,Battery charging station, Gt-bat, Medium-Term</v>
      </c>
      <c r="C45" s="392"/>
      <c r="D45" s="120"/>
      <c r="E45" s="393"/>
      <c r="F45" s="393"/>
      <c r="G45" s="393"/>
      <c r="H45" s="393"/>
      <c r="I45" s="393"/>
      <c r="J45" s="393"/>
      <c r="K45" s="393"/>
      <c r="L45" s="393"/>
      <c r="M45" s="393"/>
      <c r="N45" s="393"/>
      <c r="O45" s="393"/>
      <c r="P45" s="393"/>
      <c r="Q45" s="393"/>
      <c r="R45" s="393"/>
      <c r="S45" s="393"/>
      <c r="T45" s="393"/>
      <c r="U45" s="393"/>
      <c r="V45" s="393"/>
      <c r="W45" s="393"/>
      <c r="X45" s="393"/>
      <c r="Y45" s="393"/>
      <c r="Z45" s="393"/>
    </row>
    <row r="46" spans="1:26">
      <c r="A46" s="30" t="s">
        <v>7</v>
      </c>
      <c r="B46" s="30" t="s">
        <v>129</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c r="A47" s="30" t="s">
        <v>9</v>
      </c>
      <c r="B47" s="478" t="s">
        <v>144</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c r="A48" s="30" t="s">
        <v>11</v>
      </c>
      <c r="B48" s="30" t="s">
        <v>131</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c r="A49" s="30" t="s">
        <v>13</v>
      </c>
      <c r="B49" s="30" t="s">
        <v>60</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c r="A50" s="30" t="s">
        <v>15</v>
      </c>
      <c r="B50" s="30">
        <v>1</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c r="A51" s="30" t="s">
        <v>16</v>
      </c>
      <c r="B51" s="30" t="s">
        <v>17</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5.75">
      <c r="A52" s="30" t="s">
        <v>18</v>
      </c>
      <c r="B52" s="274" t="s">
        <v>18</v>
      </c>
      <c r="C52" s="30"/>
      <c r="D52" s="30"/>
      <c r="E52" s="30" t="s">
        <v>77</v>
      </c>
      <c r="F52" s="30"/>
      <c r="G52" s="30"/>
      <c r="H52" s="30"/>
      <c r="I52" s="30"/>
      <c r="J52" s="30"/>
      <c r="K52" s="30"/>
      <c r="L52" s="30"/>
      <c r="M52" s="30"/>
      <c r="N52" s="30"/>
      <c r="O52" s="30"/>
      <c r="P52" s="30"/>
      <c r="Q52" s="30"/>
      <c r="R52" s="30"/>
      <c r="S52" s="30"/>
      <c r="T52" s="30"/>
      <c r="U52" s="30"/>
      <c r="V52" s="30"/>
      <c r="W52" s="30"/>
      <c r="X52" s="30"/>
      <c r="Y52" s="30"/>
      <c r="Z52" s="30"/>
    </row>
    <row r="53" spans="1:26" ht="15.75">
      <c r="A53" s="395" t="s">
        <v>19</v>
      </c>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5.75">
      <c r="A54" s="395" t="s">
        <v>20</v>
      </c>
      <c r="B54" s="395" t="s">
        <v>21</v>
      </c>
      <c r="C54" s="395" t="s">
        <v>78</v>
      </c>
      <c r="D54" s="395" t="s">
        <v>18</v>
      </c>
      <c r="E54" s="395" t="s">
        <v>22</v>
      </c>
      <c r="F54" s="395" t="s">
        <v>7</v>
      </c>
      <c r="G54" s="395" t="s">
        <v>13</v>
      </c>
      <c r="H54" s="395" t="s">
        <v>16</v>
      </c>
      <c r="I54" s="395" t="s">
        <v>23</v>
      </c>
      <c r="J54" s="395" t="s">
        <v>24</v>
      </c>
      <c r="K54" s="395" t="s">
        <v>25</v>
      </c>
      <c r="L54" s="395" t="s">
        <v>26</v>
      </c>
      <c r="M54" s="395" t="s">
        <v>27</v>
      </c>
      <c r="N54" s="395" t="s">
        <v>28</v>
      </c>
      <c r="O54" s="395" t="s">
        <v>11</v>
      </c>
      <c r="P54" s="395" t="s">
        <v>79</v>
      </c>
      <c r="Q54" s="30"/>
      <c r="R54" s="30"/>
      <c r="S54" s="30"/>
      <c r="T54" s="30"/>
      <c r="U54" s="30"/>
      <c r="V54" s="30"/>
      <c r="W54" s="30"/>
      <c r="X54" s="30"/>
      <c r="Y54" s="30"/>
      <c r="Z54" s="30"/>
    </row>
    <row r="55" spans="1:26" ht="15.75">
      <c r="A55" s="274" t="s">
        <v>145</v>
      </c>
      <c r="B55" s="274">
        <v>1</v>
      </c>
      <c r="C55" s="274"/>
      <c r="D55" s="274" t="s">
        <v>18</v>
      </c>
      <c r="E55" s="30" t="s">
        <v>2</v>
      </c>
      <c r="F55" s="30" t="s">
        <v>29</v>
      </c>
      <c r="G55" s="274" t="s">
        <v>60</v>
      </c>
      <c r="H55" s="30" t="s">
        <v>30</v>
      </c>
      <c r="I55" s="30">
        <v>0</v>
      </c>
      <c r="J55" s="274" t="s">
        <v>31</v>
      </c>
      <c r="K55" s="274" t="s">
        <v>31</v>
      </c>
      <c r="L55" s="274" t="s">
        <v>31</v>
      </c>
      <c r="M55" s="274" t="s">
        <v>31</v>
      </c>
      <c r="N55" s="274" t="s">
        <v>31</v>
      </c>
      <c r="O55" s="30"/>
      <c r="P55" s="30"/>
      <c r="Q55" s="30"/>
      <c r="R55" s="30"/>
      <c r="S55" s="30"/>
      <c r="T55" s="30"/>
      <c r="U55" s="30"/>
      <c r="V55" s="30"/>
      <c r="W55" s="30"/>
      <c r="X55" s="30"/>
      <c r="Y55" s="30"/>
      <c r="Z55" s="30"/>
    </row>
    <row r="56" spans="1:26" ht="15.75">
      <c r="A56" s="30" t="s">
        <v>85</v>
      </c>
      <c r="B56">
        <v>440</v>
      </c>
      <c r="D56" t="s">
        <v>37</v>
      </c>
      <c r="E56" s="480" t="s">
        <v>38</v>
      </c>
      <c r="F56" t="s">
        <v>29</v>
      </c>
      <c r="G56" t="s">
        <v>86</v>
      </c>
      <c r="H56" t="s">
        <v>33</v>
      </c>
      <c r="I56">
        <v>0</v>
      </c>
      <c r="J56" s="274" t="s">
        <v>31</v>
      </c>
      <c r="K56" s="274" t="s">
        <v>31</v>
      </c>
      <c r="L56" s="274" t="s">
        <v>31</v>
      </c>
      <c r="M56" s="274" t="s">
        <v>31</v>
      </c>
      <c r="N56" s="274" t="s">
        <v>31</v>
      </c>
    </row>
    <row r="57" spans="1:26" ht="15.75">
      <c r="A57" s="481" t="s">
        <v>146</v>
      </c>
      <c r="B57">
        <f>29679/2</f>
        <v>14839.5</v>
      </c>
      <c r="D57" t="s">
        <v>37</v>
      </c>
      <c r="E57" s="480" t="s">
        <v>38</v>
      </c>
      <c r="F57" s="30" t="s">
        <v>29</v>
      </c>
      <c r="G57" t="s">
        <v>60</v>
      </c>
      <c r="H57" s="30" t="s">
        <v>98</v>
      </c>
      <c r="I57">
        <v>0</v>
      </c>
      <c r="J57" s="274" t="s">
        <v>31</v>
      </c>
      <c r="K57" s="274" t="s">
        <v>31</v>
      </c>
      <c r="L57" s="274" t="s">
        <v>31</v>
      </c>
      <c r="M57" s="274" t="s">
        <v>31</v>
      </c>
      <c r="N57" s="274" t="s">
        <v>31</v>
      </c>
      <c r="O57" t="s">
        <v>147</v>
      </c>
    </row>
    <row r="58" spans="1:26" ht="15.75">
      <c r="A58" s="392" t="s">
        <v>5</v>
      </c>
      <c r="B58" s="392" t="str">
        <f>A68</f>
        <v>treatment of remaining components,Battery charging station, GT-bat, Medium-Term</v>
      </c>
      <c r="C58" s="392"/>
      <c r="D58" s="120"/>
      <c r="E58" s="393"/>
      <c r="F58" s="393"/>
      <c r="G58" s="393"/>
      <c r="H58" s="393"/>
      <c r="I58" s="484"/>
      <c r="J58" s="484"/>
      <c r="K58" s="393"/>
      <c r="L58" s="393"/>
      <c r="M58" s="393"/>
      <c r="N58" s="393"/>
      <c r="O58" s="393"/>
      <c r="P58" s="393"/>
      <c r="Q58" s="393"/>
    </row>
    <row r="59" spans="1:26">
      <c r="A59" s="30" t="s">
        <v>7</v>
      </c>
      <c r="B59" s="30" t="s">
        <v>82</v>
      </c>
      <c r="C59" s="30"/>
      <c r="D59" s="30"/>
      <c r="E59" s="30"/>
      <c r="F59" s="30"/>
      <c r="G59" s="30"/>
      <c r="H59" s="30"/>
      <c r="I59" s="483"/>
      <c r="J59" s="483"/>
      <c r="K59" s="30"/>
      <c r="L59" s="30"/>
      <c r="M59" s="30"/>
      <c r="N59" s="30"/>
      <c r="O59" s="30"/>
      <c r="P59" s="30"/>
      <c r="Q59" s="30"/>
    </row>
    <row r="60" spans="1:26">
      <c r="A60" s="30" t="s">
        <v>9</v>
      </c>
      <c r="B60" s="478" t="s">
        <v>148</v>
      </c>
      <c r="C60" s="30"/>
      <c r="D60" s="30"/>
      <c r="E60" s="30"/>
      <c r="F60" s="30"/>
      <c r="G60" s="30"/>
      <c r="H60" s="30"/>
      <c r="I60" s="483"/>
      <c r="J60" s="483"/>
      <c r="K60" s="30"/>
      <c r="L60" s="30"/>
      <c r="M60" s="30"/>
      <c r="N60" s="30"/>
      <c r="O60" s="30"/>
      <c r="P60" s="30"/>
      <c r="Q60" s="30"/>
    </row>
    <row r="61" spans="1:26">
      <c r="A61" s="30" t="s">
        <v>11</v>
      </c>
      <c r="B61" s="30" t="s">
        <v>117</v>
      </c>
      <c r="C61" s="30"/>
      <c r="D61" s="30"/>
      <c r="E61" s="30"/>
      <c r="F61" s="30"/>
      <c r="G61" s="30"/>
      <c r="H61" s="30"/>
      <c r="I61" s="483"/>
      <c r="J61" s="483"/>
      <c r="K61" s="30"/>
      <c r="L61" s="30"/>
      <c r="M61" s="30"/>
      <c r="N61" s="30"/>
      <c r="O61" s="30"/>
      <c r="P61" s="30"/>
      <c r="Q61" s="30"/>
    </row>
    <row r="62" spans="1:26">
      <c r="A62" s="30" t="s">
        <v>13</v>
      </c>
      <c r="B62" s="30" t="s">
        <v>60</v>
      </c>
      <c r="C62" s="30"/>
      <c r="D62" s="30"/>
      <c r="E62" s="30"/>
      <c r="F62" s="30"/>
      <c r="G62" s="30"/>
      <c r="H62" s="30"/>
      <c r="I62" s="483"/>
      <c r="J62" s="483"/>
      <c r="K62" s="30"/>
      <c r="L62" s="30"/>
      <c r="M62" s="30"/>
      <c r="N62" s="30"/>
      <c r="O62" s="30"/>
      <c r="P62" s="30"/>
      <c r="Q62" s="30"/>
    </row>
    <row r="63" spans="1:26">
      <c r="A63" s="30" t="s">
        <v>15</v>
      </c>
      <c r="B63" s="30">
        <v>1</v>
      </c>
      <c r="C63" s="30"/>
      <c r="D63" s="30"/>
      <c r="E63" s="30"/>
      <c r="F63" s="30"/>
      <c r="G63" s="30"/>
      <c r="H63" s="30"/>
      <c r="I63" s="483"/>
      <c r="J63" s="483"/>
      <c r="K63" s="30"/>
      <c r="L63" s="30"/>
      <c r="M63" s="30"/>
      <c r="N63" s="30"/>
      <c r="O63" s="30"/>
      <c r="P63" s="30"/>
      <c r="Q63" s="30"/>
    </row>
    <row r="64" spans="1:26">
      <c r="A64" s="30" t="s">
        <v>16</v>
      </c>
      <c r="B64" s="30" t="s">
        <v>17</v>
      </c>
      <c r="C64" s="30"/>
      <c r="D64" s="30"/>
      <c r="E64" s="30"/>
      <c r="F64" s="30"/>
      <c r="G64" s="30"/>
      <c r="H64" s="30"/>
      <c r="I64" s="483"/>
      <c r="J64" s="483"/>
      <c r="K64" s="30"/>
      <c r="L64" s="30"/>
      <c r="M64" s="30"/>
      <c r="N64" s="30"/>
      <c r="O64" s="30"/>
      <c r="P64" s="30"/>
      <c r="Q64" s="30"/>
    </row>
    <row r="65" spans="1:17">
      <c r="A65" s="30" t="s">
        <v>18</v>
      </c>
      <c r="B65" s="30" t="s">
        <v>18</v>
      </c>
      <c r="C65" s="30"/>
      <c r="D65" s="30"/>
      <c r="E65" s="30" t="s">
        <v>77</v>
      </c>
      <c r="F65" s="30"/>
      <c r="G65" s="30"/>
      <c r="H65" s="30"/>
      <c r="I65" s="483"/>
      <c r="J65" s="483"/>
      <c r="K65" s="30"/>
      <c r="L65" s="30"/>
      <c r="M65" s="30"/>
      <c r="N65" s="30"/>
      <c r="O65" s="30"/>
      <c r="P65" s="30"/>
      <c r="Q65" s="30"/>
    </row>
    <row r="66" spans="1:17" ht="15.75">
      <c r="A66" s="395" t="s">
        <v>19</v>
      </c>
      <c r="B66" s="30"/>
      <c r="C66" s="30"/>
      <c r="D66" s="30"/>
      <c r="E66" s="30"/>
      <c r="F66" s="30"/>
      <c r="G66" s="30"/>
      <c r="H66" s="30"/>
      <c r="I66" s="483"/>
      <c r="J66" s="483"/>
      <c r="K66" s="30"/>
      <c r="L66" s="30"/>
      <c r="M66" s="30"/>
      <c r="N66" s="30"/>
      <c r="O66" s="30"/>
      <c r="P66" s="30"/>
      <c r="Q66" s="30"/>
    </row>
    <row r="67" spans="1:17" ht="15.75">
      <c r="A67" s="395" t="s">
        <v>20</v>
      </c>
      <c r="B67" s="395" t="s">
        <v>21</v>
      </c>
      <c r="C67" s="395" t="s">
        <v>78</v>
      </c>
      <c r="D67" s="395" t="s">
        <v>18</v>
      </c>
      <c r="E67" s="395" t="s">
        <v>22</v>
      </c>
      <c r="F67" s="395" t="s">
        <v>7</v>
      </c>
      <c r="G67" s="395" t="s">
        <v>13</v>
      </c>
      <c r="H67" s="395" t="s">
        <v>16</v>
      </c>
      <c r="I67" s="395" t="s">
        <v>23</v>
      </c>
      <c r="J67" s="395" t="s">
        <v>24</v>
      </c>
      <c r="K67" s="395" t="s">
        <v>25</v>
      </c>
      <c r="L67" s="395" t="s">
        <v>26</v>
      </c>
      <c r="M67" s="395" t="s">
        <v>27</v>
      </c>
      <c r="N67" s="395" t="s">
        <v>28</v>
      </c>
      <c r="O67" s="395" t="s">
        <v>11</v>
      </c>
      <c r="P67" s="395" t="s">
        <v>79</v>
      </c>
      <c r="Q67" s="30"/>
    </row>
    <row r="68" spans="1:17" ht="15.75">
      <c r="A68" s="274" t="s">
        <v>149</v>
      </c>
      <c r="B68" s="274">
        <v>1</v>
      </c>
      <c r="C68" s="274"/>
      <c r="D68" s="274" t="s">
        <v>18</v>
      </c>
      <c r="E68" s="30" t="s">
        <v>2</v>
      </c>
      <c r="F68" s="30" t="s">
        <v>80</v>
      </c>
      <c r="G68" s="274" t="s">
        <v>60</v>
      </c>
      <c r="H68" s="30" t="s">
        <v>30</v>
      </c>
      <c r="I68" s="30">
        <v>0</v>
      </c>
      <c r="J68" s="274" t="s">
        <v>31</v>
      </c>
      <c r="K68" s="274" t="s">
        <v>31</v>
      </c>
      <c r="L68" s="274" t="s">
        <v>31</v>
      </c>
      <c r="M68" s="274" t="s">
        <v>31</v>
      </c>
      <c r="N68" s="274" t="s">
        <v>31</v>
      </c>
      <c r="O68" s="30"/>
      <c r="P68" s="30"/>
      <c r="Q68" s="30"/>
    </row>
    <row r="69" spans="1:17" ht="15.75">
      <c r="A69" s="480" t="s">
        <v>118</v>
      </c>
      <c r="B69" s="30">
        <v>-490.41</v>
      </c>
      <c r="C69" s="30"/>
      <c r="D69" s="30" t="s">
        <v>37</v>
      </c>
      <c r="E69" s="271" t="s">
        <v>38</v>
      </c>
      <c r="F69" s="30" t="s">
        <v>80</v>
      </c>
      <c r="G69" s="30" t="s">
        <v>86</v>
      </c>
      <c r="H69" s="30" t="s">
        <v>33</v>
      </c>
      <c r="I69" s="30">
        <v>0</v>
      </c>
      <c r="J69" s="274" t="s">
        <v>31</v>
      </c>
      <c r="K69" s="274" t="s">
        <v>31</v>
      </c>
      <c r="L69" s="274" t="s">
        <v>31</v>
      </c>
      <c r="M69" s="274" t="s">
        <v>31</v>
      </c>
      <c r="N69" s="274" t="s">
        <v>31</v>
      </c>
      <c r="O69" s="274" t="s">
        <v>119</v>
      </c>
      <c r="P69" s="30"/>
      <c r="Q69" s="30"/>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FD69-B914-41FB-9386-45FC6C7DD346}">
  <sheetPr>
    <tabColor theme="5"/>
  </sheetPr>
  <dimension ref="A1:U47"/>
  <sheetViews>
    <sheetView topLeftCell="A18" zoomScaleNormal="100" workbookViewId="0">
      <selection activeCell="A36" sqref="A36"/>
    </sheetView>
  </sheetViews>
  <sheetFormatPr defaultRowHeight="15"/>
  <cols>
    <col min="1" max="1" width="62.140625" customWidth="1"/>
    <col min="2" max="2" width="13.5703125" customWidth="1"/>
    <col min="4" max="4" width="23.42578125" customWidth="1"/>
    <col min="7" max="7" width="12.710937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s="42" customFormat="1">
      <c r="A2" s="209" t="s">
        <v>5</v>
      </c>
      <c r="B2" s="210" t="s">
        <v>1386</v>
      </c>
      <c r="C2" s="188"/>
      <c r="D2" s="188"/>
      <c r="E2" s="188"/>
      <c r="F2" s="188"/>
      <c r="G2" s="188"/>
      <c r="H2" s="188"/>
      <c r="I2" s="188"/>
      <c r="J2" s="188"/>
      <c r="K2" s="188"/>
      <c r="L2" s="188"/>
      <c r="M2" s="188"/>
      <c r="N2" s="188"/>
      <c r="O2" s="188"/>
      <c r="P2" s="188"/>
      <c r="Q2" s="188"/>
      <c r="R2" s="188"/>
      <c r="S2" s="188"/>
      <c r="T2" s="188"/>
      <c r="U2" s="188"/>
    </row>
    <row r="3" spans="1:21">
      <c r="A3" s="177" t="s">
        <v>7</v>
      </c>
      <c r="B3" s="173" t="s">
        <v>566</v>
      </c>
      <c r="C3" s="176"/>
      <c r="D3" s="173"/>
      <c r="E3" s="173"/>
      <c r="F3" s="173"/>
      <c r="G3" s="173"/>
      <c r="H3" s="173"/>
      <c r="I3" s="173"/>
      <c r="J3" s="173"/>
      <c r="K3" s="173"/>
      <c r="L3" s="173"/>
      <c r="M3" s="173"/>
      <c r="N3" s="173"/>
      <c r="O3" s="173"/>
      <c r="P3" s="173"/>
      <c r="Q3" s="173"/>
      <c r="R3" s="173"/>
      <c r="S3" s="173"/>
      <c r="T3" s="173"/>
      <c r="U3" s="173"/>
    </row>
    <row r="4" spans="1:21">
      <c r="A4" s="276" t="s">
        <v>9</v>
      </c>
      <c r="B4" s="173" t="s">
        <v>1405</v>
      </c>
      <c r="C4" s="176"/>
      <c r="D4" s="173"/>
      <c r="E4" s="173"/>
      <c r="F4" s="173"/>
      <c r="G4" s="173"/>
      <c r="H4" s="173"/>
      <c r="I4" s="173"/>
      <c r="J4" s="173"/>
      <c r="K4" s="173"/>
      <c r="L4" s="173"/>
      <c r="M4" s="173"/>
      <c r="N4" s="173"/>
      <c r="O4" s="173"/>
      <c r="P4" s="173"/>
      <c r="Q4" s="173"/>
      <c r="R4" s="173"/>
      <c r="S4" s="173"/>
      <c r="T4" s="173"/>
      <c r="U4" s="173"/>
    </row>
    <row r="5" spans="1:21" ht="15.75" customHeight="1">
      <c r="A5" s="177" t="s">
        <v>11</v>
      </c>
      <c r="B5" s="179" t="s">
        <v>913</v>
      </c>
      <c r="C5" s="173"/>
      <c r="D5" s="173"/>
      <c r="E5" s="173"/>
      <c r="F5" s="173"/>
      <c r="G5" s="173"/>
      <c r="H5" s="173"/>
      <c r="I5" s="173"/>
      <c r="J5" s="173"/>
      <c r="K5" s="173"/>
      <c r="L5" s="173"/>
      <c r="M5" s="173"/>
      <c r="N5" s="173"/>
      <c r="O5" s="173"/>
      <c r="P5" s="173"/>
      <c r="Q5" s="173"/>
      <c r="R5" s="173"/>
      <c r="S5" s="173"/>
      <c r="T5" s="173"/>
      <c r="U5" s="173"/>
    </row>
    <row r="6" spans="1:21">
      <c r="A6" s="177" t="s">
        <v>13</v>
      </c>
      <c r="B6" s="173" t="s">
        <v>14</v>
      </c>
      <c r="C6" s="173"/>
      <c r="D6" s="173"/>
      <c r="E6" s="173"/>
      <c r="F6" s="173"/>
      <c r="G6" s="173"/>
      <c r="H6" s="173"/>
      <c r="I6" s="173"/>
      <c r="J6" s="173"/>
      <c r="K6" s="173"/>
      <c r="L6" s="173"/>
      <c r="M6" s="173"/>
      <c r="N6" s="173"/>
      <c r="O6" s="173"/>
      <c r="P6" s="173"/>
      <c r="Q6" s="173"/>
      <c r="R6" s="173"/>
      <c r="S6" s="173"/>
      <c r="T6" s="173"/>
      <c r="U6" s="173"/>
    </row>
    <row r="7" spans="1:21">
      <c r="A7" s="177" t="s">
        <v>15</v>
      </c>
      <c r="B7" s="265">
        <f>B12</f>
        <v>0.06</v>
      </c>
      <c r="C7" s="173"/>
      <c r="D7" s="173"/>
      <c r="E7" s="173"/>
      <c r="F7" s="173"/>
      <c r="G7" s="173"/>
      <c r="H7" s="173"/>
      <c r="I7" s="173"/>
      <c r="J7" s="173"/>
      <c r="K7" s="173"/>
      <c r="L7" s="173"/>
      <c r="M7" s="173"/>
      <c r="N7" s="173"/>
      <c r="O7" s="173"/>
      <c r="P7" s="173"/>
      <c r="Q7" s="173"/>
      <c r="R7" s="173"/>
      <c r="S7" s="173"/>
      <c r="T7" s="173"/>
      <c r="U7" s="173"/>
    </row>
    <row r="8" spans="1:21">
      <c r="A8" s="177" t="s">
        <v>16</v>
      </c>
      <c r="B8" s="173" t="s">
        <v>17</v>
      </c>
      <c r="C8" s="173"/>
      <c r="D8" s="173"/>
      <c r="E8" s="173"/>
      <c r="F8" s="173"/>
      <c r="G8" s="173"/>
      <c r="H8" s="173"/>
      <c r="I8" s="173"/>
      <c r="J8" s="173"/>
      <c r="K8" s="173"/>
      <c r="L8" s="173"/>
      <c r="M8" s="173"/>
      <c r="N8" s="173"/>
      <c r="O8" s="173"/>
      <c r="P8" s="173"/>
      <c r="Q8" s="173"/>
      <c r="R8" s="175" t="s">
        <v>1023</v>
      </c>
      <c r="S8" s="173"/>
      <c r="T8" s="173"/>
      <c r="U8" s="173"/>
    </row>
    <row r="9" spans="1:21">
      <c r="A9" s="177" t="s">
        <v>18</v>
      </c>
      <c r="B9" s="173" t="s">
        <v>37</v>
      </c>
      <c r="C9" s="173"/>
      <c r="D9" s="173"/>
      <c r="E9" s="173"/>
      <c r="F9" s="173"/>
      <c r="G9" s="173"/>
      <c r="H9" s="173"/>
      <c r="I9" s="173"/>
      <c r="J9" s="173"/>
      <c r="K9" s="173"/>
      <c r="L9" s="173"/>
      <c r="M9" s="173"/>
      <c r="N9" s="173"/>
      <c r="O9" s="173"/>
      <c r="P9" s="173"/>
      <c r="Q9" s="173"/>
      <c r="R9" s="173" t="s">
        <v>1024</v>
      </c>
      <c r="S9" s="173">
        <v>8900</v>
      </c>
      <c r="T9" s="173" t="s">
        <v>1025</v>
      </c>
      <c r="U9" s="173"/>
    </row>
    <row r="10" spans="1:21">
      <c r="A10" s="174" t="s">
        <v>19</v>
      </c>
      <c r="B10" s="173"/>
      <c r="C10" s="173"/>
      <c r="D10" s="173"/>
      <c r="E10" s="173"/>
      <c r="F10" s="173"/>
      <c r="G10" s="173"/>
      <c r="H10" s="173"/>
      <c r="I10" s="173"/>
      <c r="J10" s="173"/>
      <c r="K10" s="173"/>
      <c r="L10" s="173"/>
      <c r="M10" s="173"/>
      <c r="N10" s="173"/>
      <c r="O10" s="173"/>
      <c r="P10" s="173"/>
      <c r="Q10" s="173"/>
      <c r="R10" s="173" t="s">
        <v>1026</v>
      </c>
      <c r="S10" s="173">
        <f>5*10^-6</f>
        <v>4.9999999999999996E-6</v>
      </c>
      <c r="T10" s="173" t="s">
        <v>1027</v>
      </c>
      <c r="U10" s="173"/>
    </row>
    <row r="11" spans="1:21">
      <c r="A11" s="175"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280" t="s">
        <v>1029</v>
      </c>
      <c r="S11" s="281">
        <f>S10*S9</f>
        <v>4.4499999999999998E-2</v>
      </c>
      <c r="T11" s="282" t="s">
        <v>985</v>
      </c>
      <c r="U11" s="173"/>
    </row>
    <row r="12" spans="1:21">
      <c r="A12" s="173" t="s">
        <v>1386</v>
      </c>
      <c r="B12" s="340">
        <v>0.06</v>
      </c>
      <c r="C12" s="173" t="s">
        <v>37</v>
      </c>
      <c r="D12" s="258" t="s">
        <v>2</v>
      </c>
      <c r="E12" s="173" t="s">
        <v>29</v>
      </c>
      <c r="F12" s="173" t="s">
        <v>14</v>
      </c>
      <c r="G12" s="173" t="s">
        <v>30</v>
      </c>
      <c r="H12" s="173">
        <v>1</v>
      </c>
      <c r="I12" s="265">
        <f>B12</f>
        <v>0.06</v>
      </c>
      <c r="J12" s="173" t="s">
        <v>31</v>
      </c>
      <c r="K12" s="173" t="s">
        <v>31</v>
      </c>
      <c r="L12" s="173" t="s">
        <v>31</v>
      </c>
      <c r="M12" s="173" t="s">
        <v>31</v>
      </c>
      <c r="N12" s="173"/>
      <c r="O12" s="242" t="s">
        <v>1031</v>
      </c>
      <c r="P12" s="341">
        <f>B12*100</f>
        <v>6</v>
      </c>
      <c r="Q12" s="173"/>
      <c r="R12" s="173"/>
      <c r="S12" s="173"/>
      <c r="T12" s="173"/>
      <c r="U12" s="173"/>
    </row>
    <row r="13" spans="1:21">
      <c r="A13" s="173" t="s">
        <v>1406</v>
      </c>
      <c r="B13" s="340">
        <v>0.06</v>
      </c>
      <c r="C13" s="173" t="s">
        <v>206</v>
      </c>
      <c r="D13" s="258" t="s">
        <v>2</v>
      </c>
      <c r="E13" s="173" t="s">
        <v>29</v>
      </c>
      <c r="F13" s="173" t="s">
        <v>14</v>
      </c>
      <c r="G13" s="173" t="s">
        <v>33</v>
      </c>
      <c r="H13" s="173">
        <v>1</v>
      </c>
      <c r="I13" s="265">
        <f t="shared" ref="I13:I14" si="0">B13</f>
        <v>0.06</v>
      </c>
      <c r="J13" s="173">
        <v>7.2284161474004766E-2</v>
      </c>
      <c r="K13" s="173" t="s">
        <v>31</v>
      </c>
      <c r="L13" s="173" t="s">
        <v>31</v>
      </c>
      <c r="M13" s="173" t="s">
        <v>31</v>
      </c>
      <c r="N13" s="173"/>
      <c r="O13" s="242" t="s">
        <v>1031</v>
      </c>
      <c r="P13" s="341">
        <f>B13*100</f>
        <v>6</v>
      </c>
      <c r="Q13" s="173"/>
      <c r="R13" s="173" t="s">
        <v>1032</v>
      </c>
      <c r="S13" s="173"/>
      <c r="T13" s="173"/>
      <c r="U13" s="260"/>
    </row>
    <row r="14" spans="1:21">
      <c r="A14" s="271" t="s">
        <v>1399</v>
      </c>
      <c r="B14" s="270">
        <f>T14</f>
        <v>4.45E-3</v>
      </c>
      <c r="C14" s="173" t="s">
        <v>37</v>
      </c>
      <c r="D14" s="258" t="s">
        <v>2</v>
      </c>
      <c r="E14" s="173" t="s">
        <v>29</v>
      </c>
      <c r="F14" s="185" t="s">
        <v>14</v>
      </c>
      <c r="G14" s="173" t="s">
        <v>33</v>
      </c>
      <c r="H14" s="173">
        <v>1</v>
      </c>
      <c r="I14" s="265">
        <f t="shared" si="0"/>
        <v>4.45E-3</v>
      </c>
      <c r="J14" s="173">
        <v>7.2284161474004766E-2</v>
      </c>
      <c r="K14" s="173" t="s">
        <v>31</v>
      </c>
      <c r="L14" s="173" t="s">
        <v>31</v>
      </c>
      <c r="M14" s="173" t="s">
        <v>31</v>
      </c>
      <c r="N14" s="173"/>
      <c r="O14" s="286"/>
      <c r="P14" s="287"/>
      <c r="Q14" s="173"/>
      <c r="R14" s="284">
        <v>0.1</v>
      </c>
      <c r="S14" s="285" t="s">
        <v>945</v>
      </c>
      <c r="T14" s="284">
        <f>R14*S11</f>
        <v>4.45E-3</v>
      </c>
      <c r="U14" s="285" t="s">
        <v>337</v>
      </c>
    </row>
    <row r="15" spans="1:21">
      <c r="A15" s="177" t="s">
        <v>933</v>
      </c>
      <c r="B15" s="173">
        <f>Q15</f>
        <v>0.8</v>
      </c>
      <c r="C15" s="173" t="s">
        <v>37</v>
      </c>
      <c r="D15" s="173" t="s">
        <v>38</v>
      </c>
      <c r="E15" s="173" t="s">
        <v>29</v>
      </c>
      <c r="F15" s="185" t="s">
        <v>39</v>
      </c>
      <c r="G15" s="173" t="s">
        <v>33</v>
      </c>
      <c r="H15" s="173">
        <v>2</v>
      </c>
      <c r="I15" s="173">
        <f t="shared" ref="I15" si="1">LN(B15)</f>
        <v>-0.22314355131420971</v>
      </c>
      <c r="J15" s="173">
        <v>7.2284161474004766E-2</v>
      </c>
      <c r="K15" s="173" t="s">
        <v>31</v>
      </c>
      <c r="L15" s="173" t="s">
        <v>31</v>
      </c>
      <c r="M15" s="173" t="s">
        <v>31</v>
      </c>
      <c r="N15" s="173"/>
      <c r="O15" s="242" t="s">
        <v>337</v>
      </c>
      <c r="P15" s="264">
        <v>0.8</v>
      </c>
      <c r="Q15" s="173">
        <f>P15</f>
        <v>0.8</v>
      </c>
      <c r="R15" s="173"/>
      <c r="S15" s="173"/>
      <c r="T15" s="173"/>
      <c r="U15" s="173"/>
    </row>
    <row r="16" spans="1:21">
      <c r="A16" s="232" t="s">
        <v>1021</v>
      </c>
      <c r="B16" s="342">
        <f t="shared" ref="B16:B17" si="2">Q16</f>
        <v>1E-13</v>
      </c>
      <c r="C16" s="173" t="s">
        <v>37</v>
      </c>
      <c r="D16" s="173" t="s">
        <v>38</v>
      </c>
      <c r="E16" s="173" t="s">
        <v>29</v>
      </c>
      <c r="F16" s="185" t="s">
        <v>60</v>
      </c>
      <c r="G16" s="173" t="s">
        <v>33</v>
      </c>
      <c r="H16" s="173">
        <v>2</v>
      </c>
      <c r="I16" s="173">
        <f>LN(B16)</f>
        <v>-29.933606208922594</v>
      </c>
      <c r="J16" s="173">
        <v>7.2284161474004766E-2</v>
      </c>
      <c r="K16" s="173" t="s">
        <v>31</v>
      </c>
      <c r="L16" s="173" t="s">
        <v>31</v>
      </c>
      <c r="M16" s="173" t="s">
        <v>31</v>
      </c>
      <c r="N16" s="173"/>
      <c r="O16" s="266" t="s">
        <v>952</v>
      </c>
      <c r="P16" s="295">
        <v>1E-10</v>
      </c>
      <c r="Q16" s="173">
        <f>0.001*P16</f>
        <v>1E-13</v>
      </c>
      <c r="R16" s="173"/>
      <c r="S16" s="173"/>
      <c r="T16" s="173"/>
      <c r="U16" s="173"/>
    </row>
    <row r="17" spans="1:21">
      <c r="A17" s="232" t="s">
        <v>489</v>
      </c>
      <c r="B17" s="173">
        <f t="shared" si="2"/>
        <v>8.0000000000000004E-4</v>
      </c>
      <c r="C17" s="173" t="s">
        <v>50</v>
      </c>
      <c r="D17" s="173" t="s">
        <v>38</v>
      </c>
      <c r="E17" s="173" t="s">
        <v>29</v>
      </c>
      <c r="F17" s="185" t="s">
        <v>39</v>
      </c>
      <c r="G17" s="173" t="s">
        <v>33</v>
      </c>
      <c r="H17" s="173">
        <v>2</v>
      </c>
      <c r="I17" s="173">
        <f t="shared" ref="I17" si="3">LN(B17)</f>
        <v>-7.1308988302963465</v>
      </c>
      <c r="J17" s="173">
        <v>7.2284161474004766E-2</v>
      </c>
      <c r="K17" s="173" t="s">
        <v>31</v>
      </c>
      <c r="L17" s="173" t="s">
        <v>31</v>
      </c>
      <c r="M17" s="173" t="s">
        <v>31</v>
      </c>
      <c r="N17" s="173"/>
      <c r="O17" s="268" t="s">
        <v>1009</v>
      </c>
      <c r="P17" s="269">
        <v>0.8</v>
      </c>
      <c r="Q17" s="173">
        <f>0.001*P17</f>
        <v>8.0000000000000004E-4</v>
      </c>
      <c r="R17" s="173"/>
      <c r="S17" s="173"/>
      <c r="T17" s="173"/>
      <c r="U17" s="173"/>
    </row>
    <row r="18" spans="1:21" s="42" customFormat="1">
      <c r="A18" s="209" t="s">
        <v>5</v>
      </c>
      <c r="B18" s="210" t="s">
        <v>1406</v>
      </c>
      <c r="C18" s="188"/>
      <c r="D18" s="188"/>
      <c r="E18" s="188"/>
      <c r="F18" s="188"/>
      <c r="G18" s="188"/>
      <c r="H18" s="188"/>
      <c r="I18" s="188"/>
      <c r="J18" s="188"/>
      <c r="K18" s="188"/>
      <c r="L18" s="188"/>
      <c r="M18" s="188"/>
      <c r="N18" s="188"/>
      <c r="O18" s="188"/>
      <c r="P18" s="188"/>
      <c r="Q18" s="188"/>
      <c r="R18" s="188"/>
      <c r="S18" s="188"/>
      <c r="T18" s="188"/>
      <c r="U18" s="188"/>
    </row>
    <row r="19" spans="1:21">
      <c r="A19" s="177" t="s">
        <v>7</v>
      </c>
      <c r="B19" s="173" t="s">
        <v>566</v>
      </c>
      <c r="C19" s="176"/>
      <c r="D19" s="173"/>
      <c r="E19" s="173"/>
      <c r="F19" s="173"/>
      <c r="G19" s="173"/>
      <c r="H19" s="173"/>
      <c r="I19" s="173"/>
      <c r="J19" s="173"/>
      <c r="K19" s="173"/>
      <c r="L19" s="173"/>
      <c r="M19" s="173"/>
      <c r="N19" s="173"/>
      <c r="O19" s="173"/>
      <c r="P19" s="173"/>
      <c r="Q19" s="173"/>
      <c r="R19" s="173"/>
      <c r="S19" s="173"/>
      <c r="T19" s="173"/>
      <c r="U19" s="173"/>
    </row>
    <row r="20" spans="1:21">
      <c r="A20" s="276" t="s">
        <v>9</v>
      </c>
      <c r="B20" s="173" t="s">
        <v>1407</v>
      </c>
      <c r="C20" s="176"/>
      <c r="D20" s="173"/>
      <c r="E20" s="173"/>
      <c r="F20" s="173"/>
      <c r="G20" s="173"/>
      <c r="H20" s="173"/>
      <c r="I20" s="173"/>
      <c r="J20" s="173"/>
      <c r="K20" s="173"/>
      <c r="L20" s="173"/>
      <c r="M20" s="173"/>
      <c r="N20" s="173"/>
      <c r="O20" s="173"/>
      <c r="P20" s="173"/>
      <c r="Q20" s="173"/>
      <c r="R20" s="173"/>
      <c r="S20" s="173"/>
      <c r="T20" s="173"/>
      <c r="U20" s="173"/>
    </row>
    <row r="21" spans="1:21" ht="15.75" customHeight="1">
      <c r="A21" s="177" t="s">
        <v>11</v>
      </c>
      <c r="B21" s="179" t="s">
        <v>913</v>
      </c>
      <c r="C21" s="173"/>
      <c r="D21" s="173"/>
      <c r="E21" s="173"/>
      <c r="F21" s="173"/>
      <c r="G21" s="173"/>
      <c r="H21" s="173"/>
      <c r="I21" s="173"/>
      <c r="J21" s="173"/>
      <c r="K21" s="173"/>
      <c r="L21" s="173"/>
      <c r="M21" s="173"/>
      <c r="N21" s="173"/>
      <c r="O21" s="173"/>
      <c r="P21" s="173"/>
      <c r="Q21" s="173"/>
      <c r="R21" s="173"/>
      <c r="S21" s="173"/>
      <c r="T21" s="173"/>
      <c r="U21" s="173"/>
    </row>
    <row r="22" spans="1:21">
      <c r="A22" s="177" t="s">
        <v>13</v>
      </c>
      <c r="B22" s="173" t="s">
        <v>14</v>
      </c>
      <c r="C22" s="173"/>
      <c r="D22" s="173"/>
      <c r="E22" s="173"/>
      <c r="F22" s="173"/>
      <c r="G22" s="173"/>
      <c r="H22" s="173"/>
      <c r="I22" s="173"/>
      <c r="J22" s="173"/>
      <c r="K22" s="173"/>
      <c r="L22" s="173"/>
      <c r="M22" s="173"/>
      <c r="N22" s="173"/>
      <c r="O22" s="173"/>
      <c r="P22" s="173"/>
      <c r="Q22" s="173"/>
      <c r="R22" s="173"/>
      <c r="S22" s="173"/>
      <c r="T22" s="173"/>
      <c r="U22" s="173"/>
    </row>
    <row r="23" spans="1:21">
      <c r="A23" s="177" t="s">
        <v>15</v>
      </c>
      <c r="B23" s="265">
        <v>0.6</v>
      </c>
      <c r="C23" s="173"/>
      <c r="D23" s="173"/>
      <c r="E23" s="173"/>
      <c r="F23" s="173"/>
      <c r="G23" s="173"/>
      <c r="H23" s="173"/>
      <c r="I23" s="173"/>
      <c r="J23" s="173"/>
      <c r="K23" s="173"/>
      <c r="L23" s="173"/>
      <c r="M23" s="173"/>
      <c r="N23" s="173"/>
      <c r="O23" s="173"/>
      <c r="P23" s="173"/>
      <c r="Q23" s="173"/>
      <c r="R23" s="173"/>
      <c r="S23" s="173"/>
      <c r="T23" s="173"/>
      <c r="U23" s="173"/>
    </row>
    <row r="24" spans="1:21">
      <c r="A24" s="177" t="s">
        <v>16</v>
      </c>
      <c r="B24" s="173" t="s">
        <v>17</v>
      </c>
      <c r="C24" s="173"/>
      <c r="D24" s="173"/>
      <c r="E24" s="173"/>
      <c r="F24" s="173"/>
      <c r="G24" s="173"/>
      <c r="H24" s="173"/>
      <c r="I24" s="173"/>
      <c r="J24" s="173"/>
      <c r="K24" s="173"/>
      <c r="L24" s="173"/>
      <c r="M24" s="173"/>
      <c r="N24" s="173"/>
      <c r="O24" s="173"/>
      <c r="P24" s="173"/>
      <c r="Q24" s="173"/>
      <c r="R24" s="173"/>
      <c r="S24" s="173"/>
      <c r="T24" s="173"/>
      <c r="U24" s="173"/>
    </row>
    <row r="25" spans="1:21">
      <c r="A25" s="177" t="s">
        <v>18</v>
      </c>
      <c r="B25" s="173" t="s">
        <v>206</v>
      </c>
      <c r="C25" s="173"/>
      <c r="D25" s="173"/>
      <c r="E25" s="173"/>
      <c r="F25" s="173"/>
      <c r="G25" s="173"/>
      <c r="H25" s="173"/>
      <c r="I25" s="173"/>
      <c r="J25" s="173"/>
      <c r="K25" s="173"/>
      <c r="L25" s="173"/>
      <c r="M25" s="173"/>
      <c r="N25" s="173"/>
      <c r="O25" s="173"/>
      <c r="P25" s="173"/>
      <c r="Q25" s="173"/>
      <c r="R25" s="173"/>
      <c r="S25" s="173"/>
      <c r="T25" s="173"/>
      <c r="U25" s="173"/>
    </row>
    <row r="26" spans="1:21">
      <c r="A26" s="174" t="s">
        <v>19</v>
      </c>
      <c r="B26" s="173"/>
      <c r="C26" s="173"/>
      <c r="D26" s="173"/>
      <c r="E26" s="173"/>
      <c r="F26" s="173"/>
      <c r="G26" s="173"/>
      <c r="H26" s="173"/>
      <c r="I26" s="173"/>
      <c r="J26" s="173"/>
      <c r="K26" s="173"/>
      <c r="L26" s="173"/>
      <c r="M26" s="173"/>
      <c r="N26" s="173"/>
      <c r="O26" s="173"/>
      <c r="P26" s="173"/>
      <c r="Q26" s="173"/>
      <c r="R26" s="173"/>
      <c r="S26" s="173"/>
      <c r="T26" s="173"/>
      <c r="U26" s="173"/>
    </row>
    <row r="27" spans="1:21">
      <c r="A27" s="175" t="s">
        <v>20</v>
      </c>
      <c r="B27" s="175" t="s">
        <v>21</v>
      </c>
      <c r="C27" s="175" t="s">
        <v>18</v>
      </c>
      <c r="D27" s="175" t="s">
        <v>22</v>
      </c>
      <c r="E27" s="175" t="s">
        <v>7</v>
      </c>
      <c r="F27" s="175" t="s">
        <v>13</v>
      </c>
      <c r="G27" s="175" t="s">
        <v>16</v>
      </c>
      <c r="H27" s="175" t="s">
        <v>23</v>
      </c>
      <c r="I27" s="175" t="s">
        <v>24</v>
      </c>
      <c r="J27" s="175" t="s">
        <v>25</v>
      </c>
      <c r="K27" s="175" t="s">
        <v>26</v>
      </c>
      <c r="L27" s="175" t="s">
        <v>27</v>
      </c>
      <c r="M27" s="175" t="s">
        <v>28</v>
      </c>
      <c r="N27" s="175" t="s">
        <v>11</v>
      </c>
      <c r="O27" s="173"/>
      <c r="P27" s="173"/>
      <c r="Q27" s="173"/>
      <c r="R27" s="173"/>
      <c r="S27" s="173"/>
      <c r="T27" s="265"/>
      <c r="U27" s="173"/>
    </row>
    <row r="28" spans="1:21">
      <c r="A28" s="173" t="s">
        <v>1406</v>
      </c>
      <c r="B28" s="265">
        <v>0.06</v>
      </c>
      <c r="C28" s="173" t="s">
        <v>206</v>
      </c>
      <c r="D28" s="258" t="s">
        <v>2</v>
      </c>
      <c r="E28" s="173" t="s">
        <v>29</v>
      </c>
      <c r="F28" s="173" t="s">
        <v>14</v>
      </c>
      <c r="G28" s="173" t="s">
        <v>30</v>
      </c>
      <c r="H28" s="173">
        <v>1</v>
      </c>
      <c r="I28" s="265">
        <f t="shared" ref="I28:I29" si="4">B28</f>
        <v>0.06</v>
      </c>
      <c r="J28" s="173">
        <v>7.2284161474004766E-2</v>
      </c>
      <c r="K28" s="173" t="s">
        <v>31</v>
      </c>
      <c r="L28" s="173" t="s">
        <v>31</v>
      </c>
      <c r="M28" s="173" t="s">
        <v>31</v>
      </c>
      <c r="N28" s="173"/>
      <c r="O28" s="242" t="s">
        <v>1031</v>
      </c>
      <c r="P28" s="264">
        <f>B28*100</f>
        <v>6</v>
      </c>
      <c r="Q28" s="173"/>
      <c r="R28" s="173"/>
      <c r="S28" s="173"/>
      <c r="T28" s="173"/>
      <c r="U28" s="173"/>
    </row>
    <row r="29" spans="1:21">
      <c r="A29" s="173" t="s">
        <v>1408</v>
      </c>
      <c r="B29" s="265">
        <v>0.06</v>
      </c>
      <c r="C29" s="173" t="s">
        <v>206</v>
      </c>
      <c r="D29" s="258" t="s">
        <v>2</v>
      </c>
      <c r="E29" s="173" t="s">
        <v>29</v>
      </c>
      <c r="F29" s="173" t="s">
        <v>14</v>
      </c>
      <c r="G29" s="173" t="s">
        <v>33</v>
      </c>
      <c r="H29" s="173">
        <v>1</v>
      </c>
      <c r="I29" s="265">
        <f t="shared" si="4"/>
        <v>0.06</v>
      </c>
      <c r="J29" s="173">
        <v>7.2284161474004766E-2</v>
      </c>
      <c r="K29" s="173" t="s">
        <v>31</v>
      </c>
      <c r="L29" s="173" t="s">
        <v>31</v>
      </c>
      <c r="M29" s="173" t="s">
        <v>31</v>
      </c>
      <c r="N29" s="173"/>
      <c r="O29" s="173"/>
      <c r="P29" s="173"/>
      <c r="Q29" s="173"/>
      <c r="R29" s="173"/>
      <c r="S29" s="173"/>
      <c r="T29" s="173"/>
      <c r="U29" s="173"/>
    </row>
    <row r="30" spans="1:21">
      <c r="A30" s="177" t="s">
        <v>168</v>
      </c>
      <c r="B30" s="184">
        <f>P30</f>
        <v>0.06</v>
      </c>
      <c r="C30" s="173" t="s">
        <v>41</v>
      </c>
      <c r="D30" s="173" t="s">
        <v>38</v>
      </c>
      <c r="E30" s="173" t="s">
        <v>29</v>
      </c>
      <c r="F30" s="185" t="s">
        <v>35</v>
      </c>
      <c r="G30" s="173" t="s">
        <v>33</v>
      </c>
      <c r="H30" s="173">
        <v>2</v>
      </c>
      <c r="I30" s="173">
        <f t="shared" ref="I30:I31" si="5">LN(B30)</f>
        <v>-2.8134107167600364</v>
      </c>
      <c r="J30" s="173">
        <v>7.2284161474004766E-2</v>
      </c>
      <c r="K30" s="173" t="s">
        <v>31</v>
      </c>
      <c r="L30" s="173" t="s">
        <v>31</v>
      </c>
      <c r="M30" s="173" t="s">
        <v>31</v>
      </c>
      <c r="N30" s="173"/>
      <c r="O30" s="242" t="s">
        <v>332</v>
      </c>
      <c r="P30" s="264">
        <v>0.06</v>
      </c>
      <c r="Q30" s="173"/>
      <c r="R30" s="173"/>
      <c r="S30" s="173"/>
      <c r="T30" s="173"/>
      <c r="U30" s="173"/>
    </row>
    <row r="31" spans="1:21">
      <c r="A31" s="232" t="s">
        <v>1017</v>
      </c>
      <c r="B31" s="173">
        <f>R31</f>
        <v>1E-3</v>
      </c>
      <c r="C31" s="265" t="s">
        <v>37</v>
      </c>
      <c r="D31" s="173" t="s">
        <v>38</v>
      </c>
      <c r="E31" s="173" t="s">
        <v>29</v>
      </c>
      <c r="F31" s="173" t="s">
        <v>60</v>
      </c>
      <c r="G31" s="173" t="s">
        <v>33</v>
      </c>
      <c r="H31" s="173">
        <v>2</v>
      </c>
      <c r="I31" s="173">
        <f t="shared" si="5"/>
        <v>-6.9077552789821368</v>
      </c>
      <c r="J31" s="173">
        <v>7.2284161474004766E-2</v>
      </c>
      <c r="K31" s="173" t="s">
        <v>31</v>
      </c>
      <c r="L31" s="173" t="s">
        <v>31</v>
      </c>
      <c r="M31" s="173" t="s">
        <v>31</v>
      </c>
      <c r="N31" s="173"/>
      <c r="O31" s="242" t="s">
        <v>947</v>
      </c>
      <c r="P31" s="264">
        <v>1</v>
      </c>
      <c r="Q31" s="173" t="s">
        <v>337</v>
      </c>
      <c r="R31" s="173">
        <f>P31*0.001</f>
        <v>1E-3</v>
      </c>
      <c r="S31" s="173"/>
      <c r="T31" s="173"/>
      <c r="U31" s="173"/>
    </row>
    <row r="32" spans="1:21">
      <c r="A32" s="83" t="s">
        <v>1018</v>
      </c>
      <c r="B32" s="173">
        <f t="shared" ref="B32:B33" si="6">R32</f>
        <v>2E-3</v>
      </c>
      <c r="C32" s="173" t="s">
        <v>37</v>
      </c>
      <c r="D32" s="173" t="s">
        <v>38</v>
      </c>
      <c r="E32" s="173" t="s">
        <v>29</v>
      </c>
      <c r="F32" s="185" t="s">
        <v>35</v>
      </c>
      <c r="G32" s="173" t="s">
        <v>33</v>
      </c>
      <c r="H32" s="173">
        <v>2</v>
      </c>
      <c r="I32" s="173">
        <f>LN(B32)</f>
        <v>-6.2146080984221914</v>
      </c>
      <c r="J32" s="173">
        <v>7.2284161474004766E-2</v>
      </c>
      <c r="K32" s="173" t="s">
        <v>31</v>
      </c>
      <c r="L32" s="173" t="s">
        <v>31</v>
      </c>
      <c r="M32" s="173" t="s">
        <v>31</v>
      </c>
      <c r="N32" s="173"/>
      <c r="O32" s="242" t="s">
        <v>947</v>
      </c>
      <c r="P32" s="264">
        <v>2</v>
      </c>
      <c r="Q32" s="173" t="s">
        <v>337</v>
      </c>
      <c r="R32" s="173">
        <f>P32*0.001</f>
        <v>2E-3</v>
      </c>
      <c r="S32" s="173"/>
      <c r="T32" s="173"/>
      <c r="U32" s="173"/>
    </row>
    <row r="33" spans="1:21">
      <c r="A33" s="177" t="s">
        <v>933</v>
      </c>
      <c r="B33" s="173">
        <f t="shared" si="6"/>
        <v>2.1</v>
      </c>
      <c r="C33" s="173" t="s">
        <v>37</v>
      </c>
      <c r="D33" s="173" t="s">
        <v>38</v>
      </c>
      <c r="E33" s="173" t="s">
        <v>29</v>
      </c>
      <c r="F33" s="185" t="s">
        <v>39</v>
      </c>
      <c r="G33" s="173" t="s">
        <v>33</v>
      </c>
      <c r="H33" s="173">
        <v>2</v>
      </c>
      <c r="I33" s="173">
        <f t="shared" ref="I33:I34" si="7">LN(B33)</f>
        <v>0.74193734472937733</v>
      </c>
      <c r="J33" s="173">
        <v>7.2284161474004766E-2</v>
      </c>
      <c r="K33" s="173" t="s">
        <v>31</v>
      </c>
      <c r="L33" s="173" t="s">
        <v>31</v>
      </c>
      <c r="M33" s="173" t="s">
        <v>31</v>
      </c>
      <c r="N33" s="173"/>
      <c r="O33" s="242" t="s">
        <v>337</v>
      </c>
      <c r="P33" s="264">
        <v>2.1</v>
      </c>
      <c r="Q33" s="173" t="s">
        <v>337</v>
      </c>
      <c r="R33" s="173">
        <f>P33</f>
        <v>2.1</v>
      </c>
      <c r="S33" s="173"/>
      <c r="T33" s="173"/>
      <c r="U33" s="173"/>
    </row>
    <row r="34" spans="1:21">
      <c r="A34" s="232" t="s">
        <v>489</v>
      </c>
      <c r="B34" s="173">
        <f>R34</f>
        <v>2.1000000000000003E-3</v>
      </c>
      <c r="C34" s="173" t="s">
        <v>50</v>
      </c>
      <c r="D34" s="173" t="s">
        <v>38</v>
      </c>
      <c r="E34" s="173" t="s">
        <v>29</v>
      </c>
      <c r="F34" s="185" t="s">
        <v>39</v>
      </c>
      <c r="G34" s="173" t="s">
        <v>33</v>
      </c>
      <c r="H34" s="173">
        <v>2</v>
      </c>
      <c r="I34" s="173">
        <f t="shared" si="7"/>
        <v>-6.1658179342527593</v>
      </c>
      <c r="J34" s="173">
        <v>7.2284161474004766E-2</v>
      </c>
      <c r="K34" s="173" t="s">
        <v>31</v>
      </c>
      <c r="L34" s="173" t="s">
        <v>31</v>
      </c>
      <c r="M34" s="173" t="s">
        <v>31</v>
      </c>
      <c r="N34" s="173"/>
      <c r="O34" s="268" t="s">
        <v>1009</v>
      </c>
      <c r="P34" s="269">
        <v>2.1</v>
      </c>
      <c r="Q34" s="173" t="s">
        <v>335</v>
      </c>
      <c r="R34" s="173">
        <f>0.001*P34</f>
        <v>2.1000000000000003E-3</v>
      </c>
      <c r="S34" s="173"/>
      <c r="T34" s="173"/>
      <c r="U34" s="173"/>
    </row>
    <row r="35" spans="1:21" s="42" customFormat="1">
      <c r="A35" s="209" t="s">
        <v>5</v>
      </c>
      <c r="B35" s="210" t="s">
        <v>1408</v>
      </c>
      <c r="C35" s="188"/>
      <c r="D35" s="188"/>
      <c r="E35" s="188"/>
      <c r="F35" s="188"/>
      <c r="G35" s="188"/>
      <c r="H35" s="188"/>
      <c r="I35" s="188"/>
      <c r="J35" s="188"/>
      <c r="K35" s="188"/>
      <c r="L35" s="188"/>
      <c r="M35" s="188"/>
      <c r="N35" s="188"/>
      <c r="O35" s="188"/>
      <c r="P35" s="188"/>
      <c r="Q35" s="188"/>
      <c r="R35" s="188"/>
      <c r="S35" s="188"/>
      <c r="T35" s="188"/>
      <c r="U35" s="188"/>
    </row>
    <row r="36" spans="1:21">
      <c r="A36" s="177" t="s">
        <v>7</v>
      </c>
      <c r="B36" s="173" t="s">
        <v>566</v>
      </c>
      <c r="C36" s="176"/>
      <c r="D36" s="173"/>
      <c r="E36" s="173"/>
      <c r="F36" s="173"/>
      <c r="G36" s="173"/>
      <c r="H36" s="173"/>
      <c r="I36" s="173"/>
      <c r="J36" s="173"/>
      <c r="K36" s="173"/>
      <c r="L36" s="173"/>
      <c r="M36" s="173"/>
      <c r="N36" s="173"/>
      <c r="O36" s="173"/>
      <c r="P36" s="173"/>
      <c r="Q36" s="173"/>
      <c r="R36" s="173"/>
      <c r="S36" s="173"/>
      <c r="T36" s="173"/>
      <c r="U36" s="173"/>
    </row>
    <row r="37" spans="1:21">
      <c r="A37" s="276" t="s">
        <v>9</v>
      </c>
      <c r="B37" s="173" t="s">
        <v>1409</v>
      </c>
      <c r="C37" s="176"/>
      <c r="D37" s="173"/>
      <c r="E37" s="173"/>
      <c r="F37" s="173"/>
      <c r="G37" s="173"/>
      <c r="H37" s="173"/>
      <c r="I37" s="173"/>
      <c r="J37" s="173"/>
      <c r="K37" s="173"/>
      <c r="L37" s="173"/>
      <c r="M37" s="173"/>
      <c r="N37" s="173"/>
      <c r="O37" s="173"/>
      <c r="P37" s="173"/>
      <c r="Q37" s="173"/>
      <c r="R37" s="173"/>
      <c r="S37" s="173"/>
      <c r="T37" s="173"/>
      <c r="U37" s="173"/>
    </row>
    <row r="38" spans="1:21" ht="15.75" customHeight="1">
      <c r="A38" s="177" t="s">
        <v>11</v>
      </c>
      <c r="B38" s="179" t="s">
        <v>913</v>
      </c>
      <c r="C38" s="173"/>
      <c r="D38" s="173"/>
      <c r="E38" s="173"/>
      <c r="F38" s="173"/>
      <c r="G38" s="173"/>
      <c r="H38" s="173"/>
      <c r="I38" s="173"/>
      <c r="J38" s="173"/>
      <c r="K38" s="173"/>
      <c r="L38" s="173"/>
      <c r="M38" s="173"/>
      <c r="N38" s="173"/>
      <c r="O38" s="173"/>
      <c r="P38" s="173"/>
      <c r="Q38" s="173"/>
      <c r="R38" s="173"/>
      <c r="S38" s="173"/>
      <c r="T38" s="173"/>
      <c r="U38" s="173"/>
    </row>
    <row r="39" spans="1:21">
      <c r="A39" s="177" t="s">
        <v>13</v>
      </c>
      <c r="B39" s="173" t="s">
        <v>14</v>
      </c>
      <c r="C39" s="173"/>
      <c r="D39" s="173"/>
      <c r="E39" s="173"/>
      <c r="F39" s="173"/>
      <c r="G39" s="173"/>
      <c r="H39" s="173"/>
      <c r="I39" s="173"/>
      <c r="J39" s="173"/>
      <c r="K39" s="173"/>
      <c r="L39" s="173"/>
      <c r="M39" s="173"/>
      <c r="N39" s="173"/>
      <c r="O39" s="173"/>
      <c r="P39" s="173"/>
      <c r="Q39" s="173"/>
      <c r="R39" s="173"/>
      <c r="S39" s="173"/>
      <c r="T39" s="173"/>
      <c r="U39" s="173"/>
    </row>
    <row r="40" spans="1:21">
      <c r="A40" s="177" t="s">
        <v>15</v>
      </c>
      <c r="B40" s="265">
        <f>B45</f>
        <v>0.06</v>
      </c>
      <c r="C40" s="173"/>
      <c r="D40" s="173"/>
      <c r="E40" s="173"/>
      <c r="F40" s="173"/>
      <c r="G40" s="173"/>
      <c r="H40" s="173"/>
      <c r="I40" s="173"/>
      <c r="J40" s="173"/>
      <c r="K40" s="173"/>
      <c r="L40" s="173"/>
      <c r="M40" s="173"/>
      <c r="N40" s="173"/>
      <c r="O40" s="173"/>
      <c r="P40" s="173"/>
      <c r="Q40" s="173"/>
      <c r="R40" s="173"/>
      <c r="S40" s="173"/>
      <c r="T40" s="173"/>
      <c r="U40" s="173"/>
    </row>
    <row r="41" spans="1:21">
      <c r="A41" s="177" t="s">
        <v>16</v>
      </c>
      <c r="B41" s="173" t="s">
        <v>17</v>
      </c>
      <c r="C41" s="173"/>
      <c r="D41" s="173"/>
      <c r="E41" s="173"/>
      <c r="F41" s="173"/>
      <c r="G41" s="173"/>
      <c r="H41" s="173"/>
      <c r="I41" s="173"/>
      <c r="J41" s="173"/>
      <c r="K41" s="173"/>
      <c r="L41" s="173"/>
      <c r="M41" s="173"/>
      <c r="N41" s="173"/>
      <c r="O41" s="173"/>
      <c r="P41" s="173"/>
      <c r="Q41" s="173"/>
      <c r="R41" s="173"/>
      <c r="S41" s="173"/>
      <c r="T41" s="173"/>
      <c r="U41" s="173"/>
    </row>
    <row r="42" spans="1:21">
      <c r="A42" s="177" t="s">
        <v>18</v>
      </c>
      <c r="B42" s="173" t="s">
        <v>206</v>
      </c>
      <c r="C42" s="173"/>
      <c r="D42" s="173"/>
      <c r="E42" s="173"/>
      <c r="F42" s="173"/>
      <c r="G42" s="173"/>
      <c r="H42" s="173"/>
      <c r="I42" s="173"/>
      <c r="J42" s="173"/>
      <c r="K42" s="173"/>
      <c r="L42" s="173"/>
      <c r="M42" s="173"/>
      <c r="N42" s="173"/>
      <c r="O42" s="173"/>
      <c r="P42" s="173"/>
      <c r="Q42" s="173"/>
      <c r="R42" s="173"/>
      <c r="S42" s="173"/>
      <c r="T42" s="173"/>
      <c r="U42" s="173"/>
    </row>
    <row r="43" spans="1:21">
      <c r="A43" s="174" t="s">
        <v>19</v>
      </c>
      <c r="B43" s="173"/>
      <c r="C43" s="173"/>
      <c r="D43" s="173"/>
      <c r="E43" s="173"/>
      <c r="F43" s="173"/>
      <c r="G43" s="173"/>
      <c r="H43" s="173"/>
      <c r="I43" s="173"/>
      <c r="J43" s="173"/>
      <c r="K43" s="173"/>
      <c r="L43" s="173"/>
      <c r="M43" s="173"/>
      <c r="N43" s="173"/>
      <c r="O43" s="173"/>
      <c r="P43" s="173"/>
      <c r="Q43" s="173"/>
      <c r="R43" s="173"/>
      <c r="S43" s="173"/>
      <c r="T43" s="173"/>
      <c r="U43" s="173"/>
    </row>
    <row r="44" spans="1:21">
      <c r="A44" s="175" t="s">
        <v>20</v>
      </c>
      <c r="B44" s="175" t="s">
        <v>21</v>
      </c>
      <c r="C44" s="175" t="s">
        <v>18</v>
      </c>
      <c r="D44" s="175" t="s">
        <v>22</v>
      </c>
      <c r="E44" s="175" t="s">
        <v>7</v>
      </c>
      <c r="F44" s="175" t="s">
        <v>13</v>
      </c>
      <c r="G44" s="175" t="s">
        <v>16</v>
      </c>
      <c r="H44" s="175" t="s">
        <v>23</v>
      </c>
      <c r="I44" s="175" t="s">
        <v>24</v>
      </c>
      <c r="J44" s="175" t="s">
        <v>25</v>
      </c>
      <c r="K44" s="175" t="s">
        <v>26</v>
      </c>
      <c r="L44" s="175" t="s">
        <v>27</v>
      </c>
      <c r="M44" s="175" t="s">
        <v>28</v>
      </c>
      <c r="N44" s="175" t="s">
        <v>11</v>
      </c>
      <c r="O44" s="173"/>
      <c r="P44" s="173"/>
      <c r="Q44" s="173"/>
      <c r="R44" s="173"/>
      <c r="S44" s="173"/>
      <c r="T44" s="265"/>
      <c r="U44" s="173"/>
    </row>
    <row r="45" spans="1:21">
      <c r="A45" s="173" t="s">
        <v>1408</v>
      </c>
      <c r="B45" s="265">
        <f>B29</f>
        <v>0.06</v>
      </c>
      <c r="C45" s="173" t="s">
        <v>206</v>
      </c>
      <c r="D45" s="258" t="s">
        <v>2</v>
      </c>
      <c r="E45" s="173" t="s">
        <v>29</v>
      </c>
      <c r="F45" s="173" t="s">
        <v>14</v>
      </c>
      <c r="G45" s="173" t="s">
        <v>30</v>
      </c>
      <c r="H45" s="173">
        <v>1</v>
      </c>
      <c r="I45" s="265">
        <f t="shared" ref="I45:I47" si="8">B45</f>
        <v>0.06</v>
      </c>
      <c r="J45" s="173" t="s">
        <v>31</v>
      </c>
      <c r="K45" s="173" t="s">
        <v>31</v>
      </c>
      <c r="L45" s="173" t="s">
        <v>31</v>
      </c>
      <c r="M45" s="173" t="s">
        <v>31</v>
      </c>
      <c r="N45" s="173"/>
      <c r="O45" s="173"/>
      <c r="P45" s="173"/>
      <c r="Q45" s="173" t="s">
        <v>1410</v>
      </c>
      <c r="R45" s="173"/>
      <c r="S45" s="173"/>
      <c r="T45" s="173"/>
      <c r="U45" s="173"/>
    </row>
    <row r="46" spans="1:21">
      <c r="A46" s="232" t="s">
        <v>1037</v>
      </c>
      <c r="B46" s="173">
        <v>0.33</v>
      </c>
      <c r="C46" s="173" t="s">
        <v>37</v>
      </c>
      <c r="D46" s="173" t="s">
        <v>38</v>
      </c>
      <c r="E46" s="173" t="s">
        <v>29</v>
      </c>
      <c r="F46" s="173" t="s">
        <v>86</v>
      </c>
      <c r="G46" s="173" t="s">
        <v>33</v>
      </c>
      <c r="H46" s="173">
        <v>1</v>
      </c>
      <c r="I46" s="265">
        <f t="shared" si="8"/>
        <v>0.33</v>
      </c>
      <c r="J46" s="173" t="s">
        <v>31</v>
      </c>
      <c r="K46" s="173" t="s">
        <v>31</v>
      </c>
      <c r="L46" s="173" t="s">
        <v>31</v>
      </c>
      <c r="M46" s="173" t="s">
        <v>31</v>
      </c>
      <c r="N46" s="173"/>
      <c r="O46" s="173"/>
      <c r="P46" s="173"/>
      <c r="Q46" s="173"/>
      <c r="R46" s="173"/>
      <c r="S46" s="173"/>
      <c r="T46" s="173"/>
      <c r="U46" s="173"/>
    </row>
    <row r="47" spans="1:21">
      <c r="A47" s="232" t="s">
        <v>1038</v>
      </c>
      <c r="B47" s="173">
        <v>0.33</v>
      </c>
      <c r="C47" s="173" t="s">
        <v>37</v>
      </c>
      <c r="D47" s="173" t="s">
        <v>38</v>
      </c>
      <c r="E47" s="173" t="s">
        <v>29</v>
      </c>
      <c r="F47" s="173" t="s">
        <v>60</v>
      </c>
      <c r="G47" s="173" t="s">
        <v>33</v>
      </c>
      <c r="H47" s="173">
        <v>1</v>
      </c>
      <c r="I47" s="265">
        <f t="shared" si="8"/>
        <v>0.33</v>
      </c>
      <c r="J47" s="173" t="s">
        <v>31</v>
      </c>
      <c r="K47" s="173" t="s">
        <v>31</v>
      </c>
      <c r="L47" s="173" t="s">
        <v>31</v>
      </c>
      <c r="M47" s="173" t="s">
        <v>31</v>
      </c>
      <c r="N47" s="173"/>
      <c r="O47" s="173"/>
      <c r="P47" s="173"/>
      <c r="Q47" s="173"/>
      <c r="R47" s="173"/>
      <c r="S47" s="173"/>
      <c r="T47" s="173"/>
      <c r="U47" s="173"/>
    </row>
  </sheetData>
  <pageMargins left="0.7" right="0.7" top="0.75" bottom="0.75" header="0.3" footer="0.3"/>
  <pageSetup paperSize="9"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9613-FD81-427B-A0A9-855956C5B645}">
  <sheetPr>
    <tabColor theme="5"/>
  </sheetPr>
  <dimension ref="A1:Y57"/>
  <sheetViews>
    <sheetView zoomScale="70" zoomScaleNormal="7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42"/>
      <c r="S1" s="264"/>
    </row>
    <row r="2" spans="1:21" s="188" customFormat="1">
      <c r="A2" s="209" t="s">
        <v>5</v>
      </c>
      <c r="B2" s="210" t="s">
        <v>1389</v>
      </c>
      <c r="C2" s="210"/>
      <c r="R2" s="242"/>
      <c r="S2" s="264"/>
    </row>
    <row r="3" spans="1:21">
      <c r="A3" s="177" t="s">
        <v>7</v>
      </c>
      <c r="B3" s="173" t="s">
        <v>566</v>
      </c>
      <c r="D3" s="176"/>
      <c r="R3" s="242"/>
      <c r="S3" s="264"/>
    </row>
    <row r="4" spans="1:21">
      <c r="A4" s="276" t="s">
        <v>9</v>
      </c>
      <c r="B4" s="173" t="s">
        <v>1411</v>
      </c>
      <c r="D4" s="176"/>
    </row>
    <row r="5" spans="1:21" ht="15.75" customHeight="1">
      <c r="A5" s="177" t="s">
        <v>11</v>
      </c>
      <c r="B5" s="179" t="s">
        <v>913</v>
      </c>
      <c r="C5" s="179"/>
    </row>
    <row r="6" spans="1:21">
      <c r="A6" s="177" t="s">
        <v>13</v>
      </c>
      <c r="B6" s="173" t="s">
        <v>14</v>
      </c>
    </row>
    <row r="7" spans="1:21">
      <c r="A7" s="177" t="s">
        <v>15</v>
      </c>
      <c r="B7" s="191">
        <f>B12</f>
        <v>3.15</v>
      </c>
      <c r="C7" s="191"/>
    </row>
    <row r="8" spans="1:21">
      <c r="A8" s="177" t="s">
        <v>16</v>
      </c>
      <c r="B8" s="173" t="s">
        <v>17</v>
      </c>
    </row>
    <row r="9" spans="1:21">
      <c r="A9" s="177" t="s">
        <v>18</v>
      </c>
      <c r="B9" s="173" t="str">
        <f>D12</f>
        <v>kilogram</v>
      </c>
    </row>
    <row r="10" spans="1:21">
      <c r="A10" s="174" t="s">
        <v>19</v>
      </c>
    </row>
    <row r="11" spans="1:21">
      <c r="A11" s="175" t="s">
        <v>20</v>
      </c>
      <c r="B11" s="175" t="s">
        <v>21</v>
      </c>
      <c r="C11" s="221" t="s">
        <v>78</v>
      </c>
      <c r="D11" s="175" t="s">
        <v>18</v>
      </c>
      <c r="E11" s="175" t="s">
        <v>22</v>
      </c>
      <c r="F11" s="175" t="s">
        <v>7</v>
      </c>
      <c r="G11" s="175" t="s">
        <v>13</v>
      </c>
      <c r="H11" s="175" t="s">
        <v>16</v>
      </c>
      <c r="I11" s="175" t="s">
        <v>23</v>
      </c>
      <c r="J11" s="175" t="s">
        <v>24</v>
      </c>
      <c r="K11" s="175" t="s">
        <v>25</v>
      </c>
      <c r="L11" s="175" t="s">
        <v>26</v>
      </c>
      <c r="M11" s="175" t="s">
        <v>27</v>
      </c>
      <c r="N11" s="175" t="s">
        <v>28</v>
      </c>
      <c r="O11" s="175" t="s">
        <v>11</v>
      </c>
      <c r="U11" s="265"/>
    </row>
    <row r="12" spans="1:21">
      <c r="A12" s="173" t="s">
        <v>1389</v>
      </c>
      <c r="B12" s="173">
        <f>B30</f>
        <v>3.15</v>
      </c>
      <c r="D12" s="173" t="s">
        <v>37</v>
      </c>
      <c r="E12" s="258" t="s">
        <v>2</v>
      </c>
      <c r="F12" s="173" t="s">
        <v>29</v>
      </c>
      <c r="G12" s="173" t="s">
        <v>14</v>
      </c>
      <c r="H12" s="173" t="s">
        <v>30</v>
      </c>
      <c r="I12" s="173">
        <v>1</v>
      </c>
      <c r="J12" s="265">
        <f>B12</f>
        <v>3.15</v>
      </c>
      <c r="K12" s="173" t="s">
        <v>31</v>
      </c>
      <c r="L12" s="173" t="s">
        <v>31</v>
      </c>
      <c r="M12" s="173" t="s">
        <v>31</v>
      </c>
      <c r="N12" s="173" t="s">
        <v>31</v>
      </c>
      <c r="P12" s="271"/>
      <c r="Q12" s="272"/>
    </row>
    <row r="13" spans="1:21">
      <c r="A13" s="173" t="s">
        <v>1412</v>
      </c>
      <c r="B13" s="173">
        <v>1</v>
      </c>
      <c r="D13" s="173" t="s">
        <v>18</v>
      </c>
      <c r="E13" s="258" t="s">
        <v>2</v>
      </c>
      <c r="F13" s="173" t="s">
        <v>29</v>
      </c>
      <c r="G13" s="173" t="s">
        <v>14</v>
      </c>
      <c r="H13" s="173" t="s">
        <v>33</v>
      </c>
      <c r="I13" s="173">
        <v>1</v>
      </c>
      <c r="J13" s="265">
        <f>B13</f>
        <v>1</v>
      </c>
      <c r="K13" s="173" t="s">
        <v>31</v>
      </c>
      <c r="L13" s="173" t="s">
        <v>31</v>
      </c>
      <c r="M13" s="173" t="s">
        <v>31</v>
      </c>
      <c r="N13" s="173" t="s">
        <v>31</v>
      </c>
    </row>
    <row r="14" spans="1:21">
      <c r="A14" s="177" t="s">
        <v>168</v>
      </c>
      <c r="B14" s="184">
        <f>Q14</f>
        <v>0.25</v>
      </c>
      <c r="C14" s="184"/>
      <c r="D14" s="173" t="s">
        <v>41</v>
      </c>
      <c r="E14" s="173" t="s">
        <v>38</v>
      </c>
      <c r="F14" s="173" t="s">
        <v>29</v>
      </c>
      <c r="G14" s="185" t="s">
        <v>35</v>
      </c>
      <c r="H14" s="173" t="s">
        <v>33</v>
      </c>
      <c r="I14" s="173">
        <v>2</v>
      </c>
      <c r="J14" s="173">
        <f t="shared" ref="J14:J18" si="0">LN(B14)</f>
        <v>-1.3862943611198906</v>
      </c>
      <c r="K14" s="343">
        <v>9.6046863561492793E-2</v>
      </c>
      <c r="L14" s="173" t="s">
        <v>31</v>
      </c>
      <c r="M14" s="173" t="s">
        <v>31</v>
      </c>
      <c r="N14" s="173" t="s">
        <v>31</v>
      </c>
      <c r="P14" s="242" t="s">
        <v>332</v>
      </c>
      <c r="Q14" s="264">
        <v>0.25</v>
      </c>
    </row>
    <row r="15" spans="1:21">
      <c r="A15" s="177" t="s">
        <v>168</v>
      </c>
      <c r="B15" s="184">
        <f>Q15</f>
        <v>0.5</v>
      </c>
      <c r="C15" s="184"/>
      <c r="D15" s="173" t="s">
        <v>41</v>
      </c>
      <c r="E15" s="173" t="s">
        <v>38</v>
      </c>
      <c r="F15" s="173" t="s">
        <v>29</v>
      </c>
      <c r="G15" s="185" t="s">
        <v>60</v>
      </c>
      <c r="H15" s="173" t="s">
        <v>33</v>
      </c>
      <c r="I15" s="173">
        <v>2</v>
      </c>
      <c r="J15" s="173">
        <f t="shared" si="0"/>
        <v>-0.69314718055994529</v>
      </c>
      <c r="K15" s="343">
        <v>9.6046863561492793E-2</v>
      </c>
      <c r="L15" s="173" t="s">
        <v>31</v>
      </c>
      <c r="M15" s="173" t="s">
        <v>31</v>
      </c>
      <c r="N15" s="173" t="s">
        <v>31</v>
      </c>
      <c r="P15" s="242" t="s">
        <v>332</v>
      </c>
      <c r="Q15" s="264">
        <v>0.5</v>
      </c>
    </row>
    <row r="16" spans="1:21">
      <c r="A16" s="232" t="s">
        <v>1042</v>
      </c>
      <c r="B16" s="173">
        <f>S16</f>
        <v>6.5000000000000002E-2</v>
      </c>
      <c r="D16" s="173" t="s">
        <v>37</v>
      </c>
      <c r="E16" s="173" t="s">
        <v>38</v>
      </c>
      <c r="F16" s="173" t="s">
        <v>29</v>
      </c>
      <c r="G16" s="173" t="s">
        <v>35</v>
      </c>
      <c r="H16" s="173" t="s">
        <v>33</v>
      </c>
      <c r="I16" s="173">
        <v>2</v>
      </c>
      <c r="J16" s="173">
        <f t="shared" si="0"/>
        <v>-2.7333680090865</v>
      </c>
      <c r="K16" s="343">
        <v>9.6046863561492793E-2</v>
      </c>
      <c r="L16" s="173" t="s">
        <v>31</v>
      </c>
      <c r="M16" s="173" t="s">
        <v>31</v>
      </c>
      <c r="N16" s="173" t="s">
        <v>31</v>
      </c>
      <c r="P16" s="242" t="s">
        <v>947</v>
      </c>
      <c r="Q16" s="264">
        <v>65</v>
      </c>
      <c r="R16" s="242" t="s">
        <v>337</v>
      </c>
      <c r="S16" s="264">
        <f>0.001*Q16</f>
        <v>6.5000000000000002E-2</v>
      </c>
    </row>
    <row r="17" spans="1:21">
      <c r="A17" s="232" t="s">
        <v>1043</v>
      </c>
      <c r="B17" s="173">
        <f>Q17</f>
        <v>1.2</v>
      </c>
      <c r="D17" s="173" t="s">
        <v>37</v>
      </c>
      <c r="E17" s="173" t="s">
        <v>38</v>
      </c>
      <c r="F17" s="173" t="s">
        <v>29</v>
      </c>
      <c r="G17" s="185" t="s">
        <v>39</v>
      </c>
      <c r="H17" s="173" t="s">
        <v>33</v>
      </c>
      <c r="I17" s="173">
        <v>2</v>
      </c>
      <c r="J17" s="173">
        <f t="shared" si="0"/>
        <v>0.18232155679395459</v>
      </c>
      <c r="K17" s="343">
        <v>9.6046863561492793E-2</v>
      </c>
      <c r="L17" s="173" t="s">
        <v>31</v>
      </c>
      <c r="M17" s="173" t="s">
        <v>31</v>
      </c>
      <c r="N17" s="173" t="s">
        <v>31</v>
      </c>
      <c r="P17" s="242" t="s">
        <v>337</v>
      </c>
      <c r="Q17" s="264">
        <v>1.2</v>
      </c>
    </row>
    <row r="18" spans="1:21">
      <c r="A18" s="232" t="s">
        <v>1238</v>
      </c>
      <c r="B18" s="173">
        <f>S18</f>
        <v>6.5000000000000002E-2</v>
      </c>
      <c r="D18" s="173" t="s">
        <v>37</v>
      </c>
      <c r="E18" s="173" t="s">
        <v>38</v>
      </c>
      <c r="F18" s="173" t="s">
        <v>29</v>
      </c>
      <c r="G18" s="185" t="s">
        <v>39</v>
      </c>
      <c r="H18" s="173" t="s">
        <v>33</v>
      </c>
      <c r="I18" s="173">
        <v>2</v>
      </c>
      <c r="J18" s="173">
        <f t="shared" si="0"/>
        <v>-2.7333680090865</v>
      </c>
      <c r="K18" s="343">
        <v>9.6046863561492793E-2</v>
      </c>
      <c r="L18" s="173" t="s">
        <v>31</v>
      </c>
      <c r="M18" s="173" t="s">
        <v>31</v>
      </c>
      <c r="N18" s="173" t="s">
        <v>31</v>
      </c>
      <c r="P18" s="242" t="s">
        <v>947</v>
      </c>
      <c r="Q18" s="264">
        <v>65</v>
      </c>
      <c r="R18" s="242" t="s">
        <v>337</v>
      </c>
      <c r="S18" s="264">
        <f>0.001*Q18</f>
        <v>6.5000000000000002E-2</v>
      </c>
    </row>
    <row r="19" spans="1:21" s="188" customFormat="1">
      <c r="A19" s="209" t="s">
        <v>5</v>
      </c>
      <c r="B19" s="210" t="str">
        <f>A29</f>
        <v>production of machined casing, mass scaled activities, isolating DCDC converter, GT-bat, Medium-Term</v>
      </c>
      <c r="C19" s="210"/>
    </row>
    <row r="20" spans="1:21">
      <c r="A20" s="177" t="s">
        <v>7</v>
      </c>
      <c r="B20" s="173" t="s">
        <v>566</v>
      </c>
      <c r="D20" s="176"/>
    </row>
    <row r="21" spans="1:21">
      <c r="A21" s="276" t="s">
        <v>9</v>
      </c>
      <c r="B21" s="173" t="s">
        <v>1413</v>
      </c>
      <c r="D21" s="176"/>
    </row>
    <row r="22" spans="1:21" ht="15.75" customHeight="1">
      <c r="A22" s="177" t="s">
        <v>11</v>
      </c>
      <c r="B22" s="179" t="s">
        <v>913</v>
      </c>
      <c r="C22" s="179"/>
    </row>
    <row r="23" spans="1:21">
      <c r="A23" s="177" t="s">
        <v>13</v>
      </c>
      <c r="B23" s="173" t="s">
        <v>14</v>
      </c>
    </row>
    <row r="24" spans="1:21">
      <c r="A24" s="177" t="s">
        <v>15</v>
      </c>
      <c r="B24" s="191">
        <v>1</v>
      </c>
      <c r="C24" s="191"/>
    </row>
    <row r="25" spans="1:21">
      <c r="A25" s="177" t="s">
        <v>16</v>
      </c>
      <c r="B25" s="173" t="s">
        <v>17</v>
      </c>
    </row>
    <row r="26" spans="1:21">
      <c r="A26" s="177" t="s">
        <v>18</v>
      </c>
      <c r="B26" s="173" t="s">
        <v>18</v>
      </c>
    </row>
    <row r="27" spans="1:21">
      <c r="A27" s="174" t="s">
        <v>19</v>
      </c>
    </row>
    <row r="28" spans="1:21">
      <c r="A28" s="175" t="s">
        <v>20</v>
      </c>
      <c r="B28" s="175" t="s">
        <v>21</v>
      </c>
      <c r="C28" s="221" t="s">
        <v>78</v>
      </c>
      <c r="D28" s="175" t="s">
        <v>18</v>
      </c>
      <c r="E28" s="175" t="s">
        <v>22</v>
      </c>
      <c r="F28" s="175" t="s">
        <v>7</v>
      </c>
      <c r="G28" s="175" t="s">
        <v>13</v>
      </c>
      <c r="H28" s="175" t="s">
        <v>16</v>
      </c>
      <c r="I28" s="175" t="s">
        <v>23</v>
      </c>
      <c r="J28" s="175" t="s">
        <v>24</v>
      </c>
      <c r="K28" s="175" t="s">
        <v>25</v>
      </c>
      <c r="L28" s="175" t="s">
        <v>26</v>
      </c>
      <c r="M28" s="175" t="s">
        <v>27</v>
      </c>
      <c r="N28" s="175" t="s">
        <v>28</v>
      </c>
      <c r="O28" s="175" t="s">
        <v>11</v>
      </c>
      <c r="U28" s="265"/>
    </row>
    <row r="29" spans="1:21">
      <c r="A29" s="173" t="s">
        <v>1412</v>
      </c>
      <c r="B29" s="173">
        <v>1</v>
      </c>
      <c r="D29" s="173" t="s">
        <v>18</v>
      </c>
      <c r="E29" s="258" t="s">
        <v>2</v>
      </c>
      <c r="F29" s="173" t="s">
        <v>29</v>
      </c>
      <c r="G29" s="173" t="s">
        <v>14</v>
      </c>
      <c r="H29" s="173" t="s">
        <v>30</v>
      </c>
      <c r="I29" s="173">
        <v>1</v>
      </c>
      <c r="J29" s="265">
        <f>B29</f>
        <v>1</v>
      </c>
      <c r="K29" s="173" t="s">
        <v>31</v>
      </c>
      <c r="L29" s="173" t="s">
        <v>31</v>
      </c>
      <c r="M29" s="173" t="s">
        <v>31</v>
      </c>
      <c r="N29" s="173" t="s">
        <v>31</v>
      </c>
    </row>
    <row r="30" spans="1:21">
      <c r="A30" s="173" t="s">
        <v>1414</v>
      </c>
      <c r="B30" s="173">
        <f>Q30</f>
        <v>3.15</v>
      </c>
      <c r="D30" s="173" t="s">
        <v>37</v>
      </c>
      <c r="E30" s="258" t="s">
        <v>2</v>
      </c>
      <c r="F30" s="173" t="s">
        <v>29</v>
      </c>
      <c r="G30" s="173" t="s">
        <v>14</v>
      </c>
      <c r="H30" s="173" t="s">
        <v>33</v>
      </c>
      <c r="I30" s="173">
        <v>2</v>
      </c>
      <c r="J30" s="173">
        <f>LN(B30)</f>
        <v>1.1474024528375417</v>
      </c>
      <c r="K30" s="173">
        <v>0.10307764064044142</v>
      </c>
      <c r="L30" s="173" t="s">
        <v>31</v>
      </c>
      <c r="M30" s="173" t="s">
        <v>31</v>
      </c>
      <c r="N30" s="173" t="s">
        <v>31</v>
      </c>
      <c r="Q30" s="341">
        <v>3.15</v>
      </c>
    </row>
    <row r="31" spans="1:21">
      <c r="A31" s="177" t="s">
        <v>168</v>
      </c>
      <c r="B31" s="184">
        <f>Q31</f>
        <v>0.18</v>
      </c>
      <c r="C31" s="184"/>
      <c r="D31" s="173" t="s">
        <v>41</v>
      </c>
      <c r="E31" s="173" t="s">
        <v>38</v>
      </c>
      <c r="F31" s="173" t="s">
        <v>29</v>
      </c>
      <c r="G31" s="185" t="s">
        <v>60</v>
      </c>
      <c r="H31" s="173" t="s">
        <v>33</v>
      </c>
      <c r="I31" s="173">
        <v>2</v>
      </c>
      <c r="J31" s="173">
        <f t="shared" ref="J31:J37" si="1">LN(B31)</f>
        <v>-1.7147984280919266</v>
      </c>
      <c r="K31" s="173">
        <v>9.6046863561492793E-2</v>
      </c>
      <c r="L31" s="173" t="s">
        <v>31</v>
      </c>
      <c r="M31" s="173" t="s">
        <v>31</v>
      </c>
      <c r="N31" s="173" t="s">
        <v>31</v>
      </c>
      <c r="P31" s="242" t="s">
        <v>332</v>
      </c>
      <c r="Q31" s="264">
        <v>0.18</v>
      </c>
    </row>
    <row r="32" spans="1:21">
      <c r="A32" s="232" t="s">
        <v>1042</v>
      </c>
      <c r="B32" s="173">
        <f>S32</f>
        <v>4.2000000000000003E-2</v>
      </c>
      <c r="D32" s="173" t="s">
        <v>37</v>
      </c>
      <c r="E32" s="173" t="s">
        <v>38</v>
      </c>
      <c r="F32" s="173" t="s">
        <v>29</v>
      </c>
      <c r="G32" s="173" t="s">
        <v>35</v>
      </c>
      <c r="H32" s="173" t="s">
        <v>33</v>
      </c>
      <c r="I32" s="173">
        <v>2</v>
      </c>
      <c r="J32" s="173">
        <f t="shared" si="1"/>
        <v>-3.1700856606987688</v>
      </c>
      <c r="K32" s="173">
        <v>9.6046863561492793E-2</v>
      </c>
      <c r="L32" s="173" t="s">
        <v>31</v>
      </c>
      <c r="M32" s="173" t="s">
        <v>31</v>
      </c>
      <c r="N32" s="173" t="s">
        <v>31</v>
      </c>
      <c r="P32" s="242" t="s">
        <v>947</v>
      </c>
      <c r="Q32" s="264">
        <v>42</v>
      </c>
      <c r="R32" s="242" t="s">
        <v>337</v>
      </c>
      <c r="S32" s="264">
        <f>0.001*Q32</f>
        <v>4.2000000000000003E-2</v>
      </c>
    </row>
    <row r="33" spans="1:21">
      <c r="A33" s="232" t="s">
        <v>1043</v>
      </c>
      <c r="B33" s="173">
        <f>Q33</f>
        <v>0.78</v>
      </c>
      <c r="D33" s="173" t="s">
        <v>37</v>
      </c>
      <c r="E33" s="173" t="s">
        <v>38</v>
      </c>
      <c r="F33" s="173" t="s">
        <v>29</v>
      </c>
      <c r="G33" s="185" t="s">
        <v>39</v>
      </c>
      <c r="H33" s="173" t="s">
        <v>33</v>
      </c>
      <c r="I33" s="173">
        <v>2</v>
      </c>
      <c r="J33" s="173">
        <f t="shared" si="1"/>
        <v>-0.24846135929849961</v>
      </c>
      <c r="K33" s="173">
        <v>9.6046863561492793E-2</v>
      </c>
      <c r="L33" s="173" t="s">
        <v>31</v>
      </c>
      <c r="M33" s="173" t="s">
        <v>31</v>
      </c>
      <c r="N33" s="173" t="s">
        <v>31</v>
      </c>
      <c r="P33" s="242" t="s">
        <v>337</v>
      </c>
      <c r="Q33" s="264">
        <v>0.78</v>
      </c>
    </row>
    <row r="34" spans="1:21">
      <c r="A34" s="292" t="s">
        <v>94</v>
      </c>
      <c r="B34" s="173">
        <v>0.159</v>
      </c>
      <c r="C34" s="271" t="s">
        <v>95</v>
      </c>
      <c r="D34" s="173" t="s">
        <v>37</v>
      </c>
      <c r="E34" s="173" t="s">
        <v>38</v>
      </c>
      <c r="F34" s="173" t="s">
        <v>29</v>
      </c>
      <c r="G34" s="185" t="s">
        <v>35</v>
      </c>
      <c r="H34" s="173" t="s">
        <v>33</v>
      </c>
      <c r="I34" s="173">
        <v>2</v>
      </c>
      <c r="J34" s="173">
        <f t="shared" si="1"/>
        <v>-1.8388510767619055</v>
      </c>
      <c r="K34" s="173">
        <v>9.6046863561492793E-2</v>
      </c>
      <c r="L34" s="173" t="s">
        <v>31</v>
      </c>
      <c r="M34" s="173" t="s">
        <v>31</v>
      </c>
      <c r="N34" s="173" t="s">
        <v>31</v>
      </c>
      <c r="P34" s="242"/>
      <c r="Q34" s="264"/>
    </row>
    <row r="35" spans="1:21">
      <c r="A35" s="271" t="s">
        <v>93</v>
      </c>
      <c r="B35" s="173">
        <f>S35</f>
        <v>0.159</v>
      </c>
      <c r="D35" s="173" t="s">
        <v>37</v>
      </c>
      <c r="E35" s="173" t="s">
        <v>38</v>
      </c>
      <c r="F35" s="173" t="s">
        <v>29</v>
      </c>
      <c r="G35" s="173" t="s">
        <v>35</v>
      </c>
      <c r="H35" s="173" t="s">
        <v>33</v>
      </c>
      <c r="I35" s="173">
        <v>2</v>
      </c>
      <c r="J35" s="173">
        <f t="shared" si="1"/>
        <v>-1.8388510767619055</v>
      </c>
      <c r="K35" s="173">
        <v>9.6046863561492793E-2</v>
      </c>
      <c r="L35" s="173" t="s">
        <v>31</v>
      </c>
      <c r="M35" s="173" t="s">
        <v>31</v>
      </c>
      <c r="N35" s="173" t="s">
        <v>31</v>
      </c>
      <c r="P35" s="268" t="s">
        <v>947</v>
      </c>
      <c r="Q35" s="269">
        <v>159</v>
      </c>
      <c r="R35" s="242" t="s">
        <v>337</v>
      </c>
      <c r="S35" s="264">
        <f>0.001*Q35</f>
        <v>0.159</v>
      </c>
    </row>
    <row r="36" spans="1:21">
      <c r="A36" s="232" t="s">
        <v>1047</v>
      </c>
      <c r="B36" s="173">
        <f t="shared" ref="B36" si="2">S36</f>
        <v>0.159</v>
      </c>
      <c r="D36" s="173" t="s">
        <v>37</v>
      </c>
      <c r="E36" s="173" t="s">
        <v>38</v>
      </c>
      <c r="F36" s="173" t="s">
        <v>29</v>
      </c>
      <c r="G36" s="173" t="s">
        <v>60</v>
      </c>
      <c r="H36" s="173" t="s">
        <v>98</v>
      </c>
      <c r="I36" s="173">
        <v>2</v>
      </c>
      <c r="J36" s="173">
        <f t="shared" si="1"/>
        <v>-1.8388510767619055</v>
      </c>
      <c r="K36" s="173">
        <v>9.6046863561492793E-2</v>
      </c>
      <c r="L36" s="173" t="s">
        <v>31</v>
      </c>
      <c r="M36" s="173" t="s">
        <v>31</v>
      </c>
      <c r="N36" s="173" t="s">
        <v>31</v>
      </c>
      <c r="P36" s="268" t="s">
        <v>947</v>
      </c>
      <c r="Q36" s="269">
        <v>159</v>
      </c>
      <c r="R36" s="242" t="s">
        <v>337</v>
      </c>
      <c r="S36" s="264">
        <f t="shared" ref="S36:S37" si="3">0.001*Q36</f>
        <v>0.159</v>
      </c>
    </row>
    <row r="37" spans="1:21">
      <c r="A37" s="232" t="s">
        <v>1238</v>
      </c>
      <c r="B37" s="173">
        <f>S37</f>
        <v>4.2000000000000003E-2</v>
      </c>
      <c r="D37" s="173" t="s">
        <v>37</v>
      </c>
      <c r="E37" s="173" t="s">
        <v>38</v>
      </c>
      <c r="F37" s="173" t="s">
        <v>29</v>
      </c>
      <c r="G37" s="185" t="s">
        <v>39</v>
      </c>
      <c r="H37" s="173" t="s">
        <v>33</v>
      </c>
      <c r="I37" s="173">
        <v>2</v>
      </c>
      <c r="J37" s="173">
        <f t="shared" si="1"/>
        <v>-3.1700856606987688</v>
      </c>
      <c r="K37" s="173">
        <v>9.6046863561492793E-2</v>
      </c>
      <c r="L37" s="173" t="s">
        <v>31</v>
      </c>
      <c r="M37" s="173" t="s">
        <v>31</v>
      </c>
      <c r="N37" s="173" t="s">
        <v>31</v>
      </c>
      <c r="P37" s="268" t="s">
        <v>947</v>
      </c>
      <c r="Q37" s="269">
        <v>42</v>
      </c>
      <c r="R37" s="242" t="s">
        <v>337</v>
      </c>
      <c r="S37" s="264">
        <f t="shared" si="3"/>
        <v>4.2000000000000003E-2</v>
      </c>
    </row>
    <row r="38" spans="1:21" s="188" customFormat="1">
      <c r="A38" s="209" t="s">
        <v>5</v>
      </c>
      <c r="B38" s="210" t="s">
        <v>1414</v>
      </c>
      <c r="C38" s="210"/>
    </row>
    <row r="39" spans="1:21">
      <c r="A39" s="177" t="s">
        <v>7</v>
      </c>
      <c r="B39" s="173" t="s">
        <v>566</v>
      </c>
      <c r="D39" s="176"/>
    </row>
    <row r="40" spans="1:21">
      <c r="A40" s="276" t="s">
        <v>9</v>
      </c>
      <c r="B40" s="173" t="s">
        <v>1415</v>
      </c>
      <c r="D40" s="176"/>
    </row>
    <row r="41" spans="1:21" ht="15.75" customHeight="1">
      <c r="A41" s="177" t="s">
        <v>11</v>
      </c>
      <c r="B41" s="179" t="s">
        <v>913</v>
      </c>
      <c r="C41" s="179"/>
    </row>
    <row r="42" spans="1:21">
      <c r="A42" s="177" t="s">
        <v>13</v>
      </c>
      <c r="B42" s="173" t="s">
        <v>14</v>
      </c>
    </row>
    <row r="43" spans="1:21">
      <c r="A43" s="177" t="s">
        <v>15</v>
      </c>
      <c r="B43" s="191">
        <f>B48</f>
        <v>3.15</v>
      </c>
      <c r="C43" s="191"/>
    </row>
    <row r="44" spans="1:21">
      <c r="A44" s="177" t="s">
        <v>16</v>
      </c>
      <c r="B44" s="173" t="s">
        <v>17</v>
      </c>
    </row>
    <row r="45" spans="1:21">
      <c r="A45" s="177" t="s">
        <v>18</v>
      </c>
      <c r="B45" s="173" t="s">
        <v>37</v>
      </c>
    </row>
    <row r="46" spans="1:21">
      <c r="A46" s="174" t="s">
        <v>19</v>
      </c>
    </row>
    <row r="47" spans="1:21">
      <c r="A47" s="175" t="s">
        <v>20</v>
      </c>
      <c r="B47" s="175" t="s">
        <v>21</v>
      </c>
      <c r="C47" s="221" t="s">
        <v>78</v>
      </c>
      <c r="D47" s="175" t="s">
        <v>18</v>
      </c>
      <c r="E47" s="175" t="s">
        <v>22</v>
      </c>
      <c r="F47" s="175" t="s">
        <v>7</v>
      </c>
      <c r="G47" s="175" t="s">
        <v>13</v>
      </c>
      <c r="H47" s="175" t="s">
        <v>16</v>
      </c>
      <c r="I47" s="175" t="s">
        <v>23</v>
      </c>
      <c r="J47" s="175" t="s">
        <v>24</v>
      </c>
      <c r="K47" s="175" t="s">
        <v>25</v>
      </c>
      <c r="L47" s="175" t="s">
        <v>26</v>
      </c>
      <c r="M47" s="175" t="s">
        <v>27</v>
      </c>
      <c r="N47" s="175" t="s">
        <v>28</v>
      </c>
      <c r="O47" s="175" t="s">
        <v>11</v>
      </c>
      <c r="U47" s="265"/>
    </row>
    <row r="48" spans="1:21">
      <c r="A48" s="173" t="s">
        <v>1414</v>
      </c>
      <c r="B48" s="173">
        <f>Q48</f>
        <v>3.15</v>
      </c>
      <c r="D48" s="173" t="s">
        <v>37</v>
      </c>
      <c r="E48" s="258" t="s">
        <v>2</v>
      </c>
      <c r="F48" s="173" t="s">
        <v>29</v>
      </c>
      <c r="G48" s="173" t="s">
        <v>14</v>
      </c>
      <c r="H48" s="173" t="s">
        <v>30</v>
      </c>
      <c r="I48" s="173">
        <v>2</v>
      </c>
      <c r="J48" s="173">
        <f>LN(B48)</f>
        <v>1.1474024528375417</v>
      </c>
      <c r="K48" s="173">
        <v>0.10307764064044142</v>
      </c>
      <c r="L48" s="173" t="s">
        <v>31</v>
      </c>
      <c r="M48" s="173" t="s">
        <v>31</v>
      </c>
      <c r="N48" s="173" t="s">
        <v>31</v>
      </c>
      <c r="Q48" s="344">
        <v>3.15</v>
      </c>
    </row>
    <row r="49" spans="1:25">
      <c r="A49" s="232" t="s">
        <v>1047</v>
      </c>
      <c r="B49" s="173">
        <f>Q49</f>
        <v>3.34</v>
      </c>
      <c r="D49" s="173" t="s">
        <v>37</v>
      </c>
      <c r="E49" s="173" t="s">
        <v>38</v>
      </c>
      <c r="F49" s="173" t="s">
        <v>29</v>
      </c>
      <c r="G49" s="173" t="s">
        <v>60</v>
      </c>
      <c r="H49" s="173" t="s">
        <v>33</v>
      </c>
      <c r="I49" s="173">
        <v>2</v>
      </c>
      <c r="J49" s="173">
        <f t="shared" ref="J49:J57" si="4">LN(B49)</f>
        <v>1.205970806988609</v>
      </c>
      <c r="K49" s="173">
        <v>4.9999999999998969E-3</v>
      </c>
      <c r="L49" s="173" t="s">
        <v>31</v>
      </c>
      <c r="M49" s="173" t="s">
        <v>31</v>
      </c>
      <c r="N49" s="173" t="s">
        <v>31</v>
      </c>
      <c r="P49" s="242" t="s">
        <v>337</v>
      </c>
      <c r="Q49" s="264">
        <v>3.34</v>
      </c>
    </row>
    <row r="50" spans="1:25">
      <c r="A50" s="293" t="s">
        <v>170</v>
      </c>
      <c r="B50" s="173">
        <f>S50</f>
        <v>0.88772845953002621</v>
      </c>
      <c r="D50" s="173" t="s">
        <v>50</v>
      </c>
      <c r="E50" s="173" t="s">
        <v>38</v>
      </c>
      <c r="F50" s="173" t="s">
        <v>29</v>
      </c>
      <c r="G50" s="173" t="s">
        <v>333</v>
      </c>
      <c r="H50" s="173" t="s">
        <v>33</v>
      </c>
      <c r="I50" s="173">
        <v>2</v>
      </c>
      <c r="J50" s="173">
        <f t="shared" si="4"/>
        <v>-0.11908937157043879</v>
      </c>
      <c r="K50" s="173">
        <v>4.9999999999998969E-3</v>
      </c>
      <c r="L50" s="173" t="s">
        <v>31</v>
      </c>
      <c r="M50" s="173" t="s">
        <v>31</v>
      </c>
      <c r="N50" s="173" t="s">
        <v>31</v>
      </c>
      <c r="P50" s="242" t="s">
        <v>331</v>
      </c>
      <c r="Q50" s="264">
        <v>34</v>
      </c>
      <c r="R50" s="173" t="s">
        <v>335</v>
      </c>
      <c r="S50" s="173">
        <f>Q50/38.3</f>
        <v>0.88772845953002621</v>
      </c>
      <c r="T50" s="345"/>
      <c r="U50" s="346"/>
      <c r="V50" s="346"/>
      <c r="W50" s="346"/>
      <c r="X50" s="346"/>
      <c r="Y50" s="346"/>
    </row>
    <row r="51" spans="1:25">
      <c r="A51" s="177" t="s">
        <v>168</v>
      </c>
      <c r="B51" s="184">
        <f>Q51</f>
        <v>8.19</v>
      </c>
      <c r="C51" s="184"/>
      <c r="D51" s="173" t="s">
        <v>41</v>
      </c>
      <c r="E51" s="173" t="s">
        <v>38</v>
      </c>
      <c r="F51" s="173" t="s">
        <v>29</v>
      </c>
      <c r="G51" s="185" t="s">
        <v>60</v>
      </c>
      <c r="H51" s="173" t="s">
        <v>33</v>
      </c>
      <c r="I51" s="173">
        <v>2</v>
      </c>
      <c r="J51" s="173">
        <f t="shared" si="4"/>
        <v>2.102913897864978</v>
      </c>
      <c r="K51" s="173">
        <v>4.9999999999998969E-3</v>
      </c>
      <c r="L51" s="173" t="s">
        <v>31</v>
      </c>
      <c r="M51" s="173" t="s">
        <v>31</v>
      </c>
      <c r="N51" s="173" t="s">
        <v>31</v>
      </c>
      <c r="P51" s="242" t="s">
        <v>332</v>
      </c>
      <c r="Q51" s="264">
        <v>8.19</v>
      </c>
    </row>
    <row r="52" spans="1:25">
      <c r="A52" s="232" t="s">
        <v>1049</v>
      </c>
      <c r="B52" s="173">
        <f>S52</f>
        <v>6.3E-2</v>
      </c>
      <c r="D52" s="173" t="s">
        <v>37</v>
      </c>
      <c r="E52" s="173" t="s">
        <v>38</v>
      </c>
      <c r="F52" s="173" t="s">
        <v>29</v>
      </c>
      <c r="G52" s="173" t="s">
        <v>35</v>
      </c>
      <c r="H52" s="173" t="s">
        <v>33</v>
      </c>
      <c r="I52" s="173">
        <v>2</v>
      </c>
      <c r="J52" s="173">
        <f t="shared" si="4"/>
        <v>-2.7646205525906042</v>
      </c>
      <c r="K52" s="173">
        <v>0.10049875621120885</v>
      </c>
      <c r="L52" s="173" t="s">
        <v>31</v>
      </c>
      <c r="M52" s="173" t="s">
        <v>31</v>
      </c>
      <c r="N52" s="173" t="s">
        <v>31</v>
      </c>
      <c r="P52" s="242" t="s">
        <v>947</v>
      </c>
      <c r="Q52" s="264">
        <v>63</v>
      </c>
      <c r="R52" s="242" t="s">
        <v>337</v>
      </c>
      <c r="S52" s="264">
        <f t="shared" ref="S52:S54" si="5">0.001*Q52</f>
        <v>6.3E-2</v>
      </c>
    </row>
    <row r="53" spans="1:25">
      <c r="A53" s="232" t="s">
        <v>1050</v>
      </c>
      <c r="B53" s="173">
        <f>S53</f>
        <v>1.3000000000000002E-3</v>
      </c>
      <c r="D53" s="173" t="s">
        <v>37</v>
      </c>
      <c r="E53" s="173" t="s">
        <v>43</v>
      </c>
      <c r="F53" s="173" t="s">
        <v>44</v>
      </c>
      <c r="G53" s="173" t="s">
        <v>29</v>
      </c>
      <c r="H53" s="173" t="s">
        <v>45</v>
      </c>
      <c r="I53" s="173">
        <v>2</v>
      </c>
      <c r="J53" s="173">
        <f t="shared" si="4"/>
        <v>-6.6453910145146455</v>
      </c>
      <c r="K53" s="173">
        <v>4.9999999999998969E-3</v>
      </c>
      <c r="L53" s="173" t="s">
        <v>31</v>
      </c>
      <c r="M53" s="173" t="s">
        <v>31</v>
      </c>
      <c r="N53" s="173" t="s">
        <v>31</v>
      </c>
      <c r="P53" s="266" t="s">
        <v>947</v>
      </c>
      <c r="Q53" s="295">
        <v>1.3</v>
      </c>
      <c r="R53" s="242" t="s">
        <v>337</v>
      </c>
      <c r="S53" s="264">
        <f t="shared" si="5"/>
        <v>1.3000000000000002E-3</v>
      </c>
    </row>
    <row r="54" spans="1:25">
      <c r="A54" s="177" t="s">
        <v>941</v>
      </c>
      <c r="B54" s="173">
        <f>S54</f>
        <v>3.2000000000000002E-3</v>
      </c>
      <c r="D54" s="173" t="s">
        <v>37</v>
      </c>
      <c r="E54" s="173" t="s">
        <v>43</v>
      </c>
      <c r="F54" s="173" t="s">
        <v>44</v>
      </c>
      <c r="G54" s="185" t="s">
        <v>29</v>
      </c>
      <c r="H54" s="173" t="s">
        <v>45</v>
      </c>
      <c r="I54" s="173">
        <v>2</v>
      </c>
      <c r="J54" s="173">
        <f t="shared" si="4"/>
        <v>-5.7446044691764557</v>
      </c>
      <c r="K54" s="173">
        <v>8.9582364335844641E-2</v>
      </c>
      <c r="L54" s="173" t="s">
        <v>31</v>
      </c>
      <c r="M54" s="173" t="s">
        <v>31</v>
      </c>
      <c r="N54" s="173" t="s">
        <v>31</v>
      </c>
      <c r="P54" s="266" t="s">
        <v>947</v>
      </c>
      <c r="Q54" s="295">
        <v>3.2</v>
      </c>
      <c r="R54" s="242" t="s">
        <v>337</v>
      </c>
      <c r="S54" s="264">
        <f t="shared" si="5"/>
        <v>3.2000000000000002E-3</v>
      </c>
    </row>
    <row r="55" spans="1:25">
      <c r="A55" s="292" t="s">
        <v>94</v>
      </c>
      <c r="B55" s="173">
        <f>Q56</f>
        <v>0.19</v>
      </c>
      <c r="C55" s="271" t="s">
        <v>95</v>
      </c>
      <c r="D55" s="173" t="s">
        <v>37</v>
      </c>
      <c r="E55" s="173" t="s">
        <v>38</v>
      </c>
      <c r="F55" s="173" t="s">
        <v>29</v>
      </c>
      <c r="G55" s="185" t="s">
        <v>35</v>
      </c>
      <c r="H55" s="173" t="s">
        <v>33</v>
      </c>
      <c r="I55" s="173">
        <v>2</v>
      </c>
      <c r="J55" s="173">
        <f t="shared" si="4"/>
        <v>-1.6607312068216509</v>
      </c>
      <c r="K55" s="173">
        <v>9.6046863561492793E-2</v>
      </c>
      <c r="L55" s="173" t="s">
        <v>31</v>
      </c>
      <c r="M55" s="173" t="s">
        <v>31</v>
      </c>
      <c r="N55" s="173" t="s">
        <v>31</v>
      </c>
      <c r="P55" s="266"/>
      <c r="Q55" s="295"/>
      <c r="R55" s="286"/>
      <c r="S55" s="287"/>
    </row>
    <row r="56" spans="1:25">
      <c r="A56" s="271" t="s">
        <v>93</v>
      </c>
      <c r="B56" s="173">
        <f>Q56</f>
        <v>0.19</v>
      </c>
      <c r="D56" s="173" t="s">
        <v>37</v>
      </c>
      <c r="E56" s="173" t="s">
        <v>38</v>
      </c>
      <c r="F56" s="173" t="s">
        <v>29</v>
      </c>
      <c r="G56" s="173" t="s">
        <v>35</v>
      </c>
      <c r="H56" s="173" t="s">
        <v>33</v>
      </c>
      <c r="I56" s="173">
        <v>2</v>
      </c>
      <c r="J56" s="173">
        <f t="shared" si="4"/>
        <v>-1.6607312068216509</v>
      </c>
      <c r="K56" s="173">
        <v>4.9999999999998969E-3</v>
      </c>
      <c r="L56" s="173" t="s">
        <v>31</v>
      </c>
      <c r="M56" s="173" t="s">
        <v>31</v>
      </c>
      <c r="N56" s="173" t="s">
        <v>31</v>
      </c>
      <c r="P56" s="268" t="s">
        <v>337</v>
      </c>
      <c r="Q56" s="269">
        <v>0.19</v>
      </c>
    </row>
    <row r="57" spans="1:25">
      <c r="A57" s="232" t="s">
        <v>1047</v>
      </c>
      <c r="B57" s="173">
        <f>Q56</f>
        <v>0.19</v>
      </c>
      <c r="D57" s="173" t="s">
        <v>37</v>
      </c>
      <c r="E57" s="173" t="s">
        <v>38</v>
      </c>
      <c r="F57" s="173" t="s">
        <v>29</v>
      </c>
      <c r="G57" s="173" t="s">
        <v>60</v>
      </c>
      <c r="H57" s="173" t="s">
        <v>98</v>
      </c>
      <c r="I57" s="173">
        <v>2</v>
      </c>
      <c r="J57" s="173">
        <f t="shared" si="4"/>
        <v>-1.6607312068216509</v>
      </c>
      <c r="K57" s="173">
        <v>4.9999999999998969E-3</v>
      </c>
      <c r="L57" s="173" t="s">
        <v>31</v>
      </c>
      <c r="M57" s="173" t="s">
        <v>31</v>
      </c>
      <c r="N57" s="173" t="s">
        <v>31</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A6BD7-4CDF-4AA4-9990-94BB49E8E220}">
  <sheetPr>
    <tabColor theme="5"/>
  </sheetPr>
  <dimension ref="A1:U362"/>
  <sheetViews>
    <sheetView zoomScale="85" zoomScaleNormal="85" workbookViewId="0">
      <selection activeCell="D31" sqref="D31"/>
    </sheetView>
  </sheetViews>
  <sheetFormatPr defaultRowHeight="1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5</v>
      </c>
      <c r="B2" s="210" t="s">
        <v>1384</v>
      </c>
      <c r="C2" s="211"/>
      <c r="D2" s="188"/>
      <c r="E2" s="188"/>
      <c r="F2" s="188"/>
      <c r="G2" s="188"/>
      <c r="H2" s="188"/>
      <c r="I2" s="188"/>
      <c r="J2" s="188"/>
      <c r="K2" s="188"/>
      <c r="L2" s="188"/>
      <c r="M2" s="188"/>
      <c r="N2" s="173"/>
      <c r="O2" s="173"/>
      <c r="P2" s="173"/>
      <c r="Q2" s="173"/>
      <c r="R2" s="173"/>
      <c r="S2" s="173"/>
      <c r="T2" s="173"/>
      <c r="U2" s="173"/>
    </row>
    <row r="3" spans="1:21">
      <c r="A3" s="177" t="s">
        <v>7</v>
      </c>
      <c r="B3" s="173" t="s">
        <v>566</v>
      </c>
      <c r="C3" s="176"/>
      <c r="D3" s="173"/>
      <c r="E3" s="173"/>
      <c r="F3" s="173"/>
      <c r="G3" s="173"/>
      <c r="H3" s="173"/>
      <c r="I3" s="173"/>
      <c r="J3" s="173"/>
      <c r="K3" s="173"/>
      <c r="L3" s="173"/>
      <c r="M3" s="173"/>
      <c r="N3" s="173"/>
      <c r="O3" s="173"/>
      <c r="P3" s="173"/>
      <c r="Q3" s="173"/>
      <c r="R3" s="173"/>
      <c r="S3" s="173"/>
      <c r="T3" s="173"/>
      <c r="U3" s="173"/>
    </row>
    <row r="4" spans="1:21">
      <c r="A4" s="177" t="s">
        <v>9</v>
      </c>
      <c r="B4" s="173" t="s">
        <v>1416</v>
      </c>
      <c r="C4" s="176"/>
      <c r="D4" s="173"/>
      <c r="E4" s="173"/>
      <c r="F4" s="173"/>
      <c r="G4" s="173"/>
      <c r="H4" s="173"/>
      <c r="I4" s="173"/>
      <c r="J4" s="173"/>
      <c r="K4" s="173"/>
      <c r="L4" s="173"/>
      <c r="M4" s="173"/>
      <c r="N4" s="173"/>
      <c r="O4" s="173"/>
      <c r="P4" s="173"/>
      <c r="Q4" s="173"/>
      <c r="R4" s="173"/>
      <c r="S4" s="173"/>
      <c r="T4" s="173"/>
      <c r="U4" s="173"/>
    </row>
    <row r="5" spans="1:21" ht="16.5" customHeight="1">
      <c r="A5" s="177" t="s">
        <v>11</v>
      </c>
      <c r="B5" s="179" t="s">
        <v>913</v>
      </c>
      <c r="C5" s="173"/>
      <c r="D5" s="173"/>
      <c r="E5" s="173"/>
      <c r="F5" s="173"/>
      <c r="G5" s="173"/>
      <c r="H5" s="173"/>
      <c r="I5" s="173"/>
      <c r="J5" s="173"/>
      <c r="K5" s="173"/>
      <c r="L5" s="173"/>
      <c r="M5" s="173"/>
      <c r="N5" s="173"/>
      <c r="O5" s="173"/>
      <c r="P5" s="173"/>
      <c r="Q5" s="173"/>
      <c r="R5" s="173"/>
      <c r="S5" s="173"/>
      <c r="T5" s="173"/>
      <c r="U5" s="173"/>
    </row>
    <row r="6" spans="1:21">
      <c r="A6" s="177" t="s">
        <v>13</v>
      </c>
      <c r="B6" s="173" t="s">
        <v>14</v>
      </c>
      <c r="C6" s="173"/>
      <c r="D6" s="173"/>
      <c r="E6" s="173"/>
      <c r="F6" s="173"/>
      <c r="G6" s="173"/>
      <c r="H6" s="173"/>
      <c r="I6" s="173"/>
      <c r="J6" s="173"/>
      <c r="K6" s="173"/>
      <c r="L6" s="173"/>
      <c r="M6" s="173"/>
      <c r="N6" s="173"/>
      <c r="O6" s="173"/>
      <c r="P6" s="173"/>
      <c r="Q6" s="173"/>
      <c r="R6" s="173"/>
      <c r="S6" s="173"/>
      <c r="T6" s="173"/>
      <c r="U6" s="173"/>
    </row>
    <row r="7" spans="1:21">
      <c r="A7" s="177" t="s">
        <v>15</v>
      </c>
      <c r="B7" s="173">
        <f>B12</f>
        <v>0.19</v>
      </c>
      <c r="C7" s="173"/>
      <c r="D7" s="173"/>
      <c r="E7" s="173"/>
      <c r="F7" s="173"/>
      <c r="G7" s="173"/>
      <c r="H7" s="173"/>
      <c r="I7" s="173"/>
      <c r="J7" s="173"/>
      <c r="K7" s="173"/>
      <c r="L7" s="173"/>
      <c r="M7" s="173"/>
      <c r="N7" s="173"/>
      <c r="O7" s="173" t="s">
        <v>1417</v>
      </c>
      <c r="P7" s="173"/>
      <c r="Q7" s="173"/>
      <c r="R7" s="173"/>
      <c r="S7" s="173"/>
      <c r="T7" s="173"/>
      <c r="U7" s="173"/>
    </row>
    <row r="8" spans="1:21">
      <c r="A8" s="177" t="s">
        <v>16</v>
      </c>
      <c r="B8" s="173" t="s">
        <v>17</v>
      </c>
      <c r="C8" s="173"/>
      <c r="D8" s="173"/>
      <c r="E8" s="173"/>
      <c r="F8" s="173"/>
      <c r="G8" s="173"/>
      <c r="H8" s="173"/>
      <c r="I8" s="173"/>
      <c r="J8" s="173"/>
      <c r="K8" s="173"/>
      <c r="L8" s="173"/>
      <c r="M8" s="173"/>
      <c r="N8" s="173"/>
      <c r="O8" s="173"/>
      <c r="P8" s="173"/>
      <c r="Q8" s="173"/>
      <c r="R8" s="173"/>
      <c r="S8" s="173"/>
      <c r="T8" s="173"/>
      <c r="U8" s="173"/>
    </row>
    <row r="9" spans="1:21">
      <c r="A9" s="177" t="s">
        <v>18</v>
      </c>
      <c r="B9" s="173" t="s">
        <v>37</v>
      </c>
      <c r="C9" s="173"/>
      <c r="D9" s="173"/>
      <c r="E9" s="173"/>
      <c r="F9" s="173"/>
      <c r="G9" s="173"/>
      <c r="H9" s="173"/>
      <c r="I9" s="173"/>
      <c r="J9" s="173"/>
      <c r="K9" s="173"/>
      <c r="L9" s="173"/>
      <c r="M9" s="173"/>
      <c r="N9" s="173"/>
      <c r="O9" s="173"/>
      <c r="P9" s="173"/>
      <c r="Q9" s="173"/>
      <c r="R9" s="173"/>
      <c r="S9" s="173"/>
      <c r="T9" s="173"/>
      <c r="U9" s="173"/>
    </row>
    <row r="10" spans="1:21">
      <c r="A10" s="174" t="s">
        <v>19</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173"/>
      <c r="S11" s="173"/>
      <c r="T11" s="173"/>
      <c r="U11" s="173"/>
    </row>
    <row r="12" spans="1:21">
      <c r="A12" s="177" t="s">
        <v>1384</v>
      </c>
      <c r="B12" s="173">
        <f>'2B. ISOLATING DCDC CONVERTER'!B16</f>
        <v>0.19</v>
      </c>
      <c r="C12" s="173" t="s">
        <v>37</v>
      </c>
      <c r="D12" s="258" t="s">
        <v>2</v>
      </c>
      <c r="E12" s="173" t="s">
        <v>29</v>
      </c>
      <c r="F12" s="185" t="s">
        <v>14</v>
      </c>
      <c r="G12" s="173" t="s">
        <v>30</v>
      </c>
      <c r="H12" s="173">
        <v>1</v>
      </c>
      <c r="I12" s="173">
        <v>2.8722813232690055E-2</v>
      </c>
      <c r="J12" s="173" t="s">
        <v>31</v>
      </c>
      <c r="K12" s="173" t="s">
        <v>31</v>
      </c>
      <c r="L12" s="173" t="s">
        <v>31</v>
      </c>
      <c r="M12" s="173" t="s">
        <v>31</v>
      </c>
      <c r="N12" s="173"/>
      <c r="O12" s="173"/>
      <c r="P12" s="173"/>
      <c r="Q12" s="173"/>
      <c r="R12" s="173"/>
      <c r="S12" s="173"/>
      <c r="T12" s="173"/>
      <c r="U12" s="173"/>
    </row>
    <row r="13" spans="1:21">
      <c r="A13" s="173" t="s">
        <v>1418</v>
      </c>
      <c r="B13" s="173">
        <v>1</v>
      </c>
      <c r="C13" s="173" t="s">
        <v>18</v>
      </c>
      <c r="D13" s="258" t="s">
        <v>2</v>
      </c>
      <c r="E13" s="173" t="s">
        <v>29</v>
      </c>
      <c r="F13" s="185" t="s">
        <v>14</v>
      </c>
      <c r="G13" s="173" t="s">
        <v>33</v>
      </c>
      <c r="H13" s="173">
        <v>1</v>
      </c>
      <c r="I13" s="265">
        <f>B13</f>
        <v>1</v>
      </c>
      <c r="J13" s="173" t="s">
        <v>31</v>
      </c>
      <c r="K13" s="173" t="s">
        <v>31</v>
      </c>
      <c r="L13" s="173" t="s">
        <v>31</v>
      </c>
      <c r="M13" s="173" t="s">
        <v>31</v>
      </c>
      <c r="N13" s="173"/>
      <c r="O13" s="173"/>
      <c r="P13" s="173"/>
      <c r="Q13" s="173"/>
      <c r="R13" s="173"/>
      <c r="S13" s="173"/>
      <c r="T13" s="173"/>
      <c r="U13" s="173"/>
    </row>
    <row r="14" spans="1:21">
      <c r="A14" s="173" t="s">
        <v>1419</v>
      </c>
      <c r="B14" s="173">
        <v>1</v>
      </c>
      <c r="C14" s="173" t="s">
        <v>18</v>
      </c>
      <c r="D14" s="258" t="s">
        <v>2</v>
      </c>
      <c r="E14" s="173" t="s">
        <v>29</v>
      </c>
      <c r="F14" s="185" t="s">
        <v>14</v>
      </c>
      <c r="G14" s="173" t="s">
        <v>33</v>
      </c>
      <c r="H14" s="173">
        <v>1</v>
      </c>
      <c r="I14" s="265">
        <f>B14</f>
        <v>1</v>
      </c>
      <c r="J14" s="173" t="s">
        <v>31</v>
      </c>
      <c r="K14" s="173" t="s">
        <v>31</v>
      </c>
      <c r="L14" s="173" t="s">
        <v>31</v>
      </c>
      <c r="M14" s="173" t="s">
        <v>31</v>
      </c>
      <c r="N14" s="173"/>
      <c r="O14" s="173"/>
      <c r="P14" s="173"/>
      <c r="Q14" s="173"/>
      <c r="R14" s="173"/>
      <c r="S14" s="173"/>
      <c r="T14" s="173"/>
      <c r="U14" s="173"/>
    </row>
    <row r="15" spans="1:21">
      <c r="A15" s="232" t="s">
        <v>533</v>
      </c>
      <c r="B15" s="231">
        <f>R15</f>
        <v>1.8E-5</v>
      </c>
      <c r="C15" s="173" t="s">
        <v>37</v>
      </c>
      <c r="D15" s="173" t="s">
        <v>38</v>
      </c>
      <c r="E15" s="173" t="s">
        <v>29</v>
      </c>
      <c r="F15" s="185" t="s">
        <v>35</v>
      </c>
      <c r="G15" s="173" t="s">
        <v>33</v>
      </c>
      <c r="H15" s="173">
        <v>2</v>
      </c>
      <c r="I15" s="173">
        <f>LN(B15)</f>
        <v>-10.92513880006811</v>
      </c>
      <c r="J15" s="173">
        <v>2.8722813232690055E-2</v>
      </c>
      <c r="K15" s="173" t="s">
        <v>31</v>
      </c>
      <c r="L15" s="173" t="s">
        <v>31</v>
      </c>
      <c r="M15" s="173" t="s">
        <v>31</v>
      </c>
      <c r="N15" s="173"/>
      <c r="O15" s="222" t="s">
        <v>947</v>
      </c>
      <c r="P15" s="311">
        <v>1.7999999999999999E-2</v>
      </c>
      <c r="Q15" s="173" t="s">
        <v>337</v>
      </c>
      <c r="R15" s="231">
        <f>P15*0.001</f>
        <v>1.8E-5</v>
      </c>
      <c r="S15" s="173"/>
      <c r="T15" s="173"/>
      <c r="U15" s="173"/>
    </row>
    <row r="16" spans="1:21">
      <c r="A16" s="209" t="s">
        <v>5</v>
      </c>
      <c r="B16" s="210" t="s">
        <v>1419</v>
      </c>
      <c r="C16" s="211"/>
      <c r="D16" s="188"/>
      <c r="E16" s="188"/>
      <c r="F16" s="188"/>
      <c r="G16" s="188"/>
      <c r="H16" s="188"/>
      <c r="I16" s="188"/>
      <c r="J16" s="188"/>
      <c r="K16" s="188"/>
      <c r="L16" s="188"/>
      <c r="M16" s="188"/>
      <c r="N16" s="173"/>
      <c r="O16" s="173"/>
      <c r="P16" s="173"/>
      <c r="Q16" s="173"/>
      <c r="R16" s="173"/>
      <c r="S16" s="173"/>
      <c r="T16" s="173"/>
      <c r="U16" s="173"/>
    </row>
    <row r="17" spans="1:21">
      <c r="A17" s="177" t="s">
        <v>7</v>
      </c>
      <c r="B17" s="173" t="s">
        <v>566</v>
      </c>
      <c r="C17" s="176"/>
      <c r="D17" s="173"/>
      <c r="E17" s="173"/>
      <c r="F17" s="173"/>
      <c r="G17" s="173"/>
      <c r="H17" s="173"/>
      <c r="I17" s="173"/>
      <c r="J17" s="173"/>
      <c r="K17" s="173"/>
      <c r="L17" s="173"/>
      <c r="M17" s="173"/>
      <c r="N17" s="173"/>
      <c r="O17" s="173"/>
      <c r="P17" s="173"/>
      <c r="Q17" s="173"/>
      <c r="R17" s="173"/>
      <c r="S17" s="173"/>
      <c r="T17" s="173"/>
      <c r="U17" s="173"/>
    </row>
    <row r="18" spans="1:21">
      <c r="A18" s="177" t="s">
        <v>9</v>
      </c>
      <c r="B18" s="173" t="s">
        <v>1420</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11</v>
      </c>
      <c r="B19" s="179" t="s">
        <v>913</v>
      </c>
      <c r="C19" s="173"/>
      <c r="D19" s="173"/>
      <c r="E19" s="173"/>
      <c r="F19" s="173"/>
      <c r="G19" s="173"/>
      <c r="H19" s="173"/>
      <c r="I19" s="173"/>
      <c r="J19" s="173"/>
      <c r="K19" s="173"/>
      <c r="L19" s="173"/>
      <c r="M19" s="173"/>
      <c r="N19" s="173"/>
      <c r="O19" s="173"/>
      <c r="P19" s="173"/>
      <c r="Q19" s="173"/>
      <c r="R19" s="173"/>
      <c r="S19" s="173"/>
      <c r="T19" s="173"/>
      <c r="U19" s="173"/>
    </row>
    <row r="20" spans="1:21">
      <c r="A20" s="177" t="s">
        <v>13</v>
      </c>
      <c r="B20" s="173" t="s">
        <v>14</v>
      </c>
      <c r="C20" s="173"/>
      <c r="D20" s="173"/>
      <c r="E20" s="173"/>
      <c r="F20" s="173"/>
      <c r="G20" s="173"/>
      <c r="H20" s="173"/>
      <c r="I20" s="173"/>
      <c r="J20" s="173"/>
      <c r="K20" s="173"/>
      <c r="L20" s="173"/>
      <c r="M20" s="173"/>
      <c r="N20" s="173"/>
      <c r="O20" s="173"/>
      <c r="P20" s="173"/>
      <c r="Q20" s="173"/>
      <c r="R20" s="173"/>
      <c r="S20" s="173"/>
      <c r="T20" s="173"/>
      <c r="U20" s="173"/>
    </row>
    <row r="21" spans="1:21">
      <c r="A21" s="177" t="s">
        <v>15</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16</v>
      </c>
      <c r="B22" s="173" t="s">
        <v>17</v>
      </c>
      <c r="C22" s="173"/>
      <c r="D22" s="173"/>
      <c r="E22" s="173"/>
      <c r="F22" s="173"/>
      <c r="G22" s="173"/>
      <c r="H22" s="173"/>
      <c r="I22" s="173"/>
      <c r="J22" s="173"/>
      <c r="K22" s="173"/>
      <c r="L22" s="173"/>
      <c r="M22" s="173"/>
      <c r="N22" s="173"/>
      <c r="O22" s="173"/>
      <c r="P22" s="173"/>
      <c r="Q22" s="173"/>
      <c r="R22" s="173"/>
      <c r="S22" s="173"/>
      <c r="T22" s="173"/>
      <c r="U22" s="173"/>
    </row>
    <row r="23" spans="1:21">
      <c r="A23" s="177" t="s">
        <v>18</v>
      </c>
      <c r="B23" s="173" t="s">
        <v>18</v>
      </c>
      <c r="C23" s="173"/>
      <c r="D23" s="173"/>
      <c r="E23" s="173"/>
      <c r="F23" s="173"/>
      <c r="G23" s="173"/>
      <c r="H23" s="173"/>
      <c r="I23" s="173"/>
      <c r="J23" s="173"/>
      <c r="K23" s="173"/>
      <c r="L23" s="173"/>
      <c r="M23" s="173"/>
      <c r="N23" s="173"/>
      <c r="O23" s="173"/>
      <c r="P23" s="173"/>
      <c r="Q23" s="173"/>
      <c r="R23" s="173"/>
      <c r="S23" s="173"/>
      <c r="T23" s="173"/>
      <c r="U23" s="173"/>
    </row>
    <row r="24" spans="1:21">
      <c r="A24" s="174" t="s">
        <v>19</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20</v>
      </c>
      <c r="B25" s="175" t="s">
        <v>21</v>
      </c>
      <c r="C25" s="175" t="s">
        <v>18</v>
      </c>
      <c r="D25" s="175" t="s">
        <v>22</v>
      </c>
      <c r="E25" s="175" t="s">
        <v>7</v>
      </c>
      <c r="F25" s="175" t="s">
        <v>13</v>
      </c>
      <c r="G25" s="175" t="s">
        <v>16</v>
      </c>
      <c r="H25" s="175" t="s">
        <v>23</v>
      </c>
      <c r="I25" s="175" t="s">
        <v>24</v>
      </c>
      <c r="J25" s="175" t="s">
        <v>25</v>
      </c>
      <c r="K25" s="175" t="s">
        <v>26</v>
      </c>
      <c r="L25" s="175" t="s">
        <v>27</v>
      </c>
      <c r="M25" s="175" t="s">
        <v>28</v>
      </c>
      <c r="N25" s="175" t="s">
        <v>11</v>
      </c>
      <c r="O25" s="173"/>
      <c r="P25" s="173"/>
      <c r="Q25" s="173"/>
      <c r="R25" s="173"/>
      <c r="S25" s="173"/>
      <c r="T25" s="173"/>
      <c r="U25" s="173"/>
    </row>
    <row r="26" spans="1:21">
      <c r="A26" s="173" t="s">
        <v>1419</v>
      </c>
      <c r="B26" s="173">
        <v>1</v>
      </c>
      <c r="C26" s="173" t="s">
        <v>18</v>
      </c>
      <c r="D26" s="258" t="s">
        <v>2</v>
      </c>
      <c r="E26" s="173" t="s">
        <v>29</v>
      </c>
      <c r="F26" s="185" t="s">
        <v>14</v>
      </c>
      <c r="G26" s="173" t="s">
        <v>30</v>
      </c>
      <c r="H26" s="173">
        <v>1</v>
      </c>
      <c r="I26" s="265">
        <f>B26</f>
        <v>1</v>
      </c>
      <c r="J26" s="173" t="s">
        <v>31</v>
      </c>
      <c r="K26" s="173" t="s">
        <v>31</v>
      </c>
      <c r="L26" s="173" t="s">
        <v>31</v>
      </c>
      <c r="M26" s="173" t="s">
        <v>31</v>
      </c>
      <c r="N26" s="173"/>
      <c r="O26" s="173"/>
      <c r="P26" s="173"/>
      <c r="Q26" s="173"/>
      <c r="R26" s="173"/>
      <c r="S26" s="173"/>
      <c r="T26" s="173"/>
      <c r="U26" s="173"/>
    </row>
    <row r="27" spans="1:21">
      <c r="A27" s="232" t="s">
        <v>1056</v>
      </c>
      <c r="B27" s="173">
        <v>0.04</v>
      </c>
      <c r="C27" s="173" t="s">
        <v>37</v>
      </c>
      <c r="D27" s="173" t="s">
        <v>38</v>
      </c>
      <c r="E27" s="173" t="s">
        <v>29</v>
      </c>
      <c r="F27" s="173" t="s">
        <v>60</v>
      </c>
      <c r="G27" s="173" t="s">
        <v>33</v>
      </c>
      <c r="H27" s="173">
        <v>1</v>
      </c>
      <c r="I27" s="265">
        <f>B27</f>
        <v>0.04</v>
      </c>
      <c r="J27" s="173" t="s">
        <v>31</v>
      </c>
      <c r="K27" s="173" t="s">
        <v>31</v>
      </c>
      <c r="L27" s="173" t="s">
        <v>31</v>
      </c>
      <c r="M27" s="173" t="s">
        <v>31</v>
      </c>
      <c r="N27" s="173"/>
      <c r="O27" s="173"/>
      <c r="P27" s="173"/>
      <c r="Q27" s="173"/>
      <c r="R27" s="173"/>
      <c r="S27" s="173"/>
      <c r="T27" s="173"/>
      <c r="U27" s="173"/>
    </row>
    <row r="28" spans="1:21">
      <c r="A28" s="232" t="s">
        <v>1057</v>
      </c>
      <c r="B28" s="173">
        <f>R28</f>
        <v>2.9000000000000001E-2</v>
      </c>
      <c r="C28" s="173" t="s">
        <v>37</v>
      </c>
      <c r="D28" s="173" t="s">
        <v>38</v>
      </c>
      <c r="E28" s="173" t="s">
        <v>29</v>
      </c>
      <c r="F28" s="173" t="s">
        <v>60</v>
      </c>
      <c r="G28" s="173" t="s">
        <v>33</v>
      </c>
      <c r="H28" s="173">
        <v>2</v>
      </c>
      <c r="I28" s="173">
        <f>LN(B28)</f>
        <v>-3.5404594489956631</v>
      </c>
      <c r="J28" s="173">
        <v>3.7749172176353707E-2</v>
      </c>
      <c r="K28" s="173" t="s">
        <v>31</v>
      </c>
      <c r="L28" s="173" t="s">
        <v>31</v>
      </c>
      <c r="M28" s="173" t="s">
        <v>31</v>
      </c>
      <c r="N28" s="173"/>
      <c r="O28" s="242" t="s">
        <v>947</v>
      </c>
      <c r="P28" s="264">
        <v>29</v>
      </c>
      <c r="Q28" s="173" t="s">
        <v>337</v>
      </c>
      <c r="R28" s="173">
        <f>P28*0.001</f>
        <v>2.9000000000000001E-2</v>
      </c>
      <c r="S28" s="173"/>
      <c r="T28" s="173"/>
      <c r="U28" s="173"/>
    </row>
    <row r="29" spans="1:21">
      <c r="A29" s="232" t="s">
        <v>1058</v>
      </c>
      <c r="B29" s="173">
        <f>R29</f>
        <v>1.8000000000000002E-3</v>
      </c>
      <c r="C29" s="173" t="s">
        <v>37</v>
      </c>
      <c r="D29" s="173" t="s">
        <v>38</v>
      </c>
      <c r="E29" s="173" t="s">
        <v>29</v>
      </c>
      <c r="F29" s="173" t="s">
        <v>60</v>
      </c>
      <c r="G29" s="173" t="s">
        <v>33</v>
      </c>
      <c r="H29" s="173">
        <v>2</v>
      </c>
      <c r="I29" s="173">
        <f>LN(B29)</f>
        <v>-6.3199686140800182</v>
      </c>
      <c r="J29" s="173">
        <v>3.7749172176353707E-2</v>
      </c>
      <c r="K29" s="173" t="s">
        <v>31</v>
      </c>
      <c r="L29" s="173" t="s">
        <v>31</v>
      </c>
      <c r="M29" s="173" t="s">
        <v>31</v>
      </c>
      <c r="N29" s="173"/>
      <c r="O29" s="242" t="s">
        <v>947</v>
      </c>
      <c r="P29" s="264">
        <v>1.8</v>
      </c>
      <c r="Q29" s="173" t="s">
        <v>337</v>
      </c>
      <c r="R29" s="173">
        <f t="shared" ref="R29:R30" si="0">P29*0.001</f>
        <v>1.8000000000000002E-3</v>
      </c>
      <c r="S29" s="173"/>
      <c r="T29" s="173"/>
      <c r="U29" s="173"/>
    </row>
    <row r="30" spans="1:21">
      <c r="A30" s="232" t="s">
        <v>1059</v>
      </c>
      <c r="B30" s="173">
        <f>R30</f>
        <v>1.3000000000000001E-2</v>
      </c>
      <c r="C30" s="173" t="s">
        <v>37</v>
      </c>
      <c r="D30" s="173" t="s">
        <v>38</v>
      </c>
      <c r="E30" s="173" t="s">
        <v>29</v>
      </c>
      <c r="F30" s="173" t="s">
        <v>60</v>
      </c>
      <c r="G30" s="173" t="s">
        <v>33</v>
      </c>
      <c r="H30" s="173">
        <v>2</v>
      </c>
      <c r="I30" s="173">
        <f>LN(B30)</f>
        <v>-4.3428059215206005</v>
      </c>
      <c r="J30" s="173">
        <v>3.7749172176353707E-2</v>
      </c>
      <c r="K30" s="173" t="s">
        <v>31</v>
      </c>
      <c r="L30" s="173" t="s">
        <v>31</v>
      </c>
      <c r="M30" s="173" t="s">
        <v>31</v>
      </c>
      <c r="N30" s="173"/>
      <c r="O30" s="242" t="s">
        <v>947</v>
      </c>
      <c r="P30" s="264">
        <v>13</v>
      </c>
      <c r="Q30" s="173" t="s">
        <v>337</v>
      </c>
      <c r="R30" s="173">
        <f t="shared" si="0"/>
        <v>1.3000000000000001E-2</v>
      </c>
      <c r="S30" s="173"/>
      <c r="T30" s="173"/>
      <c r="U30" s="173"/>
    </row>
    <row r="31" spans="1:21">
      <c r="A31" s="209" t="s">
        <v>5</v>
      </c>
      <c r="B31" s="210" t="s">
        <v>1418</v>
      </c>
      <c r="C31" s="211"/>
      <c r="D31" s="188"/>
      <c r="E31" s="188"/>
      <c r="F31" s="188"/>
      <c r="G31" s="188"/>
      <c r="H31" s="188"/>
      <c r="I31" s="188"/>
      <c r="J31" s="188"/>
      <c r="K31" s="188"/>
      <c r="L31" s="188"/>
      <c r="M31" s="188"/>
      <c r="N31" s="173"/>
      <c r="O31" s="173"/>
      <c r="P31" s="173"/>
      <c r="Q31" s="173"/>
      <c r="R31" s="173"/>
      <c r="S31" s="173"/>
      <c r="T31" s="173"/>
      <c r="U31" s="173"/>
    </row>
    <row r="32" spans="1:21">
      <c r="A32" s="177" t="s">
        <v>7</v>
      </c>
      <c r="B32" s="173" t="s">
        <v>566</v>
      </c>
      <c r="C32" s="176"/>
      <c r="D32" s="173"/>
      <c r="E32" s="173"/>
      <c r="F32" s="173"/>
      <c r="G32" s="173"/>
      <c r="H32" s="173"/>
      <c r="I32" s="173"/>
      <c r="J32" s="173"/>
      <c r="K32" s="173"/>
      <c r="L32" s="173"/>
      <c r="M32" s="173"/>
      <c r="N32" s="173"/>
      <c r="O32" s="173"/>
      <c r="P32" s="173"/>
      <c r="Q32" s="173"/>
      <c r="R32" s="173"/>
      <c r="S32" s="173"/>
      <c r="T32" s="173"/>
      <c r="U32" s="173"/>
    </row>
    <row r="33" spans="1:21">
      <c r="A33" s="177" t="s">
        <v>9</v>
      </c>
      <c r="B33" s="173" t="s">
        <v>1421</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11</v>
      </c>
      <c r="B34" s="179" t="s">
        <v>913</v>
      </c>
      <c r="C34" s="173"/>
      <c r="D34" s="173"/>
      <c r="E34" s="173"/>
      <c r="F34" s="173"/>
      <c r="G34" s="173"/>
      <c r="H34" s="173"/>
      <c r="I34" s="173"/>
      <c r="J34" s="173"/>
      <c r="K34" s="173"/>
      <c r="L34" s="173"/>
      <c r="M34" s="173"/>
      <c r="N34" s="173"/>
      <c r="O34" s="173"/>
      <c r="P34" s="173"/>
      <c r="Q34" s="173"/>
      <c r="R34" s="173"/>
      <c r="S34" s="173"/>
      <c r="T34" s="173"/>
      <c r="U34" s="173"/>
    </row>
    <row r="35" spans="1:21">
      <c r="A35" s="177" t="s">
        <v>13</v>
      </c>
      <c r="B35" s="173" t="s">
        <v>14</v>
      </c>
      <c r="C35" s="173"/>
      <c r="D35" s="173"/>
      <c r="E35" s="173"/>
      <c r="F35" s="173"/>
      <c r="G35" s="173"/>
      <c r="H35" s="173"/>
      <c r="I35" s="173"/>
      <c r="J35" s="173"/>
      <c r="K35" s="173"/>
      <c r="L35" s="173"/>
      <c r="M35" s="173"/>
      <c r="N35" s="173"/>
      <c r="O35" s="173"/>
      <c r="P35" s="173"/>
      <c r="Q35" s="173"/>
      <c r="R35" s="173"/>
      <c r="S35" s="173"/>
      <c r="T35" s="173"/>
      <c r="U35" s="173"/>
    </row>
    <row r="36" spans="1:21">
      <c r="A36" s="177" t="s">
        <v>15</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16</v>
      </c>
      <c r="B37" s="173" t="s">
        <v>17</v>
      </c>
      <c r="C37" s="173"/>
      <c r="D37" s="173"/>
      <c r="E37" s="173"/>
      <c r="F37" s="173"/>
      <c r="G37" s="173"/>
      <c r="H37" s="173"/>
      <c r="I37" s="173"/>
      <c r="J37" s="173"/>
      <c r="K37" s="173"/>
      <c r="L37" s="173"/>
      <c r="M37" s="173"/>
      <c r="N37" s="173"/>
      <c r="O37" s="173"/>
      <c r="P37" s="173"/>
      <c r="Q37" s="173"/>
      <c r="R37" s="173"/>
      <c r="S37" s="173"/>
      <c r="T37" s="173"/>
      <c r="U37" s="173"/>
    </row>
    <row r="38" spans="1:21">
      <c r="A38" s="177" t="s">
        <v>18</v>
      </c>
      <c r="B38" s="173" t="s">
        <v>18</v>
      </c>
      <c r="C38" s="173"/>
      <c r="D38" s="173"/>
      <c r="E38" s="173"/>
      <c r="F38" s="173"/>
      <c r="G38" s="173"/>
      <c r="H38" s="173"/>
      <c r="I38" s="173"/>
      <c r="J38" s="173"/>
      <c r="K38" s="173"/>
      <c r="L38" s="173"/>
      <c r="M38" s="173"/>
      <c r="N38" s="173"/>
      <c r="O38" s="173"/>
      <c r="P38" s="173"/>
      <c r="Q38" s="173"/>
      <c r="R38" s="173"/>
      <c r="S38" s="173"/>
      <c r="T38" s="173"/>
      <c r="U38" s="173"/>
    </row>
    <row r="39" spans="1:21">
      <c r="A39" s="174" t="s">
        <v>19</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20</v>
      </c>
      <c r="B40" s="175" t="s">
        <v>21</v>
      </c>
      <c r="C40" s="175" t="s">
        <v>18</v>
      </c>
      <c r="D40" s="175" t="s">
        <v>22</v>
      </c>
      <c r="E40" s="175" t="s">
        <v>7</v>
      </c>
      <c r="F40" s="175" t="s">
        <v>13</v>
      </c>
      <c r="G40" s="175" t="s">
        <v>16</v>
      </c>
      <c r="H40" s="175" t="s">
        <v>23</v>
      </c>
      <c r="I40" s="175" t="s">
        <v>24</v>
      </c>
      <c r="J40" s="175" t="s">
        <v>25</v>
      </c>
      <c r="K40" s="175" t="s">
        <v>26</v>
      </c>
      <c r="L40" s="175" t="s">
        <v>27</v>
      </c>
      <c r="M40" s="175" t="s">
        <v>28</v>
      </c>
      <c r="N40" s="175" t="s">
        <v>11</v>
      </c>
      <c r="O40" s="173"/>
      <c r="P40" s="173"/>
      <c r="Q40" s="173"/>
      <c r="R40" s="173"/>
      <c r="S40" s="173"/>
      <c r="T40" s="173"/>
      <c r="U40" s="173"/>
    </row>
    <row r="41" spans="1:21">
      <c r="A41" s="173" t="s">
        <v>1418</v>
      </c>
      <c r="B41" s="173">
        <v>1</v>
      </c>
      <c r="C41" s="173" t="s">
        <v>18</v>
      </c>
      <c r="D41" s="258" t="s">
        <v>2</v>
      </c>
      <c r="E41" s="173" t="s">
        <v>29</v>
      </c>
      <c r="F41" s="185" t="s">
        <v>14</v>
      </c>
      <c r="G41" s="173" t="s">
        <v>30</v>
      </c>
      <c r="H41" s="173">
        <v>1</v>
      </c>
      <c r="I41" s="265">
        <f>B41</f>
        <v>1</v>
      </c>
      <c r="J41" s="173" t="s">
        <v>31</v>
      </c>
      <c r="K41" s="173" t="s">
        <v>31</v>
      </c>
      <c r="L41" s="173" t="s">
        <v>31</v>
      </c>
      <c r="M41" s="173" t="s">
        <v>31</v>
      </c>
      <c r="N41" s="173"/>
      <c r="O41" s="173"/>
      <c r="P41" s="173"/>
      <c r="Q41" s="173"/>
      <c r="R41" s="173"/>
      <c r="S41" s="173"/>
      <c r="T41" s="173"/>
      <c r="U41" s="173"/>
    </row>
    <row r="42" spans="1:21">
      <c r="A42" s="232" t="s">
        <v>1422</v>
      </c>
      <c r="B42" s="173">
        <f>B55</f>
        <v>1.4E-2</v>
      </c>
      <c r="C42" s="173" t="s">
        <v>37</v>
      </c>
      <c r="D42" s="258" t="s">
        <v>2</v>
      </c>
      <c r="E42" s="173" t="s">
        <v>29</v>
      </c>
      <c r="F42" s="185" t="s">
        <v>14</v>
      </c>
      <c r="G42" s="173" t="s">
        <v>33</v>
      </c>
      <c r="H42" s="173">
        <v>1</v>
      </c>
      <c r="I42" s="265">
        <f>B42</f>
        <v>1.4E-2</v>
      </c>
      <c r="J42" s="173" t="s">
        <v>31</v>
      </c>
      <c r="K42" s="173" t="s">
        <v>31</v>
      </c>
      <c r="L42" s="173" t="s">
        <v>31</v>
      </c>
      <c r="M42" s="173" t="s">
        <v>31</v>
      </c>
      <c r="N42" s="173"/>
      <c r="O42" s="242" t="s">
        <v>337</v>
      </c>
      <c r="P42" s="264">
        <v>0.02</v>
      </c>
      <c r="Q42" s="173" t="s">
        <v>337</v>
      </c>
      <c r="R42" s="173">
        <f>P42</f>
        <v>0.02</v>
      </c>
      <c r="S42" s="173"/>
      <c r="T42" s="173"/>
      <c r="U42" s="173"/>
    </row>
    <row r="43" spans="1:21">
      <c r="A43" s="232" t="s">
        <v>1423</v>
      </c>
      <c r="B43" s="173">
        <v>1</v>
      </c>
      <c r="C43" s="173" t="s">
        <v>18</v>
      </c>
      <c r="D43" s="258" t="s">
        <v>2</v>
      </c>
      <c r="E43" s="173" t="s">
        <v>29</v>
      </c>
      <c r="F43" s="185" t="s">
        <v>14</v>
      </c>
      <c r="G43" s="173" t="s">
        <v>33</v>
      </c>
      <c r="H43" s="173">
        <v>1</v>
      </c>
      <c r="I43" s="265">
        <f>B43</f>
        <v>1</v>
      </c>
      <c r="J43" s="173" t="s">
        <v>31</v>
      </c>
      <c r="K43" s="173" t="s">
        <v>31</v>
      </c>
      <c r="L43" s="173" t="s">
        <v>31</v>
      </c>
      <c r="M43" s="173" t="s">
        <v>31</v>
      </c>
      <c r="N43" s="173"/>
      <c r="O43" s="173"/>
      <c r="P43" s="173"/>
      <c r="Q43" s="173"/>
      <c r="R43" s="173"/>
      <c r="S43" s="173"/>
      <c r="T43" s="173"/>
      <c r="U43" s="173"/>
    </row>
    <row r="44" spans="1:21">
      <c r="A44" s="177" t="s">
        <v>168</v>
      </c>
      <c r="B44" s="191">
        <f>R44</f>
        <v>0.03</v>
      </c>
      <c r="C44" s="173" t="s">
        <v>41</v>
      </c>
      <c r="D44" s="173" t="s">
        <v>38</v>
      </c>
      <c r="E44" s="173" t="s">
        <v>29</v>
      </c>
      <c r="F44" s="185" t="s">
        <v>35</v>
      </c>
      <c r="G44" s="173" t="s">
        <v>33</v>
      </c>
      <c r="H44" s="173">
        <v>2</v>
      </c>
      <c r="I44" s="173">
        <f t="shared" ref="I44" si="1">LN(B44)</f>
        <v>-3.5065578973199818</v>
      </c>
      <c r="J44" s="173">
        <v>7.2284161474004766E-2</v>
      </c>
      <c r="K44" s="173" t="s">
        <v>31</v>
      </c>
      <c r="L44" s="173" t="s">
        <v>31</v>
      </c>
      <c r="M44" s="173" t="s">
        <v>31</v>
      </c>
      <c r="N44" s="173"/>
      <c r="O44" s="222" t="s">
        <v>332</v>
      </c>
      <c r="P44" s="233">
        <v>0.03</v>
      </c>
      <c r="Q44" s="173" t="s">
        <v>332</v>
      </c>
      <c r="R44" s="191">
        <f>P44</f>
        <v>0.03</v>
      </c>
      <c r="S44" s="173"/>
      <c r="T44" s="173"/>
      <c r="U44" s="173"/>
    </row>
    <row r="45" spans="1:21">
      <c r="A45" s="209" t="s">
        <v>5</v>
      </c>
      <c r="B45" s="210" t="s">
        <v>1422</v>
      </c>
      <c r="C45" s="211"/>
      <c r="D45" s="188"/>
      <c r="E45" s="188"/>
      <c r="F45" s="188"/>
      <c r="G45" s="188"/>
      <c r="H45" s="188"/>
      <c r="I45" s="188"/>
      <c r="J45" s="188"/>
      <c r="K45" s="188"/>
      <c r="L45" s="188"/>
      <c r="M45" s="188"/>
      <c r="N45" s="173"/>
      <c r="O45" s="173"/>
      <c r="P45" s="173"/>
      <c r="Q45" s="173"/>
      <c r="R45" s="173"/>
      <c r="S45" s="173"/>
      <c r="T45" s="173"/>
      <c r="U45" s="173"/>
    </row>
    <row r="46" spans="1:21">
      <c r="A46" s="177" t="s">
        <v>7</v>
      </c>
      <c r="B46" s="173" t="s">
        <v>566</v>
      </c>
      <c r="C46" s="176"/>
      <c r="D46" s="173"/>
      <c r="E46" s="173"/>
      <c r="F46" s="173"/>
      <c r="G46" s="173"/>
      <c r="H46" s="173"/>
      <c r="I46" s="173"/>
      <c r="J46" s="173"/>
      <c r="K46" s="173"/>
      <c r="L46" s="173"/>
      <c r="M46" s="173"/>
      <c r="N46" s="173"/>
      <c r="O46" s="173"/>
      <c r="P46" s="173"/>
      <c r="Q46" s="173"/>
      <c r="R46" s="173"/>
      <c r="S46" s="173"/>
      <c r="T46" s="173"/>
      <c r="U46" s="173"/>
    </row>
    <row r="47" spans="1:21">
      <c r="A47" s="177" t="s">
        <v>9</v>
      </c>
      <c r="B47" s="173" t="s">
        <v>1424</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11</v>
      </c>
      <c r="B48" s="179" t="s">
        <v>913</v>
      </c>
      <c r="C48" s="173"/>
      <c r="D48" s="173"/>
      <c r="E48" s="173"/>
      <c r="F48" s="173"/>
      <c r="G48" s="173"/>
      <c r="H48" s="173"/>
      <c r="I48" s="173"/>
      <c r="J48" s="173"/>
      <c r="K48" s="173"/>
      <c r="L48" s="173"/>
      <c r="M48" s="173"/>
      <c r="N48" s="173"/>
      <c r="O48" s="173"/>
      <c r="P48" s="173"/>
      <c r="Q48" s="173"/>
      <c r="R48" s="173"/>
      <c r="S48" s="173"/>
      <c r="T48" s="173"/>
      <c r="U48" s="173"/>
    </row>
    <row r="49" spans="1:21">
      <c r="A49" s="177" t="s">
        <v>13</v>
      </c>
      <c r="B49" s="173" t="s">
        <v>14</v>
      </c>
      <c r="C49" s="173"/>
      <c r="D49" s="173"/>
      <c r="E49" s="173"/>
      <c r="F49" s="173"/>
      <c r="G49" s="173"/>
      <c r="H49" s="173"/>
      <c r="I49" s="173"/>
      <c r="J49" s="173"/>
      <c r="K49" s="173"/>
      <c r="L49" s="173"/>
      <c r="M49" s="173"/>
      <c r="N49" s="173"/>
      <c r="O49" s="173"/>
      <c r="P49" s="173"/>
      <c r="Q49" s="173"/>
      <c r="R49" s="173"/>
      <c r="S49" s="173"/>
      <c r="T49" s="173"/>
      <c r="U49" s="173"/>
    </row>
    <row r="50" spans="1:21">
      <c r="A50" s="177" t="s">
        <v>15</v>
      </c>
      <c r="B50" s="173">
        <f>B55</f>
        <v>1.4E-2</v>
      </c>
      <c r="C50" s="173"/>
      <c r="D50" s="173"/>
      <c r="E50" s="173"/>
      <c r="F50" s="173"/>
      <c r="G50" s="173"/>
      <c r="H50" s="173"/>
      <c r="I50" s="173"/>
      <c r="J50" s="173"/>
      <c r="K50" s="173"/>
      <c r="L50" s="173"/>
      <c r="M50" s="173"/>
      <c r="N50" s="173"/>
      <c r="O50" s="173"/>
      <c r="P50" s="173"/>
      <c r="Q50" s="173"/>
      <c r="R50" s="173"/>
      <c r="S50" s="173"/>
      <c r="T50" s="173"/>
      <c r="U50" s="173"/>
    </row>
    <row r="51" spans="1:21">
      <c r="A51" s="177" t="s">
        <v>16</v>
      </c>
      <c r="B51" s="173" t="s">
        <v>17</v>
      </c>
      <c r="C51" s="173"/>
      <c r="D51" s="173"/>
      <c r="E51" s="173"/>
      <c r="F51" s="173"/>
      <c r="G51" s="173"/>
      <c r="H51" s="173"/>
      <c r="I51" s="173"/>
      <c r="J51" s="173"/>
      <c r="K51" s="173"/>
      <c r="L51" s="173"/>
      <c r="M51" s="173"/>
      <c r="N51" s="173"/>
      <c r="O51" s="173"/>
      <c r="P51" s="173"/>
      <c r="Q51" s="173"/>
      <c r="R51" s="173"/>
      <c r="S51" s="173"/>
      <c r="T51" s="173"/>
      <c r="U51" s="173"/>
    </row>
    <row r="52" spans="1:21">
      <c r="A52" s="177" t="s">
        <v>18</v>
      </c>
      <c r="B52" s="173" t="s">
        <v>37</v>
      </c>
      <c r="C52" s="173"/>
      <c r="D52" s="173"/>
      <c r="E52" s="173"/>
      <c r="F52" s="173"/>
      <c r="G52" s="173"/>
      <c r="H52" s="173"/>
      <c r="I52" s="173"/>
      <c r="J52" s="173"/>
      <c r="K52" s="173"/>
      <c r="L52" s="173"/>
      <c r="M52" s="173"/>
      <c r="N52" s="173"/>
      <c r="O52" s="173"/>
      <c r="P52" s="173"/>
      <c r="Q52" s="173"/>
      <c r="R52" s="173"/>
      <c r="S52" s="173"/>
      <c r="T52" s="173"/>
      <c r="U52" s="173"/>
    </row>
    <row r="53" spans="1:21">
      <c r="A53" s="174" t="s">
        <v>19</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20</v>
      </c>
      <c r="B54" s="175" t="s">
        <v>21</v>
      </c>
      <c r="C54" s="175" t="s">
        <v>18</v>
      </c>
      <c r="D54" s="175" t="s">
        <v>22</v>
      </c>
      <c r="E54" s="175" t="s">
        <v>7</v>
      </c>
      <c r="F54" s="175" t="s">
        <v>13</v>
      </c>
      <c r="G54" s="175" t="s">
        <v>16</v>
      </c>
      <c r="H54" s="175" t="s">
        <v>23</v>
      </c>
      <c r="I54" s="175" t="s">
        <v>24</v>
      </c>
      <c r="J54" s="175" t="s">
        <v>25</v>
      </c>
      <c r="K54" s="175" t="s">
        <v>26</v>
      </c>
      <c r="L54" s="175" t="s">
        <v>27</v>
      </c>
      <c r="M54" s="175" t="s">
        <v>28</v>
      </c>
      <c r="N54" s="175" t="s">
        <v>11</v>
      </c>
      <c r="O54" s="173"/>
      <c r="P54" s="173"/>
      <c r="Q54" s="173"/>
      <c r="R54" s="173"/>
      <c r="S54" s="173"/>
      <c r="T54" s="173"/>
      <c r="U54" s="173"/>
    </row>
    <row r="55" spans="1:21">
      <c r="A55" s="232" t="s">
        <v>1422</v>
      </c>
      <c r="B55" s="173">
        <f>P55</f>
        <v>1.4E-2</v>
      </c>
      <c r="C55" s="173" t="s">
        <v>37</v>
      </c>
      <c r="D55" s="258" t="s">
        <v>2</v>
      </c>
      <c r="E55" s="173" t="s">
        <v>29</v>
      </c>
      <c r="F55" s="185" t="s">
        <v>14</v>
      </c>
      <c r="G55" s="173" t="s">
        <v>30</v>
      </c>
      <c r="H55" s="173">
        <v>1</v>
      </c>
      <c r="I55" s="265">
        <f>B55</f>
        <v>1.4E-2</v>
      </c>
      <c r="J55" s="173" t="s">
        <v>31</v>
      </c>
      <c r="K55" s="173" t="s">
        <v>31</v>
      </c>
      <c r="L55" s="173" t="s">
        <v>31</v>
      </c>
      <c r="M55" s="173" t="s">
        <v>31</v>
      </c>
      <c r="N55" s="173"/>
      <c r="O55" s="242" t="s">
        <v>337</v>
      </c>
      <c r="P55" s="264">
        <v>1.4E-2</v>
      </c>
      <c r="Q55" s="173" t="s">
        <v>337</v>
      </c>
      <c r="R55" s="173">
        <f>P55</f>
        <v>1.4E-2</v>
      </c>
      <c r="S55" s="173"/>
      <c r="T55" s="173"/>
      <c r="U55" s="173"/>
    </row>
    <row r="56" spans="1:21">
      <c r="A56" s="232" t="s">
        <v>533</v>
      </c>
      <c r="B56" s="231">
        <f>R56</f>
        <v>1.4E-2</v>
      </c>
      <c r="C56" s="173" t="s">
        <v>37</v>
      </c>
      <c r="D56" s="173" t="s">
        <v>38</v>
      </c>
      <c r="E56" s="173" t="s">
        <v>29</v>
      </c>
      <c r="F56" s="185" t="s">
        <v>35</v>
      </c>
      <c r="G56" s="173" t="s">
        <v>33</v>
      </c>
      <c r="H56" s="173">
        <v>2</v>
      </c>
      <c r="I56" s="173">
        <f>LN(B56)</f>
        <v>-4.2686979493668789</v>
      </c>
      <c r="J56" s="173">
        <v>2.8722813232690055E-2</v>
      </c>
      <c r="K56" s="173" t="s">
        <v>31</v>
      </c>
      <c r="L56" s="173" t="s">
        <v>31</v>
      </c>
      <c r="M56" s="173" t="s">
        <v>31</v>
      </c>
      <c r="N56" s="173"/>
      <c r="O56" s="222" t="s">
        <v>337</v>
      </c>
      <c r="P56" s="264">
        <v>1.4E-2</v>
      </c>
      <c r="Q56" s="173" t="s">
        <v>337</v>
      </c>
      <c r="R56" s="231">
        <f>P56</f>
        <v>1.4E-2</v>
      </c>
      <c r="S56" s="173"/>
      <c r="T56" s="173"/>
      <c r="U56" s="173"/>
    </row>
    <row r="57" spans="1:21">
      <c r="A57" s="177" t="s">
        <v>168</v>
      </c>
      <c r="B57" s="184">
        <f>R57</f>
        <v>4.0000000000000001E-3</v>
      </c>
      <c r="C57" s="173" t="s">
        <v>41</v>
      </c>
      <c r="D57" s="173" t="s">
        <v>38</v>
      </c>
      <c r="E57" s="173" t="s">
        <v>29</v>
      </c>
      <c r="F57" s="185" t="s">
        <v>35</v>
      </c>
      <c r="G57" s="173" t="s">
        <v>33</v>
      </c>
      <c r="H57" s="173">
        <v>2</v>
      </c>
      <c r="I57" s="173">
        <f t="shared" ref="I57" si="2">LN(B57)</f>
        <v>-5.521460917862246</v>
      </c>
      <c r="J57" s="173">
        <v>7.2284161474004766E-2</v>
      </c>
      <c r="K57" s="173" t="s">
        <v>31</v>
      </c>
      <c r="L57" s="173" t="s">
        <v>31</v>
      </c>
      <c r="M57" s="173" t="s">
        <v>31</v>
      </c>
      <c r="N57" s="173"/>
      <c r="O57" s="222" t="s">
        <v>332</v>
      </c>
      <c r="P57" s="264">
        <v>4.0000000000000001E-3</v>
      </c>
      <c r="Q57" s="173" t="s">
        <v>332</v>
      </c>
      <c r="R57" s="184">
        <f>P57</f>
        <v>4.0000000000000001E-3</v>
      </c>
      <c r="S57" s="173"/>
      <c r="T57" s="173"/>
      <c r="U57" s="173"/>
    </row>
    <row r="58" spans="1:21">
      <c r="A58" s="209" t="s">
        <v>5</v>
      </c>
      <c r="B58" s="323" t="s">
        <v>1423</v>
      </c>
      <c r="C58" s="211"/>
      <c r="D58" s="188"/>
      <c r="E58" s="188"/>
      <c r="F58" s="188"/>
      <c r="G58" s="188"/>
      <c r="H58" s="188"/>
      <c r="I58" s="188"/>
      <c r="J58" s="188"/>
      <c r="K58" s="188"/>
      <c r="L58" s="188"/>
      <c r="M58" s="188"/>
      <c r="N58" s="173"/>
      <c r="O58" s="173"/>
      <c r="P58" s="173"/>
      <c r="Q58" s="173"/>
      <c r="R58" s="173"/>
      <c r="S58" s="173"/>
      <c r="T58" s="173"/>
      <c r="U58" s="173"/>
    </row>
    <row r="59" spans="1:21">
      <c r="A59" s="177" t="s">
        <v>7</v>
      </c>
      <c r="B59" s="173" t="s">
        <v>566</v>
      </c>
      <c r="C59" s="176"/>
      <c r="D59" s="173"/>
      <c r="E59" s="173"/>
      <c r="F59" s="173"/>
      <c r="G59" s="173"/>
      <c r="H59" s="173"/>
      <c r="I59" s="173"/>
      <c r="J59" s="173"/>
      <c r="K59" s="173"/>
      <c r="L59" s="173"/>
      <c r="M59" s="173"/>
      <c r="N59" s="173"/>
      <c r="O59" s="173"/>
      <c r="P59" s="173"/>
      <c r="Q59" s="173"/>
      <c r="R59" s="173"/>
      <c r="S59" s="173"/>
      <c r="T59" s="173"/>
      <c r="U59" s="173"/>
    </row>
    <row r="60" spans="1:21">
      <c r="A60" s="276" t="s">
        <v>9</v>
      </c>
      <c r="B60" s="173" t="s">
        <v>1425</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11</v>
      </c>
      <c r="B61" s="179" t="s">
        <v>913</v>
      </c>
      <c r="C61" s="173"/>
      <c r="D61" s="173"/>
      <c r="E61" s="173"/>
      <c r="F61" s="173"/>
      <c r="G61" s="173"/>
      <c r="H61" s="173"/>
      <c r="I61" s="173"/>
      <c r="J61" s="173"/>
      <c r="K61" s="173"/>
      <c r="L61" s="173"/>
      <c r="M61" s="173"/>
      <c r="N61" s="173"/>
      <c r="O61" s="173"/>
      <c r="P61" s="173"/>
      <c r="Q61" s="173"/>
      <c r="R61" s="173"/>
      <c r="S61" s="173"/>
      <c r="T61" s="173"/>
      <c r="U61" s="173"/>
    </row>
    <row r="62" spans="1:21">
      <c r="A62" s="177" t="s">
        <v>13</v>
      </c>
      <c r="B62" s="173" t="s">
        <v>14</v>
      </c>
      <c r="C62" s="173"/>
      <c r="D62" s="173"/>
      <c r="E62" s="173"/>
      <c r="F62" s="173"/>
      <c r="G62" s="173"/>
      <c r="H62" s="173"/>
      <c r="I62" s="173"/>
      <c r="J62" s="173"/>
      <c r="K62" s="173"/>
      <c r="L62" s="173"/>
      <c r="M62" s="173"/>
      <c r="N62" s="173"/>
      <c r="O62" s="173"/>
      <c r="P62" s="173"/>
      <c r="Q62" s="173"/>
      <c r="R62" s="173"/>
      <c r="S62" s="173"/>
      <c r="T62" s="173"/>
      <c r="U62" s="173"/>
    </row>
    <row r="63" spans="1:21">
      <c r="A63" s="177" t="s">
        <v>15</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16</v>
      </c>
      <c r="B64" s="173" t="s">
        <v>17</v>
      </c>
      <c r="C64" s="173"/>
      <c r="D64" s="173"/>
      <c r="E64" s="173"/>
      <c r="F64" s="173"/>
      <c r="G64" s="173"/>
      <c r="H64" s="173"/>
      <c r="I64" s="173"/>
      <c r="J64" s="173"/>
      <c r="K64" s="173"/>
      <c r="L64" s="173"/>
      <c r="M64" s="173"/>
      <c r="N64" s="173"/>
      <c r="O64" s="173"/>
      <c r="P64" s="173"/>
      <c r="Q64" s="173"/>
      <c r="R64" s="173"/>
      <c r="S64" s="173"/>
      <c r="T64" s="173"/>
      <c r="U64" s="173"/>
    </row>
    <row r="65" spans="1:21">
      <c r="A65" s="177" t="s">
        <v>18</v>
      </c>
      <c r="B65" s="173" t="s">
        <v>18</v>
      </c>
      <c r="C65" s="173"/>
      <c r="D65" s="173"/>
      <c r="E65" s="173"/>
      <c r="F65" s="173"/>
      <c r="G65" s="173"/>
      <c r="H65" s="173"/>
      <c r="I65" s="173"/>
      <c r="J65" s="173"/>
      <c r="K65" s="173"/>
      <c r="L65" s="173"/>
      <c r="M65" s="173"/>
      <c r="N65" s="173"/>
      <c r="O65" s="173"/>
      <c r="P65" s="173"/>
      <c r="Q65" s="173"/>
      <c r="R65" s="173"/>
      <c r="S65" s="173"/>
      <c r="T65" s="173"/>
      <c r="U65" s="173"/>
    </row>
    <row r="66" spans="1:21">
      <c r="A66" s="174" t="s">
        <v>19</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20</v>
      </c>
      <c r="B67" s="175" t="s">
        <v>21</v>
      </c>
      <c r="C67" s="175" t="s">
        <v>18</v>
      </c>
      <c r="D67" s="175" t="s">
        <v>22</v>
      </c>
      <c r="E67" s="175" t="s">
        <v>7</v>
      </c>
      <c r="F67" s="175" t="s">
        <v>13</v>
      </c>
      <c r="G67" s="175" t="s">
        <v>16</v>
      </c>
      <c r="H67" s="175" t="s">
        <v>23</v>
      </c>
      <c r="I67" s="175" t="s">
        <v>24</v>
      </c>
      <c r="J67" s="175" t="s">
        <v>25</v>
      </c>
      <c r="K67" s="175" t="s">
        <v>26</v>
      </c>
      <c r="L67" s="175" t="s">
        <v>27</v>
      </c>
      <c r="M67" s="175" t="s">
        <v>28</v>
      </c>
      <c r="N67" s="175" t="s">
        <v>11</v>
      </c>
      <c r="O67" s="173"/>
      <c r="P67" s="173"/>
      <c r="Q67" s="173"/>
      <c r="R67" s="173"/>
      <c r="S67" s="173"/>
      <c r="T67" s="173"/>
      <c r="U67" s="173"/>
    </row>
    <row r="68" spans="1:21">
      <c r="A68" s="232" t="s">
        <v>1423</v>
      </c>
      <c r="B68" s="173">
        <v>1</v>
      </c>
      <c r="C68" s="173" t="s">
        <v>18</v>
      </c>
      <c r="D68" s="258" t="s">
        <v>2</v>
      </c>
      <c r="E68" s="173" t="s">
        <v>29</v>
      </c>
      <c r="F68" s="185" t="s">
        <v>14</v>
      </c>
      <c r="G68" s="173" t="s">
        <v>30</v>
      </c>
      <c r="H68" s="173">
        <v>1</v>
      </c>
      <c r="I68" s="265">
        <f t="shared" ref="I68:I70" si="3">B68</f>
        <v>1</v>
      </c>
      <c r="J68" s="173" t="s">
        <v>31</v>
      </c>
      <c r="K68" s="173" t="s">
        <v>31</v>
      </c>
      <c r="L68" s="173" t="s">
        <v>31</v>
      </c>
      <c r="M68" s="173" t="s">
        <v>31</v>
      </c>
      <c r="N68" s="173"/>
      <c r="O68" s="173"/>
      <c r="P68" s="173"/>
      <c r="Q68" s="173"/>
      <c r="R68" s="173"/>
      <c r="S68" s="173"/>
      <c r="T68" s="173"/>
      <c r="U68" s="173"/>
    </row>
    <row r="69" spans="1:21">
      <c r="A69" s="232" t="s">
        <v>1426</v>
      </c>
      <c r="B69" s="231">
        <f>B77</f>
        <v>0.01</v>
      </c>
      <c r="C69" s="173" t="s">
        <v>37</v>
      </c>
      <c r="D69" s="258" t="s">
        <v>2</v>
      </c>
      <c r="E69" s="173" t="s">
        <v>29</v>
      </c>
      <c r="F69" s="185" t="s">
        <v>14</v>
      </c>
      <c r="G69" s="173" t="s">
        <v>33</v>
      </c>
      <c r="H69" s="173">
        <v>1</v>
      </c>
      <c r="I69" s="265">
        <f t="shared" si="3"/>
        <v>0.01</v>
      </c>
      <c r="J69" s="173" t="s">
        <v>31</v>
      </c>
      <c r="K69" s="173" t="s">
        <v>31</v>
      </c>
      <c r="L69" s="173" t="s">
        <v>31</v>
      </c>
      <c r="M69" s="173" t="s">
        <v>31</v>
      </c>
      <c r="N69" s="173"/>
      <c r="O69" s="222"/>
      <c r="P69" s="234"/>
      <c r="Q69" s="173" t="s">
        <v>337</v>
      </c>
      <c r="R69" s="231">
        <v>0.01</v>
      </c>
      <c r="S69" s="173"/>
      <c r="T69" s="173"/>
      <c r="U69" s="173"/>
    </row>
    <row r="70" spans="1:21">
      <c r="A70" s="232" t="s">
        <v>1427</v>
      </c>
      <c r="B70" s="184">
        <v>1</v>
      </c>
      <c r="C70" s="173" t="s">
        <v>18</v>
      </c>
      <c r="D70" s="258" t="s">
        <v>2</v>
      </c>
      <c r="E70" s="173" t="s">
        <v>29</v>
      </c>
      <c r="F70" s="185" t="s">
        <v>14</v>
      </c>
      <c r="G70" s="173" t="s">
        <v>33</v>
      </c>
      <c r="H70" s="173">
        <v>1</v>
      </c>
      <c r="I70" s="265">
        <f t="shared" si="3"/>
        <v>1</v>
      </c>
      <c r="J70" s="173" t="s">
        <v>31</v>
      </c>
      <c r="K70" s="173" t="s">
        <v>31</v>
      </c>
      <c r="L70" s="173" t="s">
        <v>31</v>
      </c>
      <c r="M70" s="173" t="s">
        <v>31</v>
      </c>
      <c r="N70" s="173"/>
      <c r="O70" s="222"/>
      <c r="P70" s="297"/>
      <c r="Q70" s="173"/>
      <c r="R70" s="184"/>
      <c r="S70" s="173"/>
      <c r="T70" s="173"/>
      <c r="U70" s="173"/>
    </row>
    <row r="71" spans="1:21">
      <c r="A71" s="177" t="s">
        <v>168</v>
      </c>
      <c r="B71" s="184">
        <f>R71</f>
        <v>0.05</v>
      </c>
      <c r="C71" s="173" t="s">
        <v>41</v>
      </c>
      <c r="D71" s="173" t="s">
        <v>38</v>
      </c>
      <c r="E71" s="173" t="s">
        <v>29</v>
      </c>
      <c r="F71" s="185" t="s">
        <v>35</v>
      </c>
      <c r="G71" s="173" t="s">
        <v>33</v>
      </c>
      <c r="H71" s="173">
        <v>2</v>
      </c>
      <c r="I71" s="173">
        <f t="shared" ref="I71" si="4">LN(B71)</f>
        <v>-2.9957322735539909</v>
      </c>
      <c r="J71" s="173">
        <v>7.2284161474004766E-2</v>
      </c>
      <c r="K71" s="173" t="s">
        <v>31</v>
      </c>
      <c r="L71" s="173" t="s">
        <v>31</v>
      </c>
      <c r="M71" s="173" t="s">
        <v>31</v>
      </c>
      <c r="N71" s="173"/>
      <c r="O71" s="222" t="s">
        <v>332</v>
      </c>
      <c r="P71" s="297">
        <v>0.05</v>
      </c>
      <c r="Q71" s="173" t="s">
        <v>332</v>
      </c>
      <c r="R71" s="184">
        <f>P71</f>
        <v>0.05</v>
      </c>
      <c r="S71" s="173"/>
      <c r="T71" s="173"/>
      <c r="U71" s="173"/>
    </row>
    <row r="72" spans="1:21">
      <c r="A72" s="209" t="s">
        <v>5</v>
      </c>
      <c r="B72" s="323" t="s">
        <v>1426</v>
      </c>
      <c r="C72" s="211"/>
      <c r="D72" s="188"/>
      <c r="E72" s="188"/>
      <c r="F72" s="188"/>
      <c r="G72" s="188"/>
      <c r="H72" s="188"/>
      <c r="I72" s="188"/>
      <c r="J72" s="188"/>
      <c r="K72" s="188"/>
      <c r="L72" s="188"/>
      <c r="M72" s="188"/>
      <c r="N72" s="173"/>
      <c r="O72" s="173"/>
      <c r="P72" s="173"/>
      <c r="Q72" s="173"/>
      <c r="R72" s="173"/>
      <c r="S72" s="173"/>
      <c r="T72" s="173"/>
      <c r="U72" s="173"/>
    </row>
    <row r="73" spans="1:21">
      <c r="A73" s="177" t="s">
        <v>7</v>
      </c>
      <c r="B73" s="173" t="s">
        <v>566</v>
      </c>
      <c r="C73" s="176"/>
      <c r="D73" s="173"/>
      <c r="E73" s="173"/>
      <c r="F73" s="173"/>
      <c r="G73" s="173"/>
      <c r="H73" s="173"/>
      <c r="I73" s="173"/>
      <c r="J73" s="173"/>
      <c r="K73" s="173"/>
      <c r="L73" s="173"/>
      <c r="M73" s="173"/>
      <c r="N73" s="173"/>
      <c r="O73" s="173"/>
      <c r="P73" s="173"/>
      <c r="Q73" s="173"/>
      <c r="R73" s="173"/>
      <c r="S73" s="173"/>
      <c r="T73" s="173"/>
      <c r="U73" s="173"/>
    </row>
    <row r="74" spans="1:21">
      <c r="A74" s="276" t="s">
        <v>9</v>
      </c>
      <c r="B74" s="173" t="s">
        <v>1428</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11</v>
      </c>
      <c r="B75" s="179" t="s">
        <v>913</v>
      </c>
      <c r="C75" s="173"/>
      <c r="D75" s="173"/>
      <c r="E75" s="173"/>
      <c r="F75" s="173"/>
      <c r="G75" s="173"/>
      <c r="H75" s="173"/>
      <c r="I75" s="173"/>
      <c r="J75" s="173"/>
      <c r="K75" s="173"/>
      <c r="L75" s="173"/>
      <c r="M75" s="173"/>
      <c r="N75" s="173"/>
      <c r="O75" s="173"/>
      <c r="P75" s="173"/>
      <c r="Q75" s="173"/>
      <c r="R75" s="173"/>
      <c r="S75" s="173"/>
      <c r="T75" s="173"/>
      <c r="U75" s="173"/>
    </row>
    <row r="76" spans="1:21">
      <c r="A76" s="177" t="s">
        <v>13</v>
      </c>
      <c r="B76" s="173" t="s">
        <v>14</v>
      </c>
      <c r="C76" s="173"/>
      <c r="D76" s="173"/>
      <c r="E76" s="173"/>
      <c r="F76" s="173"/>
      <c r="G76" s="173"/>
      <c r="H76" s="173"/>
      <c r="I76" s="173"/>
      <c r="J76" s="173"/>
      <c r="K76" s="173"/>
      <c r="L76" s="173"/>
      <c r="M76" s="173"/>
      <c r="N76" s="173"/>
      <c r="O76" s="173"/>
      <c r="P76" s="173"/>
      <c r="Q76" s="173"/>
      <c r="R76" s="173"/>
      <c r="S76" s="173"/>
      <c r="T76" s="173"/>
      <c r="U76" s="173"/>
    </row>
    <row r="77" spans="1:21">
      <c r="A77" s="177" t="s">
        <v>15</v>
      </c>
      <c r="B77" s="191">
        <f>B82</f>
        <v>0.01</v>
      </c>
      <c r="C77" s="173"/>
      <c r="D77" s="173"/>
      <c r="E77" s="173"/>
      <c r="F77" s="173"/>
      <c r="G77" s="173"/>
      <c r="H77" s="173"/>
      <c r="I77" s="173"/>
      <c r="J77" s="173"/>
      <c r="K77" s="173"/>
      <c r="L77" s="173"/>
      <c r="M77" s="173"/>
      <c r="N77" s="173"/>
      <c r="O77" s="173"/>
      <c r="P77" s="173"/>
      <c r="Q77" s="173"/>
      <c r="R77" s="173"/>
      <c r="S77" s="173"/>
      <c r="T77" s="173"/>
      <c r="U77" s="173"/>
    </row>
    <row r="78" spans="1:21">
      <c r="A78" s="177" t="s">
        <v>16</v>
      </c>
      <c r="B78" s="173" t="s">
        <v>17</v>
      </c>
      <c r="C78" s="173"/>
      <c r="D78" s="173"/>
      <c r="E78" s="173"/>
      <c r="F78" s="173"/>
      <c r="G78" s="173"/>
      <c r="H78" s="173"/>
      <c r="I78" s="173"/>
      <c r="J78" s="173"/>
      <c r="K78" s="173"/>
      <c r="L78" s="173"/>
      <c r="M78" s="173"/>
      <c r="N78" s="173"/>
      <c r="O78" s="173"/>
      <c r="P78" s="173"/>
      <c r="Q78" s="173"/>
      <c r="R78" s="173"/>
      <c r="S78" s="173"/>
      <c r="T78" s="173"/>
      <c r="U78" s="173"/>
    </row>
    <row r="79" spans="1:21">
      <c r="A79" s="177" t="s">
        <v>18</v>
      </c>
      <c r="B79" s="173" t="s">
        <v>37</v>
      </c>
      <c r="C79" s="173"/>
      <c r="D79" s="173"/>
      <c r="E79" s="173"/>
      <c r="F79" s="173"/>
      <c r="G79" s="173"/>
      <c r="H79" s="173"/>
      <c r="I79" s="173"/>
      <c r="J79" s="173"/>
      <c r="K79" s="173"/>
      <c r="L79" s="173"/>
      <c r="M79" s="173"/>
      <c r="N79" s="173"/>
      <c r="O79" s="173"/>
      <c r="P79" s="173"/>
      <c r="Q79" s="173"/>
      <c r="R79" s="173"/>
      <c r="S79" s="173"/>
      <c r="T79" s="173"/>
      <c r="U79" s="173"/>
    </row>
    <row r="80" spans="1:21">
      <c r="A80" s="174" t="s">
        <v>19</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20</v>
      </c>
      <c r="B81" s="175" t="s">
        <v>21</v>
      </c>
      <c r="C81" s="175" t="s">
        <v>18</v>
      </c>
      <c r="D81" s="175" t="s">
        <v>22</v>
      </c>
      <c r="E81" s="175" t="s">
        <v>7</v>
      </c>
      <c r="F81" s="175" t="s">
        <v>13</v>
      </c>
      <c r="G81" s="175" t="s">
        <v>16</v>
      </c>
      <c r="H81" s="175" t="s">
        <v>23</v>
      </c>
      <c r="I81" s="175" t="s">
        <v>24</v>
      </c>
      <c r="J81" s="175" t="s">
        <v>25</v>
      </c>
      <c r="K81" s="175" t="s">
        <v>26</v>
      </c>
      <c r="L81" s="175" t="s">
        <v>27</v>
      </c>
      <c r="M81" s="175" t="s">
        <v>28</v>
      </c>
      <c r="N81" s="175" t="s">
        <v>11</v>
      </c>
      <c r="O81" s="173"/>
      <c r="P81" s="173"/>
      <c r="Q81" s="173"/>
      <c r="R81" s="173"/>
      <c r="S81" s="173"/>
      <c r="T81" s="173"/>
      <c r="U81" s="173"/>
    </row>
    <row r="82" spans="1:21">
      <c r="A82" s="232" t="s">
        <v>1426</v>
      </c>
      <c r="B82" s="191">
        <v>0.01</v>
      </c>
      <c r="C82" s="173" t="s">
        <v>37</v>
      </c>
      <c r="D82" s="258" t="s">
        <v>2</v>
      </c>
      <c r="E82" s="173" t="s">
        <v>29</v>
      </c>
      <c r="F82" s="185" t="s">
        <v>14</v>
      </c>
      <c r="G82" s="173" t="s">
        <v>30</v>
      </c>
      <c r="H82" s="173">
        <v>1</v>
      </c>
      <c r="I82" s="265">
        <f t="shared" ref="I82:I84" si="5">B82</f>
        <v>0.01</v>
      </c>
      <c r="J82" s="173" t="s">
        <v>31</v>
      </c>
      <c r="K82" s="173" t="s">
        <v>31</v>
      </c>
      <c r="L82" s="173" t="s">
        <v>31</v>
      </c>
      <c r="M82" s="173" t="s">
        <v>31</v>
      </c>
      <c r="N82" s="173"/>
      <c r="O82" s="222"/>
      <c r="P82" s="234"/>
      <c r="Q82" s="173" t="s">
        <v>337</v>
      </c>
      <c r="R82" s="231">
        <v>0.01</v>
      </c>
      <c r="S82" s="173"/>
      <c r="T82" s="173"/>
      <c r="U82" s="173"/>
    </row>
    <row r="83" spans="1:21">
      <c r="A83" s="232" t="s">
        <v>918</v>
      </c>
      <c r="B83" s="191">
        <v>0.01</v>
      </c>
      <c r="C83" s="173" t="s">
        <v>37</v>
      </c>
      <c r="D83" s="173" t="s">
        <v>38</v>
      </c>
      <c r="E83" s="173" t="s">
        <v>29</v>
      </c>
      <c r="F83" s="185" t="s">
        <v>60</v>
      </c>
      <c r="G83" s="173" t="s">
        <v>33</v>
      </c>
      <c r="H83" s="173">
        <v>1</v>
      </c>
      <c r="I83" s="265">
        <f t="shared" si="5"/>
        <v>0.01</v>
      </c>
      <c r="J83" s="173" t="s">
        <v>31</v>
      </c>
      <c r="K83" s="173" t="s">
        <v>31</v>
      </c>
      <c r="L83" s="173" t="s">
        <v>31</v>
      </c>
      <c r="M83" s="173" t="s">
        <v>31</v>
      </c>
      <c r="N83" s="173"/>
      <c r="O83" s="222"/>
      <c r="P83" s="297"/>
      <c r="Q83" s="173"/>
      <c r="R83" s="184"/>
      <c r="S83" s="173"/>
      <c r="T83" s="173"/>
      <c r="U83" s="173"/>
    </row>
    <row r="84" spans="1:21">
      <c r="A84" s="232" t="s">
        <v>146</v>
      </c>
      <c r="B84" s="191">
        <v>0.01</v>
      </c>
      <c r="C84" s="173" t="s">
        <v>37</v>
      </c>
      <c r="D84" s="173" t="s">
        <v>38</v>
      </c>
      <c r="E84" s="173" t="s">
        <v>29</v>
      </c>
      <c r="F84" s="173" t="s">
        <v>60</v>
      </c>
      <c r="G84" s="173" t="s">
        <v>33</v>
      </c>
      <c r="H84" s="173">
        <v>1</v>
      </c>
      <c r="I84" s="265">
        <f t="shared" si="5"/>
        <v>0.01</v>
      </c>
      <c r="J84" s="173" t="s">
        <v>31</v>
      </c>
      <c r="K84" s="173" t="s">
        <v>31</v>
      </c>
      <c r="L84" s="173" t="s">
        <v>31</v>
      </c>
      <c r="M84" s="173" t="s">
        <v>31</v>
      </c>
      <c r="N84" s="173"/>
      <c r="O84" s="173"/>
      <c r="P84" s="173"/>
      <c r="Q84" s="173"/>
      <c r="R84" s="173"/>
      <c r="S84" s="173"/>
      <c r="T84" s="173"/>
      <c r="U84" s="173"/>
    </row>
    <row r="85" spans="1:21" s="42" customFormat="1">
      <c r="A85" s="209" t="s">
        <v>5</v>
      </c>
      <c r="B85" s="323" t="s">
        <v>1427</v>
      </c>
      <c r="C85" s="211"/>
      <c r="D85" s="188"/>
      <c r="E85" s="188"/>
      <c r="F85" s="188"/>
      <c r="G85" s="188"/>
      <c r="H85" s="188"/>
      <c r="I85" s="188"/>
      <c r="J85" s="188"/>
      <c r="K85" s="188"/>
      <c r="L85" s="188"/>
      <c r="M85" s="188"/>
      <c r="N85" s="188"/>
      <c r="O85" s="188"/>
      <c r="P85" s="188"/>
      <c r="Q85" s="188"/>
      <c r="R85" s="188"/>
      <c r="S85" s="188"/>
      <c r="T85" s="188"/>
      <c r="U85" s="188"/>
    </row>
    <row r="86" spans="1:21">
      <c r="A86" s="177" t="s">
        <v>7</v>
      </c>
      <c r="B86" s="173" t="s">
        <v>566</v>
      </c>
      <c r="C86" s="176"/>
      <c r="D86" s="173"/>
      <c r="E86" s="173"/>
      <c r="F86" s="173"/>
      <c r="G86" s="173"/>
      <c r="H86" s="173"/>
      <c r="I86" s="173"/>
      <c r="J86" s="173"/>
      <c r="K86" s="173"/>
      <c r="L86" s="173"/>
      <c r="M86" s="173"/>
      <c r="N86" s="173"/>
      <c r="O86" s="173"/>
      <c r="P86" s="173"/>
      <c r="Q86" s="173"/>
      <c r="R86" s="173"/>
      <c r="S86" s="173"/>
      <c r="T86" s="173"/>
      <c r="U86" s="173"/>
    </row>
    <row r="87" spans="1:21">
      <c r="A87" s="276" t="s">
        <v>9</v>
      </c>
      <c r="B87" s="173" t="s">
        <v>1429</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11</v>
      </c>
      <c r="B88" s="179" t="s">
        <v>913</v>
      </c>
      <c r="C88" s="173"/>
      <c r="D88" s="173"/>
      <c r="E88" s="173"/>
      <c r="F88" s="173"/>
      <c r="G88" s="173"/>
      <c r="H88" s="173"/>
      <c r="I88" s="173"/>
      <c r="J88" s="173"/>
      <c r="K88" s="173"/>
      <c r="L88" s="173"/>
      <c r="M88" s="173"/>
      <c r="N88" s="173"/>
      <c r="O88" s="173"/>
      <c r="P88" s="173"/>
      <c r="Q88" s="173"/>
      <c r="R88" s="173"/>
      <c r="S88" s="173"/>
      <c r="T88" s="173"/>
      <c r="U88" s="173"/>
    </row>
    <row r="89" spans="1:21">
      <c r="A89" s="177" t="s">
        <v>13</v>
      </c>
      <c r="B89" s="173" t="s">
        <v>14</v>
      </c>
      <c r="C89" s="173"/>
      <c r="D89" s="173"/>
      <c r="E89" s="173"/>
      <c r="F89" s="173"/>
      <c r="G89" s="173"/>
      <c r="H89" s="173"/>
      <c r="I89" s="173"/>
      <c r="J89" s="173"/>
      <c r="K89" s="173"/>
      <c r="L89" s="173"/>
      <c r="M89" s="173"/>
      <c r="N89" s="173"/>
      <c r="O89" s="173"/>
      <c r="P89" s="173"/>
      <c r="Q89" s="173"/>
      <c r="R89" s="173"/>
      <c r="S89" s="173"/>
      <c r="T89" s="173"/>
      <c r="U89" s="173"/>
    </row>
    <row r="90" spans="1:21">
      <c r="A90" s="177" t="s">
        <v>15</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16</v>
      </c>
      <c r="B91" s="173" t="s">
        <v>17</v>
      </c>
      <c r="C91" s="173"/>
      <c r="D91" s="173"/>
      <c r="E91" s="173"/>
      <c r="F91" s="173"/>
      <c r="G91" s="173"/>
      <c r="H91" s="173"/>
      <c r="I91" s="173"/>
      <c r="J91" s="173"/>
      <c r="K91" s="173"/>
      <c r="L91" s="173"/>
      <c r="M91" s="173"/>
      <c r="N91" s="173"/>
      <c r="O91" s="173"/>
      <c r="P91" s="173"/>
      <c r="Q91" s="173"/>
      <c r="R91" s="173"/>
      <c r="S91" s="173"/>
      <c r="T91" s="173"/>
      <c r="U91" s="173"/>
    </row>
    <row r="92" spans="1:21">
      <c r="A92" s="177" t="s">
        <v>18</v>
      </c>
      <c r="B92" s="173" t="s">
        <v>18</v>
      </c>
      <c r="C92" s="173"/>
      <c r="D92" s="173"/>
      <c r="E92" s="173"/>
      <c r="F92" s="173"/>
      <c r="G92" s="173"/>
      <c r="H92" s="173"/>
      <c r="I92" s="173"/>
      <c r="J92" s="173"/>
      <c r="K92" s="173"/>
      <c r="L92" s="173"/>
      <c r="M92" s="173"/>
      <c r="N92" s="173"/>
      <c r="O92" s="173"/>
      <c r="P92" s="173"/>
      <c r="Q92" s="173"/>
      <c r="R92" s="173"/>
      <c r="S92" s="173"/>
      <c r="T92" s="173"/>
      <c r="U92" s="173"/>
    </row>
    <row r="93" spans="1:21">
      <c r="A93" s="174" t="s">
        <v>19</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20</v>
      </c>
      <c r="B94" s="175" t="s">
        <v>21</v>
      </c>
      <c r="C94" s="175" t="s">
        <v>18</v>
      </c>
      <c r="D94" s="175" t="s">
        <v>22</v>
      </c>
      <c r="E94" s="175" t="s">
        <v>7</v>
      </c>
      <c r="F94" s="175" t="s">
        <v>13</v>
      </c>
      <c r="G94" s="175" t="s">
        <v>16</v>
      </c>
      <c r="H94" s="175" t="s">
        <v>23</v>
      </c>
      <c r="I94" s="175" t="s">
        <v>24</v>
      </c>
      <c r="J94" s="175" t="s">
        <v>25</v>
      </c>
      <c r="K94" s="175" t="s">
        <v>26</v>
      </c>
      <c r="L94" s="175" t="s">
        <v>27</v>
      </c>
      <c r="M94" s="175" t="s">
        <v>28</v>
      </c>
      <c r="N94" s="175" t="s">
        <v>11</v>
      </c>
      <c r="O94" s="173"/>
      <c r="P94" s="173"/>
      <c r="Q94" s="173"/>
      <c r="R94" s="173"/>
      <c r="S94" s="173"/>
      <c r="T94" s="173"/>
      <c r="U94" s="173"/>
    </row>
    <row r="95" spans="1:21">
      <c r="A95" s="232" t="s">
        <v>1427</v>
      </c>
      <c r="B95" s="184">
        <v>1</v>
      </c>
      <c r="C95" s="173" t="s">
        <v>18</v>
      </c>
      <c r="D95" s="258" t="s">
        <v>2</v>
      </c>
      <c r="E95" s="173" t="s">
        <v>29</v>
      </c>
      <c r="F95" s="185" t="s">
        <v>14</v>
      </c>
      <c r="G95" s="173" t="s">
        <v>30</v>
      </c>
      <c r="H95" s="173">
        <v>1</v>
      </c>
      <c r="I95" s="265">
        <f t="shared" ref="I95:I96" si="6">B95</f>
        <v>1</v>
      </c>
      <c r="J95" s="173" t="s">
        <v>31</v>
      </c>
      <c r="K95" s="173" t="s">
        <v>31</v>
      </c>
      <c r="L95" s="173" t="s">
        <v>31</v>
      </c>
      <c r="M95" s="173" t="s">
        <v>31</v>
      </c>
      <c r="N95" s="173"/>
      <c r="O95" s="222"/>
      <c r="P95" s="297"/>
      <c r="Q95" s="173"/>
      <c r="R95" s="184"/>
      <c r="S95" s="173"/>
      <c r="T95" s="173"/>
      <c r="U95" s="173"/>
    </row>
    <row r="96" spans="1:21">
      <c r="A96" s="232" t="s">
        <v>1430</v>
      </c>
      <c r="B96" s="173">
        <v>1</v>
      </c>
      <c r="C96" s="173" t="s">
        <v>18</v>
      </c>
      <c r="D96" s="258" t="s">
        <v>2</v>
      </c>
      <c r="E96" s="173" t="s">
        <v>29</v>
      </c>
      <c r="F96" s="185" t="s">
        <v>14</v>
      </c>
      <c r="G96" s="173" t="s">
        <v>33</v>
      </c>
      <c r="H96" s="173">
        <v>1</v>
      </c>
      <c r="I96" s="265">
        <f t="shared" si="6"/>
        <v>1</v>
      </c>
      <c r="J96" s="173" t="s">
        <v>31</v>
      </c>
      <c r="K96" s="173" t="s">
        <v>31</v>
      </c>
      <c r="L96" s="173" t="s">
        <v>31</v>
      </c>
      <c r="M96" s="173" t="s">
        <v>31</v>
      </c>
      <c r="N96" s="173"/>
      <c r="O96" s="222"/>
      <c r="P96" s="297"/>
      <c r="Q96" s="173"/>
      <c r="R96" s="173"/>
      <c r="S96" s="173"/>
      <c r="T96" s="173"/>
      <c r="U96" s="173"/>
    </row>
    <row r="97" spans="1:21">
      <c r="A97" s="177" t="s">
        <v>168</v>
      </c>
      <c r="B97" s="184">
        <f>R97</f>
        <v>0.05</v>
      </c>
      <c r="C97" s="173" t="s">
        <v>41</v>
      </c>
      <c r="D97" s="173" t="s">
        <v>38</v>
      </c>
      <c r="E97" s="173" t="s">
        <v>29</v>
      </c>
      <c r="F97" s="185" t="s">
        <v>35</v>
      </c>
      <c r="G97" s="173" t="s">
        <v>33</v>
      </c>
      <c r="H97" s="173">
        <v>2</v>
      </c>
      <c r="I97" s="173">
        <f t="shared" ref="I97" si="7">LN(B97)</f>
        <v>-2.9957322735539909</v>
      </c>
      <c r="J97" s="173">
        <v>7.2284161474004766E-2</v>
      </c>
      <c r="K97" s="173" t="s">
        <v>31</v>
      </c>
      <c r="L97" s="173" t="s">
        <v>31</v>
      </c>
      <c r="M97" s="173" t="s">
        <v>31</v>
      </c>
      <c r="N97" s="173"/>
      <c r="O97" s="222" t="s">
        <v>332</v>
      </c>
      <c r="P97" s="297">
        <v>0.05</v>
      </c>
      <c r="Q97" s="173" t="s">
        <v>332</v>
      </c>
      <c r="R97" s="184">
        <f>P97</f>
        <v>0.05</v>
      </c>
      <c r="S97" s="173"/>
      <c r="T97" s="173"/>
      <c r="U97" s="173"/>
    </row>
    <row r="98" spans="1:21" s="42" customFormat="1">
      <c r="A98" s="209" t="s">
        <v>5</v>
      </c>
      <c r="B98" s="323" t="s">
        <v>1430</v>
      </c>
      <c r="C98" s="211"/>
      <c r="D98" s="188"/>
      <c r="E98" s="188"/>
      <c r="F98" s="188"/>
      <c r="G98" s="188"/>
      <c r="H98" s="188"/>
      <c r="I98" s="188"/>
      <c r="J98" s="188"/>
      <c r="K98" s="188"/>
      <c r="L98" s="188"/>
      <c r="M98" s="188"/>
      <c r="N98" s="188"/>
      <c r="O98" s="188"/>
      <c r="P98" s="188"/>
      <c r="Q98" s="188"/>
      <c r="R98" s="188"/>
      <c r="S98" s="188"/>
      <c r="T98" s="188"/>
      <c r="U98" s="188"/>
    </row>
    <row r="99" spans="1:21">
      <c r="A99" s="177" t="s">
        <v>7</v>
      </c>
      <c r="B99" s="173" t="s">
        <v>566</v>
      </c>
      <c r="C99" s="176"/>
      <c r="D99" s="173"/>
      <c r="E99" s="173"/>
      <c r="F99" s="173"/>
      <c r="G99" s="173"/>
      <c r="H99" s="173"/>
      <c r="I99" s="173"/>
      <c r="J99" s="173"/>
      <c r="K99" s="173"/>
      <c r="L99" s="173"/>
      <c r="M99" s="173"/>
      <c r="N99" s="173"/>
      <c r="O99" s="173"/>
      <c r="P99" s="173"/>
      <c r="Q99" s="173"/>
      <c r="R99" s="173"/>
      <c r="S99" s="173"/>
      <c r="T99" s="173"/>
      <c r="U99" s="173"/>
    </row>
    <row r="100" spans="1:21">
      <c r="A100" s="276" t="s">
        <v>9</v>
      </c>
      <c r="B100" s="173" t="s">
        <v>1431</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11</v>
      </c>
      <c r="B101" s="179" t="s">
        <v>913</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13</v>
      </c>
      <c r="B102" s="173" t="s">
        <v>14</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15</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16</v>
      </c>
      <c r="B104" s="173" t="s">
        <v>17</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18</v>
      </c>
      <c r="B105" s="173" t="s">
        <v>18</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19</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20</v>
      </c>
      <c r="B107" s="175" t="s">
        <v>21</v>
      </c>
      <c r="C107" s="175" t="s">
        <v>18</v>
      </c>
      <c r="D107" s="175" t="s">
        <v>22</v>
      </c>
      <c r="E107" s="175" t="s">
        <v>7</v>
      </c>
      <c r="F107" s="175" t="s">
        <v>13</v>
      </c>
      <c r="G107" s="175" t="s">
        <v>16</v>
      </c>
      <c r="H107" s="175" t="s">
        <v>23</v>
      </c>
      <c r="I107" s="175" t="s">
        <v>24</v>
      </c>
      <c r="J107" s="175" t="s">
        <v>25</v>
      </c>
      <c r="K107" s="175" t="s">
        <v>26</v>
      </c>
      <c r="L107" s="175" t="s">
        <v>27</v>
      </c>
      <c r="M107" s="175" t="s">
        <v>28</v>
      </c>
      <c r="N107" s="175" t="s">
        <v>11</v>
      </c>
      <c r="O107" s="173"/>
      <c r="P107" s="173"/>
      <c r="Q107" s="173"/>
      <c r="R107" s="173"/>
      <c r="S107" s="173"/>
      <c r="T107" s="173"/>
      <c r="U107" s="173"/>
    </row>
    <row r="108" spans="1:21">
      <c r="A108" s="232" t="s">
        <v>1430</v>
      </c>
      <c r="B108" s="173">
        <v>1</v>
      </c>
      <c r="C108" s="173" t="s">
        <v>18</v>
      </c>
      <c r="D108" s="258" t="s">
        <v>2</v>
      </c>
      <c r="E108" s="173" t="s">
        <v>29</v>
      </c>
      <c r="F108" s="185" t="s">
        <v>14</v>
      </c>
      <c r="G108" s="173" t="s">
        <v>30</v>
      </c>
      <c r="H108" s="173">
        <v>1</v>
      </c>
      <c r="I108" s="265">
        <f t="shared" ref="I108:I111" si="8">B108</f>
        <v>1</v>
      </c>
      <c r="J108" s="173" t="s">
        <v>31</v>
      </c>
      <c r="K108" s="173" t="s">
        <v>31</v>
      </c>
      <c r="L108" s="173" t="s">
        <v>31</v>
      </c>
      <c r="M108" s="173" t="s">
        <v>31</v>
      </c>
      <c r="N108" s="173"/>
      <c r="O108" s="173"/>
      <c r="P108" s="347"/>
      <c r="Q108" s="173"/>
      <c r="R108" s="173"/>
      <c r="S108" s="173"/>
      <c r="T108" s="173"/>
      <c r="U108" s="173"/>
    </row>
    <row r="109" spans="1:21">
      <c r="A109" s="177" t="s">
        <v>1432</v>
      </c>
      <c r="B109" s="298">
        <f>B133</f>
        <v>3.8E-3</v>
      </c>
      <c r="C109" s="173" t="s">
        <v>206</v>
      </c>
      <c r="D109" s="258" t="s">
        <v>2</v>
      </c>
      <c r="E109" s="173" t="s">
        <v>29</v>
      </c>
      <c r="F109" s="185" t="s">
        <v>14</v>
      </c>
      <c r="G109" s="173" t="s">
        <v>33</v>
      </c>
      <c r="H109" s="173">
        <v>1</v>
      </c>
      <c r="I109" s="265">
        <f t="shared" si="8"/>
        <v>3.8E-3</v>
      </c>
      <c r="J109" s="173" t="s">
        <v>31</v>
      </c>
      <c r="K109" s="173" t="s">
        <v>31</v>
      </c>
      <c r="L109" s="173" t="s">
        <v>31</v>
      </c>
      <c r="M109" s="173" t="s">
        <v>31</v>
      </c>
      <c r="N109" s="173"/>
      <c r="O109" s="259"/>
      <c r="P109" s="260"/>
      <c r="Q109" s="184"/>
      <c r="R109" s="173"/>
      <c r="S109" s="173"/>
      <c r="T109" s="173"/>
      <c r="U109" s="173"/>
    </row>
    <row r="110" spans="1:21">
      <c r="A110" s="173" t="s">
        <v>1385</v>
      </c>
      <c r="B110" s="231">
        <f>R110</f>
        <v>5.6250000000000007E-4</v>
      </c>
      <c r="C110" s="178" t="s">
        <v>206</v>
      </c>
      <c r="D110" s="258" t="s">
        <v>2</v>
      </c>
      <c r="E110" s="173" t="s">
        <v>29</v>
      </c>
      <c r="F110" s="185" t="s">
        <v>14</v>
      </c>
      <c r="G110" s="173" t="s">
        <v>33</v>
      </c>
      <c r="H110" s="173">
        <v>1</v>
      </c>
      <c r="I110" s="265">
        <f t="shared" si="8"/>
        <v>5.6250000000000007E-4</v>
      </c>
      <c r="J110" s="173" t="s">
        <v>31</v>
      </c>
      <c r="K110" s="173" t="s">
        <v>31</v>
      </c>
      <c r="L110" s="173" t="s">
        <v>31</v>
      </c>
      <c r="M110" s="173" t="s">
        <v>31</v>
      </c>
      <c r="N110" s="173"/>
      <c r="O110" s="299" t="s">
        <v>947</v>
      </c>
      <c r="P110" s="300">
        <v>3</v>
      </c>
      <c r="Q110" s="214" t="s">
        <v>1392</v>
      </c>
      <c r="R110" s="231">
        <f>(P110*0.001)*0.1875</f>
        <v>5.6250000000000007E-4</v>
      </c>
      <c r="S110" s="173"/>
      <c r="T110" s="173"/>
      <c r="U110" s="173"/>
    </row>
    <row r="111" spans="1:21">
      <c r="A111" s="173" t="s">
        <v>1433</v>
      </c>
      <c r="B111" s="173">
        <v>1</v>
      </c>
      <c r="C111" s="173" t="s">
        <v>18</v>
      </c>
      <c r="D111" s="258" t="s">
        <v>2</v>
      </c>
      <c r="E111" s="173" t="s">
        <v>29</v>
      </c>
      <c r="F111" s="185" t="s">
        <v>14</v>
      </c>
      <c r="G111" s="173" t="s">
        <v>33</v>
      </c>
      <c r="H111" s="173">
        <v>1</v>
      </c>
      <c r="I111" s="265">
        <f t="shared" si="8"/>
        <v>1</v>
      </c>
      <c r="J111" s="173" t="s">
        <v>31</v>
      </c>
      <c r="K111" s="173" t="s">
        <v>31</v>
      </c>
      <c r="L111" s="173" t="s">
        <v>31</v>
      </c>
      <c r="M111" s="173" t="s">
        <v>31</v>
      </c>
      <c r="N111" s="173"/>
      <c r="O111" s="259"/>
      <c r="P111" s="260"/>
      <c r="Q111" s="173"/>
      <c r="R111" s="173"/>
      <c r="S111" s="173"/>
      <c r="T111" s="173"/>
      <c r="U111" s="173"/>
    </row>
    <row r="112" spans="1:21">
      <c r="A112" s="232" t="s">
        <v>533</v>
      </c>
      <c r="B112" s="231">
        <f>R112</f>
        <v>1.8E-5</v>
      </c>
      <c r="C112" s="173" t="s">
        <v>37</v>
      </c>
      <c r="D112" s="173" t="s">
        <v>38</v>
      </c>
      <c r="E112" s="173" t="s">
        <v>29</v>
      </c>
      <c r="F112" s="185" t="s">
        <v>35</v>
      </c>
      <c r="G112" s="173" t="s">
        <v>33</v>
      </c>
      <c r="H112" s="173">
        <v>2</v>
      </c>
      <c r="I112" s="173">
        <f>LN(B112)</f>
        <v>-10.92513880006811</v>
      </c>
      <c r="J112" s="173">
        <v>2.8722813232690055E-2</v>
      </c>
      <c r="K112" s="173" t="s">
        <v>31</v>
      </c>
      <c r="L112" s="173" t="s">
        <v>31</v>
      </c>
      <c r="M112" s="173" t="s">
        <v>31</v>
      </c>
      <c r="N112" s="173"/>
      <c r="O112" s="299" t="s">
        <v>947</v>
      </c>
      <c r="P112" s="311">
        <v>1.7999999999999999E-2</v>
      </c>
      <c r="Q112" s="173" t="s">
        <v>337</v>
      </c>
      <c r="R112" s="231">
        <f>P112*10^-3</f>
        <v>1.8E-5</v>
      </c>
      <c r="S112" s="173"/>
      <c r="T112" s="173"/>
      <c r="U112" s="173"/>
    </row>
    <row r="113" spans="1:21" s="42" customFormat="1">
      <c r="A113" s="209" t="s">
        <v>5</v>
      </c>
      <c r="B113" s="210" t="s">
        <v>1433</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7</v>
      </c>
      <c r="B114" s="173" t="s">
        <v>566</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9</v>
      </c>
      <c r="B115" s="173" t="s">
        <v>1434</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11</v>
      </c>
      <c r="B116" s="179" t="s">
        <v>913</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13</v>
      </c>
      <c r="B117" s="173" t="s">
        <v>14</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15</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16</v>
      </c>
      <c r="B119" s="173" t="s">
        <v>17</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18</v>
      </c>
      <c r="B120" s="173" t="s">
        <v>18</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19</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20</v>
      </c>
      <c r="B122" s="175" t="s">
        <v>21</v>
      </c>
      <c r="C122" s="175" t="s">
        <v>18</v>
      </c>
      <c r="D122" s="175" t="s">
        <v>22</v>
      </c>
      <c r="E122" s="175" t="s">
        <v>7</v>
      </c>
      <c r="F122" s="175" t="s">
        <v>13</v>
      </c>
      <c r="G122" s="175" t="s">
        <v>16</v>
      </c>
      <c r="H122" s="175" t="s">
        <v>23</v>
      </c>
      <c r="I122" s="175" t="s">
        <v>24</v>
      </c>
      <c r="J122" s="175" t="s">
        <v>25</v>
      </c>
      <c r="K122" s="175" t="s">
        <v>26</v>
      </c>
      <c r="L122" s="175" t="s">
        <v>27</v>
      </c>
      <c r="M122" s="175" t="s">
        <v>28</v>
      </c>
      <c r="N122" s="175" t="s">
        <v>11</v>
      </c>
      <c r="O122" s="173"/>
      <c r="P122" s="173"/>
      <c r="Q122" s="173"/>
      <c r="R122" s="173"/>
      <c r="S122" s="173"/>
      <c r="T122" s="173"/>
      <c r="U122" s="173"/>
    </row>
    <row r="123" spans="1:21">
      <c r="A123" s="173" t="s">
        <v>1433</v>
      </c>
      <c r="B123" s="173">
        <v>1</v>
      </c>
      <c r="C123" s="173" t="s">
        <v>18</v>
      </c>
      <c r="D123" s="258" t="s">
        <v>2</v>
      </c>
      <c r="E123" s="173" t="s">
        <v>29</v>
      </c>
      <c r="F123" s="185" t="s">
        <v>14</v>
      </c>
      <c r="G123" s="173" t="s">
        <v>30</v>
      </c>
      <c r="H123" s="173">
        <v>1</v>
      </c>
      <c r="I123" s="265">
        <f t="shared" ref="I123:I124" si="9">B123</f>
        <v>1</v>
      </c>
      <c r="J123" s="173" t="s">
        <v>31</v>
      </c>
      <c r="K123" s="173" t="s">
        <v>31</v>
      </c>
      <c r="L123" s="173" t="s">
        <v>31</v>
      </c>
      <c r="M123" s="173" t="s">
        <v>31</v>
      </c>
      <c r="N123" s="173"/>
      <c r="O123" s="173"/>
      <c r="P123" s="173"/>
      <c r="Q123" s="173"/>
      <c r="R123" s="173"/>
      <c r="S123" s="173"/>
      <c r="T123" s="173"/>
      <c r="U123" s="173"/>
    </row>
    <row r="124" spans="1:21">
      <c r="A124" s="232" t="s">
        <v>1056</v>
      </c>
      <c r="B124" s="173">
        <f>R124</f>
        <v>0.04</v>
      </c>
      <c r="C124" s="173" t="s">
        <v>37</v>
      </c>
      <c r="D124" s="173" t="s">
        <v>38</v>
      </c>
      <c r="E124" s="173" t="s">
        <v>29</v>
      </c>
      <c r="F124" s="173" t="s">
        <v>60</v>
      </c>
      <c r="G124" s="173" t="s">
        <v>33</v>
      </c>
      <c r="H124" s="173">
        <v>1</v>
      </c>
      <c r="I124" s="265">
        <f t="shared" si="9"/>
        <v>0.04</v>
      </c>
      <c r="J124" s="173" t="s">
        <v>31</v>
      </c>
      <c r="K124" s="173" t="s">
        <v>31</v>
      </c>
      <c r="L124" s="173" t="s">
        <v>31</v>
      </c>
      <c r="M124" s="173" t="s">
        <v>31</v>
      </c>
      <c r="N124" s="173"/>
      <c r="O124" s="173"/>
      <c r="P124" s="173"/>
      <c r="Q124" s="173" t="s">
        <v>337</v>
      </c>
      <c r="R124" s="173">
        <v>0.04</v>
      </c>
      <c r="S124" s="173"/>
      <c r="T124" s="173"/>
      <c r="U124" s="173"/>
    </row>
    <row r="125" spans="1:21">
      <c r="A125" s="232" t="s">
        <v>1057</v>
      </c>
      <c r="B125" s="173">
        <f t="shared" ref="B125:B127" si="10">R125</f>
        <v>2.9000000000000001E-2</v>
      </c>
      <c r="C125" s="173" t="s">
        <v>37</v>
      </c>
      <c r="D125" s="173" t="s">
        <v>38</v>
      </c>
      <c r="E125" s="173" t="s">
        <v>29</v>
      </c>
      <c r="F125" s="173" t="s">
        <v>60</v>
      </c>
      <c r="G125" s="173" t="s">
        <v>33</v>
      </c>
      <c r="H125" s="173">
        <v>2</v>
      </c>
      <c r="I125" s="173">
        <f>LN(B125)</f>
        <v>-3.5404594489956631</v>
      </c>
      <c r="J125" s="173">
        <v>3.7749172176353707E-2</v>
      </c>
      <c r="K125" s="173" t="s">
        <v>31</v>
      </c>
      <c r="L125" s="173" t="s">
        <v>31</v>
      </c>
      <c r="M125" s="173" t="s">
        <v>31</v>
      </c>
      <c r="N125" s="173"/>
      <c r="O125" s="242" t="s">
        <v>947</v>
      </c>
      <c r="P125" s="264">
        <v>29</v>
      </c>
      <c r="Q125" s="173" t="s">
        <v>337</v>
      </c>
      <c r="R125" s="173">
        <f>P125*0.001</f>
        <v>2.9000000000000001E-2</v>
      </c>
      <c r="S125" s="173"/>
      <c r="T125" s="173"/>
      <c r="U125" s="173"/>
    </row>
    <row r="126" spans="1:21">
      <c r="A126" s="232" t="s">
        <v>1058</v>
      </c>
      <c r="B126" s="173">
        <f t="shared" si="10"/>
        <v>1.8000000000000002E-3</v>
      </c>
      <c r="C126" s="173" t="s">
        <v>37</v>
      </c>
      <c r="D126" s="173" t="s">
        <v>38</v>
      </c>
      <c r="E126" s="173" t="s">
        <v>29</v>
      </c>
      <c r="F126" s="173" t="s">
        <v>60</v>
      </c>
      <c r="G126" s="173" t="s">
        <v>33</v>
      </c>
      <c r="H126" s="173">
        <v>2</v>
      </c>
      <c r="I126" s="173">
        <f>LN(B126)</f>
        <v>-6.3199686140800182</v>
      </c>
      <c r="J126" s="173">
        <v>3.7749172176353707E-2</v>
      </c>
      <c r="K126" s="173" t="s">
        <v>31</v>
      </c>
      <c r="L126" s="173" t="s">
        <v>31</v>
      </c>
      <c r="M126" s="173" t="s">
        <v>31</v>
      </c>
      <c r="N126" s="173"/>
      <c r="O126" s="242" t="s">
        <v>947</v>
      </c>
      <c r="P126" s="264">
        <v>1.8</v>
      </c>
      <c r="Q126" s="173" t="s">
        <v>337</v>
      </c>
      <c r="R126" s="173">
        <f t="shared" ref="R126:R127" si="11">P126*0.001</f>
        <v>1.8000000000000002E-3</v>
      </c>
      <c r="S126" s="173"/>
      <c r="T126" s="173"/>
      <c r="U126" s="173"/>
    </row>
    <row r="127" spans="1:21">
      <c r="A127" s="232" t="s">
        <v>1059</v>
      </c>
      <c r="B127" s="173">
        <f t="shared" si="10"/>
        <v>1.3000000000000001E-2</v>
      </c>
      <c r="C127" s="173" t="s">
        <v>37</v>
      </c>
      <c r="D127" s="173" t="s">
        <v>38</v>
      </c>
      <c r="E127" s="173" t="s">
        <v>29</v>
      </c>
      <c r="F127" s="173" t="s">
        <v>60</v>
      </c>
      <c r="G127" s="173" t="s">
        <v>33</v>
      </c>
      <c r="H127" s="173">
        <v>2</v>
      </c>
      <c r="I127" s="173">
        <f>LN(B127)</f>
        <v>-4.3428059215206005</v>
      </c>
      <c r="J127" s="173">
        <v>3.7749172176353707E-2</v>
      </c>
      <c r="K127" s="173" t="s">
        <v>31</v>
      </c>
      <c r="L127" s="173" t="s">
        <v>31</v>
      </c>
      <c r="M127" s="173" t="s">
        <v>31</v>
      </c>
      <c r="N127" s="173"/>
      <c r="O127" s="242" t="s">
        <v>947</v>
      </c>
      <c r="P127" s="264">
        <v>13</v>
      </c>
      <c r="Q127" s="173" t="s">
        <v>337</v>
      </c>
      <c r="R127" s="173">
        <f t="shared" si="11"/>
        <v>1.3000000000000001E-2</v>
      </c>
      <c r="S127" s="173"/>
      <c r="T127" s="173"/>
      <c r="U127" s="173"/>
    </row>
    <row r="128" spans="1:21" s="42" customFormat="1">
      <c r="A128" s="209" t="s">
        <v>5</v>
      </c>
      <c r="B128" s="323" t="s">
        <v>1432</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7</v>
      </c>
      <c r="B129" s="173" t="s">
        <v>566</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9</v>
      </c>
      <c r="B130" s="173" t="s">
        <v>1435</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11</v>
      </c>
      <c r="B131" s="179" t="s">
        <v>913</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13</v>
      </c>
      <c r="B132" s="173" t="s">
        <v>14</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15</v>
      </c>
      <c r="B133" s="277">
        <f>B138</f>
        <v>3.8E-3</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16</v>
      </c>
      <c r="B134" s="173" t="s">
        <v>17</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18</v>
      </c>
      <c r="B135" s="173" t="s">
        <v>206</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19</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20</v>
      </c>
      <c r="B137" s="175" t="s">
        <v>21</v>
      </c>
      <c r="C137" s="175" t="s">
        <v>18</v>
      </c>
      <c r="D137" s="175" t="s">
        <v>22</v>
      </c>
      <c r="E137" s="175" t="s">
        <v>7</v>
      </c>
      <c r="F137" s="175" t="s">
        <v>13</v>
      </c>
      <c r="G137" s="175" t="s">
        <v>16</v>
      </c>
      <c r="H137" s="175" t="s">
        <v>23</v>
      </c>
      <c r="I137" s="175" t="s">
        <v>24</v>
      </c>
      <c r="J137" s="175" t="s">
        <v>25</v>
      </c>
      <c r="K137" s="175" t="s">
        <v>26</v>
      </c>
      <c r="L137" s="175" t="s">
        <v>27</v>
      </c>
      <c r="M137" s="175" t="s">
        <v>28</v>
      </c>
      <c r="N137" s="175" t="s">
        <v>11</v>
      </c>
      <c r="O137" s="173"/>
      <c r="P137" s="173"/>
      <c r="Q137" s="173"/>
      <c r="R137" s="173"/>
      <c r="S137" s="173"/>
      <c r="T137" s="173"/>
      <c r="U137" s="173"/>
    </row>
    <row r="138" spans="1:21">
      <c r="A138" s="173" t="s">
        <v>1432</v>
      </c>
      <c r="B138" s="348">
        <v>3.8E-3</v>
      </c>
      <c r="C138" s="173" t="s">
        <v>206</v>
      </c>
      <c r="D138" s="258" t="s">
        <v>2</v>
      </c>
      <c r="E138" s="173" t="s">
        <v>29</v>
      </c>
      <c r="F138" s="185" t="s">
        <v>14</v>
      </c>
      <c r="G138" s="173" t="s">
        <v>30</v>
      </c>
      <c r="H138" s="173">
        <v>1</v>
      </c>
      <c r="I138" s="265">
        <f t="shared" ref="I138:I139" si="12">B138</f>
        <v>3.8E-3</v>
      </c>
      <c r="J138" s="173" t="s">
        <v>31</v>
      </c>
      <c r="K138" s="173" t="s">
        <v>31</v>
      </c>
      <c r="L138" s="173" t="s">
        <v>31</v>
      </c>
      <c r="M138" s="173" t="s">
        <v>31</v>
      </c>
      <c r="N138" s="173"/>
      <c r="O138" s="259"/>
      <c r="P138" s="349">
        <v>8.8999999999999996E-2</v>
      </c>
      <c r="Q138" s="184"/>
      <c r="R138" s="173"/>
      <c r="S138" s="173"/>
      <c r="T138" s="173"/>
      <c r="U138" s="173"/>
    </row>
    <row r="139" spans="1:21">
      <c r="A139" s="271" t="s">
        <v>1436</v>
      </c>
      <c r="B139" s="348">
        <v>3.8E-3</v>
      </c>
      <c r="C139" s="173" t="s">
        <v>206</v>
      </c>
      <c r="D139" s="258" t="s">
        <v>2</v>
      </c>
      <c r="E139" s="173" t="s">
        <v>29</v>
      </c>
      <c r="F139" s="185" t="s">
        <v>14</v>
      </c>
      <c r="G139" s="173" t="s">
        <v>33</v>
      </c>
      <c r="H139" s="173">
        <v>1</v>
      </c>
      <c r="I139" s="265">
        <f t="shared" si="12"/>
        <v>3.8E-3</v>
      </c>
      <c r="J139" s="173" t="s">
        <v>31</v>
      </c>
      <c r="K139" s="173" t="s">
        <v>31</v>
      </c>
      <c r="L139" s="173" t="s">
        <v>31</v>
      </c>
      <c r="M139" s="173" t="s">
        <v>31</v>
      </c>
      <c r="N139" s="173"/>
      <c r="O139" s="173"/>
      <c r="P139" s="349">
        <v>8.8999999999999996E-2</v>
      </c>
      <c r="Q139" s="173"/>
      <c r="R139" s="173"/>
      <c r="S139" s="173"/>
      <c r="T139" s="173"/>
      <c r="U139" s="173"/>
    </row>
    <row r="140" spans="1:21">
      <c r="A140" s="232" t="s">
        <v>1077</v>
      </c>
      <c r="B140" s="173">
        <f>R140</f>
        <v>2.9999999999999997E-4</v>
      </c>
      <c r="C140" s="173" t="s">
        <v>37</v>
      </c>
      <c r="D140" s="173" t="s">
        <v>38</v>
      </c>
      <c r="E140" s="173" t="s">
        <v>29</v>
      </c>
      <c r="F140" s="173" t="s">
        <v>35</v>
      </c>
      <c r="G140" s="173" t="s">
        <v>33</v>
      </c>
      <c r="H140" s="173">
        <v>2</v>
      </c>
      <c r="I140" s="173">
        <f>LN(B140)</f>
        <v>-8.1117280833080727</v>
      </c>
      <c r="J140" s="173">
        <v>0.20928449536456342</v>
      </c>
      <c r="K140" s="173" t="s">
        <v>31</v>
      </c>
      <c r="L140" s="173" t="s">
        <v>31</v>
      </c>
      <c r="M140" s="173" t="s">
        <v>31</v>
      </c>
      <c r="N140" s="173"/>
      <c r="O140" s="242" t="s">
        <v>947</v>
      </c>
      <c r="P140" s="264">
        <v>0.3</v>
      </c>
      <c r="Q140" s="173" t="s">
        <v>337</v>
      </c>
      <c r="R140" s="173">
        <f>0.001*P140</f>
        <v>2.9999999999999997E-4</v>
      </c>
      <c r="S140" s="173"/>
      <c r="T140" s="173"/>
      <c r="U140" s="173"/>
    </row>
    <row r="141" spans="1:21">
      <c r="A141" s="232" t="s">
        <v>1078</v>
      </c>
      <c r="B141" s="173">
        <f>R141</f>
        <v>2.9999999999999997E-4</v>
      </c>
      <c r="C141" s="173" t="s">
        <v>37</v>
      </c>
      <c r="D141" s="173" t="s">
        <v>38</v>
      </c>
      <c r="E141" s="173" t="s">
        <v>29</v>
      </c>
      <c r="F141" s="173" t="s">
        <v>35</v>
      </c>
      <c r="G141" s="173" t="s">
        <v>33</v>
      </c>
      <c r="H141" s="173">
        <v>2</v>
      </c>
      <c r="I141" s="173">
        <f>LN(B141)</f>
        <v>-8.1117280833080727</v>
      </c>
      <c r="J141" s="173">
        <v>0.20928449536456342</v>
      </c>
      <c r="K141" s="173" t="s">
        <v>31</v>
      </c>
      <c r="L141" s="173" t="s">
        <v>31</v>
      </c>
      <c r="M141" s="173" t="s">
        <v>31</v>
      </c>
      <c r="N141" s="173"/>
      <c r="O141" s="242" t="s">
        <v>947</v>
      </c>
      <c r="P141" s="264">
        <v>0.3</v>
      </c>
      <c r="Q141" s="173" t="s">
        <v>337</v>
      </c>
      <c r="R141" s="173">
        <f>0.001*P141</f>
        <v>2.9999999999999997E-4</v>
      </c>
      <c r="S141" s="173"/>
      <c r="T141" s="173"/>
      <c r="U141" s="173"/>
    </row>
    <row r="142" spans="1:21" s="42" customFormat="1">
      <c r="A142" s="209" t="s">
        <v>5</v>
      </c>
      <c r="B142" s="304" t="s">
        <v>1436</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7</v>
      </c>
      <c r="B143" s="173" t="s">
        <v>566</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9</v>
      </c>
      <c r="B144" s="173" t="s">
        <v>1437</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11</v>
      </c>
      <c r="B145" s="179" t="s">
        <v>913</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13</v>
      </c>
      <c r="B146" s="173" t="s">
        <v>14</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15</v>
      </c>
      <c r="B147" s="277">
        <f>B152</f>
        <v>3.8E-3</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16</v>
      </c>
      <c r="B148" s="173" t="s">
        <v>17</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18</v>
      </c>
      <c r="B149" s="173" t="s">
        <v>206</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19</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20</v>
      </c>
      <c r="B151" s="175" t="s">
        <v>21</v>
      </c>
      <c r="C151" s="175" t="s">
        <v>18</v>
      </c>
      <c r="D151" s="175" t="s">
        <v>22</v>
      </c>
      <c r="E151" s="175" t="s">
        <v>7</v>
      </c>
      <c r="F151" s="175" t="s">
        <v>13</v>
      </c>
      <c r="G151" s="175" t="s">
        <v>16</v>
      </c>
      <c r="H151" s="175" t="s">
        <v>23</v>
      </c>
      <c r="I151" s="175" t="s">
        <v>24</v>
      </c>
      <c r="J151" s="175" t="s">
        <v>25</v>
      </c>
      <c r="K151" s="175" t="s">
        <v>26</v>
      </c>
      <c r="L151" s="175" t="s">
        <v>27</v>
      </c>
      <c r="M151" s="175" t="s">
        <v>28</v>
      </c>
      <c r="N151" s="175" t="s">
        <v>11</v>
      </c>
      <c r="O151" s="173"/>
      <c r="P151" s="173"/>
      <c r="Q151" s="173"/>
      <c r="R151" s="173"/>
      <c r="S151" s="173"/>
      <c r="T151" s="173"/>
      <c r="U151" s="173"/>
    </row>
    <row r="152" spans="1:21">
      <c r="A152" s="271" t="s">
        <v>1436</v>
      </c>
      <c r="B152" s="348">
        <v>3.8E-3</v>
      </c>
      <c r="C152" s="173" t="s">
        <v>206</v>
      </c>
      <c r="D152" s="258" t="s">
        <v>2</v>
      </c>
      <c r="E152" s="173" t="s">
        <v>29</v>
      </c>
      <c r="F152" s="185" t="s">
        <v>14</v>
      </c>
      <c r="G152" s="173" t="s">
        <v>30</v>
      </c>
      <c r="H152" s="173">
        <v>1</v>
      </c>
      <c r="I152" s="265">
        <f t="shared" ref="I152:I154" si="13">B152</f>
        <v>3.8E-3</v>
      </c>
      <c r="J152" s="173" t="s">
        <v>31</v>
      </c>
      <c r="K152" s="173" t="s">
        <v>31</v>
      </c>
      <c r="L152" s="173" t="s">
        <v>31</v>
      </c>
      <c r="M152" s="173" t="s">
        <v>31</v>
      </c>
      <c r="N152" s="173"/>
      <c r="O152" s="350" t="s">
        <v>945</v>
      </c>
      <c r="P152" s="348">
        <v>8.8999999999999996E-2</v>
      </c>
      <c r="Q152" s="173"/>
      <c r="R152" s="173"/>
      <c r="S152" s="173"/>
      <c r="T152" s="173"/>
      <c r="U152" s="173"/>
    </row>
    <row r="153" spans="1:21">
      <c r="A153" s="173" t="s">
        <v>1438</v>
      </c>
      <c r="B153" s="351">
        <v>1.4E-3</v>
      </c>
      <c r="C153" s="173" t="s">
        <v>206</v>
      </c>
      <c r="D153" s="258" t="s">
        <v>2</v>
      </c>
      <c r="E153" s="173" t="s">
        <v>29</v>
      </c>
      <c r="F153" s="185" t="s">
        <v>14</v>
      </c>
      <c r="G153" s="173" t="s">
        <v>33</v>
      </c>
      <c r="H153" s="173">
        <v>1</v>
      </c>
      <c r="I153" s="265">
        <f t="shared" si="13"/>
        <v>1.4E-3</v>
      </c>
      <c r="J153" s="173" t="s">
        <v>31</v>
      </c>
      <c r="K153" s="173" t="s">
        <v>31</v>
      </c>
      <c r="L153" s="173" t="s">
        <v>31</v>
      </c>
      <c r="M153" s="173" t="s">
        <v>31</v>
      </c>
      <c r="N153" s="173"/>
      <c r="O153" s="350" t="s">
        <v>963</v>
      </c>
      <c r="P153" s="351">
        <v>3.6999999999999998E-2</v>
      </c>
      <c r="Q153" s="173"/>
      <c r="R153" s="173"/>
      <c r="S153" s="173"/>
      <c r="T153" s="173"/>
      <c r="U153" s="173"/>
    </row>
    <row r="154" spans="1:21">
      <c r="A154" s="173" t="s">
        <v>1439</v>
      </c>
      <c r="B154" s="348">
        <v>3.8E-3</v>
      </c>
      <c r="C154" s="173" t="s">
        <v>206</v>
      </c>
      <c r="D154" s="258" t="s">
        <v>2</v>
      </c>
      <c r="E154" s="173" t="s">
        <v>29</v>
      </c>
      <c r="F154" s="185" t="s">
        <v>14</v>
      </c>
      <c r="G154" s="173" t="s">
        <v>33</v>
      </c>
      <c r="H154" s="173">
        <v>1</v>
      </c>
      <c r="I154" s="265">
        <f t="shared" si="13"/>
        <v>3.8E-3</v>
      </c>
      <c r="J154" s="173" t="s">
        <v>31</v>
      </c>
      <c r="K154" s="173" t="s">
        <v>31</v>
      </c>
      <c r="L154" s="173" t="s">
        <v>31</v>
      </c>
      <c r="M154" s="173" t="s">
        <v>31</v>
      </c>
      <c r="N154" s="173"/>
      <c r="O154" s="241" t="s">
        <v>963</v>
      </c>
      <c r="P154" s="348">
        <v>8.8999999999999996E-2</v>
      </c>
      <c r="Q154" s="173"/>
      <c r="R154" s="173"/>
      <c r="S154" s="173"/>
      <c r="T154" s="173"/>
      <c r="U154" s="173"/>
    </row>
    <row r="155" spans="1:21">
      <c r="A155" s="177" t="s">
        <v>168</v>
      </c>
      <c r="B155" s="303">
        <f t="shared" ref="B155:B156" si="14">P155</f>
        <v>0.09</v>
      </c>
      <c r="C155" s="173" t="s">
        <v>41</v>
      </c>
      <c r="D155" s="173" t="s">
        <v>38</v>
      </c>
      <c r="E155" s="173" t="s">
        <v>29</v>
      </c>
      <c r="F155" s="185" t="s">
        <v>35</v>
      </c>
      <c r="G155" s="173" t="s">
        <v>33</v>
      </c>
      <c r="H155" s="173">
        <v>2</v>
      </c>
      <c r="I155" s="173">
        <f t="shared" ref="I155:I156" si="15">LN(B155)</f>
        <v>-2.4079456086518722</v>
      </c>
      <c r="J155" s="173">
        <v>9.7082439194738052E-2</v>
      </c>
      <c r="K155" s="173" t="s">
        <v>31</v>
      </c>
      <c r="L155" s="173" t="s">
        <v>31</v>
      </c>
      <c r="M155" s="173" t="s">
        <v>31</v>
      </c>
      <c r="N155" s="173"/>
      <c r="O155" s="242" t="s">
        <v>332</v>
      </c>
      <c r="P155" s="264">
        <v>0.09</v>
      </c>
      <c r="Q155" s="173" t="s">
        <v>332</v>
      </c>
      <c r="R155" s="184">
        <f>P155</f>
        <v>0.09</v>
      </c>
      <c r="S155" s="173"/>
      <c r="T155" s="173"/>
      <c r="U155" s="173"/>
    </row>
    <row r="156" spans="1:21">
      <c r="A156" s="177" t="s">
        <v>934</v>
      </c>
      <c r="B156" s="303">
        <f t="shared" si="14"/>
        <v>0.2</v>
      </c>
      <c r="C156" s="173" t="s">
        <v>37</v>
      </c>
      <c r="D156" s="173" t="s">
        <v>38</v>
      </c>
      <c r="E156" s="173" t="s">
        <v>29</v>
      </c>
      <c r="F156" s="185" t="s">
        <v>35</v>
      </c>
      <c r="G156" s="173" t="s">
        <v>33</v>
      </c>
      <c r="H156" s="173">
        <v>2</v>
      </c>
      <c r="I156" s="173">
        <f t="shared" si="15"/>
        <v>-1.6094379124341003</v>
      </c>
      <c r="J156" s="173">
        <v>9.7082439194738052E-2</v>
      </c>
      <c r="K156" s="173" t="s">
        <v>31</v>
      </c>
      <c r="L156" s="173" t="s">
        <v>31</v>
      </c>
      <c r="M156" s="173" t="s">
        <v>31</v>
      </c>
      <c r="N156" s="173"/>
      <c r="O156" s="242" t="s">
        <v>337</v>
      </c>
      <c r="P156" s="264">
        <v>0.2</v>
      </c>
      <c r="Q156" s="173"/>
      <c r="R156" s="173"/>
      <c r="S156" s="173"/>
      <c r="T156" s="173"/>
      <c r="U156" s="173"/>
    </row>
    <row r="157" spans="1:21" s="42" customFormat="1">
      <c r="A157" s="209" t="s">
        <v>5</v>
      </c>
      <c r="B157" s="210" t="s">
        <v>1439</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7</v>
      </c>
      <c r="B158" s="173" t="s">
        <v>566</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9</v>
      </c>
      <c r="B159" s="173" t="s">
        <v>1440</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11</v>
      </c>
      <c r="B160" s="179" t="s">
        <v>913</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13</v>
      </c>
      <c r="B161" s="173" t="s">
        <v>14</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15</v>
      </c>
      <c r="B162" s="303">
        <f>B167</f>
        <v>1.4E-3</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16</v>
      </c>
      <c r="B163" s="173" t="s">
        <v>17</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18</v>
      </c>
      <c r="B164" s="173" t="s">
        <v>206</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19</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20</v>
      </c>
      <c r="B166" s="175" t="s">
        <v>21</v>
      </c>
      <c r="C166" s="175" t="s">
        <v>18</v>
      </c>
      <c r="D166" s="175" t="s">
        <v>22</v>
      </c>
      <c r="E166" s="175" t="s">
        <v>7</v>
      </c>
      <c r="F166" s="175" t="s">
        <v>13</v>
      </c>
      <c r="G166" s="175" t="s">
        <v>16</v>
      </c>
      <c r="H166" s="175" t="s">
        <v>23</v>
      </c>
      <c r="I166" s="175" t="s">
        <v>24</v>
      </c>
      <c r="J166" s="175" t="s">
        <v>25</v>
      </c>
      <c r="K166" s="175" t="s">
        <v>26</v>
      </c>
      <c r="L166" s="175" t="s">
        <v>27</v>
      </c>
      <c r="M166" s="175" t="s">
        <v>28</v>
      </c>
      <c r="N166" s="175" t="s">
        <v>11</v>
      </c>
      <c r="O166" s="173"/>
      <c r="P166" s="173"/>
      <c r="Q166" s="173"/>
      <c r="R166" s="173"/>
      <c r="S166" s="173"/>
      <c r="T166" s="173"/>
      <c r="U166" s="173"/>
    </row>
    <row r="167" spans="1:21">
      <c r="A167" s="173" t="s">
        <v>1439</v>
      </c>
      <c r="B167" s="349">
        <v>1.4E-3</v>
      </c>
      <c r="C167" s="173" t="s">
        <v>206</v>
      </c>
      <c r="D167" s="258" t="s">
        <v>2</v>
      </c>
      <c r="E167" s="173" t="s">
        <v>29</v>
      </c>
      <c r="F167" s="185" t="s">
        <v>14</v>
      </c>
      <c r="G167" s="173" t="s">
        <v>30</v>
      </c>
      <c r="H167" s="173">
        <v>1</v>
      </c>
      <c r="I167" s="265">
        <f t="shared" ref="I167:I168" si="16">B167</f>
        <v>1.4E-3</v>
      </c>
      <c r="J167" s="173" t="s">
        <v>31</v>
      </c>
      <c r="K167" s="173" t="s">
        <v>31</v>
      </c>
      <c r="L167" s="173" t="s">
        <v>31</v>
      </c>
      <c r="M167" s="173" t="s">
        <v>31</v>
      </c>
      <c r="N167" s="173"/>
      <c r="O167" s="173"/>
      <c r="P167" s="313">
        <v>8.8999999999999996E-2</v>
      </c>
      <c r="Q167" s="173"/>
      <c r="R167" s="173"/>
      <c r="S167" s="173"/>
      <c r="T167" s="173"/>
      <c r="U167" s="173"/>
    </row>
    <row r="168" spans="1:21">
      <c r="A168" s="271" t="s">
        <v>1441</v>
      </c>
      <c r="B168" s="349">
        <v>1.4E-3</v>
      </c>
      <c r="C168" s="173" t="s">
        <v>206</v>
      </c>
      <c r="D168" s="258" t="s">
        <v>2</v>
      </c>
      <c r="E168" s="173" t="s">
        <v>29</v>
      </c>
      <c r="F168" s="185" t="s">
        <v>14</v>
      </c>
      <c r="G168" s="173" t="s">
        <v>33</v>
      </c>
      <c r="H168" s="173">
        <v>1</v>
      </c>
      <c r="I168" s="265">
        <f t="shared" si="16"/>
        <v>1.4E-3</v>
      </c>
      <c r="J168" s="173" t="s">
        <v>31</v>
      </c>
      <c r="K168" s="173" t="s">
        <v>31</v>
      </c>
      <c r="L168" s="173" t="s">
        <v>31</v>
      </c>
      <c r="M168" s="173" t="s">
        <v>31</v>
      </c>
      <c r="N168" s="173"/>
      <c r="O168" s="173"/>
      <c r="P168" s="313">
        <v>8.8999999999999996E-2</v>
      </c>
      <c r="Q168" s="173"/>
      <c r="R168" s="173"/>
      <c r="S168" s="173"/>
      <c r="T168" s="173"/>
      <c r="U168" s="173"/>
    </row>
    <row r="169" spans="1:21">
      <c r="A169" s="177" t="s">
        <v>168</v>
      </c>
      <c r="B169" s="184">
        <f>R169</f>
        <v>0.01</v>
      </c>
      <c r="C169" s="173" t="s">
        <v>41</v>
      </c>
      <c r="D169" s="173" t="s">
        <v>38</v>
      </c>
      <c r="E169" s="173" t="s">
        <v>29</v>
      </c>
      <c r="F169" s="185" t="s">
        <v>35</v>
      </c>
      <c r="G169" s="173" t="s">
        <v>33</v>
      </c>
      <c r="H169" s="173">
        <v>2</v>
      </c>
      <c r="I169" s="173">
        <f t="shared" ref="I169:I173" si="17">LN(B169)</f>
        <v>-4.6051701859880909</v>
      </c>
      <c r="J169" s="173">
        <v>0.20928449536456342</v>
      </c>
      <c r="K169" s="173" t="s">
        <v>31</v>
      </c>
      <c r="L169" s="173" t="s">
        <v>31</v>
      </c>
      <c r="M169" s="173" t="s">
        <v>31</v>
      </c>
      <c r="N169" s="173"/>
      <c r="O169" s="222" t="s">
        <v>332</v>
      </c>
      <c r="P169" s="264">
        <v>0.01</v>
      </c>
      <c r="Q169" s="173" t="s">
        <v>332</v>
      </c>
      <c r="R169" s="184">
        <f>P169</f>
        <v>0.01</v>
      </c>
      <c r="S169" s="173"/>
      <c r="T169" s="173"/>
      <c r="U169" s="173"/>
    </row>
    <row r="170" spans="1:21">
      <c r="A170" s="232" t="s">
        <v>931</v>
      </c>
      <c r="B170" s="173">
        <f>R170</f>
        <v>2.9999999999999997E-4</v>
      </c>
      <c r="C170" s="173" t="s">
        <v>37</v>
      </c>
      <c r="D170" s="173" t="s">
        <v>38</v>
      </c>
      <c r="E170" s="173" t="s">
        <v>29</v>
      </c>
      <c r="F170" s="185" t="s">
        <v>35</v>
      </c>
      <c r="G170" s="173" t="s">
        <v>33</v>
      </c>
      <c r="H170" s="173">
        <v>2</v>
      </c>
      <c r="I170" s="173">
        <f t="shared" si="17"/>
        <v>-8.1117280833080727</v>
      </c>
      <c r="J170" s="173">
        <v>0.20928449536456342</v>
      </c>
      <c r="K170" s="173" t="s">
        <v>31</v>
      </c>
      <c r="L170" s="173" t="s">
        <v>31</v>
      </c>
      <c r="M170" s="173" t="s">
        <v>31</v>
      </c>
      <c r="N170" s="173"/>
      <c r="O170" s="242" t="s">
        <v>947</v>
      </c>
      <c r="P170" s="264">
        <v>0.3</v>
      </c>
      <c r="Q170" s="173" t="s">
        <v>337</v>
      </c>
      <c r="R170" s="173">
        <f>0.001*P170</f>
        <v>2.9999999999999997E-4</v>
      </c>
      <c r="S170" s="173"/>
      <c r="T170" s="173"/>
      <c r="U170" s="173"/>
    </row>
    <row r="171" spans="1:21">
      <c r="A171" s="232" t="s">
        <v>932</v>
      </c>
      <c r="B171" s="173">
        <f>R171</f>
        <v>1E-4</v>
      </c>
      <c r="C171" s="173" t="s">
        <v>37</v>
      </c>
      <c r="D171" s="173" t="s">
        <v>38</v>
      </c>
      <c r="E171" s="173" t="s">
        <v>29</v>
      </c>
      <c r="F171" s="185" t="s">
        <v>60</v>
      </c>
      <c r="G171" s="173" t="s">
        <v>33</v>
      </c>
      <c r="H171" s="173">
        <v>2</v>
      </c>
      <c r="I171" s="173">
        <f t="shared" si="17"/>
        <v>-9.2103403719761818</v>
      </c>
      <c r="J171" s="173">
        <v>0.20928449536456342</v>
      </c>
      <c r="K171" s="173" t="s">
        <v>31</v>
      </c>
      <c r="L171" s="173" t="s">
        <v>31</v>
      </c>
      <c r="M171" s="173" t="s">
        <v>31</v>
      </c>
      <c r="N171" s="173"/>
      <c r="O171" s="242" t="s">
        <v>947</v>
      </c>
      <c r="P171" s="264">
        <v>0.1</v>
      </c>
      <c r="Q171" s="173" t="s">
        <v>337</v>
      </c>
      <c r="R171" s="173">
        <f t="shared" ref="R171:R173" si="18">0.001*P171</f>
        <v>1E-4</v>
      </c>
      <c r="S171" s="173"/>
      <c r="T171" s="173"/>
      <c r="U171" s="173"/>
    </row>
    <row r="172" spans="1:21">
      <c r="A172" s="177" t="s">
        <v>933</v>
      </c>
      <c r="B172" s="173">
        <f>R172</f>
        <v>1.6999999999999999E-3</v>
      </c>
      <c r="C172" s="173" t="s">
        <v>37</v>
      </c>
      <c r="D172" s="173" t="s">
        <v>38</v>
      </c>
      <c r="E172" s="173" t="s">
        <v>29</v>
      </c>
      <c r="F172" s="185" t="s">
        <v>39</v>
      </c>
      <c r="G172" s="173" t="s">
        <v>33</v>
      </c>
      <c r="H172" s="173">
        <v>2</v>
      </c>
      <c r="I172" s="173">
        <f t="shared" si="17"/>
        <v>-6.3771270279199666</v>
      </c>
      <c r="J172" s="173">
        <v>0.20928449536456342</v>
      </c>
      <c r="K172" s="173" t="s">
        <v>31</v>
      </c>
      <c r="L172" s="173" t="s">
        <v>31</v>
      </c>
      <c r="M172" s="173" t="s">
        <v>31</v>
      </c>
      <c r="N172" s="173"/>
      <c r="O172" s="242" t="s">
        <v>947</v>
      </c>
      <c r="P172" s="264">
        <v>1.7</v>
      </c>
      <c r="Q172" s="173" t="s">
        <v>337</v>
      </c>
      <c r="R172" s="173">
        <f t="shared" si="18"/>
        <v>1.6999999999999999E-3</v>
      </c>
      <c r="S172" s="173"/>
      <c r="T172" s="173"/>
      <c r="U172" s="173"/>
    </row>
    <row r="173" spans="1:21">
      <c r="A173" s="173" t="s">
        <v>1285</v>
      </c>
      <c r="B173" s="173">
        <f>R173</f>
        <v>4.0000000000000002E-4</v>
      </c>
      <c r="C173" s="173" t="s">
        <v>37</v>
      </c>
      <c r="D173" s="258" t="s">
        <v>2</v>
      </c>
      <c r="E173" s="173" t="s">
        <v>29</v>
      </c>
      <c r="F173" s="185" t="s">
        <v>39</v>
      </c>
      <c r="G173" s="173" t="s">
        <v>33</v>
      </c>
      <c r="H173" s="173">
        <v>2</v>
      </c>
      <c r="I173" s="173">
        <f t="shared" si="17"/>
        <v>-7.8240460108562919</v>
      </c>
      <c r="J173" s="173">
        <v>0.20928449536456342</v>
      </c>
      <c r="K173" s="173" t="s">
        <v>31</v>
      </c>
      <c r="L173" s="173" t="s">
        <v>31</v>
      </c>
      <c r="M173" s="173" t="s">
        <v>31</v>
      </c>
      <c r="N173" s="173"/>
      <c r="O173" s="305" t="s">
        <v>947</v>
      </c>
      <c r="P173" s="269">
        <v>0.4</v>
      </c>
      <c r="Q173" s="173" t="s">
        <v>337</v>
      </c>
      <c r="R173" s="173">
        <f t="shared" si="18"/>
        <v>4.0000000000000002E-4</v>
      </c>
      <c r="S173" s="173"/>
      <c r="T173" s="173"/>
      <c r="U173" s="173"/>
    </row>
    <row r="174" spans="1:21" s="42" customFormat="1">
      <c r="A174" s="209" t="s">
        <v>5</v>
      </c>
      <c r="B174" s="210" t="s">
        <v>1441</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7</v>
      </c>
      <c r="B175" s="173" t="s">
        <v>566</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9</v>
      </c>
      <c r="B176" s="173" t="s">
        <v>1442</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11</v>
      </c>
      <c r="B177" s="179" t="s">
        <v>913</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13</v>
      </c>
      <c r="B178" s="173" t="s">
        <v>14</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15</v>
      </c>
      <c r="B179" s="277">
        <f>B184</f>
        <v>3.8E-3</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16</v>
      </c>
      <c r="B180" s="173" t="s">
        <v>17</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18</v>
      </c>
      <c r="B181" s="173" t="s">
        <v>206</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19</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20</v>
      </c>
      <c r="B183" s="175" t="s">
        <v>21</v>
      </c>
      <c r="C183" s="175" t="s">
        <v>18</v>
      </c>
      <c r="D183" s="175" t="s">
        <v>22</v>
      </c>
      <c r="E183" s="175" t="s">
        <v>7</v>
      </c>
      <c r="F183" s="175" t="s">
        <v>13</v>
      </c>
      <c r="G183" s="175" t="s">
        <v>16</v>
      </c>
      <c r="H183" s="175" t="s">
        <v>23</v>
      </c>
      <c r="I183" s="175" t="s">
        <v>24</v>
      </c>
      <c r="J183" s="175" t="s">
        <v>25</v>
      </c>
      <c r="K183" s="175" t="s">
        <v>26</v>
      </c>
      <c r="L183" s="175" t="s">
        <v>27</v>
      </c>
      <c r="M183" s="175" t="s">
        <v>28</v>
      </c>
      <c r="N183" s="175" t="s">
        <v>11</v>
      </c>
      <c r="O183" s="173"/>
      <c r="P183" s="173"/>
      <c r="Q183" s="173"/>
      <c r="R183" s="173"/>
      <c r="S183" s="173"/>
      <c r="T183" s="173"/>
      <c r="U183" s="173"/>
    </row>
    <row r="184" spans="1:21">
      <c r="A184" s="271" t="s">
        <v>1441</v>
      </c>
      <c r="B184" s="265">
        <v>3.8E-3</v>
      </c>
      <c r="C184" s="173" t="s">
        <v>206</v>
      </c>
      <c r="D184" s="258" t="s">
        <v>2</v>
      </c>
      <c r="E184" s="173" t="s">
        <v>29</v>
      </c>
      <c r="F184" s="185" t="s">
        <v>14</v>
      </c>
      <c r="G184" s="173" t="s">
        <v>30</v>
      </c>
      <c r="H184" s="173">
        <v>1</v>
      </c>
      <c r="I184" s="265">
        <f t="shared" ref="I184:I185" si="19">B184</f>
        <v>3.8E-3</v>
      </c>
      <c r="J184" s="173" t="s">
        <v>31</v>
      </c>
      <c r="K184" s="173" t="s">
        <v>31</v>
      </c>
      <c r="L184" s="173" t="s">
        <v>31</v>
      </c>
      <c r="M184" s="173" t="s">
        <v>31</v>
      </c>
      <c r="N184" s="173"/>
      <c r="O184" s="173"/>
      <c r="P184" s="173"/>
      <c r="Q184" s="173"/>
      <c r="R184" s="173"/>
      <c r="S184" s="173"/>
      <c r="T184" s="173"/>
      <c r="U184" s="173"/>
    </row>
    <row r="185" spans="1:21">
      <c r="A185" s="173" t="s">
        <v>1443</v>
      </c>
      <c r="B185" s="265">
        <v>3.8E-3</v>
      </c>
      <c r="C185" s="173" t="s">
        <v>206</v>
      </c>
      <c r="D185" s="258" t="s">
        <v>2</v>
      </c>
      <c r="E185" s="173" t="s">
        <v>29</v>
      </c>
      <c r="F185" s="185" t="s">
        <v>14</v>
      </c>
      <c r="G185" s="173" t="s">
        <v>33</v>
      </c>
      <c r="H185" s="173">
        <v>1</v>
      </c>
      <c r="I185" s="265">
        <f t="shared" si="19"/>
        <v>3.8E-3</v>
      </c>
      <c r="J185" s="173" t="s">
        <v>31</v>
      </c>
      <c r="K185" s="173" t="s">
        <v>31</v>
      </c>
      <c r="L185" s="173" t="s">
        <v>31</v>
      </c>
      <c r="M185" s="173" t="s">
        <v>31</v>
      </c>
      <c r="N185" s="173"/>
      <c r="O185" s="173"/>
      <c r="P185" s="341"/>
      <c r="Q185" s="173"/>
      <c r="R185" s="173"/>
      <c r="S185" s="173"/>
      <c r="T185" s="173"/>
      <c r="U185" s="173"/>
    </row>
    <row r="186" spans="1:21">
      <c r="A186" s="177" t="s">
        <v>168</v>
      </c>
      <c r="B186" s="184">
        <f>P186</f>
        <v>0.23</v>
      </c>
      <c r="C186" s="173" t="s">
        <v>41</v>
      </c>
      <c r="D186" s="173" t="s">
        <v>38</v>
      </c>
      <c r="E186" s="173" t="s">
        <v>29</v>
      </c>
      <c r="F186" s="185" t="s">
        <v>35</v>
      </c>
      <c r="G186" s="173" t="s">
        <v>33</v>
      </c>
      <c r="H186" s="173">
        <v>2</v>
      </c>
      <c r="I186" s="173">
        <f t="shared" ref="I186:I187" si="20">LN(B186)</f>
        <v>-1.4696759700589417</v>
      </c>
      <c r="J186" s="173">
        <v>0.20928449536456342</v>
      </c>
      <c r="K186" s="173" t="s">
        <v>31</v>
      </c>
      <c r="L186" s="173" t="s">
        <v>31</v>
      </c>
      <c r="M186" s="173" t="s">
        <v>31</v>
      </c>
      <c r="N186" s="173"/>
      <c r="O186" s="242" t="s">
        <v>332</v>
      </c>
      <c r="P186" s="264">
        <f>0.07+0.16</f>
        <v>0.23</v>
      </c>
      <c r="Q186" s="173"/>
      <c r="R186" s="173"/>
      <c r="S186" s="173"/>
      <c r="T186" s="173"/>
      <c r="U186" s="173"/>
    </row>
    <row r="187" spans="1:21">
      <c r="A187" s="177" t="s">
        <v>933</v>
      </c>
      <c r="B187" s="173">
        <f>R187</f>
        <v>5.0000000000000001E-4</v>
      </c>
      <c r="C187" s="173" t="s">
        <v>37</v>
      </c>
      <c r="D187" s="173" t="s">
        <v>38</v>
      </c>
      <c r="E187" s="173" t="s">
        <v>29</v>
      </c>
      <c r="F187" s="185" t="s">
        <v>39</v>
      </c>
      <c r="G187" s="173" t="s">
        <v>33</v>
      </c>
      <c r="H187" s="173">
        <v>2</v>
      </c>
      <c r="I187" s="173">
        <f t="shared" si="20"/>
        <v>-7.6009024595420822</v>
      </c>
      <c r="J187" s="173">
        <v>0.20928449536456342</v>
      </c>
      <c r="K187" s="173" t="s">
        <v>31</v>
      </c>
      <c r="L187" s="173" t="s">
        <v>31</v>
      </c>
      <c r="M187" s="173" t="s">
        <v>31</v>
      </c>
      <c r="N187" s="173"/>
      <c r="O187" s="242" t="s">
        <v>947</v>
      </c>
      <c r="P187" s="264">
        <v>0.5</v>
      </c>
      <c r="Q187" s="173" t="s">
        <v>337</v>
      </c>
      <c r="R187" s="173">
        <f>P187*0.001</f>
        <v>5.0000000000000001E-4</v>
      </c>
      <c r="S187" s="173"/>
      <c r="T187" s="173"/>
      <c r="U187" s="173"/>
    </row>
    <row r="188" spans="1:21">
      <c r="A188" s="232" t="s">
        <v>1078</v>
      </c>
      <c r="B188" s="173">
        <f>R188</f>
        <v>5.9999999999999995E-4</v>
      </c>
      <c r="C188" s="173" t="s">
        <v>37</v>
      </c>
      <c r="D188" s="173" t="s">
        <v>38</v>
      </c>
      <c r="E188" s="173" t="s">
        <v>29</v>
      </c>
      <c r="F188" s="173" t="s">
        <v>35</v>
      </c>
      <c r="G188" s="173" t="s">
        <v>33</v>
      </c>
      <c r="H188" s="173">
        <v>2</v>
      </c>
      <c r="I188" s="173">
        <f>LN(B188)</f>
        <v>-7.4185809027481282</v>
      </c>
      <c r="J188" s="173">
        <v>0.20928449536456342</v>
      </c>
      <c r="K188" s="173" t="s">
        <v>31</v>
      </c>
      <c r="L188" s="173" t="s">
        <v>31</v>
      </c>
      <c r="M188" s="173" t="s">
        <v>31</v>
      </c>
      <c r="N188" s="173"/>
      <c r="O188" s="242" t="s">
        <v>947</v>
      </c>
      <c r="P188" s="264">
        <v>0.6</v>
      </c>
      <c r="Q188" s="173" t="s">
        <v>337</v>
      </c>
      <c r="R188" s="173">
        <f>P188*0.001</f>
        <v>5.9999999999999995E-4</v>
      </c>
      <c r="S188" s="173"/>
      <c r="T188" s="173"/>
      <c r="U188" s="173"/>
    </row>
    <row r="189" spans="1:21">
      <c r="A189" s="173" t="s">
        <v>1285</v>
      </c>
      <c r="B189" s="173">
        <f>R189</f>
        <v>5.9999999999999995E-4</v>
      </c>
      <c r="C189" s="173" t="s">
        <v>37</v>
      </c>
      <c r="D189" s="258" t="s">
        <v>2</v>
      </c>
      <c r="E189" s="173" t="s">
        <v>29</v>
      </c>
      <c r="F189" s="185" t="s">
        <v>39</v>
      </c>
      <c r="G189" s="173" t="s">
        <v>33</v>
      </c>
      <c r="H189" s="173">
        <v>2</v>
      </c>
      <c r="I189" s="173">
        <f t="shared" ref="I189" si="21">LN(B189)</f>
        <v>-7.4185809027481282</v>
      </c>
      <c r="J189" s="173">
        <v>0.20928449536456342</v>
      </c>
      <c r="K189" s="173" t="s">
        <v>31</v>
      </c>
      <c r="L189" s="173" t="s">
        <v>31</v>
      </c>
      <c r="M189" s="173" t="s">
        <v>31</v>
      </c>
      <c r="N189" s="173"/>
      <c r="O189" s="305" t="s">
        <v>947</v>
      </c>
      <c r="P189" s="269">
        <v>0.6</v>
      </c>
      <c r="Q189" s="173" t="s">
        <v>337</v>
      </c>
      <c r="R189" s="173">
        <f t="shared" ref="R189" si="22">0.001*P189</f>
        <v>5.9999999999999995E-4</v>
      </c>
      <c r="S189" s="173"/>
      <c r="T189" s="173"/>
      <c r="U189" s="173"/>
    </row>
    <row r="190" spans="1:21" s="42" customFormat="1">
      <c r="A190" s="209" t="s">
        <v>5</v>
      </c>
      <c r="B190" s="210" t="s">
        <v>1443</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7</v>
      </c>
      <c r="B191" s="173" t="s">
        <v>566</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9</v>
      </c>
      <c r="B192" s="173" t="s">
        <v>1444</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11</v>
      </c>
      <c r="B193" s="179" t="s">
        <v>913</v>
      </c>
      <c r="C193" s="173"/>
      <c r="D193" s="173"/>
      <c r="E193" s="173"/>
      <c r="F193" s="173"/>
      <c r="G193" s="173"/>
      <c r="H193" s="173"/>
      <c r="I193" s="173"/>
      <c r="J193" s="173"/>
      <c r="K193" s="173"/>
      <c r="L193" s="173"/>
      <c r="M193" s="173"/>
      <c r="N193" s="173"/>
      <c r="O193" s="173"/>
      <c r="P193" s="173"/>
      <c r="Q193" s="175" t="s">
        <v>1023</v>
      </c>
      <c r="R193" s="173"/>
      <c r="S193" s="173"/>
      <c r="T193" s="173"/>
      <c r="U193" s="173"/>
    </row>
    <row r="194" spans="1:21">
      <c r="A194" s="177" t="s">
        <v>13</v>
      </c>
      <c r="B194" s="173" t="s">
        <v>14</v>
      </c>
      <c r="C194" s="173"/>
      <c r="D194" s="173"/>
      <c r="E194" s="173"/>
      <c r="F194" s="173"/>
      <c r="G194" s="173"/>
      <c r="H194" s="173"/>
      <c r="I194" s="173"/>
      <c r="J194" s="173"/>
      <c r="K194" s="173"/>
      <c r="L194" s="173"/>
      <c r="M194" s="173"/>
      <c r="N194" s="173"/>
      <c r="O194" s="173"/>
      <c r="P194" s="173"/>
      <c r="Q194" s="173" t="s">
        <v>1024</v>
      </c>
      <c r="R194" s="173">
        <v>8900</v>
      </c>
      <c r="S194" s="173" t="s">
        <v>1025</v>
      </c>
      <c r="T194" s="173"/>
      <c r="U194" s="173"/>
    </row>
    <row r="195" spans="1:21">
      <c r="A195" s="177" t="s">
        <v>15</v>
      </c>
      <c r="B195" s="277">
        <f>B200</f>
        <v>0.05</v>
      </c>
      <c r="C195" s="173"/>
      <c r="D195" s="173"/>
      <c r="E195" s="173"/>
      <c r="F195" s="173"/>
      <c r="G195" s="173"/>
      <c r="H195" s="173"/>
      <c r="I195" s="173"/>
      <c r="J195" s="173"/>
      <c r="K195" s="173"/>
      <c r="L195" s="173"/>
      <c r="M195" s="173"/>
      <c r="N195" s="173"/>
      <c r="O195" s="173"/>
      <c r="P195" s="173"/>
      <c r="Q195" s="173" t="s">
        <v>1026</v>
      </c>
      <c r="R195" s="173">
        <f>5*10^-6</f>
        <v>4.9999999999999996E-6</v>
      </c>
      <c r="S195" s="173" t="s">
        <v>1027</v>
      </c>
      <c r="T195" s="173"/>
      <c r="U195" s="173"/>
    </row>
    <row r="196" spans="1:21">
      <c r="A196" s="177" t="s">
        <v>16</v>
      </c>
      <c r="B196" s="173" t="s">
        <v>17</v>
      </c>
      <c r="C196" s="173"/>
      <c r="D196" s="173"/>
      <c r="E196" s="173"/>
      <c r="F196" s="173"/>
      <c r="G196" s="173"/>
      <c r="H196" s="173"/>
      <c r="I196" s="173"/>
      <c r="J196" s="173"/>
      <c r="K196" s="173"/>
      <c r="L196" s="173"/>
      <c r="M196" s="173"/>
      <c r="N196" s="173"/>
      <c r="O196" s="173"/>
      <c r="P196" s="173"/>
      <c r="Q196" s="280" t="s">
        <v>1029</v>
      </c>
      <c r="R196" s="281">
        <f>R195*R194</f>
        <v>4.4499999999999998E-2</v>
      </c>
      <c r="S196" s="282" t="s">
        <v>985</v>
      </c>
      <c r="T196" s="173"/>
      <c r="U196" s="173"/>
    </row>
    <row r="197" spans="1:21">
      <c r="A197" s="177" t="s">
        <v>18</v>
      </c>
      <c r="B197" s="173" t="s">
        <v>206</v>
      </c>
      <c r="C197" s="173"/>
      <c r="D197" s="173"/>
      <c r="E197" s="173"/>
      <c r="F197" s="173"/>
      <c r="G197" s="173"/>
      <c r="H197" s="173"/>
      <c r="I197" s="173"/>
      <c r="J197" s="173"/>
      <c r="K197" s="173"/>
      <c r="L197" s="173"/>
      <c r="M197" s="173"/>
      <c r="N197" s="173"/>
      <c r="O197" s="173"/>
      <c r="P197" s="173"/>
      <c r="Q197" s="173"/>
      <c r="R197" s="173"/>
      <c r="S197" s="173"/>
      <c r="T197" s="173"/>
      <c r="U197" s="173"/>
    </row>
    <row r="198" spans="1:21">
      <c r="A198" s="174" t="s">
        <v>19</v>
      </c>
      <c r="B198" s="173"/>
      <c r="C198" s="173"/>
      <c r="D198" s="173"/>
      <c r="E198" s="173"/>
      <c r="F198" s="173"/>
      <c r="G198" s="173"/>
      <c r="H198" s="173"/>
      <c r="I198" s="173"/>
      <c r="J198" s="173"/>
      <c r="K198" s="173"/>
      <c r="L198" s="173"/>
      <c r="M198" s="173"/>
      <c r="N198" s="173"/>
      <c r="O198" s="173"/>
      <c r="P198" s="173"/>
      <c r="Q198" s="173" t="s">
        <v>1032</v>
      </c>
      <c r="R198" s="173"/>
      <c r="S198" s="173"/>
      <c r="T198" s="260"/>
      <c r="U198" s="173"/>
    </row>
    <row r="199" spans="1:21">
      <c r="A199" s="175" t="s">
        <v>20</v>
      </c>
      <c r="B199" s="175" t="s">
        <v>21</v>
      </c>
      <c r="C199" s="175" t="s">
        <v>18</v>
      </c>
      <c r="D199" s="175" t="s">
        <v>22</v>
      </c>
      <c r="E199" s="175" t="s">
        <v>7</v>
      </c>
      <c r="F199" s="175" t="s">
        <v>13</v>
      </c>
      <c r="G199" s="175" t="s">
        <v>16</v>
      </c>
      <c r="H199" s="175" t="s">
        <v>23</v>
      </c>
      <c r="I199" s="175" t="s">
        <v>24</v>
      </c>
      <c r="J199" s="175" t="s">
        <v>25</v>
      </c>
      <c r="K199" s="175" t="s">
        <v>26</v>
      </c>
      <c r="L199" s="175" t="s">
        <v>27</v>
      </c>
      <c r="M199" s="175" t="s">
        <v>28</v>
      </c>
      <c r="N199" s="175" t="s">
        <v>11</v>
      </c>
      <c r="O199" s="173"/>
      <c r="P199" s="173"/>
      <c r="Q199" s="284">
        <v>0.1</v>
      </c>
      <c r="R199" s="285" t="s">
        <v>945</v>
      </c>
      <c r="S199" s="284">
        <f>Q199*R196</f>
        <v>4.45E-3</v>
      </c>
      <c r="T199" s="285" t="s">
        <v>337</v>
      </c>
      <c r="U199" s="173"/>
    </row>
    <row r="200" spans="1:21">
      <c r="A200" s="173" t="s">
        <v>1443</v>
      </c>
      <c r="B200" s="352">
        <v>0.05</v>
      </c>
      <c r="C200" s="173" t="s">
        <v>206</v>
      </c>
      <c r="D200" s="258" t="s">
        <v>2</v>
      </c>
      <c r="E200" s="173" t="s">
        <v>29</v>
      </c>
      <c r="F200" s="173" t="s">
        <v>14</v>
      </c>
      <c r="G200" s="173" t="s">
        <v>30</v>
      </c>
      <c r="H200" s="173">
        <v>1</v>
      </c>
      <c r="I200" s="265">
        <f t="shared" ref="I200:I202" si="23">B200</f>
        <v>0.05</v>
      </c>
      <c r="J200" s="173" t="s">
        <v>31</v>
      </c>
      <c r="K200" s="173" t="s">
        <v>31</v>
      </c>
      <c r="L200" s="173" t="s">
        <v>31</v>
      </c>
      <c r="M200" s="173" t="s">
        <v>31</v>
      </c>
      <c r="N200" s="173"/>
      <c r="O200" s="308" t="s">
        <v>1031</v>
      </c>
      <c r="P200" s="309">
        <f>B200*100</f>
        <v>5</v>
      </c>
      <c r="Q200" s="173"/>
      <c r="R200" s="173"/>
      <c r="S200" s="173"/>
      <c r="T200" s="173"/>
      <c r="U200" s="173"/>
    </row>
    <row r="201" spans="1:21">
      <c r="A201" s="173" t="s">
        <v>1445</v>
      </c>
      <c r="B201" s="352">
        <v>0.05</v>
      </c>
      <c r="C201" s="173" t="s">
        <v>206</v>
      </c>
      <c r="D201" s="258" t="s">
        <v>2</v>
      </c>
      <c r="E201" s="173" t="s">
        <v>29</v>
      </c>
      <c r="F201" s="173" t="s">
        <v>14</v>
      </c>
      <c r="G201" s="173" t="s">
        <v>33</v>
      </c>
      <c r="H201" s="173">
        <v>1</v>
      </c>
      <c r="I201" s="265">
        <f t="shared" si="23"/>
        <v>0.05</v>
      </c>
      <c r="J201" s="173">
        <v>7.2284161474004766E-2</v>
      </c>
      <c r="K201" s="173" t="s">
        <v>31</v>
      </c>
      <c r="L201" s="173" t="s">
        <v>31</v>
      </c>
      <c r="M201" s="173" t="s">
        <v>31</v>
      </c>
      <c r="N201" s="173"/>
      <c r="O201" s="242" t="s">
        <v>1031</v>
      </c>
      <c r="P201" s="264">
        <f>B201*100</f>
        <v>5</v>
      </c>
      <c r="Q201" s="173"/>
      <c r="R201" s="173"/>
      <c r="S201" s="173"/>
      <c r="T201" s="173"/>
      <c r="U201" s="173"/>
    </row>
    <row r="202" spans="1:21">
      <c r="A202" s="271" t="s">
        <v>1399</v>
      </c>
      <c r="B202" s="270">
        <f>S199</f>
        <v>4.45E-3</v>
      </c>
      <c r="C202" s="173" t="s">
        <v>37</v>
      </c>
      <c r="D202" s="258" t="s">
        <v>2</v>
      </c>
      <c r="E202" s="173" t="s">
        <v>29</v>
      </c>
      <c r="F202" s="185" t="s">
        <v>14</v>
      </c>
      <c r="G202" s="173" t="s">
        <v>33</v>
      </c>
      <c r="H202" s="173">
        <v>1</v>
      </c>
      <c r="I202" s="265">
        <f t="shared" si="23"/>
        <v>4.45E-3</v>
      </c>
      <c r="J202" s="173">
        <v>7.2284161474004766E-2</v>
      </c>
      <c r="K202" s="173" t="s">
        <v>31</v>
      </c>
      <c r="L202" s="173" t="s">
        <v>31</v>
      </c>
      <c r="M202" s="173" t="s">
        <v>31</v>
      </c>
      <c r="N202" s="173"/>
      <c r="O202" s="271"/>
      <c r="P202" s="272"/>
      <c r="Q202" s="173"/>
      <c r="R202" s="173"/>
      <c r="S202" s="173"/>
      <c r="T202" s="173"/>
      <c r="U202" s="173"/>
    </row>
    <row r="203" spans="1:21">
      <c r="A203" s="177" t="s">
        <v>933</v>
      </c>
      <c r="B203" s="173">
        <v>0.8</v>
      </c>
      <c r="C203" s="173" t="s">
        <v>37</v>
      </c>
      <c r="D203" s="173" t="s">
        <v>38</v>
      </c>
      <c r="E203" s="173" t="s">
        <v>29</v>
      </c>
      <c r="F203" s="185" t="s">
        <v>39</v>
      </c>
      <c r="G203" s="173" t="s">
        <v>33</v>
      </c>
      <c r="H203" s="173">
        <v>2</v>
      </c>
      <c r="I203" s="173">
        <f t="shared" ref="I203:I204" si="24">LN(B203)</f>
        <v>-0.22314355131420971</v>
      </c>
      <c r="J203" s="173">
        <v>7.2284161474004766E-2</v>
      </c>
      <c r="K203" s="173" t="s">
        <v>31</v>
      </c>
      <c r="L203" s="173" t="s">
        <v>31</v>
      </c>
      <c r="M203" s="173" t="s">
        <v>31</v>
      </c>
      <c r="N203" s="173"/>
      <c r="O203" s="271" t="s">
        <v>1446</v>
      </c>
      <c r="P203" s="272"/>
      <c r="Q203" s="173"/>
      <c r="R203" s="173"/>
      <c r="S203" s="173"/>
      <c r="T203" s="173"/>
      <c r="U203" s="173"/>
    </row>
    <row r="204" spans="1:21">
      <c r="A204" s="232" t="s">
        <v>489</v>
      </c>
      <c r="B204" s="173">
        <f>0.001*0.8</f>
        <v>8.0000000000000004E-4</v>
      </c>
      <c r="C204" s="173" t="s">
        <v>50</v>
      </c>
      <c r="D204" s="173" t="s">
        <v>38</v>
      </c>
      <c r="E204" s="173" t="s">
        <v>29</v>
      </c>
      <c r="F204" s="185" t="s">
        <v>39</v>
      </c>
      <c r="G204" s="173" t="s">
        <v>33</v>
      </c>
      <c r="H204" s="173">
        <v>2</v>
      </c>
      <c r="I204" s="173">
        <f t="shared" si="24"/>
        <v>-7.1308988302963465</v>
      </c>
      <c r="J204" s="173">
        <v>7.2284161474004766E-2</v>
      </c>
      <c r="K204" s="173" t="s">
        <v>31</v>
      </c>
      <c r="L204" s="173" t="s">
        <v>31</v>
      </c>
      <c r="M204" s="173" t="s">
        <v>31</v>
      </c>
      <c r="N204" s="173"/>
      <c r="O204" s="271"/>
      <c r="P204" s="272"/>
      <c r="Q204" s="289"/>
      <c r="R204" s="173"/>
      <c r="S204" s="173"/>
      <c r="T204" s="173"/>
      <c r="U204" s="173"/>
    </row>
    <row r="205" spans="1:21" s="42" customFormat="1">
      <c r="A205" s="209" t="s">
        <v>5</v>
      </c>
      <c r="B205" s="210" t="s">
        <v>1445</v>
      </c>
      <c r="C205" s="211"/>
      <c r="D205" s="188"/>
      <c r="E205" s="188"/>
      <c r="F205" s="188"/>
      <c r="G205" s="188"/>
      <c r="H205" s="188"/>
      <c r="I205" s="188"/>
      <c r="J205" s="188"/>
      <c r="K205" s="188"/>
      <c r="L205" s="188"/>
      <c r="M205" s="188"/>
      <c r="N205" s="188"/>
      <c r="O205" s="188"/>
      <c r="P205" s="188"/>
      <c r="Q205" s="188"/>
      <c r="R205" s="188"/>
      <c r="S205" s="188"/>
      <c r="T205" s="188"/>
      <c r="U205" s="188"/>
    </row>
    <row r="206" spans="1:21">
      <c r="A206" s="177" t="s">
        <v>7</v>
      </c>
      <c r="B206" s="173" t="s">
        <v>566</v>
      </c>
      <c r="C206" s="176"/>
      <c r="D206" s="173"/>
      <c r="E206" s="173"/>
      <c r="F206" s="173"/>
      <c r="G206" s="173"/>
      <c r="H206" s="173"/>
      <c r="I206" s="173"/>
      <c r="J206" s="173"/>
      <c r="K206" s="173"/>
      <c r="L206" s="173"/>
      <c r="M206" s="173"/>
      <c r="N206" s="173"/>
      <c r="O206" s="173"/>
      <c r="P206" s="173"/>
      <c r="Q206" s="173"/>
      <c r="R206" s="173"/>
      <c r="S206" s="173"/>
      <c r="T206" s="173"/>
      <c r="U206" s="173"/>
    </row>
    <row r="207" spans="1:21">
      <c r="A207" s="276" t="s">
        <v>9</v>
      </c>
      <c r="B207" s="173" t="s">
        <v>1447</v>
      </c>
      <c r="C207" s="176"/>
      <c r="D207" s="173"/>
      <c r="E207" s="173"/>
      <c r="F207" s="173"/>
      <c r="G207" s="173"/>
      <c r="H207" s="173"/>
      <c r="I207" s="173"/>
      <c r="J207" s="173"/>
      <c r="K207" s="173"/>
      <c r="L207" s="173"/>
      <c r="M207" s="173"/>
      <c r="N207" s="173"/>
      <c r="O207" s="173"/>
      <c r="P207" s="173"/>
      <c r="Q207" s="173"/>
      <c r="R207" s="173"/>
      <c r="S207" s="173"/>
      <c r="T207" s="173"/>
      <c r="U207" s="173"/>
    </row>
    <row r="208" spans="1:21" ht="15.75" customHeight="1">
      <c r="A208" s="177" t="s">
        <v>11</v>
      </c>
      <c r="B208" s="179" t="s">
        <v>913</v>
      </c>
      <c r="C208" s="173"/>
      <c r="D208" s="173"/>
      <c r="E208" s="173"/>
      <c r="F208" s="173"/>
      <c r="G208" s="173"/>
      <c r="H208" s="173"/>
      <c r="I208" s="173"/>
      <c r="J208" s="173"/>
      <c r="K208" s="173"/>
      <c r="L208" s="173"/>
      <c r="M208" s="173"/>
      <c r="N208" s="173"/>
      <c r="O208" s="173"/>
      <c r="P208" s="173"/>
      <c r="Q208" s="173"/>
      <c r="R208" s="173"/>
      <c r="S208" s="173"/>
      <c r="T208" s="173"/>
      <c r="U208" s="173"/>
    </row>
    <row r="209" spans="1:21">
      <c r="A209" s="177" t="s">
        <v>13</v>
      </c>
      <c r="B209" s="173" t="s">
        <v>14</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15</v>
      </c>
      <c r="B210" s="277">
        <f>B215</f>
        <v>0.05</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16</v>
      </c>
      <c r="B211" s="173" t="s">
        <v>17</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18</v>
      </c>
      <c r="B212" s="173" t="s">
        <v>206</v>
      </c>
      <c r="C212" s="173"/>
      <c r="D212" s="173"/>
      <c r="E212" s="173"/>
      <c r="F212" s="173"/>
      <c r="G212" s="173"/>
      <c r="H212" s="173"/>
      <c r="I212" s="173"/>
      <c r="J212" s="173"/>
      <c r="K212" s="173"/>
      <c r="L212" s="173"/>
      <c r="M212" s="173"/>
      <c r="N212" s="173"/>
      <c r="O212" s="173"/>
      <c r="P212" s="173"/>
      <c r="Q212" s="173"/>
      <c r="R212" s="173"/>
      <c r="S212" s="265"/>
      <c r="T212" s="173"/>
      <c r="U212" s="173"/>
    </row>
    <row r="213" spans="1:21">
      <c r="A213" s="174" t="s">
        <v>19</v>
      </c>
      <c r="B213" s="173"/>
      <c r="C213" s="173"/>
      <c r="D213" s="173"/>
      <c r="E213" s="173"/>
      <c r="F213" s="173"/>
      <c r="G213" s="173"/>
      <c r="H213" s="173"/>
      <c r="I213" s="173"/>
      <c r="J213" s="173"/>
      <c r="K213" s="173"/>
      <c r="L213" s="173"/>
      <c r="M213" s="173"/>
      <c r="N213" s="173"/>
      <c r="O213" s="173"/>
      <c r="P213" s="173"/>
      <c r="Q213" s="173"/>
      <c r="R213" s="173"/>
      <c r="S213" s="173"/>
      <c r="T213" s="173"/>
      <c r="U213" s="173"/>
    </row>
    <row r="214" spans="1:21">
      <c r="A214" s="175" t="s">
        <v>20</v>
      </c>
      <c r="B214" s="175" t="s">
        <v>21</v>
      </c>
      <c r="C214" s="175" t="s">
        <v>18</v>
      </c>
      <c r="D214" s="175" t="s">
        <v>22</v>
      </c>
      <c r="E214" s="175" t="s">
        <v>7</v>
      </c>
      <c r="F214" s="175" t="s">
        <v>13</v>
      </c>
      <c r="G214" s="175" t="s">
        <v>16</v>
      </c>
      <c r="H214" s="175" t="s">
        <v>23</v>
      </c>
      <c r="I214" s="175" t="s">
        <v>24</v>
      </c>
      <c r="J214" s="175" t="s">
        <v>25</v>
      </c>
      <c r="K214" s="175" t="s">
        <v>26</v>
      </c>
      <c r="L214" s="175" t="s">
        <v>27</v>
      </c>
      <c r="M214" s="175" t="s">
        <v>28</v>
      </c>
      <c r="N214" s="175" t="s">
        <v>11</v>
      </c>
      <c r="O214" s="173"/>
      <c r="P214" s="173"/>
      <c r="Q214" s="173"/>
      <c r="R214" s="173"/>
      <c r="S214" s="173"/>
      <c r="T214" s="173"/>
      <c r="U214" s="173"/>
    </row>
    <row r="215" spans="1:21">
      <c r="A215" s="173" t="s">
        <v>1445</v>
      </c>
      <c r="B215" s="265">
        <v>0.05</v>
      </c>
      <c r="C215" s="173" t="s">
        <v>206</v>
      </c>
      <c r="D215" s="258" t="s">
        <v>2</v>
      </c>
      <c r="E215" s="173" t="s">
        <v>29</v>
      </c>
      <c r="F215" s="173" t="s">
        <v>14</v>
      </c>
      <c r="G215" s="173" t="s">
        <v>30</v>
      </c>
      <c r="H215" s="173">
        <v>1</v>
      </c>
      <c r="I215" s="265">
        <f t="shared" ref="I215:I216" si="25">B215</f>
        <v>0.05</v>
      </c>
      <c r="J215" s="173" t="s">
        <v>31</v>
      </c>
      <c r="K215" s="173" t="s">
        <v>31</v>
      </c>
      <c r="L215" s="173" t="s">
        <v>31</v>
      </c>
      <c r="M215" s="173" t="s">
        <v>31</v>
      </c>
      <c r="N215" s="173"/>
      <c r="O215" s="242" t="s">
        <v>1031</v>
      </c>
      <c r="P215" s="264">
        <f>B215*100</f>
        <v>5</v>
      </c>
      <c r="Q215" s="173"/>
      <c r="R215" s="173"/>
      <c r="S215" s="173"/>
      <c r="T215" s="173"/>
      <c r="U215" s="173"/>
    </row>
    <row r="216" spans="1:21">
      <c r="A216" s="173" t="s">
        <v>1402</v>
      </c>
      <c r="B216" s="265">
        <f>'[2]Same processes'!B46</f>
        <v>0.25</v>
      </c>
      <c r="C216" s="173" t="s">
        <v>37</v>
      </c>
      <c r="D216" s="258" t="s">
        <v>2</v>
      </c>
      <c r="E216" s="173" t="s">
        <v>29</v>
      </c>
      <c r="F216" s="173" t="s">
        <v>14</v>
      </c>
      <c r="G216" s="173" t="s">
        <v>33</v>
      </c>
      <c r="H216" s="173">
        <v>1</v>
      </c>
      <c r="I216" s="265">
        <f t="shared" si="25"/>
        <v>0.25</v>
      </c>
      <c r="J216" s="173" t="s">
        <v>31</v>
      </c>
      <c r="K216" s="173" t="s">
        <v>31</v>
      </c>
      <c r="L216" s="173" t="s">
        <v>31</v>
      </c>
      <c r="M216" s="173" t="s">
        <v>31</v>
      </c>
      <c r="N216" s="173"/>
      <c r="O216" s="286"/>
      <c r="P216" s="314">
        <v>0.93</v>
      </c>
      <c r="Q216" s="173" t="s">
        <v>1448</v>
      </c>
      <c r="R216" s="173"/>
      <c r="S216" s="173"/>
      <c r="T216" s="173"/>
      <c r="U216" s="173"/>
    </row>
    <row r="217" spans="1:21">
      <c r="A217" s="177" t="s">
        <v>168</v>
      </c>
      <c r="B217" s="184">
        <f>P217</f>
        <v>0.06</v>
      </c>
      <c r="C217" s="173" t="s">
        <v>41</v>
      </c>
      <c r="D217" s="173" t="s">
        <v>38</v>
      </c>
      <c r="E217" s="173" t="s">
        <v>29</v>
      </c>
      <c r="F217" s="185" t="s">
        <v>35</v>
      </c>
      <c r="G217" s="173" t="s">
        <v>33</v>
      </c>
      <c r="H217" s="173">
        <v>2</v>
      </c>
      <c r="I217" s="173">
        <f t="shared" ref="I217:I218" si="26">LN(B217)</f>
        <v>-2.8134107167600364</v>
      </c>
      <c r="J217" s="173">
        <v>7.2284161474004766E-2</v>
      </c>
      <c r="K217" s="173" t="s">
        <v>31</v>
      </c>
      <c r="L217" s="173" t="s">
        <v>31</v>
      </c>
      <c r="M217" s="173" t="s">
        <v>31</v>
      </c>
      <c r="N217" s="173"/>
      <c r="O217" s="242" t="s">
        <v>332</v>
      </c>
      <c r="P217" s="264">
        <v>0.06</v>
      </c>
      <c r="Q217" s="173"/>
      <c r="R217" s="173"/>
      <c r="S217" s="173"/>
      <c r="T217" s="173"/>
      <c r="U217" s="173"/>
    </row>
    <row r="218" spans="1:21">
      <c r="A218" s="232" t="s">
        <v>1017</v>
      </c>
      <c r="B218" s="173">
        <f>R218</f>
        <v>1E-3</v>
      </c>
      <c r="C218" s="265" t="s">
        <v>37</v>
      </c>
      <c r="D218" s="173" t="s">
        <v>38</v>
      </c>
      <c r="E218" s="173" t="s">
        <v>29</v>
      </c>
      <c r="F218" s="173" t="s">
        <v>60</v>
      </c>
      <c r="G218" s="173" t="s">
        <v>33</v>
      </c>
      <c r="H218" s="173">
        <v>2</v>
      </c>
      <c r="I218" s="173">
        <f t="shared" si="26"/>
        <v>-6.9077552789821368</v>
      </c>
      <c r="J218" s="173">
        <v>7.2284161474004766E-2</v>
      </c>
      <c r="K218" s="173" t="s">
        <v>31</v>
      </c>
      <c r="L218" s="173" t="s">
        <v>31</v>
      </c>
      <c r="M218" s="173" t="s">
        <v>31</v>
      </c>
      <c r="N218" s="173"/>
      <c r="O218" s="242" t="s">
        <v>947</v>
      </c>
      <c r="P218" s="264">
        <v>1</v>
      </c>
      <c r="Q218" s="173" t="s">
        <v>337</v>
      </c>
      <c r="R218" s="173">
        <f>P218*0.001</f>
        <v>1E-3</v>
      </c>
      <c r="S218" s="173"/>
      <c r="T218" s="173"/>
      <c r="U218" s="173"/>
    </row>
    <row r="219" spans="1:21">
      <c r="A219" s="83" t="s">
        <v>1018</v>
      </c>
      <c r="B219" s="173">
        <f t="shared" ref="B219:B220" si="27">R219</f>
        <v>2E-3</v>
      </c>
      <c r="C219" s="173" t="s">
        <v>37</v>
      </c>
      <c r="D219" s="173" t="s">
        <v>38</v>
      </c>
      <c r="E219" s="173" t="s">
        <v>29</v>
      </c>
      <c r="F219" s="185" t="s">
        <v>35</v>
      </c>
      <c r="G219" s="173" t="s">
        <v>33</v>
      </c>
      <c r="H219" s="173">
        <v>2</v>
      </c>
      <c r="I219" s="173">
        <f>LN(B219)</f>
        <v>-6.2146080984221914</v>
      </c>
      <c r="J219" s="173">
        <v>7.2284161474004766E-2</v>
      </c>
      <c r="K219" s="173" t="s">
        <v>31</v>
      </c>
      <c r="L219" s="173" t="s">
        <v>31</v>
      </c>
      <c r="M219" s="173" t="s">
        <v>31</v>
      </c>
      <c r="N219" s="173"/>
      <c r="O219" s="242" t="s">
        <v>947</v>
      </c>
      <c r="P219" s="264">
        <v>2</v>
      </c>
      <c r="Q219" s="173" t="s">
        <v>337</v>
      </c>
      <c r="R219" s="173">
        <f>P219*0.001</f>
        <v>2E-3</v>
      </c>
      <c r="S219" s="173"/>
      <c r="T219" s="173"/>
      <c r="U219" s="173"/>
    </row>
    <row r="220" spans="1:21">
      <c r="A220" s="177" t="s">
        <v>933</v>
      </c>
      <c r="B220" s="173">
        <f t="shared" si="27"/>
        <v>2.1</v>
      </c>
      <c r="C220" s="173" t="s">
        <v>37</v>
      </c>
      <c r="D220" s="173" t="s">
        <v>38</v>
      </c>
      <c r="E220" s="173" t="s">
        <v>29</v>
      </c>
      <c r="F220" s="185" t="s">
        <v>39</v>
      </c>
      <c r="G220" s="173" t="s">
        <v>33</v>
      </c>
      <c r="H220" s="173">
        <v>2</v>
      </c>
      <c r="I220" s="173">
        <f t="shared" ref="I220:I221" si="28">LN(B220)</f>
        <v>0.74193734472937733</v>
      </c>
      <c r="J220" s="173">
        <v>7.2284161474004766E-2</v>
      </c>
      <c r="K220" s="173" t="s">
        <v>31</v>
      </c>
      <c r="L220" s="173" t="s">
        <v>31</v>
      </c>
      <c r="M220" s="173" t="s">
        <v>31</v>
      </c>
      <c r="N220" s="173"/>
      <c r="O220" s="242" t="s">
        <v>337</v>
      </c>
      <c r="P220" s="264">
        <v>2.1</v>
      </c>
      <c r="Q220" s="173" t="s">
        <v>337</v>
      </c>
      <c r="R220" s="173">
        <f>P220</f>
        <v>2.1</v>
      </c>
      <c r="S220" s="173"/>
      <c r="T220" s="173"/>
      <c r="U220" s="173"/>
    </row>
    <row r="221" spans="1:21">
      <c r="A221" s="232" t="s">
        <v>489</v>
      </c>
      <c r="B221" s="173">
        <f>R221</f>
        <v>2.1000000000000003E-3</v>
      </c>
      <c r="C221" s="173" t="s">
        <v>50</v>
      </c>
      <c r="D221" s="173" t="s">
        <v>38</v>
      </c>
      <c r="E221" s="173" t="s">
        <v>29</v>
      </c>
      <c r="F221" s="185" t="s">
        <v>39</v>
      </c>
      <c r="G221" s="173" t="s">
        <v>33</v>
      </c>
      <c r="H221" s="173">
        <v>2</v>
      </c>
      <c r="I221" s="173">
        <f t="shared" si="28"/>
        <v>-6.1658179342527593</v>
      </c>
      <c r="J221" s="173">
        <v>7.2284161474004766E-2</v>
      </c>
      <c r="K221" s="173" t="s">
        <v>31</v>
      </c>
      <c r="L221" s="173" t="s">
        <v>31</v>
      </c>
      <c r="M221" s="173" t="s">
        <v>31</v>
      </c>
      <c r="N221" s="173"/>
      <c r="O221" s="268" t="s">
        <v>1009</v>
      </c>
      <c r="P221" s="269">
        <v>2.1</v>
      </c>
      <c r="Q221" s="173" t="s">
        <v>335</v>
      </c>
      <c r="R221" s="173">
        <f>0.001*P221</f>
        <v>2.1000000000000003E-3</v>
      </c>
      <c r="S221" s="173"/>
      <c r="T221" s="173"/>
      <c r="U221" s="173"/>
    </row>
    <row r="222" spans="1:21" s="42" customFormat="1">
      <c r="A222" s="209" t="s">
        <v>5</v>
      </c>
      <c r="B222" s="304" t="s">
        <v>1438</v>
      </c>
      <c r="C222" s="211"/>
      <c r="D222" s="188"/>
      <c r="E222" s="188"/>
      <c r="F222" s="188"/>
      <c r="G222" s="188"/>
      <c r="H222" s="188"/>
      <c r="I222" s="188"/>
      <c r="J222" s="188"/>
      <c r="K222" s="188"/>
      <c r="L222" s="188"/>
      <c r="M222" s="188"/>
      <c r="N222" s="188"/>
      <c r="O222" s="188"/>
      <c r="P222" s="173"/>
      <c r="Q222" s="188"/>
      <c r="R222" s="188"/>
      <c r="S222" s="188"/>
      <c r="T222" s="188"/>
      <c r="U222" s="188"/>
    </row>
    <row r="223" spans="1:21">
      <c r="A223" s="177" t="s">
        <v>7</v>
      </c>
      <c r="B223" s="173" t="s">
        <v>566</v>
      </c>
      <c r="C223" s="176"/>
      <c r="D223" s="173"/>
      <c r="E223" s="173"/>
      <c r="F223" s="173"/>
      <c r="G223" s="173"/>
      <c r="H223" s="173"/>
      <c r="I223" s="173"/>
      <c r="J223" s="173"/>
      <c r="K223" s="173"/>
      <c r="L223" s="173"/>
      <c r="M223" s="173"/>
      <c r="N223" s="173"/>
      <c r="O223" s="173"/>
      <c r="P223" s="173"/>
      <c r="Q223" s="173"/>
      <c r="R223" s="173"/>
      <c r="S223" s="173"/>
      <c r="T223" s="173"/>
      <c r="U223" s="173"/>
    </row>
    <row r="224" spans="1:21">
      <c r="A224" s="276" t="s">
        <v>9</v>
      </c>
      <c r="B224" s="173" t="s">
        <v>1449</v>
      </c>
      <c r="C224" s="176"/>
      <c r="D224" s="173"/>
      <c r="E224" s="173"/>
      <c r="F224" s="173"/>
      <c r="G224" s="173"/>
      <c r="H224" s="173"/>
      <c r="I224" s="173"/>
      <c r="J224" s="173"/>
      <c r="K224" s="173"/>
      <c r="L224" s="173"/>
      <c r="M224" s="173"/>
      <c r="N224" s="173"/>
      <c r="O224" s="173"/>
      <c r="P224" s="173"/>
      <c r="Q224" s="173"/>
      <c r="R224" s="173"/>
      <c r="S224" s="173"/>
      <c r="T224" s="173"/>
      <c r="U224" s="173"/>
    </row>
    <row r="225" spans="1:21" ht="15.75" customHeight="1">
      <c r="A225" s="177" t="s">
        <v>11</v>
      </c>
      <c r="B225" s="179" t="s">
        <v>913</v>
      </c>
      <c r="C225" s="173"/>
      <c r="D225" s="173"/>
      <c r="E225" s="173"/>
      <c r="F225" s="173"/>
      <c r="G225" s="173"/>
      <c r="H225" s="173"/>
      <c r="I225" s="173"/>
      <c r="J225" s="173"/>
      <c r="K225" s="173"/>
      <c r="L225" s="173"/>
      <c r="M225" s="173"/>
      <c r="N225" s="173"/>
      <c r="O225" s="173"/>
      <c r="P225" s="173"/>
      <c r="Q225" s="173"/>
      <c r="R225" s="173"/>
      <c r="S225" s="173"/>
      <c r="T225" s="173"/>
      <c r="U225" s="173"/>
    </row>
    <row r="226" spans="1:21">
      <c r="A226" s="177" t="s">
        <v>13</v>
      </c>
      <c r="B226" s="173" t="s">
        <v>14</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15</v>
      </c>
      <c r="B227" s="277">
        <f>B232</f>
        <v>1.4E-3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16</v>
      </c>
      <c r="B228" s="173" t="s">
        <v>17</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18</v>
      </c>
      <c r="B229" s="173" t="s">
        <v>206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4" t="s">
        <v>19</v>
      </c>
      <c r="B230" s="173"/>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5" t="s">
        <v>20</v>
      </c>
      <c r="B231" s="175" t="s">
        <v>21</v>
      </c>
      <c r="C231" s="175" t="s">
        <v>18</v>
      </c>
      <c r="D231" s="175" t="s">
        <v>22</v>
      </c>
      <c r="E231" s="175" t="s">
        <v>7</v>
      </c>
      <c r="F231" s="175" t="s">
        <v>13</v>
      </c>
      <c r="G231" s="175" t="s">
        <v>16</v>
      </c>
      <c r="H231" s="175" t="s">
        <v>23</v>
      </c>
      <c r="I231" s="175" t="s">
        <v>24</v>
      </c>
      <c r="J231" s="175" t="s">
        <v>25</v>
      </c>
      <c r="K231" s="175" t="s">
        <v>26</v>
      </c>
      <c r="L231" s="175" t="s">
        <v>27</v>
      </c>
      <c r="M231" s="175" t="s">
        <v>28</v>
      </c>
      <c r="N231" s="175" t="s">
        <v>11</v>
      </c>
      <c r="O231" s="173"/>
      <c r="P231" s="173"/>
      <c r="Q231" s="173"/>
      <c r="R231" s="173"/>
      <c r="S231" s="173"/>
      <c r="T231" s="173"/>
      <c r="U231" s="173"/>
    </row>
    <row r="232" spans="1:21">
      <c r="A232" s="173" t="s">
        <v>1438</v>
      </c>
      <c r="B232" s="265">
        <v>1.4E-3</v>
      </c>
      <c r="C232" s="173" t="s">
        <v>206</v>
      </c>
      <c r="D232" s="258" t="s">
        <v>2</v>
      </c>
      <c r="E232" s="173" t="s">
        <v>29</v>
      </c>
      <c r="F232" s="185" t="s">
        <v>14</v>
      </c>
      <c r="G232" s="173" t="s">
        <v>30</v>
      </c>
      <c r="H232" s="173">
        <v>1</v>
      </c>
      <c r="I232" s="265">
        <f t="shared" ref="I232:I234" si="29">B232</f>
        <v>1.4E-3</v>
      </c>
      <c r="J232" s="173" t="s">
        <v>31</v>
      </c>
      <c r="K232" s="173" t="s">
        <v>31</v>
      </c>
      <c r="L232" s="173" t="s">
        <v>31</v>
      </c>
      <c r="M232" s="173" t="s">
        <v>31</v>
      </c>
      <c r="N232" s="173"/>
      <c r="O232" s="353"/>
      <c r="P232" s="354"/>
      <c r="Q232" s="173"/>
      <c r="R232" s="173"/>
      <c r="S232" s="173"/>
      <c r="T232" s="173"/>
      <c r="U232" s="173"/>
    </row>
    <row r="233" spans="1:21">
      <c r="A233" s="173" t="s">
        <v>1450</v>
      </c>
      <c r="B233" s="265">
        <f>B253</f>
        <v>1.4E-3</v>
      </c>
      <c r="C233" s="173" t="s">
        <v>206</v>
      </c>
      <c r="D233" s="258" t="s">
        <v>2</v>
      </c>
      <c r="E233" s="173" t="s">
        <v>29</v>
      </c>
      <c r="F233" s="185" t="s">
        <v>14</v>
      </c>
      <c r="G233" s="173" t="s">
        <v>33</v>
      </c>
      <c r="H233" s="173">
        <v>1</v>
      </c>
      <c r="I233" s="265">
        <f t="shared" si="29"/>
        <v>1.4E-3</v>
      </c>
      <c r="J233" s="173" t="s">
        <v>31</v>
      </c>
      <c r="K233" s="173" t="s">
        <v>31</v>
      </c>
      <c r="L233" s="173" t="s">
        <v>31</v>
      </c>
      <c r="M233" s="173" t="s">
        <v>31</v>
      </c>
      <c r="N233" s="173"/>
      <c r="O233" s="353"/>
      <c r="P233" s="354"/>
      <c r="Q233" s="173"/>
      <c r="R233" s="173"/>
      <c r="S233" s="173"/>
      <c r="T233" s="173"/>
      <c r="U233" s="173"/>
    </row>
    <row r="234" spans="1:21">
      <c r="A234" s="173" t="s">
        <v>1451</v>
      </c>
      <c r="B234" s="265">
        <f>B241</f>
        <v>2.7000000000000006E-4</v>
      </c>
      <c r="C234" s="173" t="s">
        <v>206</v>
      </c>
      <c r="D234" s="258" t="s">
        <v>2</v>
      </c>
      <c r="E234" s="173" t="s">
        <v>29</v>
      </c>
      <c r="F234" s="185" t="s">
        <v>14</v>
      </c>
      <c r="G234" s="173" t="s">
        <v>33</v>
      </c>
      <c r="H234" s="173">
        <v>1</v>
      </c>
      <c r="I234" s="265">
        <f t="shared" si="29"/>
        <v>2.7000000000000006E-4</v>
      </c>
      <c r="J234" s="173" t="s">
        <v>31</v>
      </c>
      <c r="K234" s="173" t="s">
        <v>31</v>
      </c>
      <c r="L234" s="173" t="s">
        <v>31</v>
      </c>
      <c r="M234" s="173" t="s">
        <v>31</v>
      </c>
      <c r="N234" s="173"/>
      <c r="O234" s="259"/>
      <c r="P234" s="355"/>
      <c r="Q234" s="173"/>
      <c r="R234" s="173"/>
      <c r="S234" s="173"/>
      <c r="T234" s="173"/>
      <c r="U234" s="173"/>
    </row>
    <row r="235" spans="1:21">
      <c r="A235" s="177" t="s">
        <v>168</v>
      </c>
      <c r="B235" s="265">
        <f>P235</f>
        <v>0.03</v>
      </c>
      <c r="C235" s="173" t="s">
        <v>41</v>
      </c>
      <c r="D235" s="173" t="s">
        <v>38</v>
      </c>
      <c r="E235" s="173" t="s">
        <v>29</v>
      </c>
      <c r="F235" s="185" t="s">
        <v>35</v>
      </c>
      <c r="G235" s="173" t="s">
        <v>33</v>
      </c>
      <c r="H235" s="173">
        <v>2</v>
      </c>
      <c r="I235" s="173">
        <f t="shared" ref="I235" si="30">LN(B235)</f>
        <v>-3.5065578973199818</v>
      </c>
      <c r="J235" s="173">
        <v>0.20928449536456342</v>
      </c>
      <c r="K235" s="173" t="s">
        <v>31</v>
      </c>
      <c r="L235" s="173" t="s">
        <v>31</v>
      </c>
      <c r="M235" s="173" t="s">
        <v>31</v>
      </c>
      <c r="N235" s="173"/>
      <c r="O235" s="356" t="s">
        <v>332</v>
      </c>
      <c r="P235" s="357">
        <v>0.03</v>
      </c>
      <c r="Q235" s="173"/>
      <c r="R235" s="173"/>
      <c r="S235" s="173"/>
      <c r="T235" s="173"/>
      <c r="U235" s="173"/>
    </row>
    <row r="236" spans="1:21" s="42" customFormat="1">
      <c r="A236" s="209" t="s">
        <v>5</v>
      </c>
      <c r="B236" s="304" t="s">
        <v>1451</v>
      </c>
      <c r="C236" s="211"/>
      <c r="D236" s="188"/>
      <c r="E236" s="188"/>
      <c r="F236" s="188"/>
      <c r="G236" s="188"/>
      <c r="H236" s="188"/>
      <c r="I236" s="188"/>
      <c r="J236" s="188"/>
      <c r="K236" s="188"/>
      <c r="L236" s="188"/>
      <c r="M236" s="188"/>
      <c r="N236" s="188"/>
      <c r="O236" s="188"/>
      <c r="P236" s="188"/>
      <c r="Q236" s="188"/>
      <c r="R236" s="188"/>
      <c r="S236" s="188"/>
      <c r="T236" s="188"/>
      <c r="U236" s="188"/>
    </row>
    <row r="237" spans="1:21">
      <c r="A237" s="177" t="s">
        <v>7</v>
      </c>
      <c r="B237" s="173" t="s">
        <v>566</v>
      </c>
      <c r="C237" s="176"/>
      <c r="D237" s="173"/>
      <c r="E237" s="173"/>
      <c r="F237" s="173"/>
      <c r="G237" s="173"/>
      <c r="H237" s="173"/>
      <c r="I237" s="173"/>
      <c r="J237" s="173"/>
      <c r="K237" s="173"/>
      <c r="L237" s="173"/>
      <c r="M237" s="173"/>
      <c r="N237" s="173"/>
      <c r="O237" s="173"/>
      <c r="P237" s="173"/>
      <c r="Q237" s="173"/>
      <c r="R237" s="173"/>
      <c r="S237" s="173"/>
      <c r="T237" s="173"/>
      <c r="U237" s="173"/>
    </row>
    <row r="238" spans="1:21">
      <c r="A238" s="276" t="s">
        <v>9</v>
      </c>
      <c r="B238" s="173" t="s">
        <v>1452</v>
      </c>
      <c r="C238" s="176"/>
      <c r="D238" s="173"/>
      <c r="E238" s="173"/>
      <c r="F238" s="173"/>
      <c r="G238" s="173"/>
      <c r="H238" s="173"/>
      <c r="I238" s="173"/>
      <c r="J238" s="173"/>
      <c r="K238" s="173"/>
      <c r="L238" s="173"/>
      <c r="M238" s="173"/>
      <c r="N238" s="173"/>
      <c r="O238" s="173"/>
      <c r="P238" s="173"/>
      <c r="Q238" s="173"/>
      <c r="R238" s="173"/>
      <c r="S238" s="173"/>
      <c r="T238" s="173"/>
      <c r="U238" s="173"/>
    </row>
    <row r="239" spans="1:21" ht="15.75" customHeight="1">
      <c r="A239" s="177" t="s">
        <v>11</v>
      </c>
      <c r="B239" s="179" t="s">
        <v>913</v>
      </c>
      <c r="C239" s="173"/>
      <c r="D239" s="173"/>
      <c r="E239" s="173"/>
      <c r="F239" s="173"/>
      <c r="G239" s="173"/>
      <c r="H239" s="173"/>
      <c r="I239" s="173"/>
      <c r="J239" s="173"/>
      <c r="K239" s="173"/>
      <c r="L239" s="173"/>
      <c r="M239" s="173"/>
      <c r="N239" s="173"/>
      <c r="O239" s="173"/>
      <c r="P239" s="173"/>
      <c r="Q239" s="173"/>
      <c r="R239" s="173"/>
      <c r="S239" s="173"/>
      <c r="T239" s="173"/>
      <c r="U239" s="173"/>
    </row>
    <row r="240" spans="1:21">
      <c r="A240" s="177" t="s">
        <v>13</v>
      </c>
      <c r="B240" s="173" t="s">
        <v>14</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15</v>
      </c>
      <c r="B241" s="265">
        <f>B247</f>
        <v>2.7000000000000006E-4</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16</v>
      </c>
      <c r="B242" s="173" t="s">
        <v>17</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18</v>
      </c>
      <c r="B243" s="173" t="s">
        <v>206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4" t="s">
        <v>19</v>
      </c>
      <c r="B244" s="173"/>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5" t="s">
        <v>20</v>
      </c>
      <c r="B245" s="175" t="s">
        <v>21</v>
      </c>
      <c r="C245" s="175" t="s">
        <v>18</v>
      </c>
      <c r="D245" s="175" t="s">
        <v>22</v>
      </c>
      <c r="E245" s="175" t="s">
        <v>7</v>
      </c>
      <c r="F245" s="175" t="s">
        <v>13</v>
      </c>
      <c r="G245" s="175" t="s">
        <v>16</v>
      </c>
      <c r="H245" s="175" t="s">
        <v>23</v>
      </c>
      <c r="I245" s="175" t="s">
        <v>24</v>
      </c>
      <c r="J245" s="175" t="s">
        <v>25</v>
      </c>
      <c r="K245" s="175" t="s">
        <v>26</v>
      </c>
      <c r="L245" s="175" t="s">
        <v>27</v>
      </c>
      <c r="M245" s="175" t="s">
        <v>28</v>
      </c>
      <c r="N245" s="175" t="s">
        <v>11</v>
      </c>
      <c r="O245" s="173"/>
      <c r="P245" s="173"/>
      <c r="Q245" s="173"/>
      <c r="R245" s="173"/>
      <c r="S245" s="173"/>
      <c r="T245" s="173"/>
      <c r="U245" s="173"/>
    </row>
    <row r="246" spans="1:21">
      <c r="A246" s="173" t="s">
        <v>1451</v>
      </c>
      <c r="B246" s="265">
        <f>10^(-4)*2.7</f>
        <v>2.7000000000000006E-4</v>
      </c>
      <c r="C246" s="173" t="s">
        <v>206</v>
      </c>
      <c r="D246" s="258" t="s">
        <v>2</v>
      </c>
      <c r="E246" s="173" t="s">
        <v>29</v>
      </c>
      <c r="F246" s="185" t="s">
        <v>14</v>
      </c>
      <c r="G246" s="173" t="s">
        <v>30</v>
      </c>
      <c r="H246" s="173">
        <v>1</v>
      </c>
      <c r="I246" s="265">
        <f>B246</f>
        <v>2.7000000000000006E-4</v>
      </c>
      <c r="J246" s="173" t="s">
        <v>31</v>
      </c>
      <c r="K246" s="173" t="s">
        <v>31</v>
      </c>
      <c r="L246" s="173" t="s">
        <v>31</v>
      </c>
      <c r="M246" s="173" t="s">
        <v>31</v>
      </c>
      <c r="N246" s="173"/>
      <c r="O246" s="173"/>
      <c r="P246" s="173"/>
      <c r="Q246" s="173"/>
      <c r="R246" s="173"/>
      <c r="S246" s="173"/>
      <c r="T246" s="173"/>
      <c r="U246" s="173"/>
    </row>
    <row r="247" spans="1:21">
      <c r="A247" s="232" t="s">
        <v>1095</v>
      </c>
      <c r="B247" s="265">
        <f>10^(-4)*2.7</f>
        <v>2.7000000000000006E-4</v>
      </c>
      <c r="C247" s="173" t="s">
        <v>206</v>
      </c>
      <c r="D247" s="173" t="s">
        <v>38</v>
      </c>
      <c r="E247" s="173" t="s">
        <v>29</v>
      </c>
      <c r="F247" s="173" t="s">
        <v>60</v>
      </c>
      <c r="G247" s="173" t="s">
        <v>33</v>
      </c>
      <c r="H247" s="173">
        <v>2</v>
      </c>
      <c r="I247" s="173">
        <f>LN(B247)</f>
        <v>-8.2170885989658995</v>
      </c>
      <c r="J247" s="173">
        <v>3.7749172176353707E-2</v>
      </c>
      <c r="K247" s="173" t="s">
        <v>31</v>
      </c>
      <c r="L247" s="173" t="s">
        <v>31</v>
      </c>
      <c r="M247" s="173" t="s">
        <v>31</v>
      </c>
      <c r="N247" s="173"/>
      <c r="O247" s="173"/>
      <c r="P247" s="173"/>
      <c r="Q247" s="173"/>
      <c r="R247" s="173"/>
      <c r="S247" s="173"/>
      <c r="T247" s="173"/>
      <c r="U247" s="173"/>
    </row>
    <row r="248" spans="1:21" s="42" customFormat="1">
      <c r="A248" s="209" t="s">
        <v>5</v>
      </c>
      <c r="B248" s="210" t="s">
        <v>1450</v>
      </c>
      <c r="C248" s="188"/>
      <c r="D248" s="188"/>
      <c r="E248" s="188"/>
      <c r="F248" s="188"/>
      <c r="G248" s="188"/>
      <c r="H248" s="188"/>
      <c r="I248" s="188"/>
      <c r="J248" s="188"/>
      <c r="K248" s="188"/>
      <c r="L248" s="188"/>
      <c r="M248" s="188"/>
      <c r="N248" s="188"/>
      <c r="O248" s="188"/>
      <c r="P248" s="188"/>
      <c r="Q248" s="188"/>
      <c r="R248" s="188"/>
      <c r="S248" s="188"/>
      <c r="T248" s="188"/>
      <c r="U248" s="188"/>
    </row>
    <row r="249" spans="1:21">
      <c r="A249" s="177" t="s">
        <v>7</v>
      </c>
      <c r="B249" s="173" t="s">
        <v>566</v>
      </c>
      <c r="C249" s="176"/>
      <c r="D249" s="173"/>
      <c r="E249" s="173"/>
      <c r="F249" s="173"/>
      <c r="G249" s="173"/>
      <c r="H249" s="173"/>
      <c r="I249" s="173"/>
      <c r="J249" s="173"/>
      <c r="K249" s="173"/>
      <c r="L249" s="173"/>
      <c r="M249" s="173"/>
      <c r="N249" s="173"/>
      <c r="O249" s="173"/>
      <c r="P249" s="173"/>
      <c r="Q249" s="173"/>
      <c r="R249" s="173"/>
      <c r="S249" s="173"/>
      <c r="T249" s="173"/>
      <c r="U249" s="173"/>
    </row>
    <row r="250" spans="1:21">
      <c r="A250" s="276" t="s">
        <v>9</v>
      </c>
      <c r="B250" s="173" t="s">
        <v>1453</v>
      </c>
      <c r="C250" s="176"/>
      <c r="D250" s="173"/>
      <c r="E250" s="173"/>
      <c r="F250" s="173"/>
      <c r="G250" s="173"/>
      <c r="H250" s="173"/>
      <c r="I250" s="173"/>
      <c r="J250" s="173"/>
      <c r="K250" s="173"/>
      <c r="L250" s="173"/>
      <c r="M250" s="173"/>
      <c r="N250" s="173"/>
      <c r="O250" s="173"/>
      <c r="P250" s="173"/>
      <c r="Q250" s="173"/>
      <c r="R250" s="173"/>
      <c r="S250" s="173"/>
      <c r="T250" s="173"/>
      <c r="U250" s="173"/>
    </row>
    <row r="251" spans="1:21" ht="15.75" customHeight="1">
      <c r="A251" s="177" t="s">
        <v>11</v>
      </c>
      <c r="B251" s="179" t="s">
        <v>913</v>
      </c>
      <c r="C251" s="173"/>
      <c r="D251" s="173"/>
      <c r="E251" s="173"/>
      <c r="F251" s="173"/>
      <c r="G251" s="173"/>
      <c r="H251" s="173"/>
      <c r="I251" s="173"/>
      <c r="J251" s="173"/>
      <c r="K251" s="173"/>
      <c r="L251" s="173"/>
      <c r="M251" s="173"/>
      <c r="N251" s="173"/>
      <c r="O251" s="173"/>
      <c r="P251" s="173"/>
      <c r="Q251" s="173"/>
      <c r="R251" s="173"/>
      <c r="S251" s="173"/>
      <c r="T251" s="173"/>
      <c r="U251" s="173"/>
    </row>
    <row r="252" spans="1:21">
      <c r="A252" s="177" t="s">
        <v>13</v>
      </c>
      <c r="B252" s="173" t="s">
        <v>14</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15</v>
      </c>
      <c r="B253" s="265">
        <f>B258</f>
        <v>1.4E-3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16</v>
      </c>
      <c r="B254" s="173" t="s">
        <v>17</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18</v>
      </c>
      <c r="B255" s="173" t="s">
        <v>206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4" t="s">
        <v>19</v>
      </c>
      <c r="B256" s="173"/>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5" t="s">
        <v>20</v>
      </c>
      <c r="B257" s="175" t="s">
        <v>21</v>
      </c>
      <c r="C257" s="175" t="s">
        <v>18</v>
      </c>
      <c r="D257" s="175" t="s">
        <v>22</v>
      </c>
      <c r="E257" s="175" t="s">
        <v>7</v>
      </c>
      <c r="F257" s="175" t="s">
        <v>13</v>
      </c>
      <c r="G257" s="175" t="s">
        <v>16</v>
      </c>
      <c r="H257" s="175" t="s">
        <v>23</v>
      </c>
      <c r="I257" s="175" t="s">
        <v>24</v>
      </c>
      <c r="J257" s="175" t="s">
        <v>25</v>
      </c>
      <c r="K257" s="175" t="s">
        <v>26</v>
      </c>
      <c r="L257" s="175" t="s">
        <v>27</v>
      </c>
      <c r="M257" s="175" t="s">
        <v>28</v>
      </c>
      <c r="N257" s="175" t="s">
        <v>11</v>
      </c>
      <c r="O257" s="173"/>
      <c r="P257" s="173"/>
      <c r="Q257" s="173"/>
      <c r="R257" s="173"/>
      <c r="S257" s="173"/>
      <c r="T257" s="173"/>
      <c r="U257" s="173"/>
    </row>
    <row r="258" spans="1:21">
      <c r="A258" s="173" t="s">
        <v>1450</v>
      </c>
      <c r="B258" s="265">
        <f>B259</f>
        <v>1.4E-3</v>
      </c>
      <c r="C258" s="173" t="s">
        <v>206</v>
      </c>
      <c r="D258" s="258" t="s">
        <v>2</v>
      </c>
      <c r="E258" s="173" t="s">
        <v>29</v>
      </c>
      <c r="F258" s="185" t="s">
        <v>14</v>
      </c>
      <c r="G258" s="173" t="s">
        <v>30</v>
      </c>
      <c r="H258" s="173">
        <v>1</v>
      </c>
      <c r="I258" s="265">
        <f t="shared" ref="I258:I259" si="31">B258</f>
        <v>1.4E-3</v>
      </c>
      <c r="J258" s="173" t="s">
        <v>31</v>
      </c>
      <c r="K258" s="173" t="s">
        <v>31</v>
      </c>
      <c r="L258" s="173" t="s">
        <v>31</v>
      </c>
      <c r="M258" s="173" t="s">
        <v>31</v>
      </c>
      <c r="N258" s="173"/>
      <c r="O258" s="173"/>
      <c r="P258" s="173"/>
      <c r="Q258" s="173"/>
      <c r="R258" s="173"/>
      <c r="S258" s="173"/>
      <c r="T258" s="173"/>
      <c r="U258" s="173"/>
    </row>
    <row r="259" spans="1:21">
      <c r="A259" s="173" t="s">
        <v>1454</v>
      </c>
      <c r="B259" s="265">
        <f>P259</f>
        <v>1.4E-3</v>
      </c>
      <c r="C259" s="173" t="s">
        <v>206</v>
      </c>
      <c r="D259" s="258" t="s">
        <v>2</v>
      </c>
      <c r="E259" s="173" t="s">
        <v>29</v>
      </c>
      <c r="F259" s="173" t="s">
        <v>14</v>
      </c>
      <c r="G259" s="173" t="s">
        <v>33</v>
      </c>
      <c r="H259" s="173">
        <v>1</v>
      </c>
      <c r="I259" s="265">
        <f t="shared" si="31"/>
        <v>1.4E-3</v>
      </c>
      <c r="J259" s="173" t="s">
        <v>31</v>
      </c>
      <c r="K259" s="173" t="s">
        <v>31</v>
      </c>
      <c r="L259" s="173" t="s">
        <v>31</v>
      </c>
      <c r="M259" s="173" t="s">
        <v>31</v>
      </c>
      <c r="N259" s="173"/>
      <c r="O259" s="173"/>
      <c r="P259" s="349">
        <v>1.4E-3</v>
      </c>
      <c r="Q259" s="173"/>
      <c r="R259" s="173"/>
      <c r="S259" s="173"/>
      <c r="T259" s="173"/>
      <c r="U259" s="173"/>
    </row>
    <row r="260" spans="1:21">
      <c r="A260" s="177" t="s">
        <v>168</v>
      </c>
      <c r="B260" s="184">
        <f>R260</f>
        <v>0.01</v>
      </c>
      <c r="C260" s="173" t="s">
        <v>41</v>
      </c>
      <c r="D260" s="173" t="s">
        <v>38</v>
      </c>
      <c r="E260" s="173" t="s">
        <v>29</v>
      </c>
      <c r="F260" s="185" t="s">
        <v>35</v>
      </c>
      <c r="G260" s="173" t="s">
        <v>33</v>
      </c>
      <c r="H260" s="173">
        <v>2</v>
      </c>
      <c r="I260" s="173">
        <f t="shared" ref="I260:I264" si="32">LN(B260)</f>
        <v>-4.6051701859880909</v>
      </c>
      <c r="J260" s="173">
        <v>0.20928449536456342</v>
      </c>
      <c r="K260" s="173" t="s">
        <v>31</v>
      </c>
      <c r="L260" s="173" t="s">
        <v>31</v>
      </c>
      <c r="M260" s="173" t="s">
        <v>31</v>
      </c>
      <c r="N260" s="173"/>
      <c r="O260" s="222" t="s">
        <v>332</v>
      </c>
      <c r="P260" s="264">
        <v>0.01</v>
      </c>
      <c r="Q260" s="173" t="s">
        <v>332</v>
      </c>
      <c r="R260" s="184">
        <f>P260</f>
        <v>0.01</v>
      </c>
      <c r="S260" s="173"/>
      <c r="T260" s="173"/>
      <c r="U260" s="173"/>
    </row>
    <row r="261" spans="1:21">
      <c r="A261" s="232" t="s">
        <v>931</v>
      </c>
      <c r="B261" s="173">
        <f>R261</f>
        <v>2.9999999999999997E-4</v>
      </c>
      <c r="C261" s="173" t="s">
        <v>37</v>
      </c>
      <c r="D261" s="173" t="s">
        <v>38</v>
      </c>
      <c r="E261" s="173" t="s">
        <v>29</v>
      </c>
      <c r="F261" s="185" t="s">
        <v>35</v>
      </c>
      <c r="G261" s="173" t="s">
        <v>33</v>
      </c>
      <c r="H261" s="173">
        <v>2</v>
      </c>
      <c r="I261" s="173">
        <f t="shared" si="32"/>
        <v>-8.1117280833080727</v>
      </c>
      <c r="J261" s="173">
        <v>0.20928449536456342</v>
      </c>
      <c r="K261" s="173" t="s">
        <v>31</v>
      </c>
      <c r="L261" s="173" t="s">
        <v>31</v>
      </c>
      <c r="M261" s="173" t="s">
        <v>31</v>
      </c>
      <c r="N261" s="173"/>
      <c r="O261" s="242" t="s">
        <v>947</v>
      </c>
      <c r="P261" s="264">
        <v>0.3</v>
      </c>
      <c r="Q261" s="173" t="s">
        <v>337</v>
      </c>
      <c r="R261" s="173">
        <f>0.001*P261</f>
        <v>2.9999999999999997E-4</v>
      </c>
      <c r="S261" s="173"/>
      <c r="T261" s="173"/>
      <c r="U261" s="173"/>
    </row>
    <row r="262" spans="1:21">
      <c r="A262" s="232" t="s">
        <v>932</v>
      </c>
      <c r="B262" s="173">
        <f>R262</f>
        <v>1E-4</v>
      </c>
      <c r="C262" s="173" t="s">
        <v>37</v>
      </c>
      <c r="D262" s="173" t="s">
        <v>38</v>
      </c>
      <c r="E262" s="173" t="s">
        <v>29</v>
      </c>
      <c r="F262" s="185" t="s">
        <v>60</v>
      </c>
      <c r="G262" s="173" t="s">
        <v>33</v>
      </c>
      <c r="H262" s="173">
        <v>2</v>
      </c>
      <c r="I262" s="173">
        <f t="shared" si="32"/>
        <v>-9.2103403719761818</v>
      </c>
      <c r="J262" s="173">
        <v>0.20928449536456342</v>
      </c>
      <c r="K262" s="173" t="s">
        <v>31</v>
      </c>
      <c r="L262" s="173" t="s">
        <v>31</v>
      </c>
      <c r="M262" s="173" t="s">
        <v>31</v>
      </c>
      <c r="N262" s="173"/>
      <c r="O262" s="242" t="s">
        <v>947</v>
      </c>
      <c r="P262" s="264">
        <v>0.1</v>
      </c>
      <c r="Q262" s="173" t="s">
        <v>337</v>
      </c>
      <c r="R262" s="173">
        <f>0.001*P262</f>
        <v>1E-4</v>
      </c>
      <c r="S262" s="173"/>
      <c r="T262" s="173"/>
      <c r="U262" s="173"/>
    </row>
    <row r="263" spans="1:21">
      <c r="A263" s="177" t="s">
        <v>933</v>
      </c>
      <c r="B263" s="173">
        <f>R263</f>
        <v>1.6999999999999999E-3</v>
      </c>
      <c r="C263" s="173" t="s">
        <v>37</v>
      </c>
      <c r="D263" s="173" t="s">
        <v>38</v>
      </c>
      <c r="E263" s="173" t="s">
        <v>29</v>
      </c>
      <c r="F263" s="185" t="s">
        <v>39</v>
      </c>
      <c r="G263" s="173" t="s">
        <v>33</v>
      </c>
      <c r="H263" s="173">
        <v>2</v>
      </c>
      <c r="I263" s="173">
        <f t="shared" si="32"/>
        <v>-6.3771270279199666</v>
      </c>
      <c r="J263" s="173">
        <v>0.20928449536456342</v>
      </c>
      <c r="K263" s="173" t="s">
        <v>31</v>
      </c>
      <c r="L263" s="173" t="s">
        <v>31</v>
      </c>
      <c r="M263" s="173" t="s">
        <v>31</v>
      </c>
      <c r="N263" s="173"/>
      <c r="O263" s="242" t="s">
        <v>947</v>
      </c>
      <c r="P263" s="264">
        <v>1.7</v>
      </c>
      <c r="Q263" s="173" t="s">
        <v>337</v>
      </c>
      <c r="R263" s="173">
        <f>0.001*P263</f>
        <v>1.6999999999999999E-3</v>
      </c>
      <c r="S263" s="173"/>
      <c r="T263" s="173"/>
      <c r="U263" s="173"/>
    </row>
    <row r="264" spans="1:21">
      <c r="A264" s="173" t="s">
        <v>1285</v>
      </c>
      <c r="B264" s="173">
        <f>R264</f>
        <v>4.0000000000000002E-4</v>
      </c>
      <c r="C264" s="173" t="s">
        <v>37</v>
      </c>
      <c r="D264" s="258" t="s">
        <v>2</v>
      </c>
      <c r="E264" s="173" t="s">
        <v>29</v>
      </c>
      <c r="F264" s="185" t="s">
        <v>39</v>
      </c>
      <c r="G264" s="173" t="s">
        <v>33</v>
      </c>
      <c r="H264" s="173">
        <v>2</v>
      </c>
      <c r="I264" s="173">
        <f t="shared" si="32"/>
        <v>-7.8240460108562919</v>
      </c>
      <c r="J264" s="173">
        <v>0.20928449536456342</v>
      </c>
      <c r="K264" s="173" t="s">
        <v>31</v>
      </c>
      <c r="L264" s="173" t="s">
        <v>31</v>
      </c>
      <c r="M264" s="173" t="s">
        <v>31</v>
      </c>
      <c r="N264" s="173"/>
      <c r="O264" s="305" t="s">
        <v>947</v>
      </c>
      <c r="P264" s="269">
        <v>0.4</v>
      </c>
      <c r="Q264" s="173" t="s">
        <v>337</v>
      </c>
      <c r="R264" s="173">
        <f>0.001*P264</f>
        <v>4.0000000000000002E-4</v>
      </c>
      <c r="S264" s="173"/>
      <c r="T264" s="173"/>
      <c r="U264" s="173"/>
    </row>
    <row r="265" spans="1:21" s="42" customFormat="1">
      <c r="A265" s="209" t="s">
        <v>5</v>
      </c>
      <c r="B265" s="210" t="s">
        <v>1454</v>
      </c>
      <c r="C265" s="188"/>
      <c r="D265" s="188"/>
      <c r="E265" s="188"/>
      <c r="F265" s="188"/>
      <c r="G265" s="188"/>
      <c r="H265" s="188"/>
      <c r="I265" s="188"/>
      <c r="J265" s="188"/>
      <c r="K265" s="188"/>
      <c r="L265" s="188"/>
      <c r="M265" s="188"/>
      <c r="N265" s="188"/>
      <c r="O265" s="188"/>
      <c r="P265" s="188"/>
      <c r="Q265" s="188"/>
      <c r="R265" s="188"/>
      <c r="S265" s="188"/>
      <c r="T265" s="188"/>
      <c r="U265" s="188"/>
    </row>
    <row r="266" spans="1:21">
      <c r="A266" s="177" t="s">
        <v>7</v>
      </c>
      <c r="B266" s="173" t="s">
        <v>566</v>
      </c>
      <c r="C266" s="176"/>
      <c r="D266" s="173"/>
      <c r="E266" s="173"/>
      <c r="F266" s="173"/>
      <c r="G266" s="173"/>
      <c r="H266" s="173"/>
      <c r="I266" s="173"/>
      <c r="J266" s="173"/>
      <c r="K266" s="173"/>
      <c r="L266" s="173"/>
      <c r="M266" s="173"/>
      <c r="N266" s="173"/>
      <c r="O266" s="173"/>
      <c r="P266" s="173"/>
      <c r="Q266" s="173"/>
      <c r="R266" s="173"/>
      <c r="S266" s="173"/>
      <c r="T266" s="173"/>
      <c r="U266" s="173"/>
    </row>
    <row r="267" spans="1:21">
      <c r="A267" s="276" t="s">
        <v>9</v>
      </c>
      <c r="B267" s="173" t="s">
        <v>1455</v>
      </c>
      <c r="C267" s="176"/>
      <c r="D267" s="173"/>
      <c r="E267" s="173"/>
      <c r="F267" s="173"/>
      <c r="G267" s="173"/>
      <c r="H267" s="173"/>
      <c r="I267" s="173"/>
      <c r="J267" s="173"/>
      <c r="K267" s="173"/>
      <c r="L267" s="173"/>
      <c r="M267" s="173"/>
      <c r="N267" s="173"/>
      <c r="O267" s="173"/>
      <c r="P267" s="173"/>
      <c r="Q267" s="173"/>
      <c r="R267" s="173"/>
      <c r="S267" s="173"/>
      <c r="T267" s="173"/>
      <c r="U267" s="173"/>
    </row>
    <row r="268" spans="1:21" ht="15.75" customHeight="1">
      <c r="A268" s="177" t="s">
        <v>11</v>
      </c>
      <c r="B268" s="179" t="s">
        <v>913</v>
      </c>
      <c r="C268" s="173"/>
      <c r="D268" s="173"/>
      <c r="E268" s="173"/>
      <c r="F268" s="173"/>
      <c r="G268" s="173"/>
      <c r="H268" s="173"/>
      <c r="I268" s="173"/>
      <c r="J268" s="173"/>
      <c r="K268" s="173"/>
      <c r="L268" s="173"/>
      <c r="M268" s="173"/>
      <c r="N268" s="173"/>
      <c r="O268" s="173"/>
      <c r="P268" s="173"/>
      <c r="Q268" s="173"/>
      <c r="R268" s="173"/>
      <c r="S268" s="173"/>
      <c r="T268" s="173"/>
      <c r="U268" s="173"/>
    </row>
    <row r="269" spans="1:21">
      <c r="A269" s="177" t="s">
        <v>13</v>
      </c>
      <c r="B269" s="173" t="s">
        <v>14</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15</v>
      </c>
      <c r="B270" s="265">
        <f>B275</f>
        <v>1.4E-3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16</v>
      </c>
      <c r="B271" s="173" t="s">
        <v>17</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18</v>
      </c>
      <c r="B272" s="173" t="s">
        <v>206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4" t="s">
        <v>19</v>
      </c>
      <c r="B273" s="173"/>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5" t="s">
        <v>20</v>
      </c>
      <c r="B274" s="175" t="s">
        <v>21</v>
      </c>
      <c r="C274" s="175" t="s">
        <v>18</v>
      </c>
      <c r="D274" s="175" t="s">
        <v>22</v>
      </c>
      <c r="E274" s="175" t="s">
        <v>7</v>
      </c>
      <c r="F274" s="175" t="s">
        <v>13</v>
      </c>
      <c r="G274" s="175" t="s">
        <v>16</v>
      </c>
      <c r="H274" s="175" t="s">
        <v>23</v>
      </c>
      <c r="I274" s="175" t="s">
        <v>24</v>
      </c>
      <c r="J274" s="175" t="s">
        <v>25</v>
      </c>
      <c r="K274" s="175" t="s">
        <v>26</v>
      </c>
      <c r="L274" s="175" t="s">
        <v>27</v>
      </c>
      <c r="M274" s="175" t="s">
        <v>28</v>
      </c>
      <c r="N274" s="175" t="s">
        <v>11</v>
      </c>
      <c r="O274" s="173"/>
      <c r="P274" s="173"/>
      <c r="Q274" s="173"/>
      <c r="R274" s="173"/>
      <c r="S274" s="173"/>
      <c r="T274" s="173"/>
      <c r="U274" s="173"/>
    </row>
    <row r="275" spans="1:21">
      <c r="A275" s="173" t="s">
        <v>1454</v>
      </c>
      <c r="B275" s="265">
        <v>1.4E-3</v>
      </c>
      <c r="C275" s="173" t="s">
        <v>206</v>
      </c>
      <c r="D275" s="258" t="s">
        <v>2</v>
      </c>
      <c r="E275" s="173" t="s">
        <v>29</v>
      </c>
      <c r="F275" s="173" t="s">
        <v>14</v>
      </c>
      <c r="G275" s="173" t="s">
        <v>30</v>
      </c>
      <c r="H275" s="173">
        <v>1</v>
      </c>
      <c r="I275" s="265">
        <f t="shared" ref="I275:I276" si="33">B275</f>
        <v>1.4E-3</v>
      </c>
      <c r="J275" s="173" t="s">
        <v>31</v>
      </c>
      <c r="K275" s="173" t="s">
        <v>31</v>
      </c>
      <c r="L275" s="173" t="s">
        <v>31</v>
      </c>
      <c r="M275" s="173" t="s">
        <v>31</v>
      </c>
      <c r="N275" s="173"/>
      <c r="O275" s="173"/>
      <c r="P275" s="173"/>
      <c r="Q275" s="173"/>
      <c r="R275" s="173"/>
      <c r="S275" s="173"/>
      <c r="T275" s="173"/>
      <c r="U275" s="173"/>
    </row>
    <row r="276" spans="1:21">
      <c r="A276" s="173" t="s">
        <v>1456</v>
      </c>
      <c r="B276" s="265">
        <f>P276</f>
        <v>1.4E-3</v>
      </c>
      <c r="C276" s="173" t="s">
        <v>206</v>
      </c>
      <c r="D276" s="258" t="s">
        <v>2</v>
      </c>
      <c r="E276" s="173" t="s">
        <v>29</v>
      </c>
      <c r="F276" s="173" t="s">
        <v>14</v>
      </c>
      <c r="G276" s="173" t="s">
        <v>33</v>
      </c>
      <c r="H276" s="173">
        <v>1</v>
      </c>
      <c r="I276" s="265">
        <f t="shared" si="33"/>
        <v>1.4E-3</v>
      </c>
      <c r="J276" s="173" t="s">
        <v>31</v>
      </c>
      <c r="K276" s="173" t="s">
        <v>31</v>
      </c>
      <c r="L276" s="173" t="s">
        <v>31</v>
      </c>
      <c r="M276" s="173" t="s">
        <v>31</v>
      </c>
      <c r="N276" s="173"/>
      <c r="O276" s="173"/>
      <c r="P276" s="349">
        <v>1.4E-3</v>
      </c>
      <c r="Q276" s="173"/>
      <c r="R276" s="173"/>
      <c r="S276" s="173"/>
      <c r="T276" s="173"/>
      <c r="U276" s="173"/>
    </row>
    <row r="277" spans="1:21">
      <c r="A277" s="177" t="s">
        <v>168</v>
      </c>
      <c r="B277" s="184">
        <f>P277</f>
        <v>0.23</v>
      </c>
      <c r="C277" s="173" t="s">
        <v>41</v>
      </c>
      <c r="D277" s="173" t="s">
        <v>38</v>
      </c>
      <c r="E277" s="173" t="s">
        <v>29</v>
      </c>
      <c r="F277" s="185" t="s">
        <v>35</v>
      </c>
      <c r="G277" s="173" t="s">
        <v>33</v>
      </c>
      <c r="H277" s="173">
        <v>2</v>
      </c>
      <c r="I277" s="173">
        <f t="shared" ref="I277:I278" si="34">LN(B277)</f>
        <v>-1.4696759700589417</v>
      </c>
      <c r="J277" s="173">
        <v>0.20928449536456342</v>
      </c>
      <c r="K277" s="173" t="s">
        <v>31</v>
      </c>
      <c r="L277" s="173" t="s">
        <v>31</v>
      </c>
      <c r="M277" s="173" t="s">
        <v>31</v>
      </c>
      <c r="N277" s="173"/>
      <c r="O277" s="242" t="s">
        <v>332</v>
      </c>
      <c r="P277" s="264">
        <f>0.16+0.07</f>
        <v>0.23</v>
      </c>
      <c r="Q277" s="173"/>
      <c r="R277" s="173"/>
      <c r="S277" s="173"/>
      <c r="T277" s="173"/>
      <c r="U277" s="173"/>
    </row>
    <row r="278" spans="1:21">
      <c r="A278" s="177" t="s">
        <v>933</v>
      </c>
      <c r="B278" s="184">
        <f>R278</f>
        <v>5.0000000000000001E-4</v>
      </c>
      <c r="C278" s="173" t="s">
        <v>37</v>
      </c>
      <c r="D278" s="173" t="s">
        <v>38</v>
      </c>
      <c r="E278" s="173" t="s">
        <v>29</v>
      </c>
      <c r="F278" s="185" t="s">
        <v>39</v>
      </c>
      <c r="G278" s="173" t="s">
        <v>33</v>
      </c>
      <c r="H278" s="173">
        <v>2</v>
      </c>
      <c r="I278" s="173">
        <f t="shared" si="34"/>
        <v>-7.6009024595420822</v>
      </c>
      <c r="J278" s="173">
        <v>0.20928449536456342</v>
      </c>
      <c r="K278" s="173" t="s">
        <v>31</v>
      </c>
      <c r="L278" s="173" t="s">
        <v>31</v>
      </c>
      <c r="M278" s="173" t="s">
        <v>31</v>
      </c>
      <c r="N278" s="173"/>
      <c r="O278" s="242" t="s">
        <v>947</v>
      </c>
      <c r="P278" s="264">
        <v>0.5</v>
      </c>
      <c r="Q278" s="173" t="s">
        <v>337</v>
      </c>
      <c r="R278" s="173">
        <f>P278*0.001</f>
        <v>5.0000000000000001E-4</v>
      </c>
      <c r="S278" s="173"/>
      <c r="T278" s="173"/>
      <c r="U278" s="173"/>
    </row>
    <row r="279" spans="1:21">
      <c r="A279" s="232" t="s">
        <v>1078</v>
      </c>
      <c r="B279" s="184">
        <f t="shared" ref="B279:B280" si="35">R279</f>
        <v>5.0000000000000001E-4</v>
      </c>
      <c r="C279" s="173" t="s">
        <v>37</v>
      </c>
      <c r="D279" s="173" t="s">
        <v>38</v>
      </c>
      <c r="E279" s="173" t="s">
        <v>29</v>
      </c>
      <c r="F279" s="173" t="s">
        <v>35</v>
      </c>
      <c r="G279" s="173" t="s">
        <v>33</v>
      </c>
      <c r="H279" s="173">
        <v>2</v>
      </c>
      <c r="I279" s="173">
        <f>LN(B279)</f>
        <v>-7.6009024595420822</v>
      </c>
      <c r="J279" s="173">
        <v>0.20928449536456342</v>
      </c>
      <c r="K279" s="173" t="s">
        <v>31</v>
      </c>
      <c r="L279" s="173" t="s">
        <v>31</v>
      </c>
      <c r="M279" s="173" t="s">
        <v>31</v>
      </c>
      <c r="N279" s="173"/>
      <c r="O279" s="242" t="s">
        <v>947</v>
      </c>
      <c r="P279" s="264">
        <v>0.6</v>
      </c>
      <c r="Q279" s="173" t="s">
        <v>337</v>
      </c>
      <c r="R279" s="173">
        <f>P278*0.001</f>
        <v>5.0000000000000001E-4</v>
      </c>
      <c r="S279" s="173"/>
      <c r="T279" s="173"/>
      <c r="U279" s="173"/>
    </row>
    <row r="280" spans="1:21">
      <c r="A280" s="173" t="s">
        <v>1285</v>
      </c>
      <c r="B280" s="184">
        <f t="shared" si="35"/>
        <v>5.9999999999999995E-4</v>
      </c>
      <c r="C280" s="173" t="s">
        <v>37</v>
      </c>
      <c r="D280" s="258" t="s">
        <v>2</v>
      </c>
      <c r="E280" s="173" t="s">
        <v>29</v>
      </c>
      <c r="F280" s="185" t="s">
        <v>39</v>
      </c>
      <c r="G280" s="173" t="s">
        <v>33</v>
      </c>
      <c r="H280" s="173">
        <v>2</v>
      </c>
      <c r="I280" s="173">
        <f t="shared" ref="I280" si="36">LN(B280)</f>
        <v>-7.4185809027481282</v>
      </c>
      <c r="J280" s="173">
        <v>0.20928449536456342</v>
      </c>
      <c r="K280" s="173" t="s">
        <v>31</v>
      </c>
      <c r="L280" s="173" t="s">
        <v>31</v>
      </c>
      <c r="M280" s="173" t="s">
        <v>31</v>
      </c>
      <c r="N280" s="173"/>
      <c r="O280" s="305" t="s">
        <v>947</v>
      </c>
      <c r="P280" s="269">
        <v>0.6</v>
      </c>
      <c r="Q280" s="173" t="s">
        <v>337</v>
      </c>
      <c r="R280" s="173">
        <f>0.001*P279</f>
        <v>5.9999999999999995E-4</v>
      </c>
      <c r="S280" s="173"/>
      <c r="T280" s="173"/>
      <c r="U280" s="173"/>
    </row>
    <row r="281" spans="1:21" s="42" customFormat="1">
      <c r="A281" s="209" t="s">
        <v>5</v>
      </c>
      <c r="B281" s="210" t="s">
        <v>1456</v>
      </c>
      <c r="C281" s="188"/>
      <c r="D281" s="188"/>
      <c r="E281" s="188"/>
      <c r="F281" s="188"/>
      <c r="G281" s="188"/>
      <c r="H281" s="188"/>
      <c r="I281" s="188"/>
      <c r="J281" s="188"/>
      <c r="K281" s="188"/>
      <c r="L281" s="188"/>
      <c r="M281" s="188"/>
      <c r="N281" s="188"/>
      <c r="O281" s="188"/>
      <c r="P281" s="188"/>
      <c r="Q281" s="188"/>
      <c r="R281" s="188"/>
      <c r="S281" s="188"/>
      <c r="T281" s="188"/>
      <c r="U281" s="188"/>
    </row>
    <row r="282" spans="1:21">
      <c r="A282" s="177" t="s">
        <v>7</v>
      </c>
      <c r="B282" s="173" t="s">
        <v>566</v>
      </c>
      <c r="C282" s="176"/>
      <c r="D282" s="173"/>
      <c r="E282" s="173"/>
      <c r="F282" s="173"/>
      <c r="G282" s="173"/>
      <c r="H282" s="173"/>
      <c r="I282" s="173"/>
      <c r="J282" s="173"/>
      <c r="K282" s="173"/>
      <c r="L282" s="173"/>
      <c r="M282" s="173"/>
      <c r="N282" s="173"/>
      <c r="O282" s="173"/>
      <c r="P282" s="173"/>
      <c r="Q282" s="173"/>
      <c r="R282" s="173"/>
      <c r="S282" s="173"/>
      <c r="T282" s="173"/>
      <c r="U282" s="173"/>
    </row>
    <row r="283" spans="1:21">
      <c r="A283" s="276" t="s">
        <v>9</v>
      </c>
      <c r="B283" s="173" t="s">
        <v>1457</v>
      </c>
      <c r="C283" s="176"/>
      <c r="D283" s="173"/>
      <c r="E283" s="173"/>
      <c r="F283" s="173"/>
      <c r="G283" s="173"/>
      <c r="H283" s="173"/>
      <c r="I283" s="173"/>
      <c r="J283" s="173"/>
      <c r="K283" s="173"/>
      <c r="L283" s="173"/>
      <c r="M283" s="173"/>
      <c r="N283" s="173"/>
      <c r="O283" s="173"/>
      <c r="P283" s="173"/>
      <c r="Q283" s="173"/>
      <c r="R283" s="173"/>
      <c r="S283" s="173"/>
      <c r="T283" s="173"/>
      <c r="U283" s="173"/>
    </row>
    <row r="284" spans="1:21" ht="15.75" customHeight="1">
      <c r="A284" s="177" t="s">
        <v>11</v>
      </c>
      <c r="B284" s="179" t="s">
        <v>913</v>
      </c>
      <c r="C284" s="173"/>
      <c r="D284" s="173"/>
      <c r="E284" s="173"/>
      <c r="F284" s="173"/>
      <c r="G284" s="173"/>
      <c r="H284" s="173"/>
      <c r="I284" s="173"/>
      <c r="J284" s="173"/>
      <c r="K284" s="173"/>
      <c r="L284" s="173"/>
      <c r="M284" s="173"/>
      <c r="N284" s="173"/>
      <c r="O284" s="173"/>
      <c r="P284" s="173"/>
      <c r="Q284" s="173"/>
      <c r="R284" s="173"/>
      <c r="S284" s="173"/>
      <c r="T284" s="173"/>
      <c r="U284" s="173"/>
    </row>
    <row r="285" spans="1:21">
      <c r="A285" s="177" t="s">
        <v>13</v>
      </c>
      <c r="B285" s="173" t="s">
        <v>14</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15</v>
      </c>
      <c r="B286" s="265">
        <f>B291</f>
        <v>2.47E-3</v>
      </c>
      <c r="C286" s="173"/>
      <c r="D286" s="173"/>
      <c r="E286" s="173"/>
      <c r="F286" s="173"/>
      <c r="G286" s="173"/>
      <c r="H286" s="173"/>
      <c r="I286" s="173"/>
      <c r="J286" s="173"/>
      <c r="K286" s="173"/>
      <c r="L286" s="173"/>
      <c r="M286" s="173"/>
      <c r="N286" s="173"/>
      <c r="O286" s="173"/>
      <c r="P286" s="173"/>
      <c r="Q286" s="173"/>
      <c r="R286" s="175" t="s">
        <v>1023</v>
      </c>
      <c r="S286" s="173"/>
      <c r="T286" s="173"/>
      <c r="U286" s="173"/>
    </row>
    <row r="287" spans="1:21">
      <c r="A287" s="177" t="s">
        <v>16</v>
      </c>
      <c r="B287" s="173" t="s">
        <v>17</v>
      </c>
      <c r="C287" s="173"/>
      <c r="D287" s="173"/>
      <c r="E287" s="173"/>
      <c r="F287" s="173"/>
      <c r="G287" s="173"/>
      <c r="H287" s="173"/>
      <c r="I287" s="173"/>
      <c r="J287" s="173"/>
      <c r="K287" s="173"/>
      <c r="L287" s="173"/>
      <c r="M287" s="173"/>
      <c r="N287" s="173"/>
      <c r="O287" s="173"/>
      <c r="P287" s="173"/>
      <c r="Q287" s="173"/>
      <c r="R287" s="173" t="s">
        <v>1024</v>
      </c>
      <c r="S287" s="173">
        <v>8900</v>
      </c>
      <c r="T287" s="173" t="s">
        <v>1025</v>
      </c>
      <c r="U287" s="173"/>
    </row>
    <row r="288" spans="1:21">
      <c r="A288" s="177" t="s">
        <v>18</v>
      </c>
      <c r="B288" s="173" t="s">
        <v>206</v>
      </c>
      <c r="C288" s="173"/>
      <c r="D288" s="173"/>
      <c r="E288" s="173"/>
      <c r="F288" s="173"/>
      <c r="G288" s="173"/>
      <c r="H288" s="173"/>
      <c r="I288" s="173"/>
      <c r="J288" s="173"/>
      <c r="K288" s="173"/>
      <c r="L288" s="173"/>
      <c r="M288" s="173"/>
      <c r="N288" s="173"/>
      <c r="O288" s="173"/>
      <c r="P288" s="173"/>
      <c r="Q288" s="173"/>
      <c r="R288" s="173" t="s">
        <v>1026</v>
      </c>
      <c r="S288" s="173">
        <f>5*10^-6</f>
        <v>4.9999999999999996E-6</v>
      </c>
      <c r="T288" s="173" t="s">
        <v>1027</v>
      </c>
      <c r="U288" s="173"/>
    </row>
    <row r="289" spans="1:21">
      <c r="A289" s="174" t="s">
        <v>19</v>
      </c>
      <c r="B289" s="173"/>
      <c r="C289" s="173"/>
      <c r="D289" s="173"/>
      <c r="E289" s="173"/>
      <c r="F289" s="173"/>
      <c r="G289" s="173"/>
      <c r="H289" s="173"/>
      <c r="I289" s="173"/>
      <c r="J289" s="173"/>
      <c r="K289" s="173"/>
      <c r="L289" s="173"/>
      <c r="M289" s="173"/>
      <c r="N289" s="173"/>
      <c r="O289" s="173"/>
      <c r="P289" s="173"/>
      <c r="Q289" s="173"/>
      <c r="R289" s="280" t="s">
        <v>1029</v>
      </c>
      <c r="S289" s="281">
        <f>S288*S287</f>
        <v>4.4499999999999998E-2</v>
      </c>
      <c r="T289" s="282" t="s">
        <v>985</v>
      </c>
      <c r="U289" s="173"/>
    </row>
    <row r="290" spans="1:21">
      <c r="A290" s="175" t="s">
        <v>20</v>
      </c>
      <c r="B290" s="175" t="s">
        <v>21</v>
      </c>
      <c r="C290" s="175" t="s">
        <v>18</v>
      </c>
      <c r="D290" s="175" t="s">
        <v>22</v>
      </c>
      <c r="E290" s="175" t="s">
        <v>7</v>
      </c>
      <c r="F290" s="175" t="s">
        <v>13</v>
      </c>
      <c r="G290" s="175" t="s">
        <v>16</v>
      </c>
      <c r="H290" s="175" t="s">
        <v>23</v>
      </c>
      <c r="I290" s="175" t="s">
        <v>24</v>
      </c>
      <c r="J290" s="175" t="s">
        <v>25</v>
      </c>
      <c r="K290" s="175" t="s">
        <v>26</v>
      </c>
      <c r="L290" s="175" t="s">
        <v>27</v>
      </c>
      <c r="M290" s="175" t="s">
        <v>28</v>
      </c>
      <c r="N290" s="175" t="s">
        <v>11</v>
      </c>
      <c r="O290" s="173"/>
      <c r="P290" s="173"/>
      <c r="Q290" s="173"/>
      <c r="R290" s="173"/>
      <c r="S290" s="173"/>
      <c r="T290" s="173"/>
      <c r="U290" s="173"/>
    </row>
    <row r="291" spans="1:21">
      <c r="A291" s="173" t="s">
        <v>1456</v>
      </c>
      <c r="B291" s="314">
        <v>2.47E-3</v>
      </c>
      <c r="C291" s="173" t="s">
        <v>206</v>
      </c>
      <c r="D291" s="258" t="s">
        <v>2</v>
      </c>
      <c r="E291" s="173" t="s">
        <v>29</v>
      </c>
      <c r="F291" s="173" t="s">
        <v>14</v>
      </c>
      <c r="G291" s="173" t="s">
        <v>30</v>
      </c>
      <c r="H291" s="173">
        <v>1</v>
      </c>
      <c r="I291" s="265">
        <f t="shared" ref="I291:I293" si="37">B291</f>
        <v>2.47E-3</v>
      </c>
      <c r="J291" s="173" t="s">
        <v>31</v>
      </c>
      <c r="K291" s="173" t="s">
        <v>31</v>
      </c>
      <c r="L291" s="173" t="s">
        <v>31</v>
      </c>
      <c r="M291" s="173" t="s">
        <v>31</v>
      </c>
      <c r="N291" s="173"/>
      <c r="O291" s="242" t="s">
        <v>1031</v>
      </c>
      <c r="P291" s="264">
        <f>B291*100</f>
        <v>0.247</v>
      </c>
      <c r="Q291" s="173"/>
      <c r="R291" s="173" t="s">
        <v>1032</v>
      </c>
      <c r="S291" s="173"/>
      <c r="T291" s="173"/>
      <c r="U291" s="260"/>
    </row>
    <row r="292" spans="1:21">
      <c r="A292" s="173" t="s">
        <v>1458</v>
      </c>
      <c r="B292" s="314">
        <v>2.47E-3</v>
      </c>
      <c r="C292" s="173" t="s">
        <v>206</v>
      </c>
      <c r="D292" s="258" t="s">
        <v>2</v>
      </c>
      <c r="E292" s="173" t="s">
        <v>29</v>
      </c>
      <c r="F292" s="173" t="s">
        <v>14</v>
      </c>
      <c r="G292" s="173" t="s">
        <v>33</v>
      </c>
      <c r="H292" s="173">
        <v>1</v>
      </c>
      <c r="I292" s="265">
        <f t="shared" si="37"/>
        <v>2.47E-3</v>
      </c>
      <c r="J292" s="173">
        <v>7.2284161474004766E-2</v>
      </c>
      <c r="K292" s="173" t="s">
        <v>31</v>
      </c>
      <c r="L292" s="173" t="s">
        <v>31</v>
      </c>
      <c r="M292" s="173" t="s">
        <v>31</v>
      </c>
      <c r="N292" s="173"/>
      <c r="O292" s="242" t="s">
        <v>1031</v>
      </c>
      <c r="P292" s="264">
        <f>B292*100</f>
        <v>0.247</v>
      </c>
      <c r="Q292" s="173"/>
      <c r="R292" s="284">
        <v>0.1</v>
      </c>
      <c r="S292" s="285" t="s">
        <v>945</v>
      </c>
      <c r="T292" s="284">
        <f>R292*S289</f>
        <v>4.45E-3</v>
      </c>
      <c r="U292" s="285" t="s">
        <v>337</v>
      </c>
    </row>
    <row r="293" spans="1:21">
      <c r="A293" s="271" t="s">
        <v>1399</v>
      </c>
      <c r="B293" s="270">
        <f>T292</f>
        <v>4.45E-3</v>
      </c>
      <c r="C293" s="173" t="s">
        <v>37</v>
      </c>
      <c r="D293" s="258" t="s">
        <v>2</v>
      </c>
      <c r="E293" s="173" t="s">
        <v>29</v>
      </c>
      <c r="F293" s="185" t="s">
        <v>14</v>
      </c>
      <c r="G293" s="173" t="s">
        <v>33</v>
      </c>
      <c r="H293" s="173">
        <v>1</v>
      </c>
      <c r="I293" s="265">
        <f t="shared" si="37"/>
        <v>4.45E-3</v>
      </c>
      <c r="J293" s="173">
        <v>7.2284161474004766E-2</v>
      </c>
      <c r="K293" s="173" t="s">
        <v>31</v>
      </c>
      <c r="L293" s="173" t="s">
        <v>31</v>
      </c>
      <c r="M293" s="173" t="s">
        <v>31</v>
      </c>
      <c r="N293" s="173"/>
      <c r="O293" s="286"/>
      <c r="P293" s="287"/>
      <c r="Q293" s="173"/>
      <c r="R293" s="173"/>
      <c r="S293" s="173"/>
      <c r="T293" s="173"/>
      <c r="U293" s="173"/>
    </row>
    <row r="294" spans="1:21">
      <c r="A294" s="177" t="s">
        <v>933</v>
      </c>
      <c r="B294" s="173">
        <f>P294</f>
        <v>0.8</v>
      </c>
      <c r="C294" s="173" t="s">
        <v>37</v>
      </c>
      <c r="D294" s="173" t="s">
        <v>38</v>
      </c>
      <c r="E294" s="173" t="s">
        <v>29</v>
      </c>
      <c r="F294" s="185" t="s">
        <v>39</v>
      </c>
      <c r="G294" s="173" t="s">
        <v>33</v>
      </c>
      <c r="H294" s="173">
        <v>2</v>
      </c>
      <c r="I294" s="173">
        <f t="shared" ref="I294" si="38">LN(B294)</f>
        <v>-0.22314355131420971</v>
      </c>
      <c r="J294" s="173">
        <v>7.2284161474004766E-2</v>
      </c>
      <c r="K294" s="173" t="s">
        <v>31</v>
      </c>
      <c r="L294" s="173" t="s">
        <v>31</v>
      </c>
      <c r="M294" s="173" t="s">
        <v>31</v>
      </c>
      <c r="N294" s="173"/>
      <c r="O294" s="242" t="s">
        <v>337</v>
      </c>
      <c r="P294" s="264">
        <v>0.8</v>
      </c>
      <c r="Q294" s="173"/>
      <c r="R294" s="173"/>
      <c r="S294" s="173"/>
      <c r="T294" s="173"/>
      <c r="U294" s="173"/>
    </row>
    <row r="295" spans="1:21">
      <c r="A295" s="232" t="s">
        <v>1021</v>
      </c>
      <c r="B295" s="184">
        <f>R295</f>
        <v>1E-8</v>
      </c>
      <c r="C295" s="173" t="s">
        <v>37</v>
      </c>
      <c r="D295" s="173" t="s">
        <v>38</v>
      </c>
      <c r="E295" s="173" t="s">
        <v>29</v>
      </c>
      <c r="F295" s="185" t="s">
        <v>60</v>
      </c>
      <c r="G295" s="173" t="s">
        <v>33</v>
      </c>
      <c r="H295" s="173">
        <v>2</v>
      </c>
      <c r="I295" s="173">
        <f>LN(B295)</f>
        <v>-18.420680743952367</v>
      </c>
      <c r="J295" s="173">
        <v>7.2284161474004766E-2</v>
      </c>
      <c r="K295" s="173" t="s">
        <v>31</v>
      </c>
      <c r="L295" s="173" t="s">
        <v>31</v>
      </c>
      <c r="M295" s="173" t="s">
        <v>31</v>
      </c>
      <c r="N295" s="173"/>
      <c r="O295" s="266" t="s">
        <v>952</v>
      </c>
      <c r="P295" s="295">
        <v>1.0000000000000001E-5</v>
      </c>
      <c r="Q295" s="242" t="s">
        <v>337</v>
      </c>
      <c r="R295" s="173">
        <f>P295*0.001</f>
        <v>1E-8</v>
      </c>
      <c r="S295" s="173"/>
      <c r="T295" s="173"/>
      <c r="U295" s="173"/>
    </row>
    <row r="296" spans="1:21">
      <c r="A296" s="232" t="s">
        <v>489</v>
      </c>
      <c r="B296" s="173">
        <f>R296</f>
        <v>8.0000000000000004E-4</v>
      </c>
      <c r="C296" s="173" t="s">
        <v>50</v>
      </c>
      <c r="D296" s="173" t="s">
        <v>38</v>
      </c>
      <c r="E296" s="173" t="s">
        <v>29</v>
      </c>
      <c r="F296" s="185" t="s">
        <v>39</v>
      </c>
      <c r="G296" s="173" t="s">
        <v>33</v>
      </c>
      <c r="H296" s="173">
        <v>2</v>
      </c>
      <c r="I296" s="173">
        <f t="shared" ref="I296" si="39">LN(B296)</f>
        <v>-7.1308988302963465</v>
      </c>
      <c r="J296" s="173">
        <v>7.2284161474004766E-2</v>
      </c>
      <c r="K296" s="173" t="s">
        <v>31</v>
      </c>
      <c r="L296" s="173" t="s">
        <v>31</v>
      </c>
      <c r="M296" s="173" t="s">
        <v>31</v>
      </c>
      <c r="N296" s="173"/>
      <c r="O296" s="268" t="s">
        <v>1009</v>
      </c>
      <c r="P296" s="269">
        <v>0.8</v>
      </c>
      <c r="Q296" s="173" t="s">
        <v>335</v>
      </c>
      <c r="R296" s="173">
        <f>P296*0.001</f>
        <v>8.0000000000000004E-4</v>
      </c>
      <c r="S296" s="173"/>
      <c r="T296" s="173"/>
      <c r="U296" s="173"/>
    </row>
    <row r="297" spans="1:21" s="42" customFormat="1">
      <c r="A297" s="209" t="s">
        <v>5</v>
      </c>
      <c r="B297" s="210" t="s">
        <v>1458</v>
      </c>
      <c r="C297" s="188"/>
      <c r="D297" s="188"/>
      <c r="E297" s="188"/>
      <c r="F297" s="188"/>
      <c r="G297" s="188"/>
      <c r="H297" s="188"/>
      <c r="I297" s="188"/>
      <c r="J297" s="188"/>
      <c r="K297" s="188"/>
      <c r="L297" s="188"/>
      <c r="M297" s="188"/>
      <c r="N297" s="188"/>
      <c r="O297" s="188"/>
      <c r="P297" s="188"/>
      <c r="Q297" s="188"/>
      <c r="R297" s="188"/>
      <c r="S297" s="188"/>
      <c r="T297" s="188"/>
      <c r="U297" s="188"/>
    </row>
    <row r="298" spans="1:21">
      <c r="A298" s="177" t="s">
        <v>7</v>
      </c>
      <c r="B298" s="173" t="s">
        <v>566</v>
      </c>
      <c r="C298" s="176"/>
      <c r="D298" s="173"/>
      <c r="E298" s="173"/>
      <c r="F298" s="173"/>
      <c r="G298" s="173"/>
      <c r="H298" s="173"/>
      <c r="I298" s="173"/>
      <c r="J298" s="173"/>
      <c r="K298" s="173"/>
      <c r="L298" s="173"/>
      <c r="M298" s="173"/>
      <c r="N298" s="173"/>
      <c r="O298" s="173"/>
      <c r="P298" s="173"/>
      <c r="Q298" s="173"/>
      <c r="R298" s="173"/>
      <c r="S298" s="173"/>
      <c r="T298" s="173"/>
      <c r="U298" s="173"/>
    </row>
    <row r="299" spans="1:21">
      <c r="A299" s="276" t="s">
        <v>9</v>
      </c>
      <c r="B299" s="173" t="s">
        <v>1459</v>
      </c>
      <c r="C299" s="176"/>
      <c r="D299" s="173"/>
      <c r="E299" s="173"/>
      <c r="F299" s="173"/>
      <c r="G299" s="173"/>
      <c r="H299" s="173"/>
      <c r="I299" s="173"/>
      <c r="J299" s="173"/>
      <c r="K299" s="173"/>
      <c r="L299" s="173"/>
      <c r="M299" s="173"/>
      <c r="N299" s="173"/>
      <c r="O299" s="173"/>
      <c r="P299" s="173"/>
      <c r="Q299" s="173"/>
      <c r="R299" s="173"/>
      <c r="S299" s="173"/>
      <c r="T299" s="173"/>
      <c r="U299" s="173"/>
    </row>
    <row r="300" spans="1:21" ht="15.75" customHeight="1">
      <c r="A300" s="177" t="s">
        <v>11</v>
      </c>
      <c r="B300" s="179" t="s">
        <v>913</v>
      </c>
      <c r="C300" s="173"/>
      <c r="D300" s="173"/>
      <c r="E300" s="173"/>
      <c r="F300" s="173"/>
      <c r="G300" s="173"/>
      <c r="H300" s="173"/>
      <c r="I300" s="173"/>
      <c r="J300" s="173"/>
      <c r="K300" s="173"/>
      <c r="L300" s="173"/>
      <c r="M300" s="173"/>
      <c r="N300" s="173"/>
      <c r="O300" s="173"/>
      <c r="P300" s="173"/>
      <c r="Q300" s="173"/>
      <c r="R300" s="173"/>
      <c r="S300" s="173"/>
      <c r="T300" s="173"/>
      <c r="U300" s="173"/>
    </row>
    <row r="301" spans="1:21">
      <c r="A301" s="177" t="s">
        <v>13</v>
      </c>
      <c r="B301" s="173" t="s">
        <v>14</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15</v>
      </c>
      <c r="B302" s="265">
        <f>B307</f>
        <v>1.4E-3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16</v>
      </c>
      <c r="B303" s="173" t="s">
        <v>17</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18</v>
      </c>
      <c r="B304" s="173" t="s">
        <v>206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4" t="s">
        <v>19</v>
      </c>
      <c r="B305" s="173"/>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5" t="s">
        <v>20</v>
      </c>
      <c r="B306" s="175" t="s">
        <v>21</v>
      </c>
      <c r="C306" s="175" t="s">
        <v>18</v>
      </c>
      <c r="D306" s="175" t="s">
        <v>22</v>
      </c>
      <c r="E306" s="175" t="s">
        <v>7</v>
      </c>
      <c r="F306" s="175" t="s">
        <v>13</v>
      </c>
      <c r="G306" s="175" t="s">
        <v>16</v>
      </c>
      <c r="H306" s="175" t="s">
        <v>23</v>
      </c>
      <c r="I306" s="175" t="s">
        <v>24</v>
      </c>
      <c r="J306" s="175" t="s">
        <v>25</v>
      </c>
      <c r="K306" s="175" t="s">
        <v>26</v>
      </c>
      <c r="L306" s="175" t="s">
        <v>27</v>
      </c>
      <c r="M306" s="175" t="s">
        <v>28</v>
      </c>
      <c r="N306" s="175" t="s">
        <v>11</v>
      </c>
      <c r="O306" s="173"/>
      <c r="P306" s="173"/>
      <c r="Q306" s="173"/>
      <c r="R306" s="173"/>
      <c r="S306" s="173"/>
      <c r="T306" s="265"/>
      <c r="U306" s="173"/>
    </row>
    <row r="307" spans="1:21">
      <c r="A307" s="173" t="s">
        <v>1458</v>
      </c>
      <c r="B307" s="265">
        <f t="shared" ref="B307:B317" si="40">P307</f>
        <v>1.4E-3</v>
      </c>
      <c r="C307" s="173" t="s">
        <v>206</v>
      </c>
      <c r="D307" s="258" t="s">
        <v>2</v>
      </c>
      <c r="E307" s="173" t="s">
        <v>29</v>
      </c>
      <c r="F307" s="173" t="s">
        <v>14</v>
      </c>
      <c r="G307" s="173" t="s">
        <v>30</v>
      </c>
      <c r="H307" s="173">
        <v>1</v>
      </c>
      <c r="I307" s="265">
        <f t="shared" ref="I307:I308" si="41">B307</f>
        <v>1.4E-3</v>
      </c>
      <c r="J307" s="173" t="s">
        <v>31</v>
      </c>
      <c r="K307" s="173" t="s">
        <v>31</v>
      </c>
      <c r="L307" s="173" t="s">
        <v>31</v>
      </c>
      <c r="M307" s="173" t="s">
        <v>31</v>
      </c>
      <c r="N307" s="173"/>
      <c r="O307" s="173"/>
      <c r="P307" s="348">
        <v>1.4E-3</v>
      </c>
      <c r="Q307" s="173"/>
      <c r="R307" s="173"/>
      <c r="S307" s="173"/>
      <c r="T307" s="173"/>
      <c r="U307" s="173"/>
    </row>
    <row r="308" spans="1:21">
      <c r="A308" s="173" t="s">
        <v>1460</v>
      </c>
      <c r="B308" s="265">
        <f t="shared" si="40"/>
        <v>1.4E-3</v>
      </c>
      <c r="C308" s="173" t="s">
        <v>206</v>
      </c>
      <c r="D308" s="258" t="s">
        <v>2</v>
      </c>
      <c r="E308" s="173" t="s">
        <v>29</v>
      </c>
      <c r="F308" s="173" t="s">
        <v>14</v>
      </c>
      <c r="G308" s="173" t="s">
        <v>33</v>
      </c>
      <c r="H308" s="173">
        <v>1</v>
      </c>
      <c r="I308" s="265">
        <f t="shared" si="41"/>
        <v>1.4E-3</v>
      </c>
      <c r="J308" s="173" t="s">
        <v>31</v>
      </c>
      <c r="K308" s="173" t="s">
        <v>31</v>
      </c>
      <c r="L308" s="173" t="s">
        <v>31</v>
      </c>
      <c r="M308" s="173" t="s">
        <v>31</v>
      </c>
      <c r="N308" s="173"/>
      <c r="O308" s="173"/>
      <c r="P308" s="313">
        <v>1.4E-3</v>
      </c>
      <c r="Q308" s="173"/>
      <c r="R308" s="173"/>
      <c r="S308" s="173"/>
      <c r="T308" s="173"/>
      <c r="U308" s="173"/>
    </row>
    <row r="309" spans="1:21">
      <c r="A309" s="177" t="s">
        <v>168</v>
      </c>
      <c r="B309" s="184">
        <f t="shared" si="40"/>
        <v>1.7999999999999999E-2</v>
      </c>
      <c r="C309" s="173" t="s">
        <v>41</v>
      </c>
      <c r="D309" s="173" t="s">
        <v>38</v>
      </c>
      <c r="E309" s="173" t="s">
        <v>29</v>
      </c>
      <c r="F309" s="185" t="s">
        <v>35</v>
      </c>
      <c r="G309" s="173" t="s">
        <v>33</v>
      </c>
      <c r="H309" s="173">
        <v>2</v>
      </c>
      <c r="I309" s="173">
        <f t="shared" ref="I309" si="42">LN(B309)</f>
        <v>-4.0173835210859723</v>
      </c>
      <c r="J309" s="173">
        <v>0.22500000000000006</v>
      </c>
      <c r="K309" s="173" t="s">
        <v>31</v>
      </c>
      <c r="L309" s="173" t="s">
        <v>31</v>
      </c>
      <c r="M309" s="173" t="s">
        <v>31</v>
      </c>
      <c r="N309" s="173"/>
      <c r="O309" s="242" t="s">
        <v>332</v>
      </c>
      <c r="P309" s="264">
        <v>1.7999999999999999E-2</v>
      </c>
      <c r="Q309" s="173"/>
      <c r="R309" s="173"/>
      <c r="S309" s="173"/>
      <c r="T309" s="173"/>
      <c r="U309" s="173"/>
    </row>
    <row r="310" spans="1:21">
      <c r="A310" s="232" t="s">
        <v>1077</v>
      </c>
      <c r="B310" s="265">
        <f t="shared" si="40"/>
        <v>8.0000000000000004E-4</v>
      </c>
      <c r="C310" s="173" t="s">
        <v>37</v>
      </c>
      <c r="D310" s="173" t="s">
        <v>38</v>
      </c>
      <c r="E310" s="173" t="s">
        <v>29</v>
      </c>
      <c r="F310" s="173" t="s">
        <v>35</v>
      </c>
      <c r="G310" s="173" t="s">
        <v>33</v>
      </c>
      <c r="H310" s="173">
        <v>2</v>
      </c>
      <c r="I310" s="173">
        <f>LN(B310)</f>
        <v>-7.1308988302963465</v>
      </c>
      <c r="J310" s="173">
        <v>0.22500000000000006</v>
      </c>
      <c r="K310" s="173" t="s">
        <v>31</v>
      </c>
      <c r="L310" s="173" t="s">
        <v>31</v>
      </c>
      <c r="M310" s="173" t="s">
        <v>31</v>
      </c>
      <c r="N310" s="173"/>
      <c r="O310" s="242" t="s">
        <v>337</v>
      </c>
      <c r="P310" s="311">
        <v>8.0000000000000004E-4</v>
      </c>
      <c r="Q310" s="173"/>
      <c r="R310" s="173"/>
      <c r="S310" s="173"/>
      <c r="T310" s="173"/>
      <c r="U310" s="173"/>
    </row>
    <row r="311" spans="1:21">
      <c r="A311" s="173" t="s">
        <v>1104</v>
      </c>
      <c r="B311" s="265">
        <f t="shared" si="40"/>
        <v>1.8E-3</v>
      </c>
      <c r="C311" s="173" t="s">
        <v>37</v>
      </c>
      <c r="D311" s="173" t="s">
        <v>38</v>
      </c>
      <c r="E311" s="173" t="s">
        <v>29</v>
      </c>
      <c r="F311" s="173" t="s">
        <v>60</v>
      </c>
      <c r="G311" s="173" t="s">
        <v>33</v>
      </c>
      <c r="H311" s="173">
        <v>2</v>
      </c>
      <c r="I311" s="173">
        <f t="shared" ref="I311:I317" si="43">LN(B311)</f>
        <v>-6.3199686140800182</v>
      </c>
      <c r="J311" s="173">
        <v>0.22500000000000006</v>
      </c>
      <c r="K311" s="173" t="s">
        <v>31</v>
      </c>
      <c r="L311" s="173" t="s">
        <v>31</v>
      </c>
      <c r="M311" s="173" t="s">
        <v>31</v>
      </c>
      <c r="N311" s="173"/>
      <c r="O311" s="242" t="s">
        <v>337</v>
      </c>
      <c r="P311" s="311">
        <v>1.8E-3</v>
      </c>
      <c r="Q311" s="173"/>
      <c r="R311" s="173"/>
      <c r="S311" s="173"/>
      <c r="T311" s="173"/>
      <c r="U311" s="173"/>
    </row>
    <row r="312" spans="1:21">
      <c r="A312" s="232" t="s">
        <v>1078</v>
      </c>
      <c r="B312" s="265">
        <f t="shared" si="40"/>
        <v>8.0000000000000004E-4</v>
      </c>
      <c r="C312" s="173" t="s">
        <v>37</v>
      </c>
      <c r="D312" s="173" t="s">
        <v>38</v>
      </c>
      <c r="E312" s="173" t="s">
        <v>29</v>
      </c>
      <c r="F312" s="173" t="s">
        <v>35</v>
      </c>
      <c r="G312" s="173" t="s">
        <v>33</v>
      </c>
      <c r="H312" s="173">
        <v>2</v>
      </c>
      <c r="I312" s="173">
        <f t="shared" si="43"/>
        <v>-7.1308988302963465</v>
      </c>
      <c r="J312" s="173">
        <v>0.22500000000000006</v>
      </c>
      <c r="K312" s="173" t="s">
        <v>31</v>
      </c>
      <c r="L312" s="173" t="s">
        <v>31</v>
      </c>
      <c r="M312" s="173" t="s">
        <v>31</v>
      </c>
      <c r="N312" s="173"/>
      <c r="O312" s="242" t="s">
        <v>337</v>
      </c>
      <c r="P312" s="311">
        <v>8.0000000000000004E-4</v>
      </c>
      <c r="Q312" s="173"/>
      <c r="R312" s="173"/>
      <c r="S312" s="173"/>
      <c r="T312" s="173"/>
      <c r="U312" s="173"/>
    </row>
    <row r="313" spans="1:21">
      <c r="A313" s="232" t="s">
        <v>1105</v>
      </c>
      <c r="B313" s="265">
        <f t="shared" si="40"/>
        <v>5.9999999999999995E-4</v>
      </c>
      <c r="C313" s="173" t="s">
        <v>37</v>
      </c>
      <c r="D313" s="173" t="s">
        <v>38</v>
      </c>
      <c r="E313" s="173" t="s">
        <v>29</v>
      </c>
      <c r="F313" s="173" t="s">
        <v>60</v>
      </c>
      <c r="G313" s="173" t="s">
        <v>33</v>
      </c>
      <c r="H313" s="173">
        <v>2</v>
      </c>
      <c r="I313" s="173">
        <f t="shared" si="43"/>
        <v>-7.4185809027481282</v>
      </c>
      <c r="J313" s="173">
        <v>0.22500000000000006</v>
      </c>
      <c r="K313" s="173" t="s">
        <v>31</v>
      </c>
      <c r="L313" s="173" t="s">
        <v>31</v>
      </c>
      <c r="M313" s="173" t="s">
        <v>31</v>
      </c>
      <c r="N313" s="173"/>
      <c r="O313" s="242" t="s">
        <v>337</v>
      </c>
      <c r="P313" s="311">
        <v>5.9999999999999995E-4</v>
      </c>
      <c r="Q313" s="173"/>
      <c r="R313" s="173"/>
      <c r="S313" s="173"/>
      <c r="T313" s="173"/>
      <c r="U313" s="173"/>
    </row>
    <row r="314" spans="1:21">
      <c r="A314" s="232" t="s">
        <v>1106</v>
      </c>
      <c r="B314" s="265">
        <f t="shared" si="40"/>
        <v>1.8E-3</v>
      </c>
      <c r="C314" s="173" t="s">
        <v>37</v>
      </c>
      <c r="D314" s="173" t="s">
        <v>38</v>
      </c>
      <c r="E314" s="173" t="s">
        <v>29</v>
      </c>
      <c r="F314" s="173" t="s">
        <v>60</v>
      </c>
      <c r="G314" s="173" t="s">
        <v>33</v>
      </c>
      <c r="H314" s="173">
        <v>2</v>
      </c>
      <c r="I314" s="173">
        <f t="shared" si="43"/>
        <v>-6.3199686140800182</v>
      </c>
      <c r="J314" s="173">
        <v>0.22500000000000006</v>
      </c>
      <c r="K314" s="173" t="s">
        <v>31</v>
      </c>
      <c r="L314" s="173" t="s">
        <v>31</v>
      </c>
      <c r="M314" s="173" t="s">
        <v>31</v>
      </c>
      <c r="N314" s="173"/>
      <c r="O314" s="242" t="s">
        <v>337</v>
      </c>
      <c r="P314" s="311">
        <v>1.8E-3</v>
      </c>
      <c r="Q314" s="173"/>
      <c r="R314" s="173"/>
      <c r="S314" s="173"/>
      <c r="T314" s="173"/>
      <c r="U314" s="173"/>
    </row>
    <row r="315" spans="1:21">
      <c r="A315" s="177" t="s">
        <v>933</v>
      </c>
      <c r="B315" s="265">
        <f t="shared" si="40"/>
        <v>3.2599999999999997E-2</v>
      </c>
      <c r="C315" s="173" t="s">
        <v>37</v>
      </c>
      <c r="D315" s="173" t="s">
        <v>38</v>
      </c>
      <c r="E315" s="173" t="s">
        <v>29</v>
      </c>
      <c r="F315" s="185" t="s">
        <v>39</v>
      </c>
      <c r="G315" s="173" t="s">
        <v>33</v>
      </c>
      <c r="H315" s="173">
        <v>2</v>
      </c>
      <c r="I315" s="173">
        <f t="shared" si="43"/>
        <v>-3.423442990609475</v>
      </c>
      <c r="J315" s="173">
        <v>0.22500000000000006</v>
      </c>
      <c r="K315" s="173" t="s">
        <v>31</v>
      </c>
      <c r="L315" s="173" t="s">
        <v>31</v>
      </c>
      <c r="M315" s="173" t="s">
        <v>31</v>
      </c>
      <c r="N315" s="173"/>
      <c r="O315" s="242" t="s">
        <v>337</v>
      </c>
      <c r="P315" s="311">
        <v>3.2599999999999997E-2</v>
      </c>
      <c r="Q315" s="173"/>
      <c r="R315" s="173"/>
      <c r="S315" s="173"/>
      <c r="T315" s="173"/>
      <c r="U315" s="173"/>
    </row>
    <row r="316" spans="1:21">
      <c r="A316" s="232" t="s">
        <v>941</v>
      </c>
      <c r="B316" s="265">
        <f t="shared" si="40"/>
        <v>2.9999999999999997E-4</v>
      </c>
      <c r="C316" s="173" t="s">
        <v>37</v>
      </c>
      <c r="D316" s="173" t="s">
        <v>43</v>
      </c>
      <c r="E316" s="173" t="s">
        <v>44</v>
      </c>
      <c r="F316" s="173" t="s">
        <v>29</v>
      </c>
      <c r="G316" s="173" t="s">
        <v>45</v>
      </c>
      <c r="H316" s="173">
        <v>2</v>
      </c>
      <c r="I316" s="173">
        <f t="shared" si="43"/>
        <v>-8.1117280833080727</v>
      </c>
      <c r="J316" s="173">
        <v>0.22500000000000006</v>
      </c>
      <c r="K316" s="173" t="s">
        <v>31</v>
      </c>
      <c r="L316" s="173" t="s">
        <v>31</v>
      </c>
      <c r="M316" s="173" t="s">
        <v>31</v>
      </c>
      <c r="N316" s="173"/>
      <c r="O316" s="266" t="s">
        <v>337</v>
      </c>
      <c r="P316" s="267">
        <v>2.9999999999999997E-4</v>
      </c>
      <c r="Q316" s="173"/>
      <c r="R316" s="173"/>
      <c r="S316" s="173"/>
      <c r="T316" s="173"/>
      <c r="U316" s="173"/>
    </row>
    <row r="317" spans="1:21">
      <c r="A317" s="173" t="s">
        <v>1285</v>
      </c>
      <c r="B317" s="265">
        <f t="shared" si="40"/>
        <v>5.7999999999999996E-3</v>
      </c>
      <c r="C317" s="173" t="s">
        <v>37</v>
      </c>
      <c r="D317" s="258" t="s">
        <v>2</v>
      </c>
      <c r="E317" s="173" t="s">
        <v>29</v>
      </c>
      <c r="F317" s="185" t="s">
        <v>39</v>
      </c>
      <c r="G317" s="173" t="s">
        <v>33</v>
      </c>
      <c r="H317" s="173">
        <v>2</v>
      </c>
      <c r="I317" s="173">
        <f t="shared" si="43"/>
        <v>-5.1498973614297636</v>
      </c>
      <c r="J317" s="173">
        <v>0.22500000000000006</v>
      </c>
      <c r="K317" s="173" t="s">
        <v>31</v>
      </c>
      <c r="L317" s="173" t="s">
        <v>31</v>
      </c>
      <c r="M317" s="173" t="s">
        <v>31</v>
      </c>
      <c r="N317" s="173"/>
      <c r="O317" s="268" t="s">
        <v>337</v>
      </c>
      <c r="P317" s="312">
        <v>5.7999999999999996E-3</v>
      </c>
      <c r="Q317" s="173"/>
      <c r="R317" s="173"/>
      <c r="S317" s="173"/>
      <c r="T317" s="173"/>
      <c r="U317" s="173"/>
    </row>
    <row r="318" spans="1:21" s="42" customFormat="1">
      <c r="A318" s="209" t="s">
        <v>5</v>
      </c>
      <c r="B318" s="210" t="s">
        <v>1460</v>
      </c>
      <c r="C318" s="188"/>
      <c r="D318" s="188"/>
      <c r="E318" s="188"/>
      <c r="F318" s="188"/>
      <c r="G318" s="188"/>
      <c r="H318" s="188"/>
      <c r="I318" s="188"/>
      <c r="J318" s="188"/>
      <c r="K318" s="188"/>
      <c r="L318" s="188"/>
      <c r="M318" s="188"/>
      <c r="N318" s="188"/>
      <c r="O318" s="188"/>
      <c r="P318" s="188"/>
      <c r="Q318" s="188"/>
      <c r="R318" s="188"/>
      <c r="S318" s="188"/>
      <c r="T318" s="188"/>
      <c r="U318" s="188"/>
    </row>
    <row r="319" spans="1:21">
      <c r="A319" s="177" t="s">
        <v>7</v>
      </c>
      <c r="B319" s="173" t="s">
        <v>566</v>
      </c>
      <c r="C319" s="176"/>
      <c r="D319" s="173"/>
      <c r="E319" s="173"/>
      <c r="F319" s="173"/>
      <c r="G319" s="173"/>
      <c r="H319" s="173"/>
      <c r="I319" s="173"/>
      <c r="J319" s="173"/>
      <c r="K319" s="173"/>
      <c r="L319" s="173"/>
      <c r="M319" s="173"/>
      <c r="N319" s="173"/>
      <c r="O319" s="173"/>
      <c r="P319" s="173"/>
      <c r="Q319" s="173"/>
      <c r="R319" s="173"/>
      <c r="S319" s="173"/>
      <c r="T319" s="173"/>
      <c r="U319" s="173"/>
    </row>
    <row r="320" spans="1:21">
      <c r="A320" s="276" t="s">
        <v>9</v>
      </c>
      <c r="B320" s="173" t="s">
        <v>1461</v>
      </c>
      <c r="C320" s="176"/>
      <c r="D320" s="173"/>
      <c r="E320" s="173"/>
      <c r="F320" s="173"/>
      <c r="G320" s="173"/>
      <c r="H320" s="173"/>
      <c r="I320" s="173"/>
      <c r="J320" s="173"/>
      <c r="K320" s="173"/>
      <c r="L320" s="173"/>
      <c r="M320" s="173"/>
      <c r="N320" s="173"/>
      <c r="O320" s="173"/>
      <c r="P320" s="173"/>
      <c r="Q320" s="173"/>
      <c r="R320" s="173"/>
      <c r="S320" s="173"/>
      <c r="T320" s="173"/>
      <c r="U320" s="173"/>
    </row>
    <row r="321" spans="1:21" ht="15.75" customHeight="1">
      <c r="A321" s="177" t="s">
        <v>11</v>
      </c>
      <c r="B321" s="179" t="s">
        <v>913</v>
      </c>
      <c r="C321" s="173"/>
      <c r="D321" s="173"/>
      <c r="E321" s="173"/>
      <c r="F321" s="173"/>
      <c r="G321" s="173"/>
      <c r="H321" s="173"/>
      <c r="I321" s="173"/>
      <c r="J321" s="173"/>
      <c r="K321" s="173"/>
      <c r="L321" s="173"/>
      <c r="M321" s="173"/>
      <c r="N321" s="173"/>
      <c r="O321" s="173"/>
      <c r="P321" s="173"/>
      <c r="Q321" s="173"/>
      <c r="R321" s="173"/>
      <c r="S321" s="173"/>
      <c r="T321" s="173"/>
      <c r="U321" s="173"/>
    </row>
    <row r="322" spans="1:21">
      <c r="A322" s="177" t="s">
        <v>13</v>
      </c>
      <c r="B322" s="173" t="s">
        <v>14</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15</v>
      </c>
      <c r="B323" s="265">
        <f>B328</f>
        <v>1.4E-3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16</v>
      </c>
      <c r="B324" s="173" t="s">
        <v>17</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18</v>
      </c>
      <c r="B325" s="173" t="s">
        <v>206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4" t="s">
        <v>19</v>
      </c>
      <c r="B326" s="173"/>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5" t="s">
        <v>20</v>
      </c>
      <c r="B327" s="175" t="s">
        <v>21</v>
      </c>
      <c r="C327" s="175" t="s">
        <v>18</v>
      </c>
      <c r="D327" s="175" t="s">
        <v>22</v>
      </c>
      <c r="E327" s="175" t="s">
        <v>7</v>
      </c>
      <c r="F327" s="175" t="s">
        <v>13</v>
      </c>
      <c r="G327" s="175" t="s">
        <v>16</v>
      </c>
      <c r="H327" s="175" t="s">
        <v>23</v>
      </c>
      <c r="I327" s="175" t="s">
        <v>24</v>
      </c>
      <c r="J327" s="175" t="s">
        <v>25</v>
      </c>
      <c r="K327" s="175" t="s">
        <v>26</v>
      </c>
      <c r="L327" s="175" t="s">
        <v>27</v>
      </c>
      <c r="M327" s="175" t="s">
        <v>28</v>
      </c>
      <c r="N327" s="175" t="s">
        <v>11</v>
      </c>
      <c r="O327" s="173"/>
      <c r="P327" s="173"/>
      <c r="Q327" s="173"/>
      <c r="R327" s="173"/>
      <c r="S327" s="173"/>
      <c r="T327" s="265"/>
      <c r="U327" s="173"/>
    </row>
    <row r="328" spans="1:21">
      <c r="A328" s="173" t="s">
        <v>1460</v>
      </c>
      <c r="B328" s="265">
        <f>P329</f>
        <v>1.4E-3</v>
      </c>
      <c r="C328" s="173" t="s">
        <v>206</v>
      </c>
      <c r="D328" s="258" t="s">
        <v>2</v>
      </c>
      <c r="E328" s="173" t="s">
        <v>29</v>
      </c>
      <c r="F328" s="173" t="s">
        <v>14</v>
      </c>
      <c r="G328" s="173" t="s">
        <v>30</v>
      </c>
      <c r="H328" s="173">
        <v>1</v>
      </c>
      <c r="I328" s="265">
        <f t="shared" ref="I328:I330" si="44">B328</f>
        <v>1.4E-3</v>
      </c>
      <c r="J328" s="173" t="s">
        <v>31</v>
      </c>
      <c r="K328" s="173" t="s">
        <v>31</v>
      </c>
      <c r="L328" s="173" t="s">
        <v>31</v>
      </c>
      <c r="M328" s="173" t="s">
        <v>31</v>
      </c>
      <c r="N328" s="173"/>
      <c r="O328" s="173"/>
      <c r="P328" s="173"/>
      <c r="Q328" s="173"/>
      <c r="R328" s="173"/>
      <c r="S328" s="173"/>
      <c r="T328" s="173"/>
      <c r="U328" s="173"/>
    </row>
    <row r="329" spans="1:21">
      <c r="A329" s="271" t="s">
        <v>1462</v>
      </c>
      <c r="B329" s="265">
        <f>P329</f>
        <v>1.4E-3</v>
      </c>
      <c r="C329" s="173" t="s">
        <v>206</v>
      </c>
      <c r="D329" s="258" t="s">
        <v>2</v>
      </c>
      <c r="E329" s="173" t="s">
        <v>29</v>
      </c>
      <c r="F329" s="173" t="s">
        <v>14</v>
      </c>
      <c r="G329" s="173" t="s">
        <v>33</v>
      </c>
      <c r="H329" s="173">
        <v>1</v>
      </c>
      <c r="I329" s="265">
        <f t="shared" si="44"/>
        <v>1.4E-3</v>
      </c>
      <c r="J329" s="173">
        <v>2.8722813232690055E-2</v>
      </c>
      <c r="K329" s="173" t="s">
        <v>31</v>
      </c>
      <c r="L329" s="173" t="s">
        <v>31</v>
      </c>
      <c r="M329" s="173" t="s">
        <v>31</v>
      </c>
      <c r="N329" s="173"/>
      <c r="O329" s="236" t="s">
        <v>963</v>
      </c>
      <c r="P329" s="313">
        <v>1.4E-3</v>
      </c>
      <c r="Q329" s="173"/>
      <c r="R329" s="173"/>
      <c r="S329" s="173"/>
      <c r="T329" s="173"/>
      <c r="U329" s="173"/>
    </row>
    <row r="330" spans="1:21">
      <c r="A330" s="173" t="s">
        <v>1402</v>
      </c>
      <c r="B330" s="173">
        <f>R330</f>
        <v>1.4E-2</v>
      </c>
      <c r="C330" s="173" t="s">
        <v>337</v>
      </c>
      <c r="D330" s="258" t="s">
        <v>2</v>
      </c>
      <c r="E330" s="173" t="s">
        <v>29</v>
      </c>
      <c r="F330" s="173" t="s">
        <v>14</v>
      </c>
      <c r="G330" s="173" t="s">
        <v>33</v>
      </c>
      <c r="H330" s="173">
        <v>1</v>
      </c>
      <c r="I330" s="265">
        <f t="shared" si="44"/>
        <v>1.4E-2</v>
      </c>
      <c r="J330" s="173">
        <v>2.8722813232690055E-2</v>
      </c>
      <c r="K330" s="173" t="s">
        <v>31</v>
      </c>
      <c r="L330" s="173" t="s">
        <v>31</v>
      </c>
      <c r="M330" s="173" t="s">
        <v>31</v>
      </c>
      <c r="N330" s="173"/>
      <c r="O330" s="236" t="s">
        <v>947</v>
      </c>
      <c r="P330" s="314">
        <v>14</v>
      </c>
      <c r="Q330" s="173" t="s">
        <v>337</v>
      </c>
      <c r="R330" s="173">
        <f>P330*0.001</f>
        <v>1.4E-2</v>
      </c>
      <c r="S330" s="173"/>
      <c r="T330" s="173"/>
      <c r="U330" s="173"/>
    </row>
    <row r="331" spans="1:21">
      <c r="A331" s="177" t="s">
        <v>168</v>
      </c>
      <c r="B331" s="184">
        <f>P331</f>
        <v>1E-3</v>
      </c>
      <c r="C331" s="173" t="s">
        <v>41</v>
      </c>
      <c r="D331" s="173" t="s">
        <v>38</v>
      </c>
      <c r="E331" s="173" t="s">
        <v>29</v>
      </c>
      <c r="F331" s="185" t="s">
        <v>35</v>
      </c>
      <c r="G331" s="173" t="s">
        <v>33</v>
      </c>
      <c r="H331" s="173">
        <v>2</v>
      </c>
      <c r="I331" s="173">
        <f t="shared" ref="I331:I333" si="45">LN(B331)</f>
        <v>-6.9077552789821368</v>
      </c>
      <c r="J331" s="173">
        <v>0.20928449536456342</v>
      </c>
      <c r="K331" s="173" t="s">
        <v>31</v>
      </c>
      <c r="L331" s="173" t="s">
        <v>31</v>
      </c>
      <c r="M331" s="173" t="s">
        <v>31</v>
      </c>
      <c r="N331" s="173"/>
      <c r="O331" s="242" t="s">
        <v>332</v>
      </c>
      <c r="P331" s="311">
        <v>1E-3</v>
      </c>
      <c r="Q331" s="173"/>
      <c r="R331" s="173"/>
      <c r="S331" s="173"/>
      <c r="T331" s="173"/>
      <c r="U331" s="173"/>
    </row>
    <row r="332" spans="1:21">
      <c r="A332" s="177" t="s">
        <v>168</v>
      </c>
      <c r="B332" s="184">
        <f>P332</f>
        <v>0.08</v>
      </c>
      <c r="C332" s="173" t="s">
        <v>41</v>
      </c>
      <c r="D332" s="173" t="s">
        <v>38</v>
      </c>
      <c r="E332" s="173" t="s">
        <v>29</v>
      </c>
      <c r="F332" s="185" t="s">
        <v>35</v>
      </c>
      <c r="G332" s="173" t="s">
        <v>33</v>
      </c>
      <c r="H332" s="173">
        <v>2</v>
      </c>
      <c r="I332" s="173">
        <f t="shared" si="45"/>
        <v>-2.5257286443082556</v>
      </c>
      <c r="J332" s="173">
        <v>0.20928449536456342</v>
      </c>
      <c r="K332" s="173" t="s">
        <v>31</v>
      </c>
      <c r="L332" s="173" t="s">
        <v>31</v>
      </c>
      <c r="M332" s="173" t="s">
        <v>31</v>
      </c>
      <c r="N332" s="173"/>
      <c r="O332" s="242" t="s">
        <v>332</v>
      </c>
      <c r="P332" s="264">
        <v>0.08</v>
      </c>
      <c r="Q332" s="173"/>
      <c r="R332" s="173"/>
      <c r="S332" s="173"/>
      <c r="T332" s="173"/>
      <c r="U332" s="173"/>
    </row>
    <row r="333" spans="1:21">
      <c r="A333" s="177" t="s">
        <v>168</v>
      </c>
      <c r="B333" s="184">
        <f>P333</f>
        <v>0.02</v>
      </c>
      <c r="C333" s="173" t="s">
        <v>41</v>
      </c>
      <c r="D333" s="173" t="s">
        <v>38</v>
      </c>
      <c r="E333" s="173" t="s">
        <v>29</v>
      </c>
      <c r="F333" s="185" t="s">
        <v>35</v>
      </c>
      <c r="G333" s="173" t="s">
        <v>33</v>
      </c>
      <c r="H333" s="173">
        <v>2</v>
      </c>
      <c r="I333" s="173">
        <f t="shared" si="45"/>
        <v>-3.912023005428146</v>
      </c>
      <c r="J333" s="173">
        <v>9.6436507609929598E-2</v>
      </c>
      <c r="K333" s="173" t="s">
        <v>31</v>
      </c>
      <c r="L333" s="173" t="s">
        <v>31</v>
      </c>
      <c r="M333" s="173" t="s">
        <v>31</v>
      </c>
      <c r="N333" s="173"/>
      <c r="O333" s="242" t="s">
        <v>332</v>
      </c>
      <c r="P333" s="264">
        <v>0.02</v>
      </c>
      <c r="Q333" s="173"/>
      <c r="R333" s="173"/>
      <c r="S333" s="173"/>
      <c r="T333" s="173"/>
      <c r="U333" s="173"/>
    </row>
    <row r="334" spans="1:21">
      <c r="A334" s="232" t="s">
        <v>1077</v>
      </c>
      <c r="B334" s="265">
        <f>R334</f>
        <v>1E-4</v>
      </c>
      <c r="C334" s="173" t="s">
        <v>37</v>
      </c>
      <c r="D334" s="173" t="s">
        <v>38</v>
      </c>
      <c r="E334" s="173" t="s">
        <v>29</v>
      </c>
      <c r="F334" s="173" t="s">
        <v>35</v>
      </c>
      <c r="G334" s="173" t="s">
        <v>33</v>
      </c>
      <c r="H334" s="173">
        <v>2</v>
      </c>
      <c r="I334" s="173">
        <f>LN(B334)</f>
        <v>-9.2103403719761818</v>
      </c>
      <c r="J334" s="173">
        <v>0.20928449536456342</v>
      </c>
      <c r="K334" s="173" t="s">
        <v>31</v>
      </c>
      <c r="L334" s="173" t="s">
        <v>31</v>
      </c>
      <c r="M334" s="173" t="s">
        <v>31</v>
      </c>
      <c r="N334" s="173"/>
      <c r="O334" s="242" t="s">
        <v>947</v>
      </c>
      <c r="P334" s="264">
        <v>0.1</v>
      </c>
      <c r="Q334" s="173" t="s">
        <v>337</v>
      </c>
      <c r="R334" s="173">
        <f>P334*0.001</f>
        <v>1E-4</v>
      </c>
      <c r="S334" s="173"/>
      <c r="T334" s="173"/>
      <c r="U334" s="173"/>
    </row>
    <row r="335" spans="1:21">
      <c r="A335" s="177" t="s">
        <v>933</v>
      </c>
      <c r="B335" s="265">
        <f>P335</f>
        <v>1E-3</v>
      </c>
      <c r="C335" s="173" t="s">
        <v>37</v>
      </c>
      <c r="D335" s="173" t="s">
        <v>38</v>
      </c>
      <c r="E335" s="173" t="s">
        <v>29</v>
      </c>
      <c r="F335" s="185" t="s">
        <v>39</v>
      </c>
      <c r="G335" s="173" t="s">
        <v>33</v>
      </c>
      <c r="H335" s="173">
        <v>2</v>
      </c>
      <c r="I335" s="173">
        <f>LN(B335)</f>
        <v>-6.9077552789821368</v>
      </c>
      <c r="J335" s="173">
        <v>0.20928449536456342</v>
      </c>
      <c r="K335" s="173" t="s">
        <v>31</v>
      </c>
      <c r="L335" s="173" t="s">
        <v>31</v>
      </c>
      <c r="M335" s="173" t="s">
        <v>31</v>
      </c>
      <c r="N335" s="173"/>
      <c r="O335" s="242" t="s">
        <v>337</v>
      </c>
      <c r="P335" s="311">
        <v>1E-3</v>
      </c>
      <c r="Q335" s="173"/>
      <c r="R335" s="173"/>
      <c r="S335" s="173"/>
      <c r="T335" s="173"/>
      <c r="U335" s="173"/>
    </row>
    <row r="336" spans="1:21">
      <c r="A336" s="232" t="s">
        <v>1109</v>
      </c>
      <c r="B336" s="298">
        <f>R336</f>
        <v>2.0000000000000001E-4</v>
      </c>
      <c r="C336" s="173" t="s">
        <v>37</v>
      </c>
      <c r="D336" s="173" t="s">
        <v>38</v>
      </c>
      <c r="E336" s="173" t="s">
        <v>29</v>
      </c>
      <c r="F336" s="185" t="s">
        <v>86</v>
      </c>
      <c r="G336" s="173" t="s">
        <v>33</v>
      </c>
      <c r="H336" s="173">
        <v>2</v>
      </c>
      <c r="I336" s="173">
        <f>LN(B336)</f>
        <v>-8.5171931914162382</v>
      </c>
      <c r="J336" s="173">
        <v>0.20928449536456342</v>
      </c>
      <c r="K336" s="173" t="s">
        <v>31</v>
      </c>
      <c r="L336" s="173" t="s">
        <v>31</v>
      </c>
      <c r="M336" s="173" t="s">
        <v>31</v>
      </c>
      <c r="N336" s="173"/>
      <c r="O336" s="242" t="s">
        <v>947</v>
      </c>
      <c r="P336" s="264">
        <v>0.2</v>
      </c>
      <c r="Q336" s="173" t="s">
        <v>337</v>
      </c>
      <c r="R336" s="173">
        <f>P336*0.001</f>
        <v>2.0000000000000001E-4</v>
      </c>
      <c r="S336" s="173"/>
      <c r="T336" s="173"/>
      <c r="U336" s="173"/>
    </row>
    <row r="337" spans="1:21">
      <c r="A337" s="232" t="s">
        <v>1078</v>
      </c>
      <c r="B337" s="173">
        <f>R337</f>
        <v>4.0000000000000002E-4</v>
      </c>
      <c r="C337" s="173" t="s">
        <v>37</v>
      </c>
      <c r="D337" s="173" t="s">
        <v>38</v>
      </c>
      <c r="E337" s="173" t="s">
        <v>29</v>
      </c>
      <c r="F337" s="173" t="s">
        <v>35</v>
      </c>
      <c r="G337" s="173" t="s">
        <v>33</v>
      </c>
      <c r="H337" s="173">
        <v>2</v>
      </c>
      <c r="I337" s="173">
        <f>LN(B337)</f>
        <v>-7.8240460108562919</v>
      </c>
      <c r="J337" s="173">
        <v>0.20928449536456342</v>
      </c>
      <c r="K337" s="173" t="s">
        <v>31</v>
      </c>
      <c r="L337" s="173" t="s">
        <v>31</v>
      </c>
      <c r="M337" s="173" t="s">
        <v>31</v>
      </c>
      <c r="N337" s="173"/>
      <c r="O337" s="242" t="s">
        <v>947</v>
      </c>
      <c r="P337" s="264">
        <v>0.4</v>
      </c>
      <c r="Q337" s="173" t="s">
        <v>337</v>
      </c>
      <c r="R337" s="173">
        <f>P337*0.001</f>
        <v>4.0000000000000002E-4</v>
      </c>
      <c r="S337" s="173"/>
      <c r="T337" s="173"/>
      <c r="U337" s="173"/>
    </row>
    <row r="338" spans="1:21">
      <c r="A338" s="177" t="s">
        <v>934</v>
      </c>
      <c r="B338" s="173">
        <f>P338</f>
        <v>0.2</v>
      </c>
      <c r="C338" s="173" t="s">
        <v>37</v>
      </c>
      <c r="D338" s="173" t="s">
        <v>38</v>
      </c>
      <c r="E338" s="173" t="s">
        <v>29</v>
      </c>
      <c r="F338" s="185" t="s">
        <v>35</v>
      </c>
      <c r="G338" s="173" t="s">
        <v>33</v>
      </c>
      <c r="H338" s="173">
        <v>2</v>
      </c>
      <c r="I338" s="173">
        <f t="shared" ref="I338:I339" si="46">LN(B338)</f>
        <v>-1.6094379124341003</v>
      </c>
      <c r="J338" s="173">
        <v>0.20928449536456342</v>
      </c>
      <c r="K338" s="173" t="s">
        <v>31</v>
      </c>
      <c r="L338" s="173" t="s">
        <v>31</v>
      </c>
      <c r="M338" s="173" t="s">
        <v>31</v>
      </c>
      <c r="N338" s="173"/>
      <c r="O338" s="242" t="s">
        <v>337</v>
      </c>
      <c r="P338" s="264">
        <v>0.2</v>
      </c>
      <c r="Q338" s="173"/>
      <c r="R338" s="173"/>
      <c r="S338" s="173"/>
      <c r="T338" s="173"/>
      <c r="U338" s="173"/>
    </row>
    <row r="339" spans="1:21">
      <c r="A339" s="173" t="s">
        <v>1285</v>
      </c>
      <c r="B339" s="265">
        <f>P339</f>
        <v>6.8000000000000005E-4</v>
      </c>
      <c r="C339" s="173" t="s">
        <v>37</v>
      </c>
      <c r="D339" s="258" t="s">
        <v>2</v>
      </c>
      <c r="E339" s="173" t="s">
        <v>29</v>
      </c>
      <c r="F339" s="185" t="s">
        <v>39</v>
      </c>
      <c r="G339" s="173" t="s">
        <v>33</v>
      </c>
      <c r="H339" s="173">
        <v>2</v>
      </c>
      <c r="I339" s="173">
        <f t="shared" si="46"/>
        <v>-7.2934177597941217</v>
      </c>
      <c r="J339" s="173">
        <v>0.20928449536456342</v>
      </c>
      <c r="K339" s="173" t="s">
        <v>31</v>
      </c>
      <c r="L339" s="173" t="s">
        <v>31</v>
      </c>
      <c r="M339" s="173" t="s">
        <v>31</v>
      </c>
      <c r="N339" s="173"/>
      <c r="O339" s="268" t="s">
        <v>337</v>
      </c>
      <c r="P339" s="312">
        <v>6.8000000000000005E-4</v>
      </c>
      <c r="Q339" s="173"/>
      <c r="R339" s="173"/>
      <c r="S339" s="173"/>
      <c r="T339" s="173"/>
      <c r="U339" s="173"/>
    </row>
    <row r="340" spans="1:21" s="42" customFormat="1">
      <c r="A340" s="209" t="s">
        <v>5</v>
      </c>
      <c r="B340" s="210" t="s">
        <v>1462</v>
      </c>
      <c r="C340" s="188"/>
      <c r="D340" s="188"/>
      <c r="E340" s="188"/>
      <c r="F340" s="188"/>
      <c r="G340" s="188"/>
      <c r="H340" s="188"/>
      <c r="I340" s="188"/>
      <c r="J340" s="188"/>
      <c r="K340" s="188"/>
      <c r="L340" s="188"/>
      <c r="M340" s="188"/>
      <c r="N340" s="188"/>
      <c r="O340" s="188"/>
      <c r="P340" s="348"/>
      <c r="Q340" s="188"/>
      <c r="R340" s="188"/>
      <c r="S340" s="188"/>
      <c r="T340" s="188"/>
      <c r="U340" s="188"/>
    </row>
    <row r="341" spans="1:21">
      <c r="A341" s="177" t="s">
        <v>7</v>
      </c>
      <c r="B341" s="173" t="s">
        <v>566</v>
      </c>
      <c r="C341" s="176"/>
      <c r="D341" s="173"/>
      <c r="E341" s="173"/>
      <c r="F341" s="173"/>
      <c r="G341" s="173"/>
      <c r="H341" s="173"/>
      <c r="I341" s="173"/>
      <c r="J341" s="173"/>
      <c r="K341" s="173"/>
      <c r="L341" s="173"/>
      <c r="M341" s="173"/>
      <c r="N341" s="173"/>
      <c r="O341" s="173"/>
      <c r="P341" s="173"/>
      <c r="Q341" s="173"/>
      <c r="R341" s="173"/>
      <c r="S341" s="173"/>
      <c r="T341" s="173"/>
      <c r="U341" s="173"/>
    </row>
    <row r="342" spans="1:21">
      <c r="A342" s="276" t="s">
        <v>9</v>
      </c>
      <c r="B342" s="173" t="s">
        <v>1463</v>
      </c>
      <c r="C342" s="176"/>
      <c r="D342" s="173"/>
      <c r="E342" s="173"/>
      <c r="F342" s="173"/>
      <c r="G342" s="173"/>
      <c r="H342" s="173"/>
      <c r="I342" s="173"/>
      <c r="J342" s="173"/>
      <c r="K342" s="173"/>
      <c r="L342" s="173"/>
      <c r="M342" s="173"/>
      <c r="N342" s="173"/>
      <c r="O342" s="173"/>
      <c r="P342" s="173"/>
      <c r="Q342" s="173"/>
      <c r="R342" s="173"/>
      <c r="S342" s="173"/>
      <c r="T342" s="173"/>
      <c r="U342" s="173"/>
    </row>
    <row r="343" spans="1:21" ht="15.75" customHeight="1">
      <c r="A343" s="177" t="s">
        <v>11</v>
      </c>
      <c r="B343" s="179" t="s">
        <v>913</v>
      </c>
      <c r="C343" s="173"/>
      <c r="D343" s="173"/>
      <c r="E343" s="173"/>
      <c r="F343" s="173"/>
      <c r="G343" s="173"/>
      <c r="H343" s="173"/>
      <c r="I343" s="173"/>
      <c r="J343" s="173"/>
      <c r="K343" s="173"/>
      <c r="L343" s="173"/>
      <c r="M343" s="173"/>
      <c r="N343" s="173"/>
      <c r="O343" s="173"/>
      <c r="P343" s="173"/>
      <c r="Q343" s="173"/>
      <c r="R343" s="173"/>
      <c r="S343" s="173"/>
      <c r="T343" s="173"/>
      <c r="U343" s="173"/>
    </row>
    <row r="344" spans="1:21">
      <c r="A344" s="177" t="s">
        <v>13</v>
      </c>
      <c r="B344" s="173" t="s">
        <v>14</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15</v>
      </c>
      <c r="B345" s="265">
        <v>1.4E-3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16</v>
      </c>
      <c r="B346" s="173" t="s">
        <v>17</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18</v>
      </c>
      <c r="B347" s="173" t="s">
        <v>206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4" t="s">
        <v>19</v>
      </c>
      <c r="B348" s="173"/>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5" t="s">
        <v>20</v>
      </c>
      <c r="B349" s="175" t="s">
        <v>21</v>
      </c>
      <c r="C349" s="175" t="s">
        <v>18</v>
      </c>
      <c r="D349" s="175" t="s">
        <v>22</v>
      </c>
      <c r="E349" s="175" t="s">
        <v>7</v>
      </c>
      <c r="F349" s="175" t="s">
        <v>13</v>
      </c>
      <c r="G349" s="175" t="s">
        <v>16</v>
      </c>
      <c r="H349" s="175" t="s">
        <v>23</v>
      </c>
      <c r="I349" s="175" t="s">
        <v>24</v>
      </c>
      <c r="J349" s="175" t="s">
        <v>25</v>
      </c>
      <c r="K349" s="175" t="s">
        <v>26</v>
      </c>
      <c r="L349" s="175" t="s">
        <v>27</v>
      </c>
      <c r="M349" s="175" t="s">
        <v>28</v>
      </c>
      <c r="N349" s="175" t="s">
        <v>11</v>
      </c>
      <c r="O349" s="173"/>
      <c r="P349" s="173"/>
      <c r="Q349" s="173"/>
      <c r="R349" s="173"/>
      <c r="S349" s="173"/>
      <c r="T349" s="265"/>
      <c r="U349" s="173"/>
    </row>
    <row r="350" spans="1:21">
      <c r="A350" s="271" t="s">
        <v>1462</v>
      </c>
      <c r="B350" s="265">
        <v>1.4E-3</v>
      </c>
      <c r="C350" s="173" t="s">
        <v>206</v>
      </c>
      <c r="D350" s="258" t="s">
        <v>2</v>
      </c>
      <c r="E350" s="173" t="s">
        <v>29</v>
      </c>
      <c r="F350" s="173" t="s">
        <v>14</v>
      </c>
      <c r="G350" s="173" t="s">
        <v>30</v>
      </c>
      <c r="H350" s="173">
        <v>1</v>
      </c>
      <c r="I350" s="265">
        <f>B350</f>
        <v>1.4E-3</v>
      </c>
      <c r="J350" s="173" t="s">
        <v>31</v>
      </c>
      <c r="K350" s="173" t="s">
        <v>31</v>
      </c>
      <c r="L350" s="173" t="s">
        <v>31</v>
      </c>
      <c r="M350" s="173" t="s">
        <v>31</v>
      </c>
      <c r="N350" s="173"/>
      <c r="O350" s="236" t="s">
        <v>963</v>
      </c>
      <c r="P350" s="313">
        <v>2E-3</v>
      </c>
      <c r="Q350" s="173"/>
      <c r="R350" s="173"/>
      <c r="S350" s="173"/>
      <c r="T350" s="173"/>
      <c r="U350" s="173"/>
    </row>
    <row r="351" spans="1:21">
      <c r="A351" s="232" t="s">
        <v>995</v>
      </c>
      <c r="B351" s="173">
        <f>P351</f>
        <v>3.0000000000000001E-3</v>
      </c>
      <c r="C351" s="173" t="s">
        <v>37</v>
      </c>
      <c r="D351" s="173" t="s">
        <v>38</v>
      </c>
      <c r="E351" s="173" t="s">
        <v>29</v>
      </c>
      <c r="F351" s="173" t="s">
        <v>86</v>
      </c>
      <c r="G351" s="173" t="s">
        <v>33</v>
      </c>
      <c r="H351" s="173">
        <v>2</v>
      </c>
      <c r="I351" s="173">
        <f t="shared" ref="I351:I361" si="47">LN(B351)</f>
        <v>-5.8091429903140277</v>
      </c>
      <c r="J351" s="343">
        <v>0.22516660498395411</v>
      </c>
      <c r="K351" s="173" t="s">
        <v>31</v>
      </c>
      <c r="L351" s="173" t="s">
        <v>31</v>
      </c>
      <c r="M351" s="173" t="s">
        <v>31</v>
      </c>
      <c r="N351" s="173"/>
      <c r="O351" s="242" t="s">
        <v>337</v>
      </c>
      <c r="P351" s="264">
        <v>3.0000000000000001E-3</v>
      </c>
      <c r="Q351" s="173"/>
      <c r="R351" s="173"/>
      <c r="S351" s="173"/>
      <c r="T351" s="173"/>
      <c r="U351" s="173"/>
    </row>
    <row r="352" spans="1:21">
      <c r="A352" s="177" t="s">
        <v>168</v>
      </c>
      <c r="B352" s="184">
        <f>P352</f>
        <v>2.8000000000000001E-2</v>
      </c>
      <c r="C352" s="173" t="s">
        <v>41</v>
      </c>
      <c r="D352" s="173" t="s">
        <v>38</v>
      </c>
      <c r="E352" s="173" t="s">
        <v>29</v>
      </c>
      <c r="F352" s="185" t="s">
        <v>35</v>
      </c>
      <c r="G352" s="173" t="s">
        <v>33</v>
      </c>
      <c r="H352" s="173">
        <v>2</v>
      </c>
      <c r="I352" s="173">
        <f t="shared" si="47"/>
        <v>-3.575550768806933</v>
      </c>
      <c r="J352" s="343">
        <v>0.22516660498395411</v>
      </c>
      <c r="K352" s="173" t="s">
        <v>31</v>
      </c>
      <c r="L352" s="173" t="s">
        <v>31</v>
      </c>
      <c r="M352" s="173" t="s">
        <v>31</v>
      </c>
      <c r="N352" s="173"/>
      <c r="O352" s="242" t="s">
        <v>332</v>
      </c>
      <c r="P352" s="264">
        <v>2.8000000000000001E-2</v>
      </c>
      <c r="Q352" s="173"/>
      <c r="R352" s="173"/>
      <c r="S352" s="173"/>
      <c r="T352" s="173"/>
      <c r="U352" s="173"/>
    </row>
    <row r="353" spans="1:21">
      <c r="A353" s="232" t="s">
        <v>1111</v>
      </c>
      <c r="B353" s="265">
        <f>R353</f>
        <v>4.7000000000000004E-5</v>
      </c>
      <c r="C353" s="173" t="s">
        <v>37</v>
      </c>
      <c r="D353" s="173" t="s">
        <v>38</v>
      </c>
      <c r="E353" s="173" t="s">
        <v>29</v>
      </c>
      <c r="F353" s="173" t="s">
        <v>35</v>
      </c>
      <c r="G353" s="173" t="s">
        <v>33</v>
      </c>
      <c r="H353" s="173">
        <v>2</v>
      </c>
      <c r="I353" s="173">
        <f t="shared" si="47"/>
        <v>-9.9653629562542161</v>
      </c>
      <c r="J353" s="343">
        <v>0.22516660498395411</v>
      </c>
      <c r="K353" s="173" t="s">
        <v>31</v>
      </c>
      <c r="L353" s="173" t="s">
        <v>31</v>
      </c>
      <c r="M353" s="173" t="s">
        <v>31</v>
      </c>
      <c r="N353" s="173"/>
      <c r="O353" s="242" t="s">
        <v>947</v>
      </c>
      <c r="P353" s="311">
        <v>4.7E-2</v>
      </c>
      <c r="Q353" s="173" t="s">
        <v>337</v>
      </c>
      <c r="R353" s="265">
        <f>0.001*P353</f>
        <v>4.7000000000000004E-5</v>
      </c>
      <c r="S353" s="173"/>
      <c r="T353" s="173"/>
      <c r="U353" s="173"/>
    </row>
    <row r="354" spans="1:21">
      <c r="A354" s="232" t="s">
        <v>1112</v>
      </c>
      <c r="B354" s="265">
        <f>P354</f>
        <v>2.0000000000000001E-4</v>
      </c>
      <c r="C354" s="173" t="s">
        <v>37</v>
      </c>
      <c r="D354" s="173" t="s">
        <v>38</v>
      </c>
      <c r="E354" s="173" t="s">
        <v>29</v>
      </c>
      <c r="F354" s="173" t="s">
        <v>35</v>
      </c>
      <c r="G354" s="173" t="s">
        <v>33</v>
      </c>
      <c r="H354" s="173">
        <v>2</v>
      </c>
      <c r="I354" s="173">
        <f t="shared" si="47"/>
        <v>-8.5171931914162382</v>
      </c>
      <c r="J354" s="343">
        <v>0.22516660498395411</v>
      </c>
      <c r="K354" s="173" t="s">
        <v>31</v>
      </c>
      <c r="L354" s="173" t="s">
        <v>31</v>
      </c>
      <c r="M354" s="173" t="s">
        <v>31</v>
      </c>
      <c r="N354" s="173"/>
      <c r="O354" s="242" t="s">
        <v>337</v>
      </c>
      <c r="P354" s="311">
        <v>2.0000000000000001E-4</v>
      </c>
      <c r="Q354" s="173"/>
      <c r="R354" s="173"/>
      <c r="S354" s="173"/>
      <c r="T354" s="173"/>
      <c r="U354" s="173"/>
    </row>
    <row r="355" spans="1:21">
      <c r="A355" s="232" t="s">
        <v>1113</v>
      </c>
      <c r="B355" s="265">
        <f>P355</f>
        <v>2.0000000000000001E-4</v>
      </c>
      <c r="C355" s="173" t="s">
        <v>37</v>
      </c>
      <c r="D355" s="173" t="s">
        <v>38</v>
      </c>
      <c r="E355" s="173" t="s">
        <v>29</v>
      </c>
      <c r="F355" s="173" t="s">
        <v>35</v>
      </c>
      <c r="G355" s="173" t="s">
        <v>33</v>
      </c>
      <c r="H355" s="173">
        <v>2</v>
      </c>
      <c r="I355" s="173">
        <f t="shared" si="47"/>
        <v>-8.5171931914162382</v>
      </c>
      <c r="J355" s="343">
        <v>0.22516660498395411</v>
      </c>
      <c r="K355" s="173" t="s">
        <v>31</v>
      </c>
      <c r="L355" s="173" t="s">
        <v>31</v>
      </c>
      <c r="M355" s="173" t="s">
        <v>31</v>
      </c>
      <c r="N355" s="173"/>
      <c r="O355" s="242" t="s">
        <v>337</v>
      </c>
      <c r="P355" s="311">
        <v>2.0000000000000001E-4</v>
      </c>
      <c r="Q355" s="173"/>
      <c r="R355" s="173"/>
      <c r="S355" s="173"/>
      <c r="T355" s="173"/>
      <c r="U355" s="173"/>
    </row>
    <row r="356" spans="1:21">
      <c r="A356" s="232" t="s">
        <v>1114</v>
      </c>
      <c r="B356" s="265">
        <f>P356</f>
        <v>1.6999999999999999E-3</v>
      </c>
      <c r="C356" s="173" t="s">
        <v>37</v>
      </c>
      <c r="D356" s="173" t="s">
        <v>38</v>
      </c>
      <c r="E356" s="173" t="s">
        <v>29</v>
      </c>
      <c r="F356" s="173" t="s">
        <v>35</v>
      </c>
      <c r="G356" s="173" t="s">
        <v>33</v>
      </c>
      <c r="H356" s="173">
        <v>2</v>
      </c>
      <c r="I356" s="173">
        <f t="shared" si="47"/>
        <v>-6.3771270279199666</v>
      </c>
      <c r="J356" s="343">
        <v>0.22516660498395411</v>
      </c>
      <c r="K356" s="173" t="s">
        <v>31</v>
      </c>
      <c r="L356" s="173" t="s">
        <v>31</v>
      </c>
      <c r="M356" s="173" t="s">
        <v>31</v>
      </c>
      <c r="N356" s="173"/>
      <c r="O356" s="242" t="s">
        <v>337</v>
      </c>
      <c r="P356" s="264">
        <v>1.6999999999999999E-3</v>
      </c>
      <c r="Q356" s="173"/>
      <c r="R356" s="173"/>
      <c r="S356" s="173"/>
      <c r="T356" s="173"/>
      <c r="U356" s="173"/>
    </row>
    <row r="357" spans="1:21">
      <c r="A357" s="232" t="s">
        <v>1115</v>
      </c>
      <c r="B357" s="265">
        <f>R357</f>
        <v>9.5000000000000005E-6</v>
      </c>
      <c r="C357" s="173" t="s">
        <v>37</v>
      </c>
      <c r="D357" s="173" t="s">
        <v>43</v>
      </c>
      <c r="E357" s="173" t="s">
        <v>44</v>
      </c>
      <c r="F357" s="173" t="s">
        <v>29</v>
      </c>
      <c r="G357" s="173" t="s">
        <v>45</v>
      </c>
      <c r="H357" s="173">
        <v>2</v>
      </c>
      <c r="I357" s="173">
        <f t="shared" si="47"/>
        <v>-11.564218759357779</v>
      </c>
      <c r="J357" s="343">
        <v>0.10344080432788608</v>
      </c>
      <c r="K357" s="173" t="s">
        <v>31</v>
      </c>
      <c r="L357" s="173" t="s">
        <v>31</v>
      </c>
      <c r="M357" s="173" t="s">
        <v>31</v>
      </c>
      <c r="N357" s="173"/>
      <c r="O357" s="266" t="s">
        <v>947</v>
      </c>
      <c r="P357" s="267">
        <v>9.4999999999999998E-3</v>
      </c>
      <c r="Q357" s="173" t="s">
        <v>337</v>
      </c>
      <c r="R357" s="265">
        <f>0.001*P357</f>
        <v>9.5000000000000005E-6</v>
      </c>
      <c r="S357" s="173"/>
      <c r="T357" s="173"/>
      <c r="U357" s="173"/>
    </row>
    <row r="358" spans="1:21">
      <c r="A358" s="232" t="s">
        <v>48</v>
      </c>
      <c r="B358" s="265">
        <f t="shared" ref="B358:B360" si="48">R358</f>
        <v>1E-4</v>
      </c>
      <c r="C358" s="173" t="s">
        <v>37</v>
      </c>
      <c r="D358" s="173" t="s">
        <v>43</v>
      </c>
      <c r="E358" s="173" t="s">
        <v>44</v>
      </c>
      <c r="F358" s="173" t="s">
        <v>29</v>
      </c>
      <c r="G358" s="173" t="s">
        <v>45</v>
      </c>
      <c r="H358" s="173">
        <v>2</v>
      </c>
      <c r="I358" s="173">
        <f t="shared" si="47"/>
        <v>-9.2103403719761818</v>
      </c>
      <c r="J358" s="343">
        <v>0.10344080432788608</v>
      </c>
      <c r="K358" s="173" t="s">
        <v>31</v>
      </c>
      <c r="L358" s="173" t="s">
        <v>31</v>
      </c>
      <c r="M358" s="173" t="s">
        <v>31</v>
      </c>
      <c r="N358" s="173"/>
      <c r="O358" s="266" t="s">
        <v>947</v>
      </c>
      <c r="P358" s="267">
        <v>0.1</v>
      </c>
      <c r="Q358" s="173" t="s">
        <v>337</v>
      </c>
      <c r="R358" s="265">
        <f>0.001*P358</f>
        <v>1E-4</v>
      </c>
      <c r="S358" s="173"/>
      <c r="T358" s="173"/>
      <c r="U358" s="173"/>
    </row>
    <row r="359" spans="1:21">
      <c r="A359" s="232" t="s">
        <v>46</v>
      </c>
      <c r="B359" s="265">
        <f t="shared" si="48"/>
        <v>6.6000000000000005E-5</v>
      </c>
      <c r="C359" s="173" t="s">
        <v>37</v>
      </c>
      <c r="D359" s="173" t="s">
        <v>43</v>
      </c>
      <c r="E359" s="173" t="s">
        <v>44</v>
      </c>
      <c r="F359" s="173" t="s">
        <v>29</v>
      </c>
      <c r="G359" s="173" t="s">
        <v>45</v>
      </c>
      <c r="H359" s="173">
        <v>2</v>
      </c>
      <c r="I359" s="173">
        <f t="shared" si="47"/>
        <v>-9.6258558159378484</v>
      </c>
      <c r="J359" s="343">
        <v>0.10344080432788608</v>
      </c>
      <c r="K359" s="173" t="s">
        <v>31</v>
      </c>
      <c r="L359" s="173" t="s">
        <v>31</v>
      </c>
      <c r="M359" s="173" t="s">
        <v>31</v>
      </c>
      <c r="N359" s="173"/>
      <c r="O359" s="266" t="s">
        <v>947</v>
      </c>
      <c r="P359" s="267">
        <v>6.6000000000000003E-2</v>
      </c>
      <c r="Q359" s="173" t="s">
        <v>337</v>
      </c>
      <c r="R359" s="265">
        <f>0.001*P359</f>
        <v>6.6000000000000005E-5</v>
      </c>
      <c r="S359" s="173"/>
      <c r="T359" s="173"/>
      <c r="U359" s="173"/>
    </row>
    <row r="360" spans="1:21">
      <c r="A360" s="232" t="s">
        <v>941</v>
      </c>
      <c r="B360" s="265">
        <f t="shared" si="48"/>
        <v>3.8000000000000002E-5</v>
      </c>
      <c r="C360" s="173" t="s">
        <v>37</v>
      </c>
      <c r="D360" s="173" t="s">
        <v>43</v>
      </c>
      <c r="E360" s="173" t="s">
        <v>44</v>
      </c>
      <c r="F360" s="173" t="s">
        <v>29</v>
      </c>
      <c r="G360" s="173" t="s">
        <v>45</v>
      </c>
      <c r="H360" s="173">
        <v>2</v>
      </c>
      <c r="I360" s="173">
        <f t="shared" si="47"/>
        <v>-10.177924398237888</v>
      </c>
      <c r="J360" s="343">
        <v>0.10344080432788608</v>
      </c>
      <c r="K360" s="173" t="s">
        <v>31</v>
      </c>
      <c r="L360" s="173" t="s">
        <v>31</v>
      </c>
      <c r="M360" s="173" t="s">
        <v>31</v>
      </c>
      <c r="N360" s="173"/>
      <c r="O360" s="266" t="s">
        <v>947</v>
      </c>
      <c r="P360" s="267">
        <v>3.7999999999999999E-2</v>
      </c>
      <c r="Q360" s="173" t="s">
        <v>337</v>
      </c>
      <c r="R360" s="265">
        <f>0.001*P360</f>
        <v>3.8000000000000002E-5</v>
      </c>
      <c r="S360" s="173"/>
      <c r="T360" s="173"/>
      <c r="U360" s="173"/>
    </row>
    <row r="361" spans="1:21">
      <c r="A361" s="173" t="s">
        <v>1287</v>
      </c>
      <c r="B361" s="265">
        <f>P361</f>
        <v>5.0000000000000001E-4</v>
      </c>
      <c r="C361" s="173" t="s">
        <v>37</v>
      </c>
      <c r="D361" s="258" t="s">
        <v>2</v>
      </c>
      <c r="E361" s="173" t="s">
        <v>29</v>
      </c>
      <c r="F361" s="185" t="s">
        <v>39</v>
      </c>
      <c r="G361" s="173" t="s">
        <v>33</v>
      </c>
      <c r="H361" s="173">
        <v>2</v>
      </c>
      <c r="I361" s="173">
        <f t="shared" si="47"/>
        <v>-7.6009024595420822</v>
      </c>
      <c r="J361" s="173">
        <v>0.11269427669584645</v>
      </c>
      <c r="K361" s="173" t="s">
        <v>31</v>
      </c>
      <c r="L361" s="173" t="s">
        <v>31</v>
      </c>
      <c r="M361" s="173" t="s">
        <v>31</v>
      </c>
      <c r="N361" s="173"/>
      <c r="O361" s="268" t="s">
        <v>337</v>
      </c>
      <c r="P361" s="312">
        <v>5.0000000000000001E-4</v>
      </c>
      <c r="Q361" s="173"/>
      <c r="R361" s="173"/>
      <c r="S361" s="173"/>
      <c r="T361" s="173"/>
      <c r="U361" s="173"/>
    </row>
    <row r="362" spans="1:21">
      <c r="P362" s="358"/>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5033B-2D0B-4738-A6D1-C36E147C4F2D}">
  <sheetPr>
    <tabColor theme="5"/>
  </sheetPr>
  <dimension ref="A1:AC57"/>
  <sheetViews>
    <sheetView topLeftCell="B5" zoomScale="85" zoomScaleNormal="85" workbookViewId="0">
      <selection activeCell="I13" sqref="I13:I30"/>
    </sheetView>
  </sheetViews>
  <sheetFormatPr defaultRowHeight="12.75"/>
  <cols>
    <col min="1" max="1" width="117.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131FE9707714432AAC53F7F0C24130D6</v>
      </c>
    </row>
    <row r="2" spans="1:26">
      <c r="A2" s="209" t="s">
        <v>5</v>
      </c>
      <c r="B2" s="210" t="s">
        <v>1275</v>
      </c>
      <c r="C2" s="211"/>
      <c r="D2" s="188"/>
      <c r="E2" s="188"/>
      <c r="F2" s="188"/>
      <c r="G2" s="188"/>
      <c r="H2" s="188"/>
      <c r="I2" s="188"/>
      <c r="J2" s="188"/>
      <c r="K2" s="188"/>
      <c r="L2" s="188"/>
      <c r="M2" s="188"/>
    </row>
    <row r="3" spans="1:26">
      <c r="A3" s="177" t="s">
        <v>7</v>
      </c>
      <c r="B3" s="173" t="s">
        <v>566</v>
      </c>
      <c r="C3" s="176"/>
    </row>
    <row r="4" spans="1:26">
      <c r="A4" s="177" t="s">
        <v>9</v>
      </c>
      <c r="B4" s="173" t="s">
        <v>1464</v>
      </c>
      <c r="C4" s="176"/>
    </row>
    <row r="5" spans="1:26" ht="25.5">
      <c r="A5" s="177" t="s">
        <v>11</v>
      </c>
      <c r="B5" s="179" t="s">
        <v>1301</v>
      </c>
    </row>
    <row r="6" spans="1:26">
      <c r="A6" s="177" t="s">
        <v>13</v>
      </c>
      <c r="B6" s="173" t="s">
        <v>14</v>
      </c>
    </row>
    <row r="7" spans="1:26">
      <c r="A7" s="177" t="s">
        <v>15</v>
      </c>
      <c r="B7" s="173">
        <v>1</v>
      </c>
    </row>
    <row r="8" spans="1:26">
      <c r="A8" s="177" t="s">
        <v>16</v>
      </c>
      <c r="B8" s="173" t="s">
        <v>17</v>
      </c>
    </row>
    <row r="9" spans="1:26">
      <c r="A9" s="177" t="s">
        <v>18</v>
      </c>
      <c r="B9" s="173" t="s">
        <v>18</v>
      </c>
    </row>
    <row r="10" spans="1:26">
      <c r="A10" s="174" t="s">
        <v>19</v>
      </c>
    </row>
    <row r="11" spans="1:26">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row>
    <row r="12" spans="1:26">
      <c r="A12" s="210" t="s">
        <v>1275</v>
      </c>
      <c r="B12" s="173">
        <v>1</v>
      </c>
      <c r="C12" s="173" t="s">
        <v>18</v>
      </c>
      <c r="D12" s="173" t="s">
        <v>2</v>
      </c>
      <c r="E12" s="173" t="s">
        <v>29</v>
      </c>
      <c r="F12" s="185" t="s">
        <v>14</v>
      </c>
      <c r="G12" s="173" t="s">
        <v>30</v>
      </c>
      <c r="H12" s="173">
        <v>1</v>
      </c>
      <c r="I12" s="173">
        <v>1</v>
      </c>
      <c r="J12" s="173" t="s">
        <v>31</v>
      </c>
      <c r="K12" s="173" t="s">
        <v>31</v>
      </c>
      <c r="L12" s="173" t="s">
        <v>31</v>
      </c>
      <c r="M12" s="173" t="s">
        <v>31</v>
      </c>
    </row>
    <row r="13" spans="1:26" ht="15">
      <c r="A13" s="235" t="s">
        <v>1290</v>
      </c>
      <c r="B13" s="173">
        <f>Z13</f>
        <v>7.8E-2</v>
      </c>
      <c r="C13" s="173" t="s">
        <v>37</v>
      </c>
      <c r="D13" s="173" t="s">
        <v>2</v>
      </c>
      <c r="E13" s="173" t="s">
        <v>29</v>
      </c>
      <c r="F13" s="185" t="s">
        <v>14</v>
      </c>
      <c r="G13" s="173" t="s">
        <v>33</v>
      </c>
      <c r="H13" s="173">
        <v>1</v>
      </c>
      <c r="I13" s="173">
        <f>B13</f>
        <v>7.8E-2</v>
      </c>
      <c r="J13" s="173" t="s">
        <v>31</v>
      </c>
      <c r="K13" s="173" t="s">
        <v>31</v>
      </c>
      <c r="L13" s="173" t="s">
        <v>31</v>
      </c>
      <c r="M13" s="173" t="s">
        <v>31</v>
      </c>
      <c r="U13" s="236" t="s">
        <v>976</v>
      </c>
      <c r="V13" s="236" t="s">
        <v>947</v>
      </c>
      <c r="W13" s="359">
        <v>78</v>
      </c>
      <c r="Y13" s="173" t="s">
        <v>337</v>
      </c>
      <c r="Z13" s="173">
        <f>0.001*W13</f>
        <v>7.8E-2</v>
      </c>
    </row>
    <row r="14" spans="1:26" ht="15">
      <c r="A14" s="235" t="s">
        <v>1294</v>
      </c>
      <c r="B14" s="173">
        <f t="shared" ref="B14:B27" si="0">Z14</f>
        <v>9.8000000000000004E-2</v>
      </c>
      <c r="C14" s="173" t="s">
        <v>37</v>
      </c>
      <c r="D14" s="173" t="s">
        <v>2</v>
      </c>
      <c r="E14" s="173" t="s">
        <v>29</v>
      </c>
      <c r="F14" s="185" t="s">
        <v>14</v>
      </c>
      <c r="G14" s="173" t="s">
        <v>33</v>
      </c>
      <c r="H14" s="173">
        <v>1</v>
      </c>
      <c r="I14" s="173">
        <f t="shared" ref="I14:I30" si="1">B14</f>
        <v>9.8000000000000004E-2</v>
      </c>
      <c r="J14" s="173" t="s">
        <v>31</v>
      </c>
      <c r="K14" s="173" t="s">
        <v>31</v>
      </c>
      <c r="L14" s="173" t="s">
        <v>31</v>
      </c>
      <c r="M14" s="173" t="s">
        <v>31</v>
      </c>
      <c r="U14" s="236" t="s">
        <v>977</v>
      </c>
      <c r="V14" s="236" t="s">
        <v>947</v>
      </c>
      <c r="W14" s="359">
        <v>98</v>
      </c>
      <c r="Y14" s="173" t="s">
        <v>337</v>
      </c>
      <c r="Z14" s="173">
        <f>0.001*W14</f>
        <v>9.8000000000000004E-2</v>
      </c>
    </row>
    <row r="15" spans="1:26" ht="15">
      <c r="A15" s="360" t="s">
        <v>978</v>
      </c>
      <c r="B15" s="173">
        <f t="shared" si="0"/>
        <v>5.86</v>
      </c>
      <c r="C15" s="173" t="s">
        <v>37</v>
      </c>
      <c r="D15" s="173" t="s">
        <v>38</v>
      </c>
      <c r="E15" s="173" t="s">
        <v>29</v>
      </c>
      <c r="F15" s="185" t="s">
        <v>60</v>
      </c>
      <c r="G15" s="173" t="s">
        <v>33</v>
      </c>
      <c r="H15" s="173">
        <v>1</v>
      </c>
      <c r="I15" s="173">
        <f t="shared" si="1"/>
        <v>5.86</v>
      </c>
      <c r="J15" s="173" t="s">
        <v>31</v>
      </c>
      <c r="K15" s="173" t="s">
        <v>31</v>
      </c>
      <c r="L15" s="173" t="s">
        <v>31</v>
      </c>
      <c r="M15" s="173" t="s">
        <v>31</v>
      </c>
      <c r="U15" s="236" t="s">
        <v>979</v>
      </c>
      <c r="V15" s="236" t="s">
        <v>337</v>
      </c>
      <c r="W15" s="359">
        <v>5.86</v>
      </c>
      <c r="Y15" s="173" t="s">
        <v>337</v>
      </c>
      <c r="Z15" s="173">
        <f>W15</f>
        <v>5.86</v>
      </c>
    </row>
    <row r="16" spans="1:26" ht="15">
      <c r="A16" s="235" t="s">
        <v>1465</v>
      </c>
      <c r="B16" s="173">
        <f t="shared" si="0"/>
        <v>5.4</v>
      </c>
      <c r="C16" s="173" t="s">
        <v>37</v>
      </c>
      <c r="D16" s="173" t="s">
        <v>2</v>
      </c>
      <c r="E16" s="173" t="s">
        <v>29</v>
      </c>
      <c r="F16" s="185" t="s">
        <v>14</v>
      </c>
      <c r="G16" s="173" t="s">
        <v>33</v>
      </c>
      <c r="H16" s="173">
        <v>1</v>
      </c>
      <c r="I16" s="173">
        <f t="shared" si="1"/>
        <v>5.4</v>
      </c>
      <c r="J16" s="173" t="s">
        <v>31</v>
      </c>
      <c r="K16" s="173" t="s">
        <v>31</v>
      </c>
      <c r="L16" s="173" t="s">
        <v>31</v>
      </c>
      <c r="M16" s="173" t="s">
        <v>31</v>
      </c>
      <c r="U16" s="236" t="s">
        <v>981</v>
      </c>
      <c r="V16" s="236" t="s">
        <v>337</v>
      </c>
      <c r="W16" s="359">
        <v>5.4</v>
      </c>
      <c r="Y16" s="173" t="s">
        <v>337</v>
      </c>
      <c r="Z16" s="173">
        <f>W16</f>
        <v>5.4</v>
      </c>
    </row>
    <row r="17" spans="1:29" ht="15">
      <c r="A17" s="361" t="s">
        <v>1466</v>
      </c>
      <c r="B17" s="173">
        <f t="shared" si="0"/>
        <v>4.3749999999999997E-2</v>
      </c>
      <c r="C17" s="173" t="s">
        <v>206</v>
      </c>
      <c r="D17" s="173" t="s">
        <v>2</v>
      </c>
      <c r="E17" s="173" t="s">
        <v>29</v>
      </c>
      <c r="F17" s="185" t="s">
        <v>14</v>
      </c>
      <c r="G17" s="173" t="s">
        <v>33</v>
      </c>
      <c r="H17" s="173">
        <v>1</v>
      </c>
      <c r="I17" s="173">
        <f t="shared" si="1"/>
        <v>4.3749999999999997E-2</v>
      </c>
      <c r="J17" s="173" t="s">
        <v>31</v>
      </c>
      <c r="K17" s="173" t="s">
        <v>31</v>
      </c>
      <c r="L17" s="173" t="s">
        <v>31</v>
      </c>
      <c r="M17" s="173" t="s">
        <v>31</v>
      </c>
      <c r="O17" s="173" t="s">
        <v>983</v>
      </c>
      <c r="U17" s="320" t="s">
        <v>984</v>
      </c>
      <c r="V17" s="320" t="s">
        <v>947</v>
      </c>
      <c r="W17" s="359">
        <v>245</v>
      </c>
      <c r="Y17" s="173" t="s">
        <v>945</v>
      </c>
      <c r="Z17" s="173">
        <f>W17*0.001*AB17</f>
        <v>4.3749999999999997E-2</v>
      </c>
      <c r="AB17" s="173">
        <f>'2C. Reusable'!P38</f>
        <v>0.17857142857142858</v>
      </c>
      <c r="AC17" s="173" t="s">
        <v>1304</v>
      </c>
    </row>
    <row r="18" spans="1:29" ht="15">
      <c r="A18" s="235" t="s">
        <v>1467</v>
      </c>
      <c r="B18" s="173">
        <f t="shared" si="0"/>
        <v>0.81100000000000005</v>
      </c>
      <c r="C18" s="173" t="s">
        <v>37</v>
      </c>
      <c r="D18" s="173" t="s">
        <v>2</v>
      </c>
      <c r="E18" s="173" t="s">
        <v>29</v>
      </c>
      <c r="F18" s="185" t="s">
        <v>14</v>
      </c>
      <c r="G18" s="173" t="s">
        <v>33</v>
      </c>
      <c r="H18" s="173">
        <v>1</v>
      </c>
      <c r="I18" s="173">
        <f t="shared" si="1"/>
        <v>0.81100000000000005</v>
      </c>
      <c r="J18" s="173" t="s">
        <v>31</v>
      </c>
      <c r="K18" s="173" t="s">
        <v>31</v>
      </c>
      <c r="L18" s="173" t="s">
        <v>31</v>
      </c>
      <c r="M18" s="173" t="s">
        <v>31</v>
      </c>
      <c r="U18" s="320" t="s">
        <v>987</v>
      </c>
      <c r="V18" s="236" t="s">
        <v>947</v>
      </c>
      <c r="W18" s="359">
        <v>811</v>
      </c>
      <c r="Y18" s="173" t="s">
        <v>337</v>
      </c>
      <c r="Z18" s="173">
        <f>0.001*W18</f>
        <v>0.81100000000000005</v>
      </c>
    </row>
    <row r="19" spans="1:29" ht="15">
      <c r="A19" s="279" t="s">
        <v>988</v>
      </c>
      <c r="B19" s="173">
        <f t="shared" si="0"/>
        <v>4.0000000000000001E-3</v>
      </c>
      <c r="C19" s="173" t="s">
        <v>37</v>
      </c>
      <c r="D19" s="173" t="s">
        <v>38</v>
      </c>
      <c r="E19" s="173" t="s">
        <v>29</v>
      </c>
      <c r="F19" s="185" t="s">
        <v>35</v>
      </c>
      <c r="G19" s="173" t="s">
        <v>33</v>
      </c>
      <c r="H19" s="173">
        <v>1</v>
      </c>
      <c r="I19" s="173">
        <f t="shared" si="1"/>
        <v>4.0000000000000001E-3</v>
      </c>
      <c r="J19" s="173" t="s">
        <v>31</v>
      </c>
      <c r="K19" s="173" t="s">
        <v>31</v>
      </c>
      <c r="L19" s="173" t="s">
        <v>31</v>
      </c>
      <c r="M19" s="173" t="s">
        <v>31</v>
      </c>
      <c r="N19" s="177" t="s">
        <v>989</v>
      </c>
      <c r="U19" s="236" t="s">
        <v>989</v>
      </c>
      <c r="V19" s="236" t="s">
        <v>947</v>
      </c>
      <c r="W19" s="359">
        <v>4</v>
      </c>
      <c r="Y19" s="173" t="s">
        <v>337</v>
      </c>
      <c r="Z19" s="173">
        <f>0.001*W19</f>
        <v>4.0000000000000001E-3</v>
      </c>
    </row>
    <row r="20" spans="1:29" ht="15">
      <c r="A20" s="279" t="s">
        <v>533</v>
      </c>
      <c r="B20" s="173">
        <f t="shared" si="0"/>
        <v>2.5000000000000001E-2</v>
      </c>
      <c r="C20" s="173" t="s">
        <v>37</v>
      </c>
      <c r="D20" s="173" t="s">
        <v>38</v>
      </c>
      <c r="E20" s="173" t="s">
        <v>29</v>
      </c>
      <c r="F20" s="185" t="s">
        <v>35</v>
      </c>
      <c r="G20" s="173" t="s">
        <v>33</v>
      </c>
      <c r="H20" s="173">
        <v>1</v>
      </c>
      <c r="I20" s="173">
        <f t="shared" si="1"/>
        <v>2.5000000000000001E-2</v>
      </c>
      <c r="J20" s="173" t="s">
        <v>31</v>
      </c>
      <c r="K20" s="173" t="s">
        <v>31</v>
      </c>
      <c r="L20" s="173" t="s">
        <v>31</v>
      </c>
      <c r="M20" s="173" t="s">
        <v>31</v>
      </c>
      <c r="N20" s="177" t="s">
        <v>990</v>
      </c>
      <c r="U20" s="320" t="s">
        <v>990</v>
      </c>
      <c r="V20" s="236" t="s">
        <v>947</v>
      </c>
      <c r="W20" s="359">
        <v>25</v>
      </c>
      <c r="Y20" s="173" t="s">
        <v>337</v>
      </c>
      <c r="Z20" s="173">
        <f t="shared" ref="Z20:Z22" si="2">0.001*W20</f>
        <v>2.5000000000000001E-2</v>
      </c>
    </row>
    <row r="21" spans="1:29" ht="15">
      <c r="A21" s="279" t="s">
        <v>988</v>
      </c>
      <c r="B21" s="173">
        <f t="shared" si="0"/>
        <v>2E-3</v>
      </c>
      <c r="C21" s="173" t="s">
        <v>37</v>
      </c>
      <c r="D21" s="173" t="s">
        <v>38</v>
      </c>
      <c r="E21" s="173" t="s">
        <v>29</v>
      </c>
      <c r="F21" s="185" t="s">
        <v>35</v>
      </c>
      <c r="G21" s="173" t="s">
        <v>33</v>
      </c>
      <c r="H21" s="173">
        <v>1</v>
      </c>
      <c r="I21" s="173">
        <f t="shared" si="1"/>
        <v>2E-3</v>
      </c>
      <c r="J21" s="173" t="s">
        <v>31</v>
      </c>
      <c r="K21" s="173" t="s">
        <v>31</v>
      </c>
      <c r="L21" s="173" t="s">
        <v>31</v>
      </c>
      <c r="M21" s="173" t="s">
        <v>31</v>
      </c>
      <c r="N21" s="177" t="s">
        <v>991</v>
      </c>
      <c r="U21" s="320" t="s">
        <v>991</v>
      </c>
      <c r="V21" s="236" t="s">
        <v>947</v>
      </c>
      <c r="W21" s="359">
        <v>2</v>
      </c>
      <c r="Y21" s="173" t="s">
        <v>337</v>
      </c>
      <c r="Z21" s="173">
        <f t="shared" si="2"/>
        <v>2E-3</v>
      </c>
    </row>
    <row r="22" spans="1:29">
      <c r="A22" s="279" t="s">
        <v>992</v>
      </c>
      <c r="B22" s="173">
        <f t="shared" si="0"/>
        <v>2E-3</v>
      </c>
      <c r="C22" s="173" t="s">
        <v>37</v>
      </c>
      <c r="D22" s="173" t="s">
        <v>38</v>
      </c>
      <c r="E22" s="173" t="s">
        <v>29</v>
      </c>
      <c r="F22" s="185" t="s">
        <v>35</v>
      </c>
      <c r="G22" s="173" t="s">
        <v>33</v>
      </c>
      <c r="H22" s="173">
        <v>1</v>
      </c>
      <c r="I22" s="173">
        <f t="shared" si="1"/>
        <v>2E-3</v>
      </c>
      <c r="J22" s="173" t="s">
        <v>31</v>
      </c>
      <c r="K22" s="173" t="s">
        <v>31</v>
      </c>
      <c r="L22" s="173" t="s">
        <v>31</v>
      </c>
      <c r="M22" s="173" t="s">
        <v>31</v>
      </c>
      <c r="N22" s="177" t="s">
        <v>991</v>
      </c>
      <c r="U22" s="320" t="s">
        <v>991</v>
      </c>
      <c r="V22" s="236" t="s">
        <v>947</v>
      </c>
      <c r="W22" s="237">
        <v>2</v>
      </c>
      <c r="Y22" s="173" t="s">
        <v>337</v>
      </c>
      <c r="Z22" s="173">
        <f t="shared" si="2"/>
        <v>2E-3</v>
      </c>
    </row>
    <row r="23" spans="1:29" ht="15">
      <c r="A23" s="360" t="s">
        <v>1468</v>
      </c>
      <c r="B23" s="173">
        <f t="shared" si="0"/>
        <v>5.69</v>
      </c>
      <c r="C23" s="173" t="s">
        <v>37</v>
      </c>
      <c r="D23" s="173" t="s">
        <v>2</v>
      </c>
      <c r="E23" s="173" t="s">
        <v>29</v>
      </c>
      <c r="F23" s="185" t="s">
        <v>14</v>
      </c>
      <c r="G23" s="173" t="s">
        <v>33</v>
      </c>
      <c r="H23" s="173">
        <v>1</v>
      </c>
      <c r="I23" s="173">
        <f t="shared" si="1"/>
        <v>5.69</v>
      </c>
      <c r="J23" s="173" t="s">
        <v>31</v>
      </c>
      <c r="K23" s="173" t="s">
        <v>31</v>
      </c>
      <c r="L23" s="173" t="s">
        <v>31</v>
      </c>
      <c r="M23" s="173" t="s">
        <v>31</v>
      </c>
      <c r="N23" s="177" t="s">
        <v>1388</v>
      </c>
      <c r="U23" s="236" t="s">
        <v>1388</v>
      </c>
      <c r="V23" s="236" t="s">
        <v>337</v>
      </c>
      <c r="W23" s="359">
        <v>5.69</v>
      </c>
      <c r="Y23" s="173" t="s">
        <v>337</v>
      </c>
      <c r="Z23" s="173">
        <f>W23</f>
        <v>5.69</v>
      </c>
    </row>
    <row r="24" spans="1:29" ht="15">
      <c r="A24" s="235" t="s">
        <v>1469</v>
      </c>
      <c r="B24" s="191">
        <f>Z24</f>
        <v>13.73</v>
      </c>
      <c r="C24" s="173" t="s">
        <v>37</v>
      </c>
      <c r="D24" s="173" t="s">
        <v>2</v>
      </c>
      <c r="E24" s="173" t="s">
        <v>29</v>
      </c>
      <c r="F24" s="185" t="s">
        <v>14</v>
      </c>
      <c r="G24" s="173" t="s">
        <v>33</v>
      </c>
      <c r="H24" s="173">
        <v>1</v>
      </c>
      <c r="I24" s="173">
        <f t="shared" si="1"/>
        <v>13.73</v>
      </c>
      <c r="J24" s="173" t="s">
        <v>31</v>
      </c>
      <c r="K24" s="173" t="s">
        <v>31</v>
      </c>
      <c r="L24" s="173" t="s">
        <v>31</v>
      </c>
      <c r="M24" s="173" t="s">
        <v>31</v>
      </c>
      <c r="N24" s="362" t="s">
        <v>1470</v>
      </c>
      <c r="U24" s="236" t="s">
        <v>994</v>
      </c>
      <c r="V24" s="241" t="s">
        <v>337</v>
      </c>
      <c r="W24" s="359">
        <v>13.73</v>
      </c>
      <c r="Y24" s="173" t="s">
        <v>337</v>
      </c>
      <c r="Z24" s="173">
        <f>W24</f>
        <v>13.73</v>
      </c>
    </row>
    <row r="25" spans="1:29" ht="15">
      <c r="A25" s="279" t="s">
        <v>995</v>
      </c>
      <c r="B25" s="173">
        <f t="shared" si="0"/>
        <v>8.8999999999999996E-2</v>
      </c>
      <c r="C25" s="173" t="s">
        <v>37</v>
      </c>
      <c r="D25" s="173" t="s">
        <v>38</v>
      </c>
      <c r="E25" s="173" t="s">
        <v>29</v>
      </c>
      <c r="F25" s="185" t="s">
        <v>86</v>
      </c>
      <c r="G25" s="173" t="s">
        <v>33</v>
      </c>
      <c r="H25" s="173">
        <v>1</v>
      </c>
      <c r="I25" s="173">
        <f t="shared" si="1"/>
        <v>8.8999999999999996E-2</v>
      </c>
      <c r="J25" s="173" t="s">
        <v>31</v>
      </c>
      <c r="K25" s="173" t="s">
        <v>31</v>
      </c>
      <c r="L25" s="173" t="s">
        <v>31</v>
      </c>
      <c r="M25" s="173" t="s">
        <v>31</v>
      </c>
      <c r="N25" s="177" t="s">
        <v>996</v>
      </c>
      <c r="U25" s="242" t="s">
        <v>996</v>
      </c>
      <c r="V25" s="242" t="s">
        <v>947</v>
      </c>
      <c r="W25" s="363">
        <v>89</v>
      </c>
      <c r="Y25" s="173" t="s">
        <v>337</v>
      </c>
      <c r="Z25" s="173">
        <f>0.001*W25</f>
        <v>8.8999999999999996E-2</v>
      </c>
    </row>
    <row r="26" spans="1:29" ht="15">
      <c r="A26" s="279" t="s">
        <v>997</v>
      </c>
      <c r="B26" s="173">
        <f t="shared" si="0"/>
        <v>1.9E-2</v>
      </c>
      <c r="C26" s="173" t="s">
        <v>37</v>
      </c>
      <c r="D26" s="173" t="s">
        <v>38</v>
      </c>
      <c r="E26" s="173" t="s">
        <v>29</v>
      </c>
      <c r="F26" s="185" t="s">
        <v>60</v>
      </c>
      <c r="G26" s="173" t="s">
        <v>33</v>
      </c>
      <c r="H26" s="173">
        <v>1</v>
      </c>
      <c r="I26" s="173">
        <f t="shared" si="1"/>
        <v>1.9E-2</v>
      </c>
      <c r="J26" s="173" t="s">
        <v>31</v>
      </c>
      <c r="K26" s="173" t="s">
        <v>31</v>
      </c>
      <c r="L26" s="173" t="s">
        <v>31</v>
      </c>
      <c r="M26" s="173" t="s">
        <v>31</v>
      </c>
      <c r="N26" s="173" t="s">
        <v>998</v>
      </c>
      <c r="U26" s="242" t="s">
        <v>998</v>
      </c>
      <c r="V26" s="242" t="s">
        <v>947</v>
      </c>
      <c r="W26" s="363">
        <v>19</v>
      </c>
      <c r="Y26" s="173" t="s">
        <v>337</v>
      </c>
      <c r="Z26" s="173">
        <f t="shared" ref="Z26:Z27" si="3">0.001*W26</f>
        <v>1.9E-2</v>
      </c>
    </row>
    <row r="27" spans="1:29" ht="15">
      <c r="A27" s="279" t="s">
        <v>533</v>
      </c>
      <c r="B27" s="173">
        <f t="shared" si="0"/>
        <v>1.9E-2</v>
      </c>
      <c r="C27" s="173" t="s">
        <v>37</v>
      </c>
      <c r="D27" s="173" t="s">
        <v>38</v>
      </c>
      <c r="E27" s="173" t="s">
        <v>29</v>
      </c>
      <c r="F27" s="185" t="s">
        <v>35</v>
      </c>
      <c r="G27" s="173" t="s">
        <v>33</v>
      </c>
      <c r="H27" s="173">
        <v>1</v>
      </c>
      <c r="I27" s="173">
        <f t="shared" si="1"/>
        <v>1.9E-2</v>
      </c>
      <c r="J27" s="173" t="s">
        <v>31</v>
      </c>
      <c r="K27" s="173" t="s">
        <v>31</v>
      </c>
      <c r="L27" s="173" t="s">
        <v>31</v>
      </c>
      <c r="M27" s="173" t="s">
        <v>31</v>
      </c>
      <c r="N27" s="173" t="s">
        <v>999</v>
      </c>
      <c r="U27" s="242" t="s">
        <v>999</v>
      </c>
      <c r="V27" s="242" t="s">
        <v>947</v>
      </c>
      <c r="W27" s="363">
        <v>19</v>
      </c>
      <c r="Y27" s="173" t="s">
        <v>337</v>
      </c>
      <c r="Z27" s="173">
        <f t="shared" si="3"/>
        <v>1.9E-2</v>
      </c>
    </row>
    <row r="28" spans="1:29">
      <c r="A28" s="321" t="s">
        <v>168</v>
      </c>
      <c r="B28" s="173">
        <f>2.2+0.6</f>
        <v>2.8000000000000003</v>
      </c>
      <c r="C28" s="173" t="s">
        <v>41</v>
      </c>
      <c r="D28" s="173" t="s">
        <v>38</v>
      </c>
      <c r="E28" s="173" t="s">
        <v>29</v>
      </c>
      <c r="F28" s="173" t="s">
        <v>14</v>
      </c>
      <c r="G28" s="173" t="s">
        <v>33</v>
      </c>
      <c r="H28" s="173">
        <v>1</v>
      </c>
      <c r="I28" s="173">
        <f t="shared" si="1"/>
        <v>2.8000000000000003</v>
      </c>
      <c r="J28" s="173" t="s">
        <v>31</v>
      </c>
      <c r="K28" s="173" t="s">
        <v>31</v>
      </c>
      <c r="L28" s="173" t="s">
        <v>31</v>
      </c>
      <c r="M28" s="173" t="s">
        <v>31</v>
      </c>
      <c r="N28" s="173" t="s">
        <v>1000</v>
      </c>
      <c r="U28" s="236"/>
      <c r="V28" s="241"/>
      <c r="W28" s="237"/>
    </row>
    <row r="29" spans="1:29">
      <c r="A29" s="321" t="s">
        <v>168</v>
      </c>
      <c r="B29" s="173">
        <v>8.3000000000000007</v>
      </c>
      <c r="C29" s="173" t="s">
        <v>41</v>
      </c>
      <c r="D29" s="173" t="s">
        <v>38</v>
      </c>
      <c r="E29" s="173" t="s">
        <v>29</v>
      </c>
      <c r="F29" s="173" t="s">
        <v>14</v>
      </c>
      <c r="G29" s="173" t="s">
        <v>33</v>
      </c>
      <c r="H29" s="173">
        <v>1</v>
      </c>
      <c r="I29" s="173">
        <f t="shared" si="1"/>
        <v>8.3000000000000007</v>
      </c>
      <c r="J29" s="173" t="s">
        <v>31</v>
      </c>
      <c r="K29" s="173" t="s">
        <v>31</v>
      </c>
      <c r="L29" s="173" t="s">
        <v>31</v>
      </c>
      <c r="M29" s="173" t="s">
        <v>31</v>
      </c>
      <c r="N29" s="173" t="s">
        <v>1001</v>
      </c>
      <c r="W29" s="237"/>
    </row>
    <row r="30" spans="1:29">
      <c r="A30" s="321" t="s">
        <v>168</v>
      </c>
      <c r="B30" s="173">
        <v>1.5</v>
      </c>
      <c r="C30" s="173" t="s">
        <v>41</v>
      </c>
      <c r="D30" s="173" t="s">
        <v>38</v>
      </c>
      <c r="E30" s="173" t="s">
        <v>29</v>
      </c>
      <c r="F30" s="173" t="s">
        <v>14</v>
      </c>
      <c r="G30" s="173" t="s">
        <v>33</v>
      </c>
      <c r="H30" s="173">
        <v>1</v>
      </c>
      <c r="I30" s="173">
        <f t="shared" si="1"/>
        <v>1.5</v>
      </c>
      <c r="J30" s="173" t="s">
        <v>31</v>
      </c>
      <c r="K30" s="173" t="s">
        <v>31</v>
      </c>
      <c r="L30" s="173" t="s">
        <v>31</v>
      </c>
      <c r="M30" s="173" t="s">
        <v>31</v>
      </c>
      <c r="N30" s="173" t="s">
        <v>1002</v>
      </c>
    </row>
    <row r="31" spans="1:29">
      <c r="A31" s="209"/>
      <c r="B31" s="210"/>
      <c r="C31" s="211"/>
      <c r="D31" s="188"/>
      <c r="E31" s="188"/>
      <c r="F31" s="188"/>
      <c r="G31" s="188"/>
      <c r="H31" s="188"/>
      <c r="I31" s="188"/>
      <c r="J31" s="188"/>
      <c r="K31" s="188"/>
      <c r="L31" s="188"/>
      <c r="M31" s="188"/>
    </row>
    <row r="32" spans="1:29">
      <c r="A32" s="177"/>
      <c r="C32" s="176"/>
      <c r="N32" s="258" t="s">
        <v>1471</v>
      </c>
    </row>
    <row r="33" spans="1:14">
      <c r="A33" s="177"/>
      <c r="C33" s="176"/>
      <c r="N33" s="258">
        <f>SUM(B13:B27)-B17+0.245</f>
        <v>32.071999999999996</v>
      </c>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3901-8CFD-4C48-9417-52E98F0084BC}">
  <sheetPr>
    <tabColor theme="5"/>
  </sheetPr>
  <dimension ref="A1:U104"/>
  <sheetViews>
    <sheetView topLeftCell="A67"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54" t="s">
        <v>5</v>
      </c>
      <c r="B2" s="323" t="s">
        <v>1466</v>
      </c>
      <c r="C2" s="211"/>
      <c r="D2" s="188"/>
      <c r="E2" s="188"/>
      <c r="F2" s="188"/>
      <c r="G2" s="188"/>
      <c r="H2" s="188"/>
      <c r="I2" s="188"/>
      <c r="J2" s="188"/>
      <c r="K2" s="188"/>
      <c r="L2" s="188"/>
      <c r="M2" s="188"/>
      <c r="N2" s="188"/>
      <c r="O2" s="188"/>
      <c r="P2" s="188"/>
      <c r="Q2" s="188"/>
      <c r="R2" s="188"/>
      <c r="S2" s="173"/>
      <c r="T2" s="173"/>
      <c r="U2" s="173"/>
    </row>
    <row r="3" spans="1:21">
      <c r="A3" s="256" t="s">
        <v>7</v>
      </c>
      <c r="B3" s="173" t="s">
        <v>566</v>
      </c>
      <c r="C3" s="176"/>
      <c r="D3" s="173"/>
      <c r="E3" s="173"/>
      <c r="F3" s="173"/>
      <c r="G3" s="173"/>
      <c r="H3" s="173"/>
      <c r="I3" s="173"/>
      <c r="J3" s="173"/>
      <c r="K3" s="173"/>
      <c r="L3" s="173"/>
      <c r="M3" s="173"/>
      <c r="N3" s="173"/>
      <c r="O3" s="173"/>
      <c r="P3" s="173"/>
      <c r="Q3" s="173"/>
      <c r="R3" s="173"/>
      <c r="S3" s="173"/>
      <c r="T3" s="173">
        <f>0.2/0.03</f>
        <v>6.666666666666667</v>
      </c>
      <c r="U3" s="173" t="s">
        <v>985</v>
      </c>
    </row>
    <row r="4" spans="1:21">
      <c r="A4" s="256" t="s">
        <v>9</v>
      </c>
      <c r="B4" s="173" t="s">
        <v>1472</v>
      </c>
      <c r="C4" s="176"/>
      <c r="D4" s="173"/>
      <c r="E4" s="173"/>
      <c r="F4" s="173"/>
      <c r="G4" s="173"/>
      <c r="H4" s="173"/>
      <c r="I4" s="173"/>
      <c r="J4" s="173"/>
      <c r="K4" s="173"/>
      <c r="L4" s="173"/>
      <c r="M4" s="173"/>
      <c r="N4" s="173"/>
      <c r="O4" s="173"/>
      <c r="P4" s="173"/>
      <c r="Q4" s="173"/>
      <c r="R4" s="173"/>
      <c r="S4" s="173"/>
      <c r="T4" s="173"/>
      <c r="U4" s="228" t="s">
        <v>1316</v>
      </c>
    </row>
    <row r="5" spans="1:21" ht="12.75" customHeight="1">
      <c r="A5" s="256" t="s">
        <v>11</v>
      </c>
      <c r="B5" s="179" t="s">
        <v>913</v>
      </c>
      <c r="C5" s="173"/>
      <c r="D5" s="173"/>
      <c r="E5" s="173"/>
      <c r="F5" s="173"/>
      <c r="G5" s="173"/>
      <c r="H5" s="173"/>
      <c r="I5" s="173"/>
      <c r="J5" s="173"/>
      <c r="K5" s="173"/>
      <c r="L5" s="173"/>
      <c r="M5" s="173"/>
      <c r="N5" s="173"/>
      <c r="O5" s="173"/>
      <c r="P5" s="173"/>
      <c r="Q5" s="173"/>
      <c r="R5" s="173"/>
      <c r="S5" s="173"/>
      <c r="T5" s="173"/>
      <c r="U5" s="173"/>
    </row>
    <row r="6" spans="1:21">
      <c r="A6" s="256" t="s">
        <v>13</v>
      </c>
      <c r="B6" s="173" t="s">
        <v>14</v>
      </c>
      <c r="C6" s="173"/>
      <c r="D6" s="173"/>
      <c r="E6" s="173"/>
      <c r="F6" s="173"/>
      <c r="G6" s="173"/>
      <c r="H6" s="173"/>
      <c r="I6" s="173"/>
      <c r="J6" s="173"/>
      <c r="K6" s="173"/>
      <c r="L6" s="173"/>
      <c r="M6" s="173"/>
      <c r="N6" s="173"/>
      <c r="O6" s="173"/>
      <c r="P6" s="173"/>
      <c r="Q6" s="173"/>
      <c r="R6" s="173"/>
      <c r="S6" s="173"/>
      <c r="T6" s="173"/>
      <c r="U6" s="173"/>
    </row>
    <row r="7" spans="1:21">
      <c r="A7" s="256" t="s">
        <v>15</v>
      </c>
      <c r="B7" s="173">
        <f>B12</f>
        <v>2.5000000000000001E-2</v>
      </c>
      <c r="C7" s="173"/>
      <c r="D7" s="173"/>
      <c r="E7" s="173"/>
      <c r="F7" s="173"/>
      <c r="G7" s="173"/>
      <c r="H7" s="173"/>
      <c r="I7" s="173"/>
      <c r="J7" s="173"/>
      <c r="K7" s="173"/>
      <c r="L7" s="173"/>
      <c r="M7" s="173"/>
      <c r="N7" s="173"/>
      <c r="O7" s="173"/>
      <c r="P7" s="173"/>
      <c r="Q7" s="173"/>
      <c r="R7" s="173"/>
      <c r="S7" s="173"/>
      <c r="T7" s="173"/>
      <c r="U7" s="173"/>
    </row>
    <row r="8" spans="1:21">
      <c r="A8" s="256" t="s">
        <v>16</v>
      </c>
      <c r="B8" s="173" t="s">
        <v>17</v>
      </c>
      <c r="C8" s="173"/>
      <c r="D8" s="173"/>
      <c r="E8" s="173"/>
      <c r="F8" s="173"/>
      <c r="G8" s="173"/>
      <c r="H8" s="173"/>
      <c r="I8" s="173"/>
      <c r="J8" s="173"/>
      <c r="K8" s="173"/>
      <c r="L8" s="173"/>
      <c r="M8" s="173"/>
      <c r="N8" s="173"/>
      <c r="O8" s="173"/>
      <c r="P8" s="173"/>
      <c r="Q8" s="173"/>
      <c r="R8" s="173"/>
      <c r="S8" s="173"/>
      <c r="T8" s="173"/>
      <c r="U8" s="173"/>
    </row>
    <row r="9" spans="1:21">
      <c r="A9" s="256" t="s">
        <v>18</v>
      </c>
      <c r="B9" s="173" t="s">
        <v>206</v>
      </c>
      <c r="C9" s="173"/>
      <c r="D9" s="173"/>
      <c r="E9" s="173"/>
      <c r="F9" s="173"/>
      <c r="G9" s="173"/>
      <c r="H9" s="173"/>
      <c r="I9" s="173"/>
      <c r="J9" s="173"/>
      <c r="K9" s="173"/>
      <c r="L9" s="173"/>
      <c r="M9" s="173"/>
      <c r="N9" s="173"/>
      <c r="O9" s="173"/>
      <c r="P9" s="173"/>
      <c r="Q9" s="173"/>
      <c r="R9" s="173"/>
      <c r="S9" s="173"/>
      <c r="T9" s="173"/>
      <c r="U9" s="173"/>
    </row>
    <row r="10" spans="1:21">
      <c r="A10" s="257" t="s">
        <v>19</v>
      </c>
      <c r="B10" s="173"/>
      <c r="C10" s="173"/>
      <c r="D10" s="173"/>
      <c r="E10" s="173"/>
      <c r="F10" s="173"/>
      <c r="G10" s="173"/>
      <c r="H10" s="173"/>
      <c r="I10" s="173"/>
      <c r="J10" s="173"/>
      <c r="K10" s="173"/>
      <c r="L10" s="173"/>
      <c r="M10" s="173"/>
      <c r="N10" s="173"/>
      <c r="O10" s="173"/>
      <c r="P10" s="173"/>
      <c r="Q10" s="173"/>
      <c r="R10" s="173"/>
      <c r="S10" s="173"/>
      <c r="T10" s="173"/>
      <c r="U10" s="173"/>
    </row>
    <row r="11" spans="1:21">
      <c r="A11" s="257"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173"/>
      <c r="S11" s="173"/>
      <c r="T11" s="173"/>
      <c r="U11" s="173"/>
    </row>
    <row r="12" spans="1:21">
      <c r="A12" s="178" t="s">
        <v>1466</v>
      </c>
      <c r="B12" s="173">
        <v>2.5000000000000001E-2</v>
      </c>
      <c r="C12" s="173" t="s">
        <v>206</v>
      </c>
      <c r="D12" s="258" t="s">
        <v>2</v>
      </c>
      <c r="E12" s="173" t="s">
        <v>29</v>
      </c>
      <c r="F12" s="185" t="s">
        <v>14</v>
      </c>
      <c r="G12" s="173" t="s">
        <v>30</v>
      </c>
      <c r="H12" s="173">
        <v>1</v>
      </c>
      <c r="I12" s="173">
        <f>B12</f>
        <v>2.5000000000000001E-2</v>
      </c>
      <c r="J12" s="173" t="s">
        <v>31</v>
      </c>
      <c r="K12" s="173" t="s">
        <v>31</v>
      </c>
      <c r="L12" s="173" t="s">
        <v>31</v>
      </c>
      <c r="M12" s="173" t="s">
        <v>31</v>
      </c>
      <c r="N12" s="173"/>
      <c r="O12" s="259" t="s">
        <v>1316</v>
      </c>
      <c r="P12" s="260"/>
      <c r="Q12" s="173"/>
      <c r="R12" s="173"/>
      <c r="S12" s="173"/>
      <c r="T12" s="173"/>
      <c r="U12" s="173"/>
    </row>
    <row r="13" spans="1:21">
      <c r="A13" s="178" t="s">
        <v>1473</v>
      </c>
      <c r="B13" s="173">
        <f>Q13</f>
        <v>0.14000000000000001</v>
      </c>
      <c r="C13" s="173" t="s">
        <v>37</v>
      </c>
      <c r="D13" s="258" t="s">
        <v>2</v>
      </c>
      <c r="E13" s="173" t="s">
        <v>29</v>
      </c>
      <c r="F13" s="185" t="s">
        <v>14</v>
      </c>
      <c r="G13" s="173" t="s">
        <v>33</v>
      </c>
      <c r="H13" s="173">
        <v>1</v>
      </c>
      <c r="I13" s="173">
        <f t="shared" ref="I13:I14" si="0">B13</f>
        <v>0.14000000000000001</v>
      </c>
      <c r="J13" s="173" t="s">
        <v>31</v>
      </c>
      <c r="K13" s="173" t="s">
        <v>31</v>
      </c>
      <c r="L13" s="173" t="s">
        <v>31</v>
      </c>
      <c r="M13" s="173" t="s">
        <v>31</v>
      </c>
      <c r="N13" s="173"/>
      <c r="O13" s="173">
        <f>0.05/0.28</f>
        <v>0.17857142857142858</v>
      </c>
      <c r="P13" s="173" t="s">
        <v>1304</v>
      </c>
      <c r="Q13" s="173">
        <f>B12/O13</f>
        <v>0.14000000000000001</v>
      </c>
      <c r="R13" s="173"/>
      <c r="S13" s="173"/>
      <c r="T13" s="173"/>
      <c r="U13" s="173"/>
    </row>
    <row r="14" spans="1:21">
      <c r="A14" s="178" t="s">
        <v>1474</v>
      </c>
      <c r="B14" s="173">
        <v>2.5000000000000001E-2</v>
      </c>
      <c r="C14" s="173" t="s">
        <v>206</v>
      </c>
      <c r="D14" s="258" t="s">
        <v>2</v>
      </c>
      <c r="E14" s="173" t="s">
        <v>29</v>
      </c>
      <c r="F14" s="185" t="s">
        <v>14</v>
      </c>
      <c r="G14" s="173" t="s">
        <v>33</v>
      </c>
      <c r="H14" s="173">
        <v>1</v>
      </c>
      <c r="I14" s="173">
        <f t="shared" si="0"/>
        <v>2.5000000000000001E-2</v>
      </c>
      <c r="J14" s="173" t="s">
        <v>31</v>
      </c>
      <c r="K14" s="173" t="s">
        <v>31</v>
      </c>
      <c r="L14" s="173" t="s">
        <v>31</v>
      </c>
      <c r="M14" s="173" t="s">
        <v>31</v>
      </c>
      <c r="N14" s="173"/>
      <c r="O14" s="173"/>
      <c r="P14" s="173"/>
      <c r="Q14" s="173"/>
      <c r="R14" s="173"/>
      <c r="S14" s="173"/>
      <c r="T14" s="173"/>
      <c r="U14" s="173"/>
    </row>
    <row r="15" spans="1:21">
      <c r="A15" s="83" t="s">
        <v>933</v>
      </c>
      <c r="B15" s="173">
        <f>P15</f>
        <v>0.2</v>
      </c>
      <c r="C15" s="173" t="s">
        <v>37</v>
      </c>
      <c r="D15" s="173" t="s">
        <v>38</v>
      </c>
      <c r="E15" s="173" t="s">
        <v>29</v>
      </c>
      <c r="F15" s="185" t="s">
        <v>39</v>
      </c>
      <c r="G15" s="173" t="s">
        <v>33</v>
      </c>
      <c r="H15" s="173">
        <v>2</v>
      </c>
      <c r="I15" s="173">
        <f>LN(B15)</f>
        <v>-1.6094379124341003</v>
      </c>
      <c r="J15" s="343">
        <v>0.11236102527122109</v>
      </c>
      <c r="K15" s="173" t="s">
        <v>31</v>
      </c>
      <c r="L15" s="173" t="s">
        <v>31</v>
      </c>
      <c r="M15" s="173" t="s">
        <v>31</v>
      </c>
      <c r="N15" s="173"/>
      <c r="O15" s="242" t="s">
        <v>337</v>
      </c>
      <c r="P15" s="264">
        <v>0.2</v>
      </c>
      <c r="Q15" s="173"/>
      <c r="R15" s="173"/>
      <c r="S15" s="173"/>
      <c r="T15" s="173"/>
      <c r="U15" s="173"/>
    </row>
    <row r="16" spans="1:21">
      <c r="A16" s="83" t="s">
        <v>1008</v>
      </c>
      <c r="B16" s="265">
        <f>Q16</f>
        <v>1E-8</v>
      </c>
      <c r="C16" s="173" t="s">
        <v>37</v>
      </c>
      <c r="D16" s="173" t="s">
        <v>38</v>
      </c>
      <c r="E16" s="173" t="s">
        <v>29</v>
      </c>
      <c r="F16" s="185" t="s">
        <v>60</v>
      </c>
      <c r="G16" s="173" t="s">
        <v>33</v>
      </c>
      <c r="H16" s="173">
        <v>2</v>
      </c>
      <c r="I16" s="173">
        <f t="shared" ref="I16:I17" si="1">LN(B16)</f>
        <v>-18.420680743952367</v>
      </c>
      <c r="J16" s="343">
        <v>0.11236102527122109</v>
      </c>
      <c r="K16" s="173" t="s">
        <v>31</v>
      </c>
      <c r="L16" s="173" t="s">
        <v>31</v>
      </c>
      <c r="M16" s="173" t="s">
        <v>31</v>
      </c>
      <c r="N16" s="173"/>
      <c r="O16" s="266" t="s">
        <v>952</v>
      </c>
      <c r="P16" s="267">
        <v>0.01</v>
      </c>
      <c r="Q16" s="265">
        <f>P16*10^(-6)</f>
        <v>1E-8</v>
      </c>
      <c r="R16" s="173" t="s">
        <v>37</v>
      </c>
      <c r="S16" s="173"/>
      <c r="T16" s="173"/>
      <c r="U16" s="173"/>
    </row>
    <row r="17" spans="1:21">
      <c r="A17" s="83" t="s">
        <v>489</v>
      </c>
      <c r="B17" s="173">
        <f>Q17</f>
        <v>2.0000000000000001E-4</v>
      </c>
      <c r="C17" s="173" t="s">
        <v>50</v>
      </c>
      <c r="D17" s="173" t="s">
        <v>38</v>
      </c>
      <c r="E17" s="173" t="s">
        <v>29</v>
      </c>
      <c r="F17" s="185" t="s">
        <v>39</v>
      </c>
      <c r="G17" s="173" t="s">
        <v>33</v>
      </c>
      <c r="H17" s="173">
        <v>2</v>
      </c>
      <c r="I17" s="173">
        <f t="shared" si="1"/>
        <v>-8.5171931914162382</v>
      </c>
      <c r="J17" s="343">
        <v>0.11236102527122109</v>
      </c>
      <c r="K17" s="173" t="s">
        <v>31</v>
      </c>
      <c r="L17" s="173" t="s">
        <v>31</v>
      </c>
      <c r="M17" s="173" t="s">
        <v>31</v>
      </c>
      <c r="N17" s="173"/>
      <c r="O17" s="268" t="s">
        <v>1009</v>
      </c>
      <c r="P17" s="269">
        <v>0.2</v>
      </c>
      <c r="Q17" s="173">
        <f>P17/1000</f>
        <v>2.0000000000000001E-4</v>
      </c>
      <c r="R17" s="173" t="s">
        <v>1010</v>
      </c>
      <c r="S17" s="173"/>
      <c r="T17" s="173"/>
      <c r="U17" s="173"/>
    </row>
    <row r="18" spans="1:21">
      <c r="A18" s="254" t="s">
        <v>5</v>
      </c>
      <c r="B18" s="323" t="s">
        <v>1473</v>
      </c>
      <c r="C18" s="211"/>
      <c r="D18" s="188"/>
      <c r="E18" s="188"/>
      <c r="F18" s="188"/>
      <c r="G18" s="188"/>
      <c r="H18" s="188"/>
      <c r="I18" s="188"/>
      <c r="J18" s="188"/>
      <c r="K18" s="188"/>
      <c r="L18" s="188"/>
      <c r="M18" s="188"/>
      <c r="N18" s="188"/>
      <c r="O18" s="188"/>
      <c r="P18" s="188"/>
      <c r="Q18" s="188"/>
      <c r="R18" s="188"/>
      <c r="S18" s="173"/>
      <c r="T18" s="173"/>
      <c r="U18" s="173"/>
    </row>
    <row r="19" spans="1:21">
      <c r="A19" s="256" t="s">
        <v>7</v>
      </c>
      <c r="B19" s="173" t="s">
        <v>566</v>
      </c>
      <c r="C19" s="176"/>
      <c r="D19" s="173"/>
      <c r="E19" s="173"/>
      <c r="F19" s="173"/>
      <c r="G19" s="173"/>
      <c r="H19" s="173"/>
      <c r="I19" s="173"/>
      <c r="J19" s="173"/>
      <c r="K19" s="173"/>
      <c r="L19" s="173"/>
      <c r="M19" s="173"/>
      <c r="N19" s="173"/>
      <c r="O19" s="173"/>
      <c r="P19" s="173"/>
      <c r="Q19" s="173"/>
      <c r="R19" s="173"/>
      <c r="S19" s="173"/>
      <c r="T19" s="173"/>
      <c r="U19" s="173"/>
    </row>
    <row r="20" spans="1:21">
      <c r="A20" s="256" t="s">
        <v>9</v>
      </c>
      <c r="B20" s="173" t="s">
        <v>1475</v>
      </c>
      <c r="C20" s="176"/>
      <c r="D20" s="173"/>
      <c r="E20" s="173"/>
      <c r="F20" s="173"/>
      <c r="G20" s="173"/>
      <c r="H20" s="173"/>
      <c r="I20" s="173"/>
      <c r="J20" s="173"/>
      <c r="K20" s="173"/>
      <c r="L20" s="173"/>
      <c r="M20" s="173"/>
      <c r="N20" s="173"/>
      <c r="O20" s="173"/>
      <c r="P20" s="173"/>
      <c r="Q20" s="173"/>
      <c r="R20" s="173"/>
      <c r="S20" s="173"/>
      <c r="T20" s="173"/>
      <c r="U20" s="173"/>
    </row>
    <row r="21" spans="1:21" ht="10.5" customHeight="1">
      <c r="A21" s="256" t="s">
        <v>11</v>
      </c>
      <c r="B21" s="179" t="s">
        <v>913</v>
      </c>
      <c r="C21" s="173"/>
      <c r="D21" s="173"/>
      <c r="E21" s="173"/>
      <c r="F21" s="173"/>
      <c r="G21" s="173"/>
      <c r="H21" s="173"/>
      <c r="I21" s="173"/>
      <c r="J21" s="173"/>
      <c r="K21" s="173"/>
      <c r="L21" s="173"/>
      <c r="M21" s="173"/>
      <c r="N21" s="173"/>
      <c r="O21" s="173"/>
      <c r="P21" s="272"/>
      <c r="Q21" s="173"/>
      <c r="R21" s="173"/>
      <c r="S21" s="173"/>
      <c r="T21" s="173"/>
      <c r="U21" s="173"/>
    </row>
    <row r="22" spans="1:21">
      <c r="A22" s="256" t="s">
        <v>13</v>
      </c>
      <c r="B22" s="173" t="s">
        <v>14</v>
      </c>
      <c r="C22" s="173"/>
      <c r="D22" s="173"/>
      <c r="E22" s="173"/>
      <c r="F22" s="173"/>
      <c r="G22" s="173"/>
      <c r="H22" s="173"/>
      <c r="I22" s="173"/>
      <c r="J22" s="173"/>
      <c r="K22" s="173"/>
      <c r="L22" s="173"/>
      <c r="M22" s="173"/>
      <c r="N22" s="173"/>
      <c r="O22" s="173"/>
      <c r="P22" s="272"/>
      <c r="Q22" s="173"/>
      <c r="R22" s="173"/>
      <c r="S22" s="173"/>
      <c r="T22" s="173"/>
      <c r="U22" s="173"/>
    </row>
    <row r="23" spans="1:21">
      <c r="A23" s="256" t="s">
        <v>15</v>
      </c>
      <c r="B23" s="173">
        <f>B28</f>
        <v>8.0000000000000002E-3</v>
      </c>
      <c r="C23" s="173"/>
      <c r="D23" s="173"/>
      <c r="E23" s="173"/>
      <c r="F23" s="173"/>
      <c r="G23" s="173"/>
      <c r="H23" s="173"/>
      <c r="I23" s="173"/>
      <c r="J23" s="173"/>
      <c r="K23" s="173"/>
      <c r="L23" s="173"/>
      <c r="M23" s="173"/>
      <c r="N23" s="173"/>
      <c r="O23" s="173"/>
      <c r="P23" s="272"/>
      <c r="Q23" s="173"/>
      <c r="R23" s="173"/>
      <c r="S23" s="173"/>
      <c r="T23" s="173"/>
      <c r="U23" s="173"/>
    </row>
    <row r="24" spans="1:21">
      <c r="A24" s="256" t="s">
        <v>16</v>
      </c>
      <c r="B24" s="173" t="s">
        <v>17</v>
      </c>
      <c r="C24" s="173"/>
      <c r="D24" s="173"/>
      <c r="E24" s="173"/>
      <c r="F24" s="173"/>
      <c r="G24" s="173"/>
      <c r="H24" s="173"/>
      <c r="I24" s="173"/>
      <c r="J24" s="173"/>
      <c r="K24" s="173"/>
      <c r="L24" s="173"/>
      <c r="M24" s="173"/>
      <c r="N24" s="173"/>
      <c r="O24" s="173"/>
      <c r="P24" s="173"/>
      <c r="Q24" s="173"/>
      <c r="R24" s="173"/>
      <c r="S24" s="173"/>
      <c r="T24" s="173"/>
      <c r="U24" s="173"/>
    </row>
    <row r="25" spans="1:21">
      <c r="A25" s="256" t="s">
        <v>18</v>
      </c>
      <c r="B25" s="173" t="s">
        <v>37</v>
      </c>
      <c r="C25" s="173"/>
      <c r="D25" s="173"/>
      <c r="E25" s="173"/>
      <c r="F25" s="173"/>
      <c r="G25" s="173"/>
      <c r="H25" s="173"/>
      <c r="I25" s="173"/>
      <c r="J25" s="173"/>
      <c r="K25" s="173"/>
      <c r="L25" s="173"/>
      <c r="M25" s="173"/>
      <c r="N25" s="173"/>
      <c r="O25" s="173"/>
      <c r="P25" s="173"/>
      <c r="Q25" s="173"/>
      <c r="R25" s="173"/>
      <c r="S25" s="173"/>
      <c r="T25" s="173"/>
      <c r="U25" s="173"/>
    </row>
    <row r="26" spans="1:21">
      <c r="A26" s="257" t="s">
        <v>19</v>
      </c>
      <c r="B26" s="173"/>
      <c r="C26" s="173"/>
      <c r="D26" s="173"/>
      <c r="E26" s="173"/>
      <c r="F26" s="173"/>
      <c r="G26" s="173"/>
      <c r="H26" s="173"/>
      <c r="I26" s="173"/>
      <c r="J26" s="173"/>
      <c r="K26" s="173"/>
      <c r="L26" s="173"/>
      <c r="M26" s="173"/>
      <c r="N26" s="173"/>
      <c r="O26" s="173"/>
      <c r="P26" s="173"/>
      <c r="Q26" s="173"/>
      <c r="R26" s="173"/>
      <c r="S26" s="173"/>
      <c r="T26" s="173"/>
      <c r="U26" s="173"/>
    </row>
    <row r="27" spans="1:21">
      <c r="A27" s="257" t="s">
        <v>20</v>
      </c>
      <c r="B27" s="175" t="s">
        <v>21</v>
      </c>
      <c r="C27" s="175" t="s">
        <v>18</v>
      </c>
      <c r="D27" s="175" t="s">
        <v>22</v>
      </c>
      <c r="E27" s="175" t="s">
        <v>7</v>
      </c>
      <c r="F27" s="175" t="s">
        <v>13</v>
      </c>
      <c r="G27" s="175" t="s">
        <v>16</v>
      </c>
      <c r="H27" s="175" t="s">
        <v>23</v>
      </c>
      <c r="I27" s="175" t="s">
        <v>24</v>
      </c>
      <c r="J27" s="175" t="s">
        <v>25</v>
      </c>
      <c r="K27" s="175" t="s">
        <v>26</v>
      </c>
      <c r="L27" s="175" t="s">
        <v>27</v>
      </c>
      <c r="M27" s="175" t="s">
        <v>28</v>
      </c>
      <c r="N27" s="175" t="s">
        <v>11</v>
      </c>
      <c r="O27" s="173"/>
      <c r="P27" s="173"/>
      <c r="Q27" s="173"/>
      <c r="R27" s="173"/>
      <c r="S27" s="173"/>
      <c r="T27" s="173"/>
      <c r="U27" s="173"/>
    </row>
    <row r="28" spans="1:21">
      <c r="A28" s="178" t="s">
        <v>1473</v>
      </c>
      <c r="B28" s="173">
        <v>8.0000000000000002E-3</v>
      </c>
      <c r="C28" s="173" t="s">
        <v>37</v>
      </c>
      <c r="D28" s="258" t="s">
        <v>2</v>
      </c>
      <c r="E28" s="173" t="s">
        <v>29</v>
      </c>
      <c r="F28" s="185" t="s">
        <v>14</v>
      </c>
      <c r="G28" s="173" t="s">
        <v>30</v>
      </c>
      <c r="H28" s="173">
        <v>1</v>
      </c>
      <c r="I28" s="173">
        <f>B28</f>
        <v>8.0000000000000002E-3</v>
      </c>
      <c r="J28" s="173" t="s">
        <v>31</v>
      </c>
      <c r="K28" s="173" t="s">
        <v>31</v>
      </c>
      <c r="L28" s="173" t="s">
        <v>31</v>
      </c>
      <c r="M28" s="173" t="s">
        <v>31</v>
      </c>
      <c r="N28" s="173"/>
      <c r="O28" s="173"/>
      <c r="Q28" s="173"/>
      <c r="R28" s="173"/>
      <c r="S28" s="173"/>
      <c r="T28" s="173"/>
      <c r="U28" s="173"/>
    </row>
    <row r="29" spans="1:21">
      <c r="A29" s="83" t="s">
        <v>1008</v>
      </c>
      <c r="B29" s="265">
        <f>R29</f>
        <v>8.0999999999999996E-3</v>
      </c>
      <c r="C29" s="173" t="s">
        <v>37</v>
      </c>
      <c r="D29" s="173" t="s">
        <v>38</v>
      </c>
      <c r="E29" s="173" t="s">
        <v>29</v>
      </c>
      <c r="F29" s="185" t="s">
        <v>60</v>
      </c>
      <c r="G29" s="173" t="s">
        <v>33</v>
      </c>
      <c r="H29" s="173">
        <v>2</v>
      </c>
      <c r="I29" s="173">
        <f t="shared" ref="I29:I31" si="2">LN(B29)</f>
        <v>-4.8158912173037436</v>
      </c>
      <c r="J29" s="343">
        <v>0.11236102527122109</v>
      </c>
      <c r="K29" s="173" t="s">
        <v>31</v>
      </c>
      <c r="L29" s="173" t="s">
        <v>31</v>
      </c>
      <c r="M29" s="173" t="s">
        <v>31</v>
      </c>
      <c r="N29" s="173"/>
      <c r="O29" s="242" t="s">
        <v>947</v>
      </c>
      <c r="P29" s="264">
        <v>8.1</v>
      </c>
      <c r="Q29" s="173" t="s">
        <v>337</v>
      </c>
      <c r="R29" s="173">
        <f>P29*0.001</f>
        <v>8.0999999999999996E-3</v>
      </c>
      <c r="S29" s="173"/>
      <c r="T29" s="173"/>
      <c r="U29" s="173"/>
    </row>
    <row r="30" spans="1:21">
      <c r="A30" s="256" t="s">
        <v>168</v>
      </c>
      <c r="B30" s="184">
        <f>P30</f>
        <v>0.03</v>
      </c>
      <c r="C30" s="173" t="s">
        <v>41</v>
      </c>
      <c r="D30" s="173" t="s">
        <v>38</v>
      </c>
      <c r="E30" s="173" t="s">
        <v>29</v>
      </c>
      <c r="F30" s="185" t="s">
        <v>35</v>
      </c>
      <c r="G30" s="173" t="s">
        <v>33</v>
      </c>
      <c r="H30" s="173">
        <v>2</v>
      </c>
      <c r="I30" s="173">
        <f t="shared" si="2"/>
        <v>-3.5065578973199818</v>
      </c>
      <c r="J30" s="343">
        <v>0.11236102527122109</v>
      </c>
      <c r="K30" s="173" t="s">
        <v>31</v>
      </c>
      <c r="L30" s="173" t="s">
        <v>31</v>
      </c>
      <c r="M30" s="173" t="s">
        <v>31</v>
      </c>
      <c r="N30" s="173"/>
      <c r="O30" s="242" t="s">
        <v>332</v>
      </c>
      <c r="P30" s="264">
        <v>0.03</v>
      </c>
      <c r="Q30" s="173"/>
      <c r="R30" s="173"/>
      <c r="S30" s="173"/>
      <c r="T30" s="173"/>
      <c r="U30" s="173"/>
    </row>
    <row r="31" spans="1:21">
      <c r="A31" s="83" t="s">
        <v>1012</v>
      </c>
      <c r="B31" s="173">
        <f>R31</f>
        <v>4.0000000000000002E-4</v>
      </c>
      <c r="C31" s="173" t="s">
        <v>37</v>
      </c>
      <c r="D31" s="173" t="s">
        <v>43</v>
      </c>
      <c r="E31" s="173" t="s">
        <v>1013</v>
      </c>
      <c r="F31" s="185" t="s">
        <v>29</v>
      </c>
      <c r="G31" s="173" t="s">
        <v>45</v>
      </c>
      <c r="H31" s="173">
        <v>2</v>
      </c>
      <c r="I31" s="173">
        <f t="shared" si="2"/>
        <v>-7.8240460108562919</v>
      </c>
      <c r="J31" s="343">
        <v>0.11236102527122109</v>
      </c>
      <c r="K31" s="173" t="s">
        <v>31</v>
      </c>
      <c r="L31" s="173" t="s">
        <v>31</v>
      </c>
      <c r="M31" s="173" t="s">
        <v>31</v>
      </c>
      <c r="N31" s="173"/>
      <c r="O31" s="268" t="s">
        <v>947</v>
      </c>
      <c r="P31" s="269">
        <v>0.4</v>
      </c>
      <c r="Q31" s="173" t="s">
        <v>337</v>
      </c>
      <c r="R31" s="173">
        <f>P31*0.001</f>
        <v>4.0000000000000002E-4</v>
      </c>
      <c r="S31" s="173"/>
      <c r="T31" s="173"/>
      <c r="U31" s="173"/>
    </row>
    <row r="32" spans="1:21">
      <c r="A32" s="254" t="s">
        <v>5</v>
      </c>
      <c r="B32" s="210" t="s">
        <v>1474</v>
      </c>
      <c r="C32" s="211"/>
      <c r="D32" s="188"/>
      <c r="E32" s="188"/>
      <c r="F32" s="188"/>
      <c r="G32" s="188"/>
      <c r="H32" s="188"/>
      <c r="I32" s="188"/>
      <c r="J32" s="188"/>
      <c r="K32" s="188"/>
      <c r="L32" s="188"/>
      <c r="M32" s="188"/>
      <c r="N32" s="188"/>
      <c r="O32" s="188"/>
      <c r="P32" s="188"/>
      <c r="Q32" s="188"/>
      <c r="R32" s="188"/>
      <c r="S32" s="173"/>
      <c r="T32" s="173"/>
      <c r="U32" s="173"/>
    </row>
    <row r="33" spans="1:21">
      <c r="A33" s="256" t="s">
        <v>7</v>
      </c>
      <c r="B33" s="173" t="s">
        <v>566</v>
      </c>
      <c r="C33" s="176"/>
      <c r="D33" s="173"/>
      <c r="E33" s="173"/>
      <c r="F33" s="173"/>
      <c r="G33" s="173"/>
      <c r="H33" s="173"/>
      <c r="I33" s="173"/>
      <c r="J33" s="173"/>
      <c r="K33" s="173"/>
      <c r="L33" s="173"/>
      <c r="M33" s="173"/>
      <c r="N33" s="173"/>
      <c r="O33" s="173"/>
      <c r="P33" s="173"/>
      <c r="Q33" s="173"/>
      <c r="R33" s="173"/>
      <c r="S33" s="173"/>
      <c r="T33" s="173"/>
      <c r="U33" s="173"/>
    </row>
    <row r="34" spans="1:21">
      <c r="A34" s="256" t="s">
        <v>9</v>
      </c>
      <c r="B34" s="173" t="s">
        <v>1476</v>
      </c>
      <c r="C34" s="176"/>
      <c r="D34" s="173"/>
      <c r="E34" s="173"/>
      <c r="F34" s="173"/>
      <c r="G34" s="173"/>
      <c r="H34" s="173"/>
      <c r="I34" s="173"/>
      <c r="J34" s="173"/>
      <c r="K34" s="173"/>
      <c r="L34" s="173"/>
      <c r="M34" s="173"/>
      <c r="N34" s="173"/>
      <c r="O34" s="173"/>
      <c r="P34" s="173"/>
      <c r="Q34" s="173"/>
      <c r="R34" s="173"/>
      <c r="S34" s="173"/>
      <c r="T34" s="173"/>
      <c r="U34" s="173"/>
    </row>
    <row r="35" spans="1:21" ht="15.75" customHeight="1">
      <c r="A35" s="256" t="s">
        <v>11</v>
      </c>
      <c r="B35" s="179" t="s">
        <v>913</v>
      </c>
      <c r="C35" s="173"/>
      <c r="D35" s="173"/>
      <c r="E35" s="173"/>
      <c r="F35" s="173"/>
      <c r="G35" s="173"/>
      <c r="H35" s="173"/>
      <c r="I35" s="173"/>
      <c r="J35" s="173"/>
      <c r="K35" s="173"/>
      <c r="L35" s="173"/>
      <c r="M35" s="173"/>
      <c r="N35" s="173"/>
      <c r="O35" s="173"/>
      <c r="P35" s="173"/>
      <c r="Q35" s="173"/>
      <c r="R35" s="173"/>
      <c r="S35" s="173"/>
      <c r="T35" s="228"/>
      <c r="U35" s="173"/>
    </row>
    <row r="36" spans="1:21">
      <c r="A36" s="256" t="s">
        <v>13</v>
      </c>
      <c r="B36" s="173" t="s">
        <v>14</v>
      </c>
      <c r="C36" s="173"/>
      <c r="D36" s="173"/>
      <c r="E36" s="173"/>
      <c r="F36" s="173"/>
      <c r="G36" s="173"/>
      <c r="H36" s="173"/>
      <c r="I36" s="173"/>
      <c r="J36" s="173"/>
      <c r="K36" s="173"/>
      <c r="L36" s="173"/>
      <c r="M36" s="173"/>
      <c r="N36" s="173"/>
      <c r="O36" s="173"/>
      <c r="P36" s="173"/>
      <c r="Q36" s="173"/>
      <c r="R36" s="173"/>
      <c r="S36" s="173"/>
      <c r="T36" s="173"/>
      <c r="U36" s="173"/>
    </row>
    <row r="37" spans="1:21">
      <c r="A37" s="256" t="s">
        <v>15</v>
      </c>
      <c r="B37" s="173">
        <v>0.05</v>
      </c>
      <c r="C37" s="173"/>
      <c r="D37" s="173"/>
      <c r="E37" s="173"/>
      <c r="F37" s="173"/>
      <c r="G37" s="173"/>
      <c r="H37" s="173"/>
      <c r="I37" s="173"/>
      <c r="J37" s="173"/>
      <c r="K37" s="173"/>
      <c r="L37" s="173"/>
      <c r="M37" s="173"/>
      <c r="N37" s="173"/>
      <c r="O37" s="173"/>
      <c r="P37" s="173" t="s">
        <v>1477</v>
      </c>
      <c r="Q37" s="173"/>
      <c r="R37" s="173"/>
      <c r="S37" s="173"/>
      <c r="T37" s="173"/>
      <c r="U37" s="173"/>
    </row>
    <row r="38" spans="1:21">
      <c r="A38" s="256" t="s">
        <v>16</v>
      </c>
      <c r="B38" s="173" t="s">
        <v>17</v>
      </c>
      <c r="C38" s="173"/>
      <c r="D38" s="173"/>
      <c r="E38" s="173"/>
      <c r="F38" s="173"/>
      <c r="G38" s="173"/>
      <c r="H38" s="173"/>
      <c r="I38" s="173"/>
      <c r="J38" s="173"/>
      <c r="K38" s="173"/>
      <c r="L38" s="173"/>
      <c r="M38" s="173"/>
      <c r="N38" s="173"/>
      <c r="O38" s="173"/>
      <c r="P38" s="173">
        <f>0.05/0.28</f>
        <v>0.17857142857142858</v>
      </c>
      <c r="Q38" s="173" t="s">
        <v>1304</v>
      </c>
      <c r="R38" s="173"/>
      <c r="S38" s="173"/>
      <c r="T38" s="173"/>
      <c r="U38" s="173"/>
    </row>
    <row r="39" spans="1:21">
      <c r="A39" s="256" t="s">
        <v>18</v>
      </c>
      <c r="B39" s="173" t="s">
        <v>206</v>
      </c>
      <c r="C39" s="173"/>
      <c r="D39" s="173"/>
      <c r="E39" s="173"/>
      <c r="F39" s="173"/>
      <c r="G39" s="173"/>
      <c r="H39" s="173"/>
      <c r="I39" s="173"/>
      <c r="J39" s="173"/>
      <c r="K39" s="173"/>
      <c r="L39" s="173"/>
      <c r="M39" s="173"/>
      <c r="N39" s="173"/>
      <c r="O39" s="173"/>
      <c r="P39" s="173"/>
      <c r="Q39" s="173"/>
      <c r="R39" s="173"/>
      <c r="S39" s="173"/>
      <c r="T39" s="173"/>
      <c r="U39" s="173"/>
    </row>
    <row r="40" spans="1:21">
      <c r="A40" s="257" t="s">
        <v>19</v>
      </c>
      <c r="B40" s="173"/>
      <c r="C40" s="173"/>
      <c r="D40" s="173"/>
      <c r="E40" s="173"/>
      <c r="F40" s="173"/>
      <c r="G40" s="173"/>
      <c r="H40" s="173"/>
      <c r="I40" s="173"/>
      <c r="J40" s="173"/>
      <c r="K40" s="173"/>
      <c r="L40" s="173"/>
      <c r="M40" s="173"/>
      <c r="N40" s="173"/>
      <c r="O40" s="173"/>
      <c r="P40" s="173"/>
      <c r="Q40" s="173"/>
      <c r="R40" s="173"/>
      <c r="S40" s="173"/>
      <c r="T40" s="173"/>
      <c r="U40" s="173"/>
    </row>
    <row r="41" spans="1:21">
      <c r="A41" s="257" t="s">
        <v>20</v>
      </c>
      <c r="B41" s="175" t="s">
        <v>21</v>
      </c>
      <c r="C41" s="175" t="s">
        <v>18</v>
      </c>
      <c r="D41" s="175" t="s">
        <v>22</v>
      </c>
      <c r="E41" s="175" t="s">
        <v>7</v>
      </c>
      <c r="F41" s="175" t="s">
        <v>13</v>
      </c>
      <c r="G41" s="175" t="s">
        <v>16</v>
      </c>
      <c r="H41" s="175" t="s">
        <v>23</v>
      </c>
      <c r="I41" s="175" t="s">
        <v>24</v>
      </c>
      <c r="J41" s="175" t="s">
        <v>25</v>
      </c>
      <c r="K41" s="175" t="s">
        <v>26</v>
      </c>
      <c r="L41" s="175" t="s">
        <v>27</v>
      </c>
      <c r="M41" s="175" t="s">
        <v>28</v>
      </c>
      <c r="N41" s="175" t="s">
        <v>11</v>
      </c>
      <c r="O41" s="173"/>
      <c r="P41" s="173"/>
      <c r="Q41" s="173"/>
      <c r="R41" s="173"/>
      <c r="S41" s="173"/>
      <c r="T41" s="173"/>
      <c r="U41" s="173"/>
    </row>
    <row r="42" spans="1:21">
      <c r="A42" s="178" t="s">
        <v>1474</v>
      </c>
      <c r="B42" s="173">
        <v>0.05</v>
      </c>
      <c r="C42" s="173" t="s">
        <v>206</v>
      </c>
      <c r="D42" s="258" t="s">
        <v>2</v>
      </c>
      <c r="E42" s="173" t="s">
        <v>29</v>
      </c>
      <c r="F42" s="185" t="s">
        <v>14</v>
      </c>
      <c r="G42" s="173" t="s">
        <v>30</v>
      </c>
      <c r="H42" s="173">
        <v>1</v>
      </c>
      <c r="I42" s="173">
        <f t="shared" ref="I42:I43" si="3">B42</f>
        <v>0.05</v>
      </c>
      <c r="J42" s="173" t="s">
        <v>31</v>
      </c>
      <c r="K42" s="173" t="s">
        <v>31</v>
      </c>
      <c r="L42" s="173" t="s">
        <v>31</v>
      </c>
      <c r="M42" s="173" t="s">
        <v>31</v>
      </c>
      <c r="N42" s="173"/>
      <c r="O42" s="173"/>
      <c r="P42" s="173"/>
      <c r="Q42" s="173"/>
      <c r="R42" s="173"/>
      <c r="S42" s="173">
        <f>0.16/0.25</f>
        <v>0.64</v>
      </c>
      <c r="T42" s="173" t="s">
        <v>985</v>
      </c>
      <c r="U42" s="173"/>
    </row>
    <row r="43" spans="1:21">
      <c r="A43" s="210" t="s">
        <v>1478</v>
      </c>
      <c r="B43" s="270">
        <f>B68</f>
        <v>0.33</v>
      </c>
      <c r="C43" s="173" t="s">
        <v>37</v>
      </c>
      <c r="D43" s="258" t="s">
        <v>2</v>
      </c>
      <c r="E43" s="173" t="s">
        <v>29</v>
      </c>
      <c r="F43" s="185" t="s">
        <v>14</v>
      </c>
      <c r="G43" s="173" t="s">
        <v>33</v>
      </c>
      <c r="H43" s="173">
        <v>1</v>
      </c>
      <c r="I43" s="173">
        <f t="shared" si="3"/>
        <v>0.33</v>
      </c>
      <c r="J43" s="173" t="s">
        <v>31</v>
      </c>
      <c r="K43" s="173" t="s">
        <v>31</v>
      </c>
      <c r="L43" s="173" t="s">
        <v>31</v>
      </c>
      <c r="M43" s="173" t="s">
        <v>31</v>
      </c>
      <c r="N43" s="173"/>
      <c r="O43" s="242"/>
      <c r="P43" s="264"/>
      <c r="Q43" s="173"/>
      <c r="R43" s="173"/>
      <c r="S43" s="173"/>
      <c r="T43" s="173"/>
      <c r="U43" s="173"/>
    </row>
    <row r="44" spans="1:21">
      <c r="A44" s="256" t="s">
        <v>168</v>
      </c>
      <c r="B44" s="184">
        <f>P44</f>
        <v>0.55000000000000004</v>
      </c>
      <c r="C44" s="173" t="s">
        <v>41</v>
      </c>
      <c r="D44" s="173" t="s">
        <v>38</v>
      </c>
      <c r="E44" s="173" t="s">
        <v>29</v>
      </c>
      <c r="F44" s="185" t="s">
        <v>35</v>
      </c>
      <c r="G44" s="173" t="s">
        <v>33</v>
      </c>
      <c r="H44" s="173">
        <v>2</v>
      </c>
      <c r="I44" s="173">
        <f t="shared" ref="I44" si="4">LN(B44)</f>
        <v>-0.59783700075562041</v>
      </c>
      <c r="J44" s="343">
        <v>7.2284161474004766E-2</v>
      </c>
      <c r="K44" s="173" t="s">
        <v>31</v>
      </c>
      <c r="L44" s="173" t="s">
        <v>31</v>
      </c>
      <c r="M44" s="173" t="s">
        <v>31</v>
      </c>
      <c r="N44" s="173"/>
      <c r="O44" s="242" t="s">
        <v>332</v>
      </c>
      <c r="P44" s="296">
        <v>0.55000000000000004</v>
      </c>
      <c r="Q44" s="173"/>
      <c r="R44" s="173"/>
      <c r="S44" s="173"/>
      <c r="T44" s="173"/>
      <c r="U44" s="173"/>
    </row>
    <row r="45" spans="1:21">
      <c r="A45" s="83" t="s">
        <v>1017</v>
      </c>
      <c r="B45" s="173">
        <f>R45</f>
        <v>1.3000000000000001E-2</v>
      </c>
      <c r="C45" s="173" t="s">
        <v>37</v>
      </c>
      <c r="D45" s="173" t="s">
        <v>38</v>
      </c>
      <c r="E45" s="173" t="s">
        <v>29</v>
      </c>
      <c r="F45" s="185" t="s">
        <v>60</v>
      </c>
      <c r="G45" s="173" t="s">
        <v>33</v>
      </c>
      <c r="H45" s="173">
        <v>2</v>
      </c>
      <c r="I45" s="173">
        <f>LN(B45)</f>
        <v>-4.3428059215206005</v>
      </c>
      <c r="J45" s="343">
        <v>7.2284161474004766E-2</v>
      </c>
      <c r="K45" s="173" t="s">
        <v>31</v>
      </c>
      <c r="L45" s="173" t="s">
        <v>31</v>
      </c>
      <c r="M45" s="173" t="s">
        <v>31</v>
      </c>
      <c r="N45" s="173"/>
      <c r="O45" s="242" t="s">
        <v>947</v>
      </c>
      <c r="P45" s="296">
        <v>13</v>
      </c>
      <c r="Q45" s="173" t="s">
        <v>337</v>
      </c>
      <c r="R45" s="173">
        <f>P45*0.001</f>
        <v>1.3000000000000001E-2</v>
      </c>
      <c r="S45" s="173"/>
      <c r="T45" s="173"/>
      <c r="U45" s="173"/>
    </row>
    <row r="46" spans="1:21">
      <c r="A46" s="83" t="s">
        <v>1018</v>
      </c>
      <c r="B46" s="173">
        <f>R46</f>
        <v>2.4E-2</v>
      </c>
      <c r="C46" s="173" t="s">
        <v>37</v>
      </c>
      <c r="D46" s="173" t="s">
        <v>38</v>
      </c>
      <c r="E46" s="173" t="s">
        <v>29</v>
      </c>
      <c r="F46" s="185" t="s">
        <v>35</v>
      </c>
      <c r="G46" s="173" t="s">
        <v>33</v>
      </c>
      <c r="H46" s="173">
        <v>2</v>
      </c>
      <c r="I46" s="173">
        <f>LN(B46)</f>
        <v>-3.7297014486341915</v>
      </c>
      <c r="J46" s="343">
        <v>7.2284161474004766E-2</v>
      </c>
      <c r="K46" s="173" t="s">
        <v>31</v>
      </c>
      <c r="L46" s="173" t="s">
        <v>31</v>
      </c>
      <c r="M46" s="173" t="s">
        <v>31</v>
      </c>
      <c r="N46" s="173"/>
      <c r="O46" s="242" t="s">
        <v>947</v>
      </c>
      <c r="P46" s="296">
        <v>24</v>
      </c>
      <c r="Q46" s="173" t="s">
        <v>337</v>
      </c>
      <c r="R46" s="173">
        <f>P46*0.001</f>
        <v>2.4E-2</v>
      </c>
      <c r="S46" s="173"/>
      <c r="T46" s="173"/>
      <c r="U46" s="173"/>
    </row>
    <row r="47" spans="1:21">
      <c r="A47" s="83" t="s">
        <v>933</v>
      </c>
      <c r="B47" s="173">
        <f>P47</f>
        <v>21</v>
      </c>
      <c r="C47" s="173" t="s">
        <v>37</v>
      </c>
      <c r="D47" s="173" t="s">
        <v>38</v>
      </c>
      <c r="E47" s="173" t="s">
        <v>29</v>
      </c>
      <c r="F47" s="185" t="s">
        <v>39</v>
      </c>
      <c r="G47" s="173" t="s">
        <v>33</v>
      </c>
      <c r="H47" s="173">
        <v>2</v>
      </c>
      <c r="I47" s="173">
        <f>LN(B47)</f>
        <v>3.044522437723423</v>
      </c>
      <c r="J47" s="343">
        <v>7.2284161474004766E-2</v>
      </c>
      <c r="K47" s="173" t="s">
        <v>31</v>
      </c>
      <c r="L47" s="173" t="s">
        <v>31</v>
      </c>
      <c r="M47" s="173" t="s">
        <v>31</v>
      </c>
      <c r="N47" s="173"/>
      <c r="O47" s="242" t="s">
        <v>337</v>
      </c>
      <c r="P47" s="296">
        <v>21</v>
      </c>
      <c r="Q47" s="173"/>
      <c r="R47" s="173"/>
      <c r="S47" s="173"/>
      <c r="T47" s="173"/>
      <c r="U47" s="173"/>
    </row>
    <row r="48" spans="1:21">
      <c r="A48" s="83" t="s">
        <v>489</v>
      </c>
      <c r="B48" s="173">
        <f>R48</f>
        <v>2.1000000000000001E-2</v>
      </c>
      <c r="C48" s="173" t="s">
        <v>50</v>
      </c>
      <c r="D48" s="173" t="s">
        <v>38</v>
      </c>
      <c r="E48" s="173" t="s">
        <v>29</v>
      </c>
      <c r="F48" s="185" t="s">
        <v>39</v>
      </c>
      <c r="G48" s="173" t="s">
        <v>33</v>
      </c>
      <c r="H48" s="173">
        <v>2</v>
      </c>
      <c r="I48" s="173">
        <f t="shared" ref="I48" si="5">LN(B48)</f>
        <v>-3.8632328412587138</v>
      </c>
      <c r="J48" s="343">
        <v>7.2284161474004766E-2</v>
      </c>
      <c r="K48" s="173" t="s">
        <v>31</v>
      </c>
      <c r="L48" s="173" t="s">
        <v>31</v>
      </c>
      <c r="M48" s="173" t="s">
        <v>31</v>
      </c>
      <c r="N48" s="173"/>
      <c r="O48" s="268" t="s">
        <v>1009</v>
      </c>
      <c r="P48" s="306">
        <v>21</v>
      </c>
      <c r="Q48" s="173" t="s">
        <v>335</v>
      </c>
      <c r="R48" s="173">
        <f>P48/1000</f>
        <v>2.1000000000000001E-2</v>
      </c>
      <c r="S48" s="173"/>
      <c r="T48" s="173"/>
      <c r="U48" s="173"/>
    </row>
    <row r="49" spans="1:21">
      <c r="A49" s="254" t="s">
        <v>5</v>
      </c>
      <c r="B49" s="210" t="s">
        <v>1479</v>
      </c>
      <c r="C49" s="211"/>
      <c r="D49" s="188"/>
      <c r="E49" s="188"/>
      <c r="F49" s="188"/>
      <c r="G49" s="188"/>
      <c r="H49" s="188"/>
      <c r="I49" s="188"/>
      <c r="J49" s="188"/>
      <c r="K49" s="188"/>
      <c r="L49" s="188"/>
      <c r="M49" s="188"/>
      <c r="N49" s="188"/>
      <c r="O49" s="188"/>
      <c r="P49" s="188"/>
      <c r="Q49" s="188"/>
      <c r="R49" s="188"/>
      <c r="S49" s="173"/>
      <c r="T49" s="173"/>
      <c r="U49" s="173"/>
    </row>
    <row r="50" spans="1:21">
      <c r="A50" s="256" t="s">
        <v>7</v>
      </c>
      <c r="B50" s="173" t="s">
        <v>566</v>
      </c>
      <c r="C50" s="176"/>
      <c r="D50" s="173"/>
      <c r="E50" s="173"/>
      <c r="F50" s="173"/>
      <c r="G50" s="173"/>
      <c r="H50" s="173"/>
      <c r="I50" s="173"/>
      <c r="J50" s="173"/>
      <c r="K50" s="173"/>
      <c r="L50" s="173"/>
      <c r="M50" s="173"/>
      <c r="N50" s="173"/>
      <c r="O50" s="173"/>
      <c r="P50" s="173"/>
      <c r="Q50" s="173"/>
      <c r="R50" s="173"/>
      <c r="S50" s="173"/>
      <c r="T50" s="173"/>
      <c r="U50" s="173"/>
    </row>
    <row r="51" spans="1:21">
      <c r="A51" s="256" t="s">
        <v>9</v>
      </c>
      <c r="B51" s="173" t="s">
        <v>1480</v>
      </c>
      <c r="C51" s="176"/>
      <c r="D51" s="173"/>
      <c r="E51" s="173"/>
      <c r="F51" s="173"/>
      <c r="G51" s="173"/>
      <c r="H51" s="173"/>
      <c r="I51" s="173"/>
      <c r="J51" s="173"/>
      <c r="K51" s="173"/>
      <c r="L51" s="173"/>
      <c r="M51" s="173"/>
      <c r="N51" s="173"/>
      <c r="O51" s="173"/>
      <c r="P51" s="173"/>
      <c r="Q51" s="173"/>
      <c r="R51" s="173"/>
      <c r="S51" s="173"/>
      <c r="T51" s="173"/>
      <c r="U51" s="173"/>
    </row>
    <row r="52" spans="1:21" ht="10.5" customHeight="1">
      <c r="A52" s="256" t="s">
        <v>11</v>
      </c>
      <c r="B52" s="179" t="s">
        <v>913</v>
      </c>
      <c r="C52" s="173"/>
      <c r="D52" s="173"/>
      <c r="E52" s="173"/>
      <c r="F52" s="173"/>
      <c r="G52" s="173"/>
      <c r="H52" s="173"/>
      <c r="I52" s="173"/>
      <c r="J52" s="173"/>
      <c r="K52" s="173"/>
      <c r="L52" s="173"/>
      <c r="M52" s="173"/>
      <c r="N52" s="173"/>
      <c r="O52" s="173"/>
      <c r="P52" s="173"/>
      <c r="Q52" s="173"/>
      <c r="R52" s="173"/>
      <c r="S52" s="173"/>
      <c r="T52" s="173"/>
      <c r="U52" s="173"/>
    </row>
    <row r="53" spans="1:21">
      <c r="A53" s="256" t="s">
        <v>13</v>
      </c>
      <c r="B53" s="173" t="s">
        <v>14</v>
      </c>
      <c r="C53" s="173"/>
      <c r="D53" s="173"/>
      <c r="E53" s="173"/>
      <c r="F53" s="173"/>
      <c r="G53" s="173"/>
      <c r="H53" s="173"/>
      <c r="I53" s="173"/>
      <c r="J53" s="173"/>
      <c r="K53" s="173"/>
      <c r="L53" s="173"/>
      <c r="M53" s="173"/>
      <c r="N53" s="173"/>
      <c r="O53" s="173"/>
      <c r="P53" s="173"/>
      <c r="Q53" s="173"/>
      <c r="R53" s="173"/>
      <c r="S53" s="173"/>
      <c r="T53" s="173"/>
      <c r="U53" s="173"/>
    </row>
    <row r="54" spans="1:21">
      <c r="A54" s="256" t="s">
        <v>15</v>
      </c>
      <c r="B54" s="270">
        <f>B59</f>
        <v>2.9000000000000001E-2</v>
      </c>
      <c r="C54" s="173"/>
      <c r="D54" s="173"/>
      <c r="E54" s="173"/>
      <c r="F54" s="173"/>
      <c r="G54" s="173"/>
      <c r="H54" s="173"/>
      <c r="I54" s="173"/>
      <c r="J54" s="173"/>
      <c r="K54" s="173"/>
      <c r="L54" s="173"/>
      <c r="M54" s="173"/>
      <c r="N54" s="173"/>
      <c r="O54" s="173"/>
      <c r="P54" s="173"/>
      <c r="Q54" s="173"/>
      <c r="R54" s="173"/>
      <c r="S54" s="173"/>
      <c r="T54" s="173"/>
      <c r="U54" s="173"/>
    </row>
    <row r="55" spans="1:21">
      <c r="A55" s="256" t="s">
        <v>16</v>
      </c>
      <c r="B55" s="173" t="s">
        <v>17</v>
      </c>
      <c r="C55" s="173"/>
      <c r="D55" s="173"/>
      <c r="E55" s="173"/>
      <c r="F55" s="173"/>
      <c r="G55" s="173"/>
      <c r="H55" s="173"/>
      <c r="I55" s="173"/>
      <c r="J55" s="173"/>
      <c r="K55" s="173"/>
      <c r="L55" s="173"/>
      <c r="M55" s="173"/>
      <c r="N55" s="173"/>
      <c r="O55" s="173"/>
      <c r="P55" s="173"/>
      <c r="Q55" s="173"/>
      <c r="R55" s="173"/>
      <c r="S55" s="173"/>
      <c r="T55" s="173"/>
      <c r="U55" s="173"/>
    </row>
    <row r="56" spans="1:21">
      <c r="A56" s="256" t="s">
        <v>18</v>
      </c>
      <c r="B56" s="173" t="s">
        <v>37</v>
      </c>
      <c r="C56" s="173"/>
      <c r="D56" s="173"/>
      <c r="E56" s="173"/>
      <c r="F56" s="173"/>
      <c r="G56" s="173"/>
      <c r="H56" s="173"/>
      <c r="I56" s="173"/>
      <c r="J56" s="173"/>
      <c r="K56" s="173"/>
      <c r="L56" s="173"/>
      <c r="M56" s="173"/>
      <c r="N56" s="173"/>
      <c r="O56" s="173"/>
      <c r="P56" s="173"/>
      <c r="Q56" s="173"/>
      <c r="R56" s="173"/>
      <c r="S56" s="173"/>
      <c r="T56" s="173"/>
      <c r="U56" s="173"/>
    </row>
    <row r="57" spans="1:21">
      <c r="A57" s="257" t="s">
        <v>19</v>
      </c>
      <c r="B57" s="173"/>
      <c r="C57" s="173"/>
      <c r="D57" s="173"/>
      <c r="E57" s="173"/>
      <c r="F57" s="173"/>
      <c r="G57" s="173"/>
      <c r="H57" s="173"/>
      <c r="I57" s="173"/>
      <c r="J57" s="173"/>
      <c r="K57" s="173"/>
      <c r="L57" s="173"/>
      <c r="M57" s="173"/>
      <c r="N57" s="173"/>
      <c r="O57" s="173"/>
      <c r="P57" s="173"/>
      <c r="Q57" s="173"/>
      <c r="R57" s="173"/>
      <c r="S57" s="173"/>
      <c r="T57" s="173"/>
      <c r="U57" s="173"/>
    </row>
    <row r="58" spans="1:21">
      <c r="A58" s="257" t="s">
        <v>20</v>
      </c>
      <c r="B58" s="175" t="s">
        <v>21</v>
      </c>
      <c r="C58" s="175" t="s">
        <v>18</v>
      </c>
      <c r="D58" s="175" t="s">
        <v>22</v>
      </c>
      <c r="E58" s="175" t="s">
        <v>7</v>
      </c>
      <c r="F58" s="175" t="s">
        <v>13</v>
      </c>
      <c r="G58" s="175" t="s">
        <v>16</v>
      </c>
      <c r="H58" s="175" t="s">
        <v>23</v>
      </c>
      <c r="I58" s="175" t="s">
        <v>24</v>
      </c>
      <c r="J58" s="175" t="s">
        <v>25</v>
      </c>
      <c r="K58" s="175" t="s">
        <v>26</v>
      </c>
      <c r="L58" s="175" t="s">
        <v>27</v>
      </c>
      <c r="M58" s="175" t="s">
        <v>28</v>
      </c>
      <c r="N58" s="175" t="s">
        <v>11</v>
      </c>
      <c r="O58" s="173"/>
      <c r="P58" s="173"/>
      <c r="Q58" s="173"/>
      <c r="R58" s="173"/>
      <c r="S58" s="173"/>
      <c r="T58" s="173"/>
      <c r="U58" s="173"/>
    </row>
    <row r="59" spans="1:21">
      <c r="A59" s="178" t="s">
        <v>1479</v>
      </c>
      <c r="B59" s="270">
        <v>2.9000000000000001E-2</v>
      </c>
      <c r="C59" s="173" t="s">
        <v>37</v>
      </c>
      <c r="D59" s="258" t="s">
        <v>2</v>
      </c>
      <c r="E59" s="173" t="s">
        <v>29</v>
      </c>
      <c r="F59" s="185" t="s">
        <v>14</v>
      </c>
      <c r="G59" s="173" t="s">
        <v>30</v>
      </c>
      <c r="H59" s="173">
        <v>1</v>
      </c>
      <c r="I59" s="173">
        <f>B59</f>
        <v>2.9000000000000001E-2</v>
      </c>
      <c r="J59" s="173" t="s">
        <v>31</v>
      </c>
      <c r="K59" s="173" t="s">
        <v>31</v>
      </c>
      <c r="L59" s="173" t="s">
        <v>31</v>
      </c>
      <c r="M59" s="173" t="s">
        <v>31</v>
      </c>
      <c r="N59" s="173"/>
      <c r="O59" s="271"/>
      <c r="P59" s="272"/>
      <c r="Q59" s="173"/>
      <c r="R59" s="173"/>
      <c r="S59" s="173"/>
      <c r="T59" s="173"/>
      <c r="U59" s="173"/>
    </row>
    <row r="60" spans="1:21">
      <c r="A60" s="83" t="s">
        <v>1021</v>
      </c>
      <c r="B60" s="184">
        <f>R60</f>
        <v>0.03</v>
      </c>
      <c r="C60" s="173" t="s">
        <v>37</v>
      </c>
      <c r="D60" s="173" t="s">
        <v>38</v>
      </c>
      <c r="E60" s="173" t="s">
        <v>29</v>
      </c>
      <c r="F60" s="185" t="s">
        <v>60</v>
      </c>
      <c r="G60" s="173" t="s">
        <v>33</v>
      </c>
      <c r="H60" s="173">
        <v>2</v>
      </c>
      <c r="I60" s="173">
        <f>LN(B60)</f>
        <v>-3.5065578973199818</v>
      </c>
      <c r="J60" s="173">
        <v>7.2284161474004766E-2</v>
      </c>
      <c r="K60" s="173" t="s">
        <v>31</v>
      </c>
      <c r="L60" s="173" t="s">
        <v>31</v>
      </c>
      <c r="M60" s="173" t="s">
        <v>31</v>
      </c>
      <c r="N60" s="173"/>
      <c r="O60" s="242" t="s">
        <v>947</v>
      </c>
      <c r="P60" s="296">
        <v>30</v>
      </c>
      <c r="Q60" s="173" t="s">
        <v>337</v>
      </c>
      <c r="R60" s="173">
        <f>P60*0.001</f>
        <v>0.03</v>
      </c>
      <c r="S60" s="173"/>
      <c r="T60" s="173"/>
      <c r="U60" s="173"/>
    </row>
    <row r="61" spans="1:21">
      <c r="A61" s="256" t="s">
        <v>168</v>
      </c>
      <c r="B61" s="184">
        <f>P61</f>
        <v>0.14000000000000001</v>
      </c>
      <c r="C61" s="173" t="s">
        <v>41</v>
      </c>
      <c r="D61" s="173" t="s">
        <v>38</v>
      </c>
      <c r="E61" s="173" t="s">
        <v>29</v>
      </c>
      <c r="F61" s="185" t="s">
        <v>35</v>
      </c>
      <c r="G61" s="173" t="s">
        <v>33</v>
      </c>
      <c r="H61" s="173">
        <v>2</v>
      </c>
      <c r="I61" s="173">
        <f t="shared" ref="I61:I62" si="6">LN(B61)</f>
        <v>-1.9661128563728327</v>
      </c>
      <c r="J61" s="173">
        <v>7.2284161474004766E-2</v>
      </c>
      <c r="K61" s="173" t="s">
        <v>31</v>
      </c>
      <c r="L61" s="173" t="s">
        <v>31</v>
      </c>
      <c r="M61" s="173" t="s">
        <v>31</v>
      </c>
      <c r="N61" s="173"/>
      <c r="O61" s="242" t="s">
        <v>332</v>
      </c>
      <c r="P61" s="296">
        <v>0.14000000000000001</v>
      </c>
      <c r="Q61" s="173"/>
      <c r="R61" s="173"/>
      <c r="S61" s="173"/>
      <c r="T61" s="173"/>
      <c r="U61" s="173"/>
    </row>
    <row r="62" spans="1:21">
      <c r="A62" s="178" t="s">
        <v>1287</v>
      </c>
      <c r="B62" s="173">
        <v>2E-3</v>
      </c>
      <c r="C62" s="173" t="s">
        <v>37</v>
      </c>
      <c r="D62" s="258" t="s">
        <v>2</v>
      </c>
      <c r="E62" s="173" t="s">
        <v>29</v>
      </c>
      <c r="F62" s="185" t="s">
        <v>39</v>
      </c>
      <c r="G62" s="173" t="s">
        <v>33</v>
      </c>
      <c r="H62" s="173">
        <v>2</v>
      </c>
      <c r="I62" s="173">
        <f t="shared" si="6"/>
        <v>-6.2146080984221914</v>
      </c>
      <c r="J62" s="173">
        <v>7.2284161474004766E-2</v>
      </c>
      <c r="K62" s="173" t="s">
        <v>31</v>
      </c>
      <c r="L62" s="173" t="s">
        <v>31</v>
      </c>
      <c r="M62" s="173" t="s">
        <v>31</v>
      </c>
      <c r="N62" s="173"/>
      <c r="O62" s="173"/>
      <c r="P62" s="173"/>
      <c r="Q62" s="173"/>
      <c r="R62" s="173"/>
      <c r="S62" s="173"/>
      <c r="T62" s="173"/>
      <c r="U62" s="173"/>
    </row>
    <row r="63" spans="1:21" s="17" customFormat="1" ht="15.75">
      <c r="A63" s="254" t="s">
        <v>5</v>
      </c>
      <c r="B63" s="210" t="s">
        <v>1478</v>
      </c>
      <c r="C63" s="211"/>
      <c r="D63" s="188"/>
      <c r="E63" s="188"/>
      <c r="F63" s="188"/>
      <c r="G63" s="188"/>
      <c r="H63" s="188"/>
      <c r="I63" s="188"/>
      <c r="J63" s="188"/>
      <c r="K63" s="188"/>
      <c r="L63" s="188"/>
      <c r="M63" s="188"/>
      <c r="N63" s="188"/>
      <c r="O63" s="273"/>
      <c r="P63" s="273"/>
      <c r="Q63" s="273"/>
      <c r="R63" s="273"/>
    </row>
    <row r="64" spans="1:21" s="17" customFormat="1" ht="15.75">
      <c r="A64" s="256" t="s">
        <v>7</v>
      </c>
      <c r="B64" s="173" t="s">
        <v>566</v>
      </c>
      <c r="C64" s="176"/>
      <c r="D64" s="173"/>
      <c r="E64" s="173"/>
      <c r="F64" s="173"/>
      <c r="G64" s="173"/>
      <c r="H64" s="173"/>
      <c r="I64" s="173"/>
      <c r="J64" s="173"/>
      <c r="K64" s="173"/>
      <c r="L64" s="173"/>
      <c r="M64" s="173"/>
      <c r="N64" s="173"/>
    </row>
    <row r="65" spans="1:16" s="17" customFormat="1" ht="15.75">
      <c r="A65" s="256" t="s">
        <v>9</v>
      </c>
      <c r="B65" s="173" t="s">
        <v>1481</v>
      </c>
      <c r="C65" s="176"/>
      <c r="D65" s="173"/>
      <c r="E65" s="173"/>
      <c r="F65" s="173"/>
      <c r="G65" s="173"/>
      <c r="H65" s="173"/>
      <c r="I65" s="173"/>
      <c r="J65" s="173"/>
      <c r="K65" s="173"/>
      <c r="L65" s="173"/>
      <c r="M65" s="173"/>
      <c r="N65" s="173"/>
    </row>
    <row r="66" spans="1:16" s="17" customFormat="1" ht="10.5" customHeight="1">
      <c r="A66" s="256" t="s">
        <v>11</v>
      </c>
      <c r="B66" s="179" t="s">
        <v>913</v>
      </c>
      <c r="C66" s="173"/>
      <c r="D66" s="173"/>
      <c r="E66" s="173"/>
      <c r="F66" s="173"/>
      <c r="G66" s="173"/>
      <c r="H66" s="173"/>
      <c r="I66" s="173"/>
      <c r="J66" s="173"/>
      <c r="K66" s="173"/>
      <c r="L66" s="173"/>
      <c r="M66" s="173"/>
      <c r="N66" s="173"/>
    </row>
    <row r="67" spans="1:16" s="17" customFormat="1" ht="15.75">
      <c r="A67" s="256" t="s">
        <v>13</v>
      </c>
      <c r="B67" s="173" t="s">
        <v>14</v>
      </c>
      <c r="C67" s="173"/>
      <c r="D67" s="173"/>
      <c r="E67" s="173"/>
      <c r="F67" s="173"/>
      <c r="G67" s="173"/>
      <c r="H67" s="173"/>
      <c r="I67" s="173"/>
      <c r="J67" s="173"/>
      <c r="K67" s="173"/>
      <c r="L67" s="173"/>
      <c r="M67" s="173"/>
      <c r="N67" s="173"/>
    </row>
    <row r="68" spans="1:16" s="17" customFormat="1" ht="15.75">
      <c r="A68" s="256" t="s">
        <v>15</v>
      </c>
      <c r="B68" s="191">
        <f>B73</f>
        <v>0.33</v>
      </c>
      <c r="C68" s="173"/>
      <c r="D68" s="173"/>
      <c r="E68" s="173"/>
      <c r="F68" s="173"/>
      <c r="G68" s="173"/>
      <c r="H68" s="173"/>
      <c r="I68" s="173"/>
      <c r="J68" s="173"/>
      <c r="K68" s="173"/>
      <c r="L68" s="173"/>
      <c r="M68" s="173"/>
      <c r="N68" s="173"/>
    </row>
    <row r="69" spans="1:16" s="17" customFormat="1" ht="15.75">
      <c r="A69" s="256" t="s">
        <v>16</v>
      </c>
      <c r="B69" s="173" t="s">
        <v>17</v>
      </c>
      <c r="C69" s="173"/>
      <c r="D69" s="173"/>
      <c r="E69" s="173"/>
      <c r="F69" s="173"/>
      <c r="G69" s="173"/>
      <c r="H69" s="173"/>
      <c r="I69" s="173"/>
      <c r="J69" s="173"/>
      <c r="K69" s="173"/>
      <c r="L69" s="173"/>
      <c r="M69" s="173"/>
      <c r="N69" s="173"/>
    </row>
    <row r="70" spans="1:16" s="17" customFormat="1" ht="15.75">
      <c r="A70" s="256" t="s">
        <v>18</v>
      </c>
      <c r="B70" s="173" t="s">
        <v>37</v>
      </c>
      <c r="C70" s="173"/>
      <c r="D70" s="173"/>
      <c r="E70" s="173"/>
      <c r="F70" s="173"/>
      <c r="G70" s="173"/>
      <c r="H70" s="173"/>
      <c r="I70" s="173"/>
      <c r="J70" s="173"/>
      <c r="K70" s="173"/>
      <c r="L70" s="173"/>
      <c r="M70" s="173"/>
      <c r="N70" s="173"/>
    </row>
    <row r="71" spans="1:16" s="17" customFormat="1" ht="15.75">
      <c r="A71" s="257" t="s">
        <v>19</v>
      </c>
      <c r="B71" s="173"/>
      <c r="C71" s="173"/>
      <c r="D71" s="173"/>
      <c r="E71" s="173"/>
      <c r="F71" s="173"/>
      <c r="G71" s="173"/>
      <c r="H71" s="173"/>
      <c r="I71" s="173"/>
      <c r="J71" s="173"/>
      <c r="K71" s="173"/>
      <c r="L71" s="173"/>
      <c r="M71" s="173"/>
      <c r="N71" s="173"/>
    </row>
    <row r="72" spans="1:16" s="17" customFormat="1" ht="15.75">
      <c r="A72" s="257" t="s">
        <v>20</v>
      </c>
      <c r="B72" s="175" t="s">
        <v>21</v>
      </c>
      <c r="C72" s="175" t="s">
        <v>18</v>
      </c>
      <c r="D72" s="175" t="s">
        <v>22</v>
      </c>
      <c r="E72" s="175" t="s">
        <v>7</v>
      </c>
      <c r="F72" s="175" t="s">
        <v>13</v>
      </c>
      <c r="G72" s="175" t="s">
        <v>16</v>
      </c>
      <c r="H72" s="175" t="s">
        <v>23</v>
      </c>
      <c r="I72" s="175" t="s">
        <v>24</v>
      </c>
      <c r="J72" s="175" t="s">
        <v>25</v>
      </c>
      <c r="K72" s="175" t="s">
        <v>26</v>
      </c>
      <c r="L72" s="175" t="s">
        <v>27</v>
      </c>
      <c r="M72" s="175" t="s">
        <v>28</v>
      </c>
      <c r="N72" s="175" t="s">
        <v>11</v>
      </c>
    </row>
    <row r="73" spans="1:16" s="17" customFormat="1" ht="15.75">
      <c r="A73" s="178" t="s">
        <v>1478</v>
      </c>
      <c r="B73" s="184">
        <v>0.33</v>
      </c>
      <c r="C73" s="173" t="s">
        <v>37</v>
      </c>
      <c r="D73" s="258" t="s">
        <v>2</v>
      </c>
      <c r="E73" s="173" t="s">
        <v>29</v>
      </c>
      <c r="F73" s="185" t="s">
        <v>14</v>
      </c>
      <c r="G73" s="173" t="s">
        <v>30</v>
      </c>
      <c r="H73" s="173">
        <v>1</v>
      </c>
      <c r="I73" s="191">
        <f>B73</f>
        <v>0.33</v>
      </c>
      <c r="J73" s="173" t="s">
        <v>31</v>
      </c>
      <c r="K73" s="173" t="s">
        <v>31</v>
      </c>
      <c r="L73" s="173" t="s">
        <v>31</v>
      </c>
      <c r="M73" s="173" t="s">
        <v>31</v>
      </c>
      <c r="N73" s="173"/>
      <c r="O73" s="274"/>
      <c r="P73" s="275"/>
    </row>
    <row r="74" spans="1:16" s="17" customFormat="1" ht="15.75">
      <c r="A74" s="83" t="s">
        <v>137</v>
      </c>
      <c r="B74" s="184">
        <v>0.33</v>
      </c>
      <c r="C74" s="173" t="s">
        <v>37</v>
      </c>
      <c r="D74" s="173" t="s">
        <v>38</v>
      </c>
      <c r="E74" s="173" t="s">
        <v>29</v>
      </c>
      <c r="F74" s="185" t="s">
        <v>60</v>
      </c>
      <c r="G74" s="173" t="s">
        <v>33</v>
      </c>
      <c r="H74" s="173">
        <v>1</v>
      </c>
      <c r="I74" s="191">
        <f t="shared" ref="I74:I75" si="7">B74</f>
        <v>0.33</v>
      </c>
      <c r="J74" s="173" t="s">
        <v>31</v>
      </c>
      <c r="K74" s="173" t="s">
        <v>31</v>
      </c>
      <c r="L74" s="173" t="s">
        <v>31</v>
      </c>
      <c r="M74" s="173" t="s">
        <v>31</v>
      </c>
      <c r="N74" s="173"/>
      <c r="O74" s="274"/>
      <c r="P74" s="275"/>
    </row>
    <row r="75" spans="1:16" s="17" customFormat="1" ht="15.75">
      <c r="A75" s="83" t="s">
        <v>914</v>
      </c>
      <c r="B75" s="184">
        <v>0.33</v>
      </c>
      <c r="C75" s="173" t="s">
        <v>37</v>
      </c>
      <c r="D75" s="173" t="s">
        <v>38</v>
      </c>
      <c r="E75" s="173" t="s">
        <v>29</v>
      </c>
      <c r="F75" s="185" t="s">
        <v>60</v>
      </c>
      <c r="G75" s="173" t="s">
        <v>33</v>
      </c>
      <c r="H75" s="173">
        <v>1</v>
      </c>
      <c r="I75" s="191">
        <f t="shared" si="7"/>
        <v>0.33</v>
      </c>
      <c r="J75" s="173" t="s">
        <v>31</v>
      </c>
      <c r="K75" s="173" t="s">
        <v>31</v>
      </c>
      <c r="L75" s="173" t="s">
        <v>31</v>
      </c>
      <c r="M75" s="173" t="s">
        <v>31</v>
      </c>
      <c r="N75" s="173"/>
      <c r="O75" s="274"/>
      <c r="P75" s="275"/>
    </row>
    <row r="76" spans="1:16" s="273" customFormat="1" ht="15.75">
      <c r="A76" s="209" t="s">
        <v>5</v>
      </c>
      <c r="B76" s="210" t="s">
        <v>1482</v>
      </c>
      <c r="C76" s="211"/>
      <c r="D76" s="188"/>
      <c r="E76" s="188"/>
      <c r="F76" s="188"/>
      <c r="G76" s="188"/>
      <c r="H76" s="188"/>
      <c r="I76" s="188"/>
      <c r="J76" s="188"/>
      <c r="K76" s="188"/>
      <c r="L76" s="188"/>
      <c r="M76" s="188"/>
      <c r="N76" s="188"/>
    </row>
    <row r="77" spans="1:16" s="17" customFormat="1" ht="15.75">
      <c r="A77" s="177" t="s">
        <v>7</v>
      </c>
      <c r="B77" s="173" t="s">
        <v>566</v>
      </c>
      <c r="C77" s="176"/>
      <c r="D77" s="173"/>
      <c r="E77" s="173"/>
      <c r="F77" s="173"/>
      <c r="G77" s="173"/>
      <c r="H77" s="173"/>
      <c r="I77" s="173"/>
      <c r="J77" s="173"/>
      <c r="K77" s="173"/>
      <c r="L77" s="173"/>
      <c r="M77" s="173"/>
      <c r="N77" s="173"/>
    </row>
    <row r="78" spans="1:16" s="17" customFormat="1" ht="15.75">
      <c r="A78" s="276" t="s">
        <v>9</v>
      </c>
      <c r="B78" s="173" t="s">
        <v>1483</v>
      </c>
      <c r="C78" s="176"/>
      <c r="D78" s="173"/>
      <c r="E78" s="173"/>
      <c r="F78" s="173"/>
      <c r="G78" s="173"/>
      <c r="H78" s="173"/>
      <c r="I78" s="173"/>
      <c r="J78" s="173"/>
      <c r="K78" s="173"/>
      <c r="L78" s="173"/>
      <c r="M78" s="173"/>
      <c r="N78" s="173"/>
    </row>
    <row r="79" spans="1:16" s="17" customFormat="1" ht="15.75" customHeight="1">
      <c r="A79" s="177" t="s">
        <v>11</v>
      </c>
      <c r="B79" s="179" t="s">
        <v>913</v>
      </c>
      <c r="C79" s="173"/>
      <c r="D79" s="173"/>
      <c r="E79" s="173"/>
      <c r="F79" s="173"/>
      <c r="G79" s="173"/>
      <c r="H79" s="173"/>
      <c r="I79" s="173"/>
      <c r="J79" s="173"/>
      <c r="K79" s="173"/>
      <c r="L79" s="173"/>
      <c r="M79" s="173"/>
      <c r="N79" s="173"/>
    </row>
    <row r="80" spans="1:16" s="17" customFormat="1" ht="15.75">
      <c r="A80" s="177" t="s">
        <v>13</v>
      </c>
      <c r="B80" s="173" t="s">
        <v>14</v>
      </c>
      <c r="C80" s="173"/>
      <c r="D80" s="173"/>
      <c r="E80" s="173"/>
      <c r="F80" s="173"/>
      <c r="G80" s="173"/>
      <c r="H80" s="173"/>
      <c r="I80" s="173"/>
      <c r="J80" s="173"/>
      <c r="K80" s="173"/>
      <c r="L80" s="173"/>
      <c r="M80" s="173"/>
      <c r="N80" s="173"/>
    </row>
    <row r="81" spans="1:19" s="17" customFormat="1" ht="15.75">
      <c r="A81" s="177" t="s">
        <v>15</v>
      </c>
      <c r="B81" s="277">
        <f>B86</f>
        <v>9.18</v>
      </c>
      <c r="C81" s="173"/>
      <c r="D81" s="173"/>
      <c r="E81" s="173"/>
      <c r="F81" s="173"/>
      <c r="G81" s="173"/>
      <c r="H81" s="173"/>
      <c r="I81" s="173"/>
      <c r="J81" s="173"/>
      <c r="K81" s="173"/>
      <c r="L81" s="173"/>
      <c r="M81" s="173"/>
      <c r="N81" s="173"/>
    </row>
    <row r="82" spans="1:19" s="17" customFormat="1" ht="15.75">
      <c r="A82" s="177" t="s">
        <v>16</v>
      </c>
      <c r="B82" s="173" t="s">
        <v>17</v>
      </c>
      <c r="C82" s="173"/>
      <c r="D82" s="173"/>
      <c r="E82" s="173"/>
      <c r="F82" s="173"/>
      <c r="G82" s="173"/>
      <c r="H82" s="173"/>
      <c r="I82" s="173"/>
      <c r="J82" s="173"/>
      <c r="K82" s="173"/>
      <c r="L82" s="173"/>
      <c r="M82" s="173"/>
      <c r="N82" s="173"/>
    </row>
    <row r="83" spans="1:19" s="17" customFormat="1" ht="15.75">
      <c r="A83" s="177" t="s">
        <v>18</v>
      </c>
      <c r="B83" s="173" t="s">
        <v>37</v>
      </c>
      <c r="C83" s="173"/>
      <c r="D83" s="173"/>
      <c r="E83" s="173"/>
      <c r="F83" s="173"/>
      <c r="G83" s="173"/>
      <c r="H83" s="173"/>
      <c r="I83" s="173"/>
      <c r="J83" s="173"/>
      <c r="K83" s="173"/>
      <c r="L83" s="173"/>
      <c r="M83" s="173"/>
      <c r="N83" s="173"/>
      <c r="S83" s="278"/>
    </row>
    <row r="84" spans="1:19" s="17" customFormat="1" ht="15.75">
      <c r="A84" s="174" t="s">
        <v>19</v>
      </c>
      <c r="B84" s="173"/>
      <c r="C84" s="173"/>
      <c r="D84" s="173"/>
      <c r="E84" s="173"/>
      <c r="F84" s="173"/>
      <c r="G84" s="173"/>
      <c r="H84" s="173"/>
      <c r="I84" s="173"/>
      <c r="J84" s="173"/>
      <c r="K84" s="173"/>
      <c r="L84" s="173"/>
      <c r="M84" s="173"/>
      <c r="N84" s="173"/>
    </row>
    <row r="85" spans="1:19" s="17" customFormat="1" ht="15.75">
      <c r="A85" s="175" t="s">
        <v>20</v>
      </c>
      <c r="B85" s="175" t="s">
        <v>21</v>
      </c>
      <c r="C85" s="175" t="s">
        <v>18</v>
      </c>
      <c r="D85" s="175" t="s">
        <v>22</v>
      </c>
      <c r="E85" s="175" t="s">
        <v>7</v>
      </c>
      <c r="F85" s="175" t="s">
        <v>13</v>
      </c>
      <c r="G85" s="175" t="s">
        <v>16</v>
      </c>
      <c r="H85" s="175" t="s">
        <v>23</v>
      </c>
      <c r="I85" s="175" t="s">
        <v>24</v>
      </c>
      <c r="J85" s="175" t="s">
        <v>25</v>
      </c>
      <c r="K85" s="175" t="s">
        <v>26</v>
      </c>
      <c r="L85" s="175" t="s">
        <v>27</v>
      </c>
      <c r="M85" s="175" t="s">
        <v>28</v>
      </c>
      <c r="N85" s="175" t="s">
        <v>11</v>
      </c>
    </row>
    <row r="86" spans="1:19" s="17" customFormat="1" ht="15.75">
      <c r="A86" s="173" t="s">
        <v>1482</v>
      </c>
      <c r="B86" s="191">
        <v>9.18</v>
      </c>
      <c r="C86" s="173" t="s">
        <v>37</v>
      </c>
      <c r="D86" s="258" t="s">
        <v>2</v>
      </c>
      <c r="E86" s="173" t="s">
        <v>29</v>
      </c>
      <c r="F86" s="173" t="s">
        <v>14</v>
      </c>
      <c r="G86" s="173" t="s">
        <v>917</v>
      </c>
      <c r="H86" s="173">
        <v>1</v>
      </c>
      <c r="I86" s="191">
        <f>B86</f>
        <v>9.18</v>
      </c>
      <c r="J86" s="173" t="s">
        <v>31</v>
      </c>
      <c r="K86" s="173" t="s">
        <v>31</v>
      </c>
      <c r="L86" s="173" t="s">
        <v>31</v>
      </c>
      <c r="M86" s="173" t="s">
        <v>31</v>
      </c>
      <c r="N86" s="173"/>
      <c r="O86" s="274"/>
      <c r="P86" s="275"/>
    </row>
    <row r="87" spans="1:19" s="17" customFormat="1" ht="15.75">
      <c r="A87" s="232" t="s">
        <v>918</v>
      </c>
      <c r="B87" s="191">
        <v>9.18</v>
      </c>
      <c r="C87" s="173" t="s">
        <v>37</v>
      </c>
      <c r="D87" s="173" t="s">
        <v>38</v>
      </c>
      <c r="E87" s="173" t="s">
        <v>29</v>
      </c>
      <c r="F87" s="185" t="s">
        <v>60</v>
      </c>
      <c r="G87" s="173" t="s">
        <v>33</v>
      </c>
      <c r="H87" s="173">
        <v>1</v>
      </c>
      <c r="I87" s="191">
        <f t="shared" ref="I87:I89" si="8">B87</f>
        <v>9.18</v>
      </c>
      <c r="J87" s="173" t="s">
        <v>31</v>
      </c>
      <c r="K87" s="173" t="s">
        <v>31</v>
      </c>
      <c r="L87" s="173" t="s">
        <v>31</v>
      </c>
      <c r="M87" s="173" t="s">
        <v>31</v>
      </c>
      <c r="N87" s="173"/>
      <c r="O87" s="274"/>
      <c r="P87" s="275"/>
    </row>
    <row r="88" spans="1:19" s="17" customFormat="1" ht="15.75">
      <c r="A88" s="232" t="s">
        <v>919</v>
      </c>
      <c r="B88" s="191">
        <v>9.18</v>
      </c>
      <c r="C88" s="173" t="s">
        <v>37</v>
      </c>
      <c r="D88" s="173" t="s">
        <v>38</v>
      </c>
      <c r="E88" s="173" t="s">
        <v>29</v>
      </c>
      <c r="F88" s="185" t="s">
        <v>60</v>
      </c>
      <c r="G88" s="173" t="s">
        <v>33</v>
      </c>
      <c r="H88" s="173">
        <v>1</v>
      </c>
      <c r="I88" s="191">
        <f t="shared" si="8"/>
        <v>9.18</v>
      </c>
      <c r="J88" s="173" t="s">
        <v>31</v>
      </c>
      <c r="K88" s="173" t="s">
        <v>31</v>
      </c>
      <c r="L88" s="173" t="s">
        <v>31</v>
      </c>
      <c r="M88" s="173" t="s">
        <v>31</v>
      </c>
      <c r="N88" s="173"/>
      <c r="O88" s="274"/>
      <c r="P88" s="275"/>
    </row>
    <row r="89" spans="1:19" s="17" customFormat="1" ht="15.75">
      <c r="A89" s="232" t="s">
        <v>920</v>
      </c>
      <c r="B89" s="191">
        <v>9.18</v>
      </c>
      <c r="C89" s="173" t="s">
        <v>37</v>
      </c>
      <c r="D89" s="173" t="s">
        <v>38</v>
      </c>
      <c r="E89" s="173" t="s">
        <v>29</v>
      </c>
      <c r="F89" s="185" t="s">
        <v>35</v>
      </c>
      <c r="G89" s="173" t="s">
        <v>33</v>
      </c>
      <c r="H89" s="173">
        <v>1</v>
      </c>
      <c r="I89" s="191">
        <f t="shared" si="8"/>
        <v>9.18</v>
      </c>
      <c r="J89" s="173" t="s">
        <v>31</v>
      </c>
      <c r="K89" s="173" t="s">
        <v>31</v>
      </c>
      <c r="L89" s="173" t="s">
        <v>31</v>
      </c>
      <c r="M89" s="173" t="s">
        <v>31</v>
      </c>
      <c r="N89" s="173"/>
      <c r="O89" s="274"/>
      <c r="P89" s="275"/>
    </row>
    <row r="90" spans="1:19" s="17" customFormat="1" ht="15.75">
      <c r="A90" s="209" t="s">
        <v>5</v>
      </c>
      <c r="B90" s="210" t="s">
        <v>1468</v>
      </c>
      <c r="C90" s="211"/>
      <c r="D90" s="188"/>
      <c r="E90" s="188"/>
      <c r="F90" s="188"/>
      <c r="G90" s="188"/>
      <c r="H90" s="188"/>
      <c r="I90" s="188"/>
      <c r="J90" s="188"/>
      <c r="K90" s="188"/>
      <c r="L90" s="188"/>
      <c r="M90" s="188"/>
      <c r="N90" s="173"/>
    </row>
    <row r="91" spans="1:19" s="17" customFormat="1" ht="15.75">
      <c r="A91" s="177" t="s">
        <v>7</v>
      </c>
      <c r="B91" s="173" t="s">
        <v>566</v>
      </c>
      <c r="C91" s="176"/>
      <c r="D91" s="173"/>
      <c r="E91" s="173"/>
      <c r="F91" s="173"/>
      <c r="G91" s="173"/>
      <c r="H91" s="173"/>
      <c r="I91" s="173"/>
      <c r="J91" s="173"/>
      <c r="K91" s="173"/>
      <c r="L91" s="173"/>
      <c r="M91" s="173"/>
      <c r="N91" s="173"/>
    </row>
    <row r="92" spans="1:19" s="17" customFormat="1" ht="15.75">
      <c r="A92" s="177" t="s">
        <v>9</v>
      </c>
      <c r="B92" s="178" t="s">
        <v>1484</v>
      </c>
      <c r="C92" s="176"/>
      <c r="D92" s="173"/>
      <c r="E92" s="173"/>
      <c r="F92" s="173"/>
      <c r="G92" s="173"/>
      <c r="H92" s="173"/>
      <c r="I92" s="173"/>
      <c r="J92" s="173"/>
      <c r="K92" s="173"/>
      <c r="L92" s="173"/>
      <c r="M92" s="173"/>
      <c r="N92" s="173"/>
    </row>
    <row r="93" spans="1:19" s="17" customFormat="1" ht="15.75">
      <c r="A93" s="177" t="s">
        <v>11</v>
      </c>
      <c r="B93" s="179" t="s">
        <v>906</v>
      </c>
      <c r="C93" s="173"/>
      <c r="D93" s="173"/>
      <c r="E93" s="173"/>
      <c r="F93" s="173"/>
      <c r="G93" s="173"/>
      <c r="H93" s="173"/>
      <c r="I93" s="173"/>
      <c r="J93" s="173"/>
      <c r="K93" s="173"/>
      <c r="L93" s="173"/>
      <c r="M93" s="173"/>
      <c r="N93" s="173"/>
    </row>
    <row r="94" spans="1:19" s="17" customFormat="1" ht="15.75">
      <c r="A94" s="177" t="s">
        <v>13</v>
      </c>
      <c r="B94" s="185" t="s">
        <v>14</v>
      </c>
      <c r="C94" s="173"/>
      <c r="D94" s="173"/>
      <c r="E94" s="173"/>
      <c r="F94" s="173"/>
      <c r="G94" s="173"/>
      <c r="H94" s="173"/>
      <c r="I94" s="173"/>
      <c r="J94" s="173"/>
      <c r="K94" s="173"/>
      <c r="L94" s="173"/>
      <c r="M94" s="173"/>
      <c r="N94" s="173"/>
    </row>
    <row r="95" spans="1:19" s="17" customFormat="1" ht="15.75">
      <c r="A95" s="177" t="s">
        <v>15</v>
      </c>
      <c r="B95" s="173">
        <f>B100</f>
        <v>9.18</v>
      </c>
      <c r="C95" s="173"/>
      <c r="D95" s="173"/>
      <c r="E95" s="173"/>
      <c r="F95" s="173"/>
      <c r="G95" s="173"/>
      <c r="H95" s="173"/>
      <c r="I95" s="173"/>
      <c r="J95" s="173"/>
      <c r="K95" s="173"/>
      <c r="L95" s="173"/>
      <c r="M95" s="173"/>
      <c r="N95" s="173"/>
    </row>
    <row r="96" spans="1:19" s="17" customFormat="1" ht="15.75">
      <c r="A96" s="177" t="s">
        <v>16</v>
      </c>
      <c r="B96" s="173" t="s">
        <v>17</v>
      </c>
      <c r="C96" s="173"/>
      <c r="D96" s="173"/>
      <c r="E96" s="173"/>
      <c r="F96" s="173"/>
      <c r="G96" s="173"/>
      <c r="H96" s="173"/>
      <c r="I96" s="173"/>
      <c r="J96" s="173"/>
      <c r="K96" s="173"/>
      <c r="L96" s="173"/>
      <c r="M96" s="173"/>
      <c r="N96" s="173"/>
    </row>
    <row r="97" spans="1:14" s="17" customFormat="1" ht="15.75">
      <c r="A97" s="177" t="s">
        <v>18</v>
      </c>
      <c r="B97" s="173" t="s">
        <v>37</v>
      </c>
      <c r="C97" s="173"/>
      <c r="D97" s="173"/>
      <c r="E97" s="173"/>
      <c r="F97" s="173"/>
      <c r="G97" s="173"/>
      <c r="H97" s="173"/>
      <c r="I97" s="173"/>
      <c r="J97" s="173"/>
      <c r="K97" s="173"/>
      <c r="L97" s="173"/>
      <c r="M97" s="173"/>
      <c r="N97" s="173"/>
    </row>
    <row r="98" spans="1:14" s="17" customFormat="1" ht="15.75">
      <c r="A98" s="174" t="s">
        <v>19</v>
      </c>
      <c r="B98" s="173"/>
      <c r="C98" s="173"/>
      <c r="D98" s="173"/>
      <c r="E98" s="173"/>
      <c r="F98" s="173"/>
      <c r="G98" s="173"/>
      <c r="H98" s="173"/>
      <c r="I98" s="173"/>
      <c r="J98" s="173"/>
      <c r="K98" s="173"/>
      <c r="L98" s="173"/>
      <c r="M98" s="173"/>
      <c r="N98" s="173"/>
    </row>
    <row r="99" spans="1:14" s="17" customFormat="1" ht="15.75">
      <c r="A99" s="174" t="s">
        <v>20</v>
      </c>
      <c r="B99" s="175" t="s">
        <v>21</v>
      </c>
      <c r="C99" s="175" t="s">
        <v>18</v>
      </c>
      <c r="D99" s="175" t="s">
        <v>22</v>
      </c>
      <c r="E99" s="175" t="s">
        <v>7</v>
      </c>
      <c r="F99" s="175" t="s">
        <v>13</v>
      </c>
      <c r="G99" s="175" t="s">
        <v>16</v>
      </c>
      <c r="H99" s="175" t="s">
        <v>23</v>
      </c>
      <c r="I99" s="175" t="s">
        <v>24</v>
      </c>
      <c r="J99" s="175" t="s">
        <v>25</v>
      </c>
      <c r="K99" s="175" t="s">
        <v>26</v>
      </c>
      <c r="L99" s="175" t="s">
        <v>27</v>
      </c>
      <c r="M99" s="175" t="s">
        <v>28</v>
      </c>
      <c r="N99" s="175" t="s">
        <v>11</v>
      </c>
    </row>
    <row r="100" spans="1:14" s="17" customFormat="1" ht="15.75">
      <c r="A100" s="271" t="s">
        <v>1468</v>
      </c>
      <c r="B100" s="364">
        <f>B81</f>
        <v>9.18</v>
      </c>
      <c r="C100" s="173" t="s">
        <v>37</v>
      </c>
      <c r="D100" s="173" t="s">
        <v>2</v>
      </c>
      <c r="E100" s="173" t="s">
        <v>29</v>
      </c>
      <c r="F100" s="185" t="s">
        <v>14</v>
      </c>
      <c r="G100" s="173" t="s">
        <v>30</v>
      </c>
      <c r="H100" s="173">
        <v>1</v>
      </c>
      <c r="I100" s="173">
        <f>B100</f>
        <v>9.18</v>
      </c>
      <c r="J100" s="173" t="s">
        <v>31</v>
      </c>
      <c r="K100" s="173" t="s">
        <v>31</v>
      </c>
      <c r="L100" s="173" t="s">
        <v>31</v>
      </c>
      <c r="M100" s="173" t="s">
        <v>31</v>
      </c>
      <c r="N100" s="173"/>
    </row>
    <row r="101" spans="1:14" s="17" customFormat="1" ht="15.75">
      <c r="A101" s="210" t="s">
        <v>1482</v>
      </c>
      <c r="B101" s="364">
        <f>B81</f>
        <v>9.18</v>
      </c>
      <c r="C101" s="173" t="s">
        <v>37</v>
      </c>
      <c r="D101" s="173" t="s">
        <v>2</v>
      </c>
      <c r="E101" s="173" t="s">
        <v>29</v>
      </c>
      <c r="F101" s="185" t="s">
        <v>14</v>
      </c>
      <c r="G101" s="173" t="s">
        <v>33</v>
      </c>
      <c r="H101" s="173">
        <v>1</v>
      </c>
      <c r="I101" s="173">
        <f>B101</f>
        <v>9.18</v>
      </c>
      <c r="J101" s="173" t="s">
        <v>31</v>
      </c>
      <c r="K101" s="173" t="s">
        <v>31</v>
      </c>
      <c r="L101" s="173" t="s">
        <v>31</v>
      </c>
      <c r="M101" s="173" t="s">
        <v>31</v>
      </c>
      <c r="N101" s="173"/>
    </row>
    <row r="102" spans="1:14" s="17" customFormat="1" ht="15.75">
      <c r="A102" s="279" t="s">
        <v>924</v>
      </c>
      <c r="B102" s="173">
        <v>3.2000000000000001E-2</v>
      </c>
      <c r="C102" s="173" t="s">
        <v>37</v>
      </c>
      <c r="D102" s="173" t="s">
        <v>38</v>
      </c>
      <c r="E102" s="173" t="s">
        <v>29</v>
      </c>
      <c r="F102" s="185" t="s">
        <v>86</v>
      </c>
      <c r="G102" s="173" t="s">
        <v>33</v>
      </c>
      <c r="H102" s="173">
        <v>1</v>
      </c>
      <c r="I102" s="173">
        <f t="shared" ref="I102:I104" si="9">B102</f>
        <v>3.2000000000000001E-2</v>
      </c>
      <c r="J102" s="173" t="s">
        <v>31</v>
      </c>
      <c r="K102" s="173" t="s">
        <v>31</v>
      </c>
      <c r="L102" s="173" t="s">
        <v>31</v>
      </c>
      <c r="M102" s="173" t="s">
        <v>31</v>
      </c>
      <c r="N102" s="173"/>
    </row>
    <row r="103" spans="1:14" s="17" customFormat="1" ht="15.75">
      <c r="A103" s="279" t="s">
        <v>925</v>
      </c>
      <c r="B103" s="173">
        <v>0.74</v>
      </c>
      <c r="C103" s="173" t="s">
        <v>206</v>
      </c>
      <c r="D103" s="173" t="s">
        <v>38</v>
      </c>
      <c r="E103" s="173" t="s">
        <v>29</v>
      </c>
      <c r="F103" s="185" t="s">
        <v>60</v>
      </c>
      <c r="G103" s="173" t="s">
        <v>33</v>
      </c>
      <c r="H103" s="173">
        <v>1</v>
      </c>
      <c r="I103" s="173">
        <f t="shared" si="9"/>
        <v>0.74</v>
      </c>
      <c r="J103" s="173" t="s">
        <v>31</v>
      </c>
      <c r="K103" s="173" t="s">
        <v>31</v>
      </c>
      <c r="L103" s="173" t="s">
        <v>31</v>
      </c>
      <c r="M103" s="173" t="s">
        <v>31</v>
      </c>
      <c r="N103" s="173"/>
    </row>
    <row r="104" spans="1:14" s="17" customFormat="1" ht="15.75">
      <c r="A104" s="279" t="s">
        <v>926</v>
      </c>
      <c r="B104" s="173">
        <v>3.2000000000000001E-2</v>
      </c>
      <c r="C104" s="173" t="s">
        <v>37</v>
      </c>
      <c r="D104" s="173" t="s">
        <v>38</v>
      </c>
      <c r="E104" s="173" t="s">
        <v>29</v>
      </c>
      <c r="F104" s="185" t="s">
        <v>60</v>
      </c>
      <c r="G104" s="173" t="s">
        <v>33</v>
      </c>
      <c r="H104" s="173">
        <v>1</v>
      </c>
      <c r="I104" s="173">
        <f t="shared" si="9"/>
        <v>3.2000000000000001E-2</v>
      </c>
      <c r="J104" s="173" t="s">
        <v>31</v>
      </c>
      <c r="K104" s="173" t="s">
        <v>31</v>
      </c>
      <c r="L104" s="173" t="s">
        <v>31</v>
      </c>
      <c r="M104" s="173" t="s">
        <v>31</v>
      </c>
      <c r="N104" s="173"/>
    </row>
  </sheetData>
  <pageMargins left="0.7" right="0.7" top="0.75" bottom="0.75" header="0.3" footer="0.3"/>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0883-72C8-40AB-86EF-6197609B5161}">
  <sheetPr>
    <tabColor theme="5"/>
  </sheetPr>
  <dimension ref="A1:U47"/>
  <sheetViews>
    <sheetView topLeftCell="A6" zoomScaleNormal="100" workbookViewId="0">
      <selection activeCell="A36" sqref="A36"/>
    </sheetView>
  </sheetViews>
  <sheetFormatPr defaultRowHeight="12.75"/>
  <cols>
    <col min="1" max="1" width="68.7109375" style="173" bestFit="1" customWidth="1"/>
    <col min="2" max="2" width="13.5703125" style="173" customWidth="1"/>
    <col min="3" max="3" width="9.140625" style="173"/>
    <col min="4" max="4" width="23.42578125" style="173" customWidth="1"/>
    <col min="5" max="6" width="9.140625" style="173"/>
    <col min="7" max="7" width="12.7109375" style="173" customWidth="1"/>
    <col min="8" max="16384" width="9.140625" style="173"/>
  </cols>
  <sheetData>
    <row r="1" spans="1:21">
      <c r="A1" s="173" t="s">
        <v>0</v>
      </c>
      <c r="B1" s="173">
        <v>13</v>
      </c>
    </row>
    <row r="2" spans="1:21" s="188" customFormat="1">
      <c r="A2" s="209" t="s">
        <v>5</v>
      </c>
      <c r="B2" s="210" t="s">
        <v>1467</v>
      </c>
    </row>
    <row r="3" spans="1:21">
      <c r="A3" s="177" t="s">
        <v>7</v>
      </c>
      <c r="B3" s="173" t="s">
        <v>566</v>
      </c>
      <c r="C3" s="176"/>
    </row>
    <row r="4" spans="1:21">
      <c r="A4" s="276" t="s">
        <v>9</v>
      </c>
      <c r="B4" s="173" t="s">
        <v>1485</v>
      </c>
      <c r="C4" s="176"/>
    </row>
    <row r="5" spans="1:21" ht="15.75" customHeight="1">
      <c r="A5" s="177" t="s">
        <v>11</v>
      </c>
      <c r="B5" s="179" t="s">
        <v>913</v>
      </c>
    </row>
    <row r="6" spans="1:21">
      <c r="A6" s="177" t="s">
        <v>13</v>
      </c>
      <c r="B6" s="173" t="s">
        <v>14</v>
      </c>
    </row>
    <row r="7" spans="1:21">
      <c r="A7" s="177" t="s">
        <v>15</v>
      </c>
      <c r="B7" s="265">
        <f>B12</f>
        <v>7.0000000000000007E-2</v>
      </c>
    </row>
    <row r="8" spans="1:21">
      <c r="A8" s="177" t="s">
        <v>16</v>
      </c>
      <c r="B8" s="173" t="s">
        <v>17</v>
      </c>
      <c r="R8" s="175" t="s">
        <v>1023</v>
      </c>
    </row>
    <row r="9" spans="1:21">
      <c r="A9" s="177" t="s">
        <v>18</v>
      </c>
      <c r="B9" s="173" t="s">
        <v>37</v>
      </c>
      <c r="R9" s="173" t="s">
        <v>1024</v>
      </c>
      <c r="S9" s="173">
        <v>8900</v>
      </c>
      <c r="T9" s="173" t="s">
        <v>1025</v>
      </c>
    </row>
    <row r="10" spans="1:21">
      <c r="A10" s="174" t="s">
        <v>19</v>
      </c>
      <c r="R10" s="173" t="s">
        <v>1026</v>
      </c>
      <c r="S10" s="173">
        <f>5*10^-6</f>
        <v>4.9999999999999996E-6</v>
      </c>
      <c r="T10" s="173" t="s">
        <v>1027</v>
      </c>
    </row>
    <row r="11" spans="1:21">
      <c r="A11" s="175"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R11" s="280" t="s">
        <v>1029</v>
      </c>
      <c r="S11" s="281">
        <f>S10*S9</f>
        <v>4.4499999999999998E-2</v>
      </c>
      <c r="T11" s="282" t="s">
        <v>985</v>
      </c>
    </row>
    <row r="12" spans="1:21">
      <c r="A12" s="173" t="s">
        <v>1467</v>
      </c>
      <c r="B12" s="340">
        <f>B45</f>
        <v>7.0000000000000007E-2</v>
      </c>
      <c r="C12" s="173" t="s">
        <v>37</v>
      </c>
      <c r="D12" s="258" t="s">
        <v>2</v>
      </c>
      <c r="E12" s="173" t="s">
        <v>29</v>
      </c>
      <c r="F12" s="173" t="s">
        <v>14</v>
      </c>
      <c r="G12" s="173" t="s">
        <v>30</v>
      </c>
      <c r="H12" s="173">
        <v>1</v>
      </c>
      <c r="I12" s="173">
        <f>B12</f>
        <v>7.0000000000000007E-2</v>
      </c>
      <c r="J12" s="173" t="s">
        <v>31</v>
      </c>
      <c r="K12" s="173" t="s">
        <v>31</v>
      </c>
      <c r="L12" s="173" t="s">
        <v>31</v>
      </c>
      <c r="M12" s="173" t="s">
        <v>31</v>
      </c>
      <c r="O12" s="173" t="s">
        <v>1410</v>
      </c>
      <c r="P12" s="309"/>
    </row>
    <row r="13" spans="1:21">
      <c r="A13" s="173" t="s">
        <v>1486</v>
      </c>
      <c r="B13" s="340">
        <f>B28</f>
        <v>7.0000000000000007E-2</v>
      </c>
      <c r="C13" s="173" t="s">
        <v>206</v>
      </c>
      <c r="D13" s="258" t="s">
        <v>2</v>
      </c>
      <c r="E13" s="173" t="s">
        <v>29</v>
      </c>
      <c r="F13" s="173" t="s">
        <v>14</v>
      </c>
      <c r="G13" s="173" t="s">
        <v>33</v>
      </c>
      <c r="H13" s="173">
        <v>1</v>
      </c>
      <c r="I13" s="173">
        <f>B13</f>
        <v>7.0000000000000007E-2</v>
      </c>
      <c r="J13" s="173">
        <v>7.2284161474004766E-2</v>
      </c>
      <c r="K13" s="173" t="s">
        <v>31</v>
      </c>
      <c r="L13" s="173" t="s">
        <v>31</v>
      </c>
      <c r="M13" s="173" t="s">
        <v>31</v>
      </c>
      <c r="O13" s="242" t="s">
        <v>1031</v>
      </c>
      <c r="P13" s="341">
        <f>B13*100</f>
        <v>7.0000000000000009</v>
      </c>
      <c r="R13" s="173" t="s">
        <v>1032</v>
      </c>
      <c r="U13" s="260"/>
    </row>
    <row r="14" spans="1:21">
      <c r="A14" s="271" t="s">
        <v>1479</v>
      </c>
      <c r="B14" s="270">
        <f>T14</f>
        <v>5.6069999999999995E-2</v>
      </c>
      <c r="C14" s="173" t="s">
        <v>37</v>
      </c>
      <c r="D14" s="258" t="s">
        <v>2</v>
      </c>
      <c r="E14" s="173" t="s">
        <v>29</v>
      </c>
      <c r="F14" s="185" t="s">
        <v>14</v>
      </c>
      <c r="G14" s="173" t="s">
        <v>33</v>
      </c>
      <c r="H14" s="173">
        <v>1</v>
      </c>
      <c r="I14" s="173">
        <f>B14</f>
        <v>5.6069999999999995E-2</v>
      </c>
      <c r="J14" s="173">
        <v>7.2284161474004766E-2</v>
      </c>
      <c r="K14" s="173" t="s">
        <v>31</v>
      </c>
      <c r="L14" s="173" t="s">
        <v>31</v>
      </c>
      <c r="M14" s="173" t="s">
        <v>31</v>
      </c>
      <c r="O14" s="286"/>
      <c r="P14" s="287"/>
      <c r="R14" s="284">
        <v>1.26</v>
      </c>
      <c r="S14" s="285" t="s">
        <v>945</v>
      </c>
      <c r="T14" s="284">
        <f>R14*S11</f>
        <v>5.6069999999999995E-2</v>
      </c>
      <c r="U14" s="285" t="s">
        <v>337</v>
      </c>
    </row>
    <row r="15" spans="1:21" ht="15">
      <c r="A15" s="177" t="s">
        <v>933</v>
      </c>
      <c r="B15" s="173">
        <f>Q15</f>
        <v>10.1</v>
      </c>
      <c r="C15" s="173" t="s">
        <v>37</v>
      </c>
      <c r="D15" s="173" t="s">
        <v>38</v>
      </c>
      <c r="E15" s="173" t="s">
        <v>29</v>
      </c>
      <c r="F15" s="185" t="s">
        <v>39</v>
      </c>
      <c r="G15" s="173" t="s">
        <v>33</v>
      </c>
      <c r="H15" s="173">
        <v>2</v>
      </c>
      <c r="I15" s="173">
        <f t="shared" ref="I15" si="0">LN(B15)</f>
        <v>2.3125354238472138</v>
      </c>
      <c r="J15" s="173">
        <v>7.2284161474004766E-2</v>
      </c>
      <c r="K15" s="173" t="s">
        <v>31</v>
      </c>
      <c r="L15" s="173" t="s">
        <v>31</v>
      </c>
      <c r="M15" s="173" t="s">
        <v>31</v>
      </c>
      <c r="O15" s="242" t="s">
        <v>337</v>
      </c>
      <c r="P15" s="296">
        <v>10.1</v>
      </c>
      <c r="Q15" s="173">
        <f>P15</f>
        <v>10.1</v>
      </c>
    </row>
    <row r="16" spans="1:21" ht="15">
      <c r="A16" s="232" t="s">
        <v>1021</v>
      </c>
      <c r="B16" s="173">
        <f t="shared" ref="B16:B17" si="1">Q16</f>
        <v>5.0000000000000001E-4</v>
      </c>
      <c r="C16" s="173" t="s">
        <v>37</v>
      </c>
      <c r="D16" s="173" t="s">
        <v>38</v>
      </c>
      <c r="E16" s="173" t="s">
        <v>29</v>
      </c>
      <c r="F16" s="185" t="s">
        <v>60</v>
      </c>
      <c r="G16" s="173" t="s">
        <v>33</v>
      </c>
      <c r="H16" s="173">
        <v>2</v>
      </c>
      <c r="I16" s="173">
        <f>LN(B16)</f>
        <v>-7.6009024595420822</v>
      </c>
      <c r="J16" s="173">
        <v>7.2284161474004766E-2</v>
      </c>
      <c r="K16" s="173" t="s">
        <v>31</v>
      </c>
      <c r="L16" s="173" t="s">
        <v>31</v>
      </c>
      <c r="M16" s="173" t="s">
        <v>31</v>
      </c>
      <c r="O16" s="266" t="s">
        <v>952</v>
      </c>
      <c r="P16" s="365">
        <v>0.5</v>
      </c>
      <c r="Q16" s="173">
        <f>0.001*P16</f>
        <v>5.0000000000000001E-4</v>
      </c>
    </row>
    <row r="17" spans="1:20" ht="15">
      <c r="A17" s="232" t="s">
        <v>489</v>
      </c>
      <c r="B17" s="173">
        <f t="shared" si="1"/>
        <v>1.01E-2</v>
      </c>
      <c r="C17" s="173" t="s">
        <v>50</v>
      </c>
      <c r="D17" s="173" t="s">
        <v>38</v>
      </c>
      <c r="E17" s="173" t="s">
        <v>29</v>
      </c>
      <c r="F17" s="185" t="s">
        <v>39</v>
      </c>
      <c r="G17" s="173" t="s">
        <v>33</v>
      </c>
      <c r="H17" s="173">
        <v>2</v>
      </c>
      <c r="I17" s="173">
        <f t="shared" ref="I17" si="2">LN(B17)</f>
        <v>-4.595219855134923</v>
      </c>
      <c r="J17" s="173">
        <v>7.2284161474004766E-2</v>
      </c>
      <c r="K17" s="173" t="s">
        <v>31</v>
      </c>
      <c r="L17" s="173" t="s">
        <v>31</v>
      </c>
      <c r="M17" s="173" t="s">
        <v>31</v>
      </c>
      <c r="O17" s="268" t="s">
        <v>1009</v>
      </c>
      <c r="P17" s="306">
        <v>10.1</v>
      </c>
      <c r="Q17" s="173">
        <f>0.001*P17</f>
        <v>1.01E-2</v>
      </c>
    </row>
    <row r="18" spans="1:20" s="188" customFormat="1">
      <c r="A18" s="209" t="s">
        <v>5</v>
      </c>
      <c r="B18" s="210" t="s">
        <v>1486</v>
      </c>
    </row>
    <row r="19" spans="1:20">
      <c r="A19" s="177" t="s">
        <v>7</v>
      </c>
      <c r="B19" s="173" t="s">
        <v>566</v>
      </c>
      <c r="C19" s="176"/>
    </row>
    <row r="20" spans="1:20">
      <c r="A20" s="276" t="s">
        <v>9</v>
      </c>
      <c r="B20" s="173" t="s">
        <v>1487</v>
      </c>
      <c r="C20" s="176"/>
    </row>
    <row r="21" spans="1:20" ht="15.75" customHeight="1">
      <c r="A21" s="177" t="s">
        <v>11</v>
      </c>
      <c r="B21" s="179" t="s">
        <v>913</v>
      </c>
    </row>
    <row r="22" spans="1:20">
      <c r="A22" s="177" t="s">
        <v>13</v>
      </c>
      <c r="B22" s="173" t="s">
        <v>14</v>
      </c>
    </row>
    <row r="23" spans="1:20">
      <c r="A23" s="177" t="s">
        <v>15</v>
      </c>
      <c r="B23" s="265">
        <f>B28</f>
        <v>7.0000000000000007E-2</v>
      </c>
    </row>
    <row r="24" spans="1:20">
      <c r="A24" s="177" t="s">
        <v>16</v>
      </c>
      <c r="B24" s="173" t="s">
        <v>17</v>
      </c>
    </row>
    <row r="25" spans="1:20">
      <c r="A25" s="177" t="s">
        <v>18</v>
      </c>
      <c r="B25" s="173" t="s">
        <v>206</v>
      </c>
    </row>
    <row r="26" spans="1:20">
      <c r="A26" s="174" t="s">
        <v>19</v>
      </c>
    </row>
    <row r="27" spans="1:20">
      <c r="A27" s="175" t="s">
        <v>20</v>
      </c>
      <c r="B27" s="175" t="s">
        <v>21</v>
      </c>
      <c r="C27" s="175" t="s">
        <v>18</v>
      </c>
      <c r="D27" s="175" t="s">
        <v>22</v>
      </c>
      <c r="E27" s="175" t="s">
        <v>7</v>
      </c>
      <c r="F27" s="175" t="s">
        <v>13</v>
      </c>
      <c r="G27" s="175" t="s">
        <v>16</v>
      </c>
      <c r="H27" s="175" t="s">
        <v>23</v>
      </c>
      <c r="I27" s="175" t="s">
        <v>24</v>
      </c>
      <c r="J27" s="175" t="s">
        <v>25</v>
      </c>
      <c r="K27" s="175" t="s">
        <v>26</v>
      </c>
      <c r="L27" s="175" t="s">
        <v>27</v>
      </c>
      <c r="M27" s="175" t="s">
        <v>28</v>
      </c>
      <c r="N27" s="175" t="s">
        <v>11</v>
      </c>
      <c r="T27" s="265"/>
    </row>
    <row r="28" spans="1:20">
      <c r="A28" s="173" t="s">
        <v>1486</v>
      </c>
      <c r="B28" s="265">
        <v>7.0000000000000007E-2</v>
      </c>
      <c r="C28" s="173" t="s">
        <v>206</v>
      </c>
      <c r="D28" s="258" t="s">
        <v>2</v>
      </c>
      <c r="E28" s="173" t="s">
        <v>29</v>
      </c>
      <c r="F28" s="173" t="s">
        <v>14</v>
      </c>
      <c r="G28" s="173" t="s">
        <v>30</v>
      </c>
      <c r="H28" s="173">
        <v>1</v>
      </c>
      <c r="I28" s="173">
        <f>B28</f>
        <v>7.0000000000000007E-2</v>
      </c>
      <c r="J28" s="173">
        <v>7.2284161474004766E-2</v>
      </c>
      <c r="K28" s="173" t="s">
        <v>31</v>
      </c>
      <c r="L28" s="173" t="s">
        <v>31</v>
      </c>
      <c r="M28" s="173" t="s">
        <v>31</v>
      </c>
      <c r="O28" s="242" t="s">
        <v>1031</v>
      </c>
      <c r="P28" s="264">
        <f>B28*100</f>
        <v>7.0000000000000009</v>
      </c>
    </row>
    <row r="29" spans="1:20">
      <c r="A29" s="173" t="s">
        <v>1488</v>
      </c>
      <c r="B29" s="265">
        <v>7.0000000000000007E-2</v>
      </c>
      <c r="C29" s="173" t="s">
        <v>206</v>
      </c>
      <c r="D29" s="258" t="s">
        <v>2</v>
      </c>
      <c r="E29" s="173" t="s">
        <v>29</v>
      </c>
      <c r="F29" s="173" t="s">
        <v>14</v>
      </c>
      <c r="G29" s="173" t="s">
        <v>33</v>
      </c>
      <c r="H29" s="173">
        <v>1</v>
      </c>
      <c r="I29" s="173">
        <f>B29</f>
        <v>7.0000000000000007E-2</v>
      </c>
      <c r="J29" s="173">
        <v>7.2284161474004766E-2</v>
      </c>
      <c r="K29" s="173" t="s">
        <v>31</v>
      </c>
      <c r="L29" s="173" t="s">
        <v>31</v>
      </c>
      <c r="M29" s="173" t="s">
        <v>31</v>
      </c>
    </row>
    <row r="30" spans="1:20">
      <c r="A30" s="177" t="s">
        <v>168</v>
      </c>
      <c r="B30" s="184">
        <f>P30</f>
        <v>0.55000000000000004</v>
      </c>
      <c r="C30" s="173" t="s">
        <v>41</v>
      </c>
      <c r="D30" s="173" t="s">
        <v>38</v>
      </c>
      <c r="E30" s="173" t="s">
        <v>29</v>
      </c>
      <c r="F30" s="185" t="s">
        <v>35</v>
      </c>
      <c r="G30" s="173" t="s">
        <v>33</v>
      </c>
      <c r="H30" s="173">
        <v>2</v>
      </c>
      <c r="I30" s="173">
        <f t="shared" ref="I30:I31" si="3">LN(B30)</f>
        <v>-0.59783700075562041</v>
      </c>
      <c r="J30" s="173">
        <v>7.2284161474004766E-2</v>
      </c>
      <c r="K30" s="173" t="s">
        <v>31</v>
      </c>
      <c r="L30" s="173" t="s">
        <v>31</v>
      </c>
      <c r="M30" s="173" t="s">
        <v>31</v>
      </c>
      <c r="O30" s="242" t="s">
        <v>332</v>
      </c>
      <c r="P30" s="264">
        <v>0.55000000000000004</v>
      </c>
    </row>
    <row r="31" spans="1:20">
      <c r="A31" s="232" t="s">
        <v>1017</v>
      </c>
      <c r="B31" s="173">
        <f>R31</f>
        <v>1.3000000000000001E-2</v>
      </c>
      <c r="C31" s="265" t="s">
        <v>37</v>
      </c>
      <c r="D31" s="173" t="s">
        <v>38</v>
      </c>
      <c r="E31" s="173" t="s">
        <v>29</v>
      </c>
      <c r="F31" s="173" t="s">
        <v>60</v>
      </c>
      <c r="G31" s="173" t="s">
        <v>33</v>
      </c>
      <c r="H31" s="173">
        <v>2</v>
      </c>
      <c r="I31" s="173">
        <f t="shared" si="3"/>
        <v>-4.3428059215206005</v>
      </c>
      <c r="J31" s="173">
        <v>7.2284161474004766E-2</v>
      </c>
      <c r="K31" s="173" t="s">
        <v>31</v>
      </c>
      <c r="L31" s="173" t="s">
        <v>31</v>
      </c>
      <c r="M31" s="173" t="s">
        <v>31</v>
      </c>
      <c r="O31" s="242" t="s">
        <v>947</v>
      </c>
      <c r="P31" s="264">
        <v>13</v>
      </c>
      <c r="Q31" s="173" t="s">
        <v>337</v>
      </c>
      <c r="R31" s="173">
        <f>P31*0.001</f>
        <v>1.3000000000000001E-2</v>
      </c>
    </row>
    <row r="32" spans="1:20">
      <c r="A32" s="83" t="s">
        <v>1018</v>
      </c>
      <c r="B32" s="173">
        <f t="shared" ref="B32:B33" si="4">R32</f>
        <v>2.4E-2</v>
      </c>
      <c r="C32" s="173" t="s">
        <v>37</v>
      </c>
      <c r="D32" s="173" t="s">
        <v>38</v>
      </c>
      <c r="E32" s="173" t="s">
        <v>29</v>
      </c>
      <c r="F32" s="185" t="s">
        <v>35</v>
      </c>
      <c r="G32" s="173" t="s">
        <v>33</v>
      </c>
      <c r="H32" s="173">
        <v>2</v>
      </c>
      <c r="I32" s="173">
        <f>LN(B32)</f>
        <v>-3.7297014486341915</v>
      </c>
      <c r="J32" s="173">
        <v>7.2284161474004766E-2</v>
      </c>
      <c r="K32" s="173" t="s">
        <v>31</v>
      </c>
      <c r="L32" s="173" t="s">
        <v>31</v>
      </c>
      <c r="M32" s="173" t="s">
        <v>31</v>
      </c>
      <c r="O32" s="242" t="s">
        <v>947</v>
      </c>
      <c r="P32" s="264">
        <v>24</v>
      </c>
      <c r="Q32" s="173" t="s">
        <v>337</v>
      </c>
      <c r="R32" s="173">
        <f>P32*0.001</f>
        <v>2.4E-2</v>
      </c>
    </row>
    <row r="33" spans="1:20">
      <c r="A33" s="177" t="s">
        <v>933</v>
      </c>
      <c r="B33" s="173">
        <f t="shared" si="4"/>
        <v>21</v>
      </c>
      <c r="C33" s="173" t="s">
        <v>37</v>
      </c>
      <c r="D33" s="173" t="s">
        <v>38</v>
      </c>
      <c r="E33" s="173" t="s">
        <v>29</v>
      </c>
      <c r="F33" s="185" t="s">
        <v>39</v>
      </c>
      <c r="G33" s="173" t="s">
        <v>33</v>
      </c>
      <c r="H33" s="173">
        <v>2</v>
      </c>
      <c r="I33" s="173">
        <f t="shared" ref="I33:I34" si="5">LN(B33)</f>
        <v>3.044522437723423</v>
      </c>
      <c r="J33" s="173">
        <v>7.2284161474004766E-2</v>
      </c>
      <c r="K33" s="173" t="s">
        <v>31</v>
      </c>
      <c r="L33" s="173" t="s">
        <v>31</v>
      </c>
      <c r="M33" s="173" t="s">
        <v>31</v>
      </c>
      <c r="O33" s="242" t="s">
        <v>337</v>
      </c>
      <c r="P33" s="264">
        <v>21</v>
      </c>
      <c r="Q33" s="173" t="s">
        <v>337</v>
      </c>
      <c r="R33" s="173">
        <f>P33</f>
        <v>21</v>
      </c>
    </row>
    <row r="34" spans="1:20">
      <c r="A34" s="232" t="s">
        <v>489</v>
      </c>
      <c r="B34" s="173">
        <f>R34</f>
        <v>2.1000000000000001E-2</v>
      </c>
      <c r="C34" s="173" t="s">
        <v>50</v>
      </c>
      <c r="D34" s="173" t="s">
        <v>38</v>
      </c>
      <c r="E34" s="173" t="s">
        <v>29</v>
      </c>
      <c r="F34" s="185" t="s">
        <v>39</v>
      </c>
      <c r="G34" s="173" t="s">
        <v>33</v>
      </c>
      <c r="H34" s="173">
        <v>2</v>
      </c>
      <c r="I34" s="173">
        <f t="shared" si="5"/>
        <v>-3.8632328412587138</v>
      </c>
      <c r="J34" s="173">
        <v>7.2284161474004766E-2</v>
      </c>
      <c r="K34" s="173" t="s">
        <v>31</v>
      </c>
      <c r="L34" s="173" t="s">
        <v>31</v>
      </c>
      <c r="M34" s="173" t="s">
        <v>31</v>
      </c>
      <c r="O34" s="268" t="s">
        <v>1009</v>
      </c>
      <c r="P34" s="269">
        <v>21</v>
      </c>
      <c r="Q34" s="173" t="s">
        <v>335</v>
      </c>
      <c r="R34" s="173">
        <f>0.001*P34</f>
        <v>2.1000000000000001E-2</v>
      </c>
    </row>
    <row r="35" spans="1:20" s="188" customFormat="1">
      <c r="A35" s="209" t="s">
        <v>5</v>
      </c>
      <c r="B35" s="210" t="s">
        <v>1488</v>
      </c>
    </row>
    <row r="36" spans="1:20">
      <c r="A36" s="177" t="s">
        <v>7</v>
      </c>
      <c r="B36" s="173" t="s">
        <v>566</v>
      </c>
      <c r="C36" s="176"/>
    </row>
    <row r="37" spans="1:20">
      <c r="A37" s="276" t="s">
        <v>9</v>
      </c>
      <c r="B37" s="173" t="s">
        <v>1489</v>
      </c>
      <c r="C37" s="176"/>
    </row>
    <row r="38" spans="1:20" ht="15.75" customHeight="1">
      <c r="A38" s="177" t="s">
        <v>11</v>
      </c>
      <c r="B38" s="179" t="s">
        <v>913</v>
      </c>
    </row>
    <row r="39" spans="1:20">
      <c r="A39" s="177" t="s">
        <v>13</v>
      </c>
      <c r="B39" s="173" t="s">
        <v>14</v>
      </c>
    </row>
    <row r="40" spans="1:20">
      <c r="A40" s="177" t="s">
        <v>15</v>
      </c>
      <c r="B40" s="265">
        <f>B45</f>
        <v>7.0000000000000007E-2</v>
      </c>
    </row>
    <row r="41" spans="1:20">
      <c r="A41" s="177" t="s">
        <v>16</v>
      </c>
      <c r="B41" s="173" t="s">
        <v>17</v>
      </c>
    </row>
    <row r="42" spans="1:20">
      <c r="A42" s="177" t="s">
        <v>18</v>
      </c>
      <c r="B42" s="173" t="s">
        <v>206</v>
      </c>
    </row>
    <row r="43" spans="1:20">
      <c r="A43" s="174" t="s">
        <v>19</v>
      </c>
    </row>
    <row r="44" spans="1:20">
      <c r="A44" s="175" t="s">
        <v>20</v>
      </c>
      <c r="B44" s="175" t="s">
        <v>21</v>
      </c>
      <c r="C44" s="175" t="s">
        <v>18</v>
      </c>
      <c r="D44" s="175" t="s">
        <v>22</v>
      </c>
      <c r="E44" s="175" t="s">
        <v>7</v>
      </c>
      <c r="F44" s="175" t="s">
        <v>13</v>
      </c>
      <c r="G44" s="175" t="s">
        <v>16</v>
      </c>
      <c r="H44" s="175" t="s">
        <v>23</v>
      </c>
      <c r="I44" s="175" t="s">
        <v>24</v>
      </c>
      <c r="J44" s="175" t="s">
        <v>25</v>
      </c>
      <c r="K44" s="175" t="s">
        <v>26</v>
      </c>
      <c r="L44" s="175" t="s">
        <v>27</v>
      </c>
      <c r="M44" s="175" t="s">
        <v>28</v>
      </c>
      <c r="N44" s="175" t="s">
        <v>11</v>
      </c>
      <c r="T44" s="265"/>
    </row>
    <row r="45" spans="1:20">
      <c r="A45" s="173" t="s">
        <v>1488</v>
      </c>
      <c r="B45" s="265">
        <f>B29</f>
        <v>7.0000000000000007E-2</v>
      </c>
      <c r="C45" s="173" t="s">
        <v>206</v>
      </c>
      <c r="D45" s="258" t="s">
        <v>2</v>
      </c>
      <c r="E45" s="173" t="s">
        <v>29</v>
      </c>
      <c r="F45" s="173" t="s">
        <v>14</v>
      </c>
      <c r="G45" s="173" t="s">
        <v>30</v>
      </c>
      <c r="H45" s="173">
        <v>1</v>
      </c>
      <c r="I45" s="173">
        <f>B45</f>
        <v>7.0000000000000007E-2</v>
      </c>
      <c r="J45" s="173" t="s">
        <v>31</v>
      </c>
      <c r="K45" s="173" t="s">
        <v>31</v>
      </c>
      <c r="L45" s="173" t="s">
        <v>31</v>
      </c>
      <c r="M45" s="173" t="s">
        <v>31</v>
      </c>
      <c r="Q45" s="173" t="s">
        <v>1410</v>
      </c>
    </row>
    <row r="46" spans="1:20" ht="15">
      <c r="A46" s="232" t="s">
        <v>1037</v>
      </c>
      <c r="B46" s="366">
        <v>0.81</v>
      </c>
      <c r="C46" s="173" t="s">
        <v>37</v>
      </c>
      <c r="D46" s="173" t="s">
        <v>38</v>
      </c>
      <c r="E46" s="173" t="s">
        <v>29</v>
      </c>
      <c r="F46" s="173" t="s">
        <v>86</v>
      </c>
      <c r="G46" s="173" t="s">
        <v>33</v>
      </c>
      <c r="H46" s="173">
        <v>1</v>
      </c>
      <c r="I46" s="173">
        <f>B46</f>
        <v>0.81</v>
      </c>
      <c r="J46" s="173" t="s">
        <v>31</v>
      </c>
      <c r="K46" s="173" t="s">
        <v>31</v>
      </c>
      <c r="L46" s="173" t="s">
        <v>31</v>
      </c>
      <c r="M46" s="173" t="s">
        <v>31</v>
      </c>
    </row>
    <row r="47" spans="1:20" ht="15">
      <c r="A47" s="232" t="s">
        <v>1038</v>
      </c>
      <c r="B47" s="366">
        <v>0.81</v>
      </c>
      <c r="C47" s="173" t="s">
        <v>37</v>
      </c>
      <c r="D47" s="173" t="s">
        <v>38</v>
      </c>
      <c r="E47" s="173" t="s">
        <v>29</v>
      </c>
      <c r="F47" s="173" t="s">
        <v>60</v>
      </c>
      <c r="G47" s="173" t="s">
        <v>33</v>
      </c>
      <c r="H47" s="173">
        <v>1</v>
      </c>
      <c r="I47" s="173">
        <f>B47</f>
        <v>0.81</v>
      </c>
      <c r="J47" s="173" t="s">
        <v>31</v>
      </c>
      <c r="K47" s="173" t="s">
        <v>31</v>
      </c>
      <c r="L47" s="173" t="s">
        <v>31</v>
      </c>
      <c r="M47" s="173" t="s">
        <v>31</v>
      </c>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CD77-F700-425B-BA6C-49AA6F61EA40}">
  <sheetPr>
    <tabColor theme="5"/>
  </sheetPr>
  <dimension ref="A1:Y57"/>
  <sheetViews>
    <sheetView topLeftCell="A20" zoomScaleNormal="10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71"/>
      <c r="S1" s="272"/>
    </row>
    <row r="2" spans="1:21" s="188" customFormat="1">
      <c r="A2" s="209" t="s">
        <v>5</v>
      </c>
      <c r="B2" s="210" t="s">
        <v>1469</v>
      </c>
      <c r="C2" s="210"/>
      <c r="R2" s="290"/>
      <c r="S2" s="291"/>
    </row>
    <row r="3" spans="1:21">
      <c r="A3" s="177" t="s">
        <v>7</v>
      </c>
      <c r="B3" s="173" t="s">
        <v>566</v>
      </c>
      <c r="D3" s="176"/>
      <c r="R3" s="271"/>
      <c r="S3" s="272"/>
    </row>
    <row r="4" spans="1:21">
      <c r="A4" s="276" t="s">
        <v>9</v>
      </c>
      <c r="B4" s="173" t="s">
        <v>1490</v>
      </c>
      <c r="D4" s="176"/>
    </row>
    <row r="5" spans="1:21" ht="15.75" customHeight="1">
      <c r="A5" s="177" t="s">
        <v>11</v>
      </c>
      <c r="B5" s="179" t="s">
        <v>913</v>
      </c>
      <c r="C5" s="179"/>
    </row>
    <row r="6" spans="1:21">
      <c r="A6" s="177" t="s">
        <v>13</v>
      </c>
      <c r="B6" s="173" t="s">
        <v>14</v>
      </c>
    </row>
    <row r="7" spans="1:21">
      <c r="A7" s="177" t="s">
        <v>15</v>
      </c>
      <c r="B7" s="191">
        <f>B48</f>
        <v>6.89</v>
      </c>
      <c r="C7" s="191"/>
    </row>
    <row r="8" spans="1:21">
      <c r="A8" s="177" t="s">
        <v>16</v>
      </c>
      <c r="B8" s="173" t="s">
        <v>17</v>
      </c>
    </row>
    <row r="9" spans="1:21">
      <c r="A9" s="177" t="s">
        <v>18</v>
      </c>
      <c r="B9" s="173" t="s">
        <v>37</v>
      </c>
    </row>
    <row r="10" spans="1:21">
      <c r="A10" s="174" t="s">
        <v>19</v>
      </c>
    </row>
    <row r="11" spans="1:21">
      <c r="A11" s="175" t="s">
        <v>20</v>
      </c>
      <c r="B11" s="175" t="s">
        <v>21</v>
      </c>
      <c r="C11" s="221" t="s">
        <v>78</v>
      </c>
      <c r="D11" s="175" t="s">
        <v>18</v>
      </c>
      <c r="E11" s="175" t="s">
        <v>22</v>
      </c>
      <c r="F11" s="175" t="s">
        <v>7</v>
      </c>
      <c r="G11" s="175" t="s">
        <v>13</v>
      </c>
      <c r="H11" s="175" t="s">
        <v>16</v>
      </c>
      <c r="I11" s="175" t="s">
        <v>23</v>
      </c>
      <c r="J11" s="175" t="s">
        <v>24</v>
      </c>
      <c r="K11" s="175" t="s">
        <v>25</v>
      </c>
      <c r="L11" s="175" t="s">
        <v>26</v>
      </c>
      <c r="M11" s="175" t="s">
        <v>27</v>
      </c>
      <c r="N11" s="175" t="s">
        <v>28</v>
      </c>
      <c r="O11" s="175" t="s">
        <v>11</v>
      </c>
      <c r="U11" s="265"/>
    </row>
    <row r="12" spans="1:21">
      <c r="A12" s="173" t="s">
        <v>1469</v>
      </c>
      <c r="B12" s="191">
        <f>B43</f>
        <v>6.89</v>
      </c>
      <c r="D12" s="173" t="s">
        <v>37</v>
      </c>
      <c r="E12" s="258" t="s">
        <v>2</v>
      </c>
      <c r="F12" s="173" t="s">
        <v>29</v>
      </c>
      <c r="G12" s="173" t="s">
        <v>14</v>
      </c>
      <c r="H12" s="173" t="s">
        <v>30</v>
      </c>
      <c r="I12" s="173">
        <v>1</v>
      </c>
      <c r="J12" s="173">
        <f>B12</f>
        <v>6.89</v>
      </c>
      <c r="K12" s="173" t="s">
        <v>31</v>
      </c>
      <c r="L12" s="173" t="s">
        <v>31</v>
      </c>
      <c r="M12" s="173" t="s">
        <v>31</v>
      </c>
      <c r="N12" s="173" t="s">
        <v>31</v>
      </c>
      <c r="P12" s="271"/>
      <c r="Q12" s="272"/>
    </row>
    <row r="13" spans="1:21">
      <c r="A13" s="173" t="s">
        <v>1491</v>
      </c>
      <c r="B13" s="173">
        <v>1</v>
      </c>
      <c r="D13" s="173" t="s">
        <v>18</v>
      </c>
      <c r="E13" s="258" t="s">
        <v>2</v>
      </c>
      <c r="F13" s="173" t="s">
        <v>29</v>
      </c>
      <c r="G13" s="173" t="s">
        <v>14</v>
      </c>
      <c r="H13" s="173" t="s">
        <v>33</v>
      </c>
      <c r="I13" s="173">
        <v>1</v>
      </c>
      <c r="J13" s="173">
        <f>B13</f>
        <v>1</v>
      </c>
      <c r="K13" s="173" t="s">
        <v>31</v>
      </c>
      <c r="L13" s="173" t="s">
        <v>31</v>
      </c>
      <c r="M13" s="173" t="s">
        <v>31</v>
      </c>
      <c r="N13" s="173" t="s">
        <v>31</v>
      </c>
    </row>
    <row r="14" spans="1:21" ht="15">
      <c r="A14" s="177" t="s">
        <v>168</v>
      </c>
      <c r="B14" s="184">
        <f>Q14</f>
        <v>0.25</v>
      </c>
      <c r="C14" s="184"/>
      <c r="D14" s="173" t="s">
        <v>41</v>
      </c>
      <c r="E14" s="173" t="s">
        <v>38</v>
      </c>
      <c r="F14" s="173" t="s">
        <v>29</v>
      </c>
      <c r="G14" s="185" t="s">
        <v>35</v>
      </c>
      <c r="H14" s="173" t="s">
        <v>33</v>
      </c>
      <c r="I14" s="173">
        <v>2</v>
      </c>
      <c r="J14" s="173">
        <f t="shared" ref="J14:J18" si="0">LN(B14)</f>
        <v>-1.3862943611198906</v>
      </c>
      <c r="K14" s="343">
        <v>9.6046863561492793E-2</v>
      </c>
      <c r="L14" s="173" t="s">
        <v>31</v>
      </c>
      <c r="M14" s="173" t="s">
        <v>31</v>
      </c>
      <c r="N14" s="173" t="s">
        <v>31</v>
      </c>
      <c r="P14" s="242" t="s">
        <v>332</v>
      </c>
      <c r="Q14" s="296">
        <v>0.25</v>
      </c>
    </row>
    <row r="15" spans="1:21" ht="15">
      <c r="A15" s="177" t="s">
        <v>168</v>
      </c>
      <c r="B15" s="184">
        <f>Q15</f>
        <v>0.5</v>
      </c>
      <c r="C15" s="184"/>
      <c r="D15" s="173" t="s">
        <v>41</v>
      </c>
      <c r="E15" s="173" t="s">
        <v>38</v>
      </c>
      <c r="F15" s="173" t="s">
        <v>29</v>
      </c>
      <c r="G15" s="185" t="s">
        <v>60</v>
      </c>
      <c r="H15" s="173" t="s">
        <v>33</v>
      </c>
      <c r="I15" s="173">
        <v>2</v>
      </c>
      <c r="J15" s="173">
        <f t="shared" si="0"/>
        <v>-0.69314718055994529</v>
      </c>
      <c r="K15" s="343">
        <v>9.6046863561492793E-2</v>
      </c>
      <c r="L15" s="173" t="s">
        <v>31</v>
      </c>
      <c r="M15" s="173" t="s">
        <v>31</v>
      </c>
      <c r="N15" s="173" t="s">
        <v>31</v>
      </c>
      <c r="P15" s="242" t="s">
        <v>332</v>
      </c>
      <c r="Q15" s="296">
        <v>0.5</v>
      </c>
    </row>
    <row r="16" spans="1:21" ht="15">
      <c r="A16" s="232" t="s">
        <v>1042</v>
      </c>
      <c r="B16" s="173">
        <f>S16</f>
        <v>6.5000000000000002E-2</v>
      </c>
      <c r="D16" s="173" t="s">
        <v>37</v>
      </c>
      <c r="E16" s="173" t="s">
        <v>38</v>
      </c>
      <c r="F16" s="173" t="s">
        <v>29</v>
      </c>
      <c r="G16" s="173" t="s">
        <v>35</v>
      </c>
      <c r="H16" s="173" t="s">
        <v>33</v>
      </c>
      <c r="I16" s="173">
        <v>2</v>
      </c>
      <c r="J16" s="173">
        <f t="shared" si="0"/>
        <v>-2.7333680090865</v>
      </c>
      <c r="K16" s="343">
        <v>9.6046863561492793E-2</v>
      </c>
      <c r="P16" s="242" t="s">
        <v>947</v>
      </c>
      <c r="Q16" s="296">
        <v>65</v>
      </c>
      <c r="R16" s="242" t="s">
        <v>337</v>
      </c>
      <c r="S16" s="264">
        <f>0.001*Q16</f>
        <v>6.5000000000000002E-2</v>
      </c>
    </row>
    <row r="17" spans="1:21" ht="15">
      <c r="A17" s="232" t="s">
        <v>1043</v>
      </c>
      <c r="B17" s="173">
        <f>Q17</f>
        <v>1.2</v>
      </c>
      <c r="D17" s="173" t="s">
        <v>37</v>
      </c>
      <c r="E17" s="173" t="s">
        <v>38</v>
      </c>
      <c r="F17" s="173" t="s">
        <v>29</v>
      </c>
      <c r="G17" s="185" t="s">
        <v>39</v>
      </c>
      <c r="H17" s="173" t="s">
        <v>33</v>
      </c>
      <c r="I17" s="173">
        <v>2</v>
      </c>
      <c r="J17" s="173">
        <f t="shared" si="0"/>
        <v>0.18232155679395459</v>
      </c>
      <c r="K17" s="343">
        <v>9.6046863561492793E-2</v>
      </c>
      <c r="P17" s="242" t="s">
        <v>337</v>
      </c>
      <c r="Q17" s="296">
        <v>1.2</v>
      </c>
    </row>
    <row r="18" spans="1:21" ht="15">
      <c r="A18" s="232" t="s">
        <v>1238</v>
      </c>
      <c r="B18" s="173">
        <f>S18</f>
        <v>6.5000000000000002E-2</v>
      </c>
      <c r="D18" s="173" t="s">
        <v>37</v>
      </c>
      <c r="E18" s="173" t="s">
        <v>38</v>
      </c>
      <c r="F18" s="173" t="s">
        <v>29</v>
      </c>
      <c r="G18" s="185" t="s">
        <v>39</v>
      </c>
      <c r="H18" s="173" t="s">
        <v>33</v>
      </c>
      <c r="I18" s="173">
        <v>2</v>
      </c>
      <c r="J18" s="173">
        <f t="shared" si="0"/>
        <v>-2.7333680090865</v>
      </c>
      <c r="K18" s="343">
        <v>9.6046863561492793E-2</v>
      </c>
      <c r="P18" s="242" t="s">
        <v>947</v>
      </c>
      <c r="Q18" s="306">
        <v>65</v>
      </c>
      <c r="R18" s="242" t="s">
        <v>337</v>
      </c>
      <c r="S18" s="264">
        <f>0.001*Q18</f>
        <v>6.5000000000000002E-2</v>
      </c>
    </row>
    <row r="19" spans="1:21" s="188" customFormat="1">
      <c r="A19" s="209" t="s">
        <v>5</v>
      </c>
      <c r="B19" s="210" t="str">
        <f>A29</f>
        <v>production of machined casing, mass scaled activities,generator traction drive inverter ACDC, GT-bat, Medium-Term</v>
      </c>
      <c r="C19" s="210"/>
    </row>
    <row r="20" spans="1:21">
      <c r="A20" s="177" t="s">
        <v>7</v>
      </c>
      <c r="B20" s="173" t="s">
        <v>566</v>
      </c>
      <c r="D20" s="176"/>
    </row>
    <row r="21" spans="1:21">
      <c r="A21" s="276" t="s">
        <v>9</v>
      </c>
      <c r="B21" s="173" t="s">
        <v>1492</v>
      </c>
      <c r="D21" s="176"/>
    </row>
    <row r="22" spans="1:21" ht="15.75" customHeight="1">
      <c r="A22" s="177" t="s">
        <v>11</v>
      </c>
      <c r="B22" s="179" t="s">
        <v>913</v>
      </c>
      <c r="C22" s="179"/>
    </row>
    <row r="23" spans="1:21">
      <c r="A23" s="177" t="s">
        <v>13</v>
      </c>
      <c r="B23" s="173" t="s">
        <v>14</v>
      </c>
    </row>
    <row r="24" spans="1:21">
      <c r="A24" s="177" t="s">
        <v>15</v>
      </c>
      <c r="B24" s="191">
        <v>1</v>
      </c>
      <c r="C24" s="191"/>
    </row>
    <row r="25" spans="1:21">
      <c r="A25" s="177" t="s">
        <v>16</v>
      </c>
      <c r="B25" s="173" t="s">
        <v>17</v>
      </c>
    </row>
    <row r="26" spans="1:21">
      <c r="A26" s="177" t="s">
        <v>18</v>
      </c>
      <c r="B26" s="173" t="s">
        <v>18</v>
      </c>
    </row>
    <row r="27" spans="1:21">
      <c r="A27" s="174" t="s">
        <v>19</v>
      </c>
    </row>
    <row r="28" spans="1:21">
      <c r="A28" s="175" t="s">
        <v>20</v>
      </c>
      <c r="B28" s="175" t="s">
        <v>21</v>
      </c>
      <c r="C28" s="221" t="s">
        <v>78</v>
      </c>
      <c r="D28" s="175" t="s">
        <v>18</v>
      </c>
      <c r="E28" s="175" t="s">
        <v>22</v>
      </c>
      <c r="F28" s="175" t="s">
        <v>7</v>
      </c>
      <c r="G28" s="175" t="s">
        <v>13</v>
      </c>
      <c r="H28" s="175" t="s">
        <v>16</v>
      </c>
      <c r="I28" s="175" t="s">
        <v>23</v>
      </c>
      <c r="J28" s="175" t="s">
        <v>24</v>
      </c>
      <c r="K28" s="175" t="s">
        <v>25</v>
      </c>
      <c r="L28" s="175" t="s">
        <v>26</v>
      </c>
      <c r="M28" s="175" t="s">
        <v>27</v>
      </c>
      <c r="N28" s="175" t="s">
        <v>28</v>
      </c>
      <c r="O28" s="175" t="s">
        <v>11</v>
      </c>
      <c r="U28" s="265"/>
    </row>
    <row r="29" spans="1:21">
      <c r="A29" s="173" t="s">
        <v>1491</v>
      </c>
      <c r="B29" s="173">
        <v>1</v>
      </c>
      <c r="D29" s="173" t="s">
        <v>18</v>
      </c>
      <c r="E29" s="258" t="s">
        <v>2</v>
      </c>
      <c r="F29" s="173" t="s">
        <v>29</v>
      </c>
      <c r="G29" s="173" t="s">
        <v>14</v>
      </c>
      <c r="H29" s="173" t="s">
        <v>30</v>
      </c>
      <c r="I29" s="173">
        <v>1</v>
      </c>
      <c r="J29" s="173">
        <f>B29</f>
        <v>1</v>
      </c>
      <c r="K29" s="173" t="s">
        <v>31</v>
      </c>
      <c r="L29" s="173" t="s">
        <v>31</v>
      </c>
      <c r="M29" s="173" t="s">
        <v>31</v>
      </c>
      <c r="N29" s="173" t="s">
        <v>31</v>
      </c>
    </row>
    <row r="30" spans="1:21">
      <c r="A30" s="173" t="s">
        <v>1493</v>
      </c>
      <c r="B30" s="173">
        <f>Q30</f>
        <v>13</v>
      </c>
      <c r="D30" s="173" t="s">
        <v>37</v>
      </c>
      <c r="E30" s="258" t="s">
        <v>2</v>
      </c>
      <c r="F30" s="173" t="s">
        <v>29</v>
      </c>
      <c r="G30" s="173" t="s">
        <v>14</v>
      </c>
      <c r="H30" s="173" t="s">
        <v>33</v>
      </c>
      <c r="I30" s="173">
        <v>2</v>
      </c>
      <c r="J30" s="173">
        <f>LN(B30)</f>
        <v>2.5649493574615367</v>
      </c>
      <c r="K30" s="173">
        <v>0.10307764064044142</v>
      </c>
      <c r="L30" s="173" t="s">
        <v>31</v>
      </c>
      <c r="M30" s="173" t="s">
        <v>31</v>
      </c>
      <c r="N30" s="173" t="s">
        <v>31</v>
      </c>
      <c r="Q30" s="341">
        <v>13</v>
      </c>
    </row>
    <row r="31" spans="1:21">
      <c r="A31" s="177" t="s">
        <v>168</v>
      </c>
      <c r="B31" s="184">
        <f>Q31</f>
        <v>0.78</v>
      </c>
      <c r="C31" s="184"/>
      <c r="D31" s="173" t="s">
        <v>41</v>
      </c>
      <c r="E31" s="173" t="s">
        <v>38</v>
      </c>
      <c r="F31" s="173" t="s">
        <v>29</v>
      </c>
      <c r="G31" s="185" t="s">
        <v>60</v>
      </c>
      <c r="H31" s="173" t="s">
        <v>33</v>
      </c>
      <c r="I31" s="173">
        <v>2</v>
      </c>
      <c r="J31" s="173">
        <f t="shared" ref="J31:J37" si="1">LN(B31)</f>
        <v>-0.24846135929849961</v>
      </c>
      <c r="K31" s="173">
        <v>9.6046863561492793E-2</v>
      </c>
      <c r="L31" s="173" t="s">
        <v>31</v>
      </c>
      <c r="M31" s="173" t="s">
        <v>31</v>
      </c>
      <c r="N31" s="173" t="s">
        <v>31</v>
      </c>
      <c r="P31" s="242" t="s">
        <v>332</v>
      </c>
      <c r="Q31" s="264">
        <v>0.78</v>
      </c>
    </row>
    <row r="32" spans="1:21">
      <c r="A32" s="232" t="s">
        <v>1042</v>
      </c>
      <c r="B32" s="173">
        <f>S32</f>
        <v>0.182</v>
      </c>
      <c r="D32" s="173" t="s">
        <v>37</v>
      </c>
      <c r="E32" s="173" t="s">
        <v>38</v>
      </c>
      <c r="F32" s="173" t="s">
        <v>29</v>
      </c>
      <c r="G32" s="173" t="s">
        <v>35</v>
      </c>
      <c r="H32" s="173" t="s">
        <v>33</v>
      </c>
      <c r="I32" s="173">
        <v>2</v>
      </c>
      <c r="J32" s="173">
        <f t="shared" si="1"/>
        <v>-1.7037485919053417</v>
      </c>
      <c r="K32" s="173">
        <v>9.6046863561492793E-2</v>
      </c>
      <c r="L32" s="173" t="s">
        <v>31</v>
      </c>
      <c r="M32" s="173" t="s">
        <v>31</v>
      </c>
      <c r="N32" s="173" t="s">
        <v>31</v>
      </c>
      <c r="P32" s="242" t="s">
        <v>947</v>
      </c>
      <c r="Q32" s="264">
        <v>182</v>
      </c>
      <c r="R32" s="242" t="s">
        <v>337</v>
      </c>
      <c r="S32" s="264">
        <f>0.001*Q32</f>
        <v>0.182</v>
      </c>
    </row>
    <row r="33" spans="1:21">
      <c r="A33" s="232" t="s">
        <v>1043</v>
      </c>
      <c r="B33" s="173">
        <f>Q33</f>
        <v>3.4</v>
      </c>
      <c r="D33" s="173" t="s">
        <v>37</v>
      </c>
      <c r="E33" s="173" t="s">
        <v>38</v>
      </c>
      <c r="F33" s="173" t="s">
        <v>29</v>
      </c>
      <c r="G33" s="185" t="s">
        <v>39</v>
      </c>
      <c r="H33" s="173" t="s">
        <v>33</v>
      </c>
      <c r="I33" s="173">
        <v>2</v>
      </c>
      <c r="J33" s="173">
        <f t="shared" si="1"/>
        <v>1.2237754316221157</v>
      </c>
      <c r="K33" s="173">
        <v>9.6046863561492793E-2</v>
      </c>
      <c r="L33" s="173" t="s">
        <v>31</v>
      </c>
      <c r="M33" s="173" t="s">
        <v>31</v>
      </c>
      <c r="N33" s="173" t="s">
        <v>31</v>
      </c>
      <c r="P33" s="242" t="s">
        <v>337</v>
      </c>
      <c r="Q33" s="264">
        <v>3.4</v>
      </c>
    </row>
    <row r="34" spans="1:21">
      <c r="A34" s="292" t="s">
        <v>94</v>
      </c>
      <c r="B34" s="173">
        <f>S35</f>
        <v>0.68900000000000006</v>
      </c>
      <c r="C34" s="271" t="s">
        <v>95</v>
      </c>
      <c r="D34" s="173" t="s">
        <v>37</v>
      </c>
      <c r="E34" s="173" t="s">
        <v>38</v>
      </c>
      <c r="F34" s="173" t="s">
        <v>29</v>
      </c>
      <c r="G34" s="185" t="s">
        <v>35</v>
      </c>
      <c r="H34" s="173" t="s">
        <v>33</v>
      </c>
      <c r="I34" s="173">
        <v>2</v>
      </c>
      <c r="J34" s="173">
        <f t="shared" si="1"/>
        <v>-0.37251400796847839</v>
      </c>
      <c r="K34" s="173">
        <v>9.6046863561492793E-2</v>
      </c>
      <c r="L34" s="173" t="s">
        <v>31</v>
      </c>
      <c r="M34" s="173" t="s">
        <v>31</v>
      </c>
      <c r="N34" s="173" t="s">
        <v>31</v>
      </c>
      <c r="P34" s="242"/>
      <c r="Q34" s="264">
        <v>689</v>
      </c>
    </row>
    <row r="35" spans="1:21">
      <c r="A35" s="271" t="s">
        <v>93</v>
      </c>
      <c r="B35" s="173">
        <f>S35</f>
        <v>0.68900000000000006</v>
      </c>
      <c r="D35" s="173" t="s">
        <v>37</v>
      </c>
      <c r="E35" s="173" t="s">
        <v>38</v>
      </c>
      <c r="F35" s="173" t="s">
        <v>29</v>
      </c>
      <c r="G35" s="173" t="s">
        <v>35</v>
      </c>
      <c r="H35" s="173" t="s">
        <v>33</v>
      </c>
      <c r="I35" s="173">
        <v>2</v>
      </c>
      <c r="J35" s="173">
        <f t="shared" si="1"/>
        <v>-0.37251400796847839</v>
      </c>
      <c r="K35" s="173">
        <v>9.6046863561492793E-2</v>
      </c>
      <c r="L35" s="173" t="s">
        <v>31</v>
      </c>
      <c r="M35" s="173" t="s">
        <v>31</v>
      </c>
      <c r="N35" s="173" t="s">
        <v>31</v>
      </c>
      <c r="P35" s="268" t="s">
        <v>947</v>
      </c>
      <c r="Q35" s="173">
        <v>689</v>
      </c>
      <c r="R35" s="242" t="s">
        <v>337</v>
      </c>
      <c r="S35" s="264">
        <f>0.001*Q35</f>
        <v>0.68900000000000006</v>
      </c>
    </row>
    <row r="36" spans="1:21">
      <c r="A36" s="232" t="s">
        <v>1047</v>
      </c>
      <c r="B36" s="173">
        <f t="shared" ref="B36" si="2">S36</f>
        <v>0.68900000000000006</v>
      </c>
      <c r="D36" s="173" t="s">
        <v>37</v>
      </c>
      <c r="E36" s="173" t="s">
        <v>38</v>
      </c>
      <c r="F36" s="173" t="s">
        <v>29</v>
      </c>
      <c r="G36" s="173" t="s">
        <v>60</v>
      </c>
      <c r="H36" s="173" t="s">
        <v>98</v>
      </c>
      <c r="I36" s="173">
        <v>2</v>
      </c>
      <c r="J36" s="173">
        <f t="shared" si="1"/>
        <v>-0.37251400796847839</v>
      </c>
      <c r="K36" s="173">
        <v>9.6046863561492793E-2</v>
      </c>
      <c r="L36" s="173" t="s">
        <v>31</v>
      </c>
      <c r="M36" s="173" t="s">
        <v>31</v>
      </c>
      <c r="N36" s="173" t="s">
        <v>31</v>
      </c>
      <c r="P36" s="268" t="s">
        <v>947</v>
      </c>
      <c r="Q36" s="269">
        <v>689</v>
      </c>
      <c r="R36" s="242" t="s">
        <v>337</v>
      </c>
      <c r="S36" s="264">
        <f t="shared" ref="S36:S37" si="3">0.001*Q36</f>
        <v>0.68900000000000006</v>
      </c>
    </row>
    <row r="37" spans="1:21">
      <c r="A37" s="232" t="s">
        <v>1238</v>
      </c>
      <c r="B37" s="173">
        <f>S37</f>
        <v>0.182</v>
      </c>
      <c r="D37" s="173" t="s">
        <v>37</v>
      </c>
      <c r="E37" s="173" t="s">
        <v>38</v>
      </c>
      <c r="F37" s="173" t="s">
        <v>29</v>
      </c>
      <c r="G37" s="185" t="s">
        <v>39</v>
      </c>
      <c r="H37" s="173" t="s">
        <v>33</v>
      </c>
      <c r="I37" s="173">
        <v>2</v>
      </c>
      <c r="J37" s="173">
        <f t="shared" si="1"/>
        <v>-1.7037485919053417</v>
      </c>
      <c r="K37" s="173">
        <v>9.6046863561492793E-2</v>
      </c>
      <c r="L37" s="173" t="s">
        <v>31</v>
      </c>
      <c r="M37" s="173" t="s">
        <v>31</v>
      </c>
      <c r="N37" s="173" t="s">
        <v>31</v>
      </c>
      <c r="P37" s="268" t="s">
        <v>947</v>
      </c>
      <c r="Q37" s="269">
        <v>182</v>
      </c>
      <c r="R37" s="242" t="s">
        <v>337</v>
      </c>
      <c r="S37" s="264">
        <f t="shared" si="3"/>
        <v>0.182</v>
      </c>
    </row>
    <row r="38" spans="1:21" s="188" customFormat="1">
      <c r="A38" s="209" t="s">
        <v>5</v>
      </c>
      <c r="B38" s="210" t="s">
        <v>1493</v>
      </c>
      <c r="C38" s="210"/>
    </row>
    <row r="39" spans="1:21">
      <c r="A39" s="177" t="s">
        <v>7</v>
      </c>
      <c r="B39" s="173" t="s">
        <v>566</v>
      </c>
      <c r="D39" s="176"/>
    </row>
    <row r="40" spans="1:21">
      <c r="A40" s="276" t="s">
        <v>9</v>
      </c>
      <c r="B40" s="173" t="s">
        <v>1494</v>
      </c>
      <c r="D40" s="176"/>
    </row>
    <row r="41" spans="1:21" ht="15.75" customHeight="1">
      <c r="A41" s="177" t="s">
        <v>11</v>
      </c>
      <c r="B41" s="179" t="s">
        <v>913</v>
      </c>
      <c r="C41" s="179"/>
    </row>
    <row r="42" spans="1:21">
      <c r="A42" s="177" t="s">
        <v>13</v>
      </c>
      <c r="B42" s="173" t="s">
        <v>14</v>
      </c>
    </row>
    <row r="43" spans="1:21">
      <c r="A43" s="177" t="s">
        <v>15</v>
      </c>
      <c r="B43" s="191">
        <f>B48</f>
        <v>6.89</v>
      </c>
      <c r="C43" s="191"/>
    </row>
    <row r="44" spans="1:21">
      <c r="A44" s="177" t="s">
        <v>16</v>
      </c>
      <c r="B44" s="173" t="s">
        <v>17</v>
      </c>
    </row>
    <row r="45" spans="1:21">
      <c r="A45" s="177" t="s">
        <v>18</v>
      </c>
      <c r="B45" s="173" t="s">
        <v>37</v>
      </c>
    </row>
    <row r="46" spans="1:21">
      <c r="A46" s="174" t="s">
        <v>19</v>
      </c>
    </row>
    <row r="47" spans="1:21">
      <c r="A47" s="175" t="s">
        <v>20</v>
      </c>
      <c r="B47" s="175" t="s">
        <v>21</v>
      </c>
      <c r="C47" s="221" t="s">
        <v>78</v>
      </c>
      <c r="D47" s="175" t="s">
        <v>18</v>
      </c>
      <c r="E47" s="175" t="s">
        <v>22</v>
      </c>
      <c r="F47" s="175" t="s">
        <v>7</v>
      </c>
      <c r="G47" s="175" t="s">
        <v>13</v>
      </c>
      <c r="H47" s="175" t="s">
        <v>16</v>
      </c>
      <c r="I47" s="175" t="s">
        <v>23</v>
      </c>
      <c r="J47" s="175" t="s">
        <v>24</v>
      </c>
      <c r="K47" s="175" t="s">
        <v>25</v>
      </c>
      <c r="L47" s="175" t="s">
        <v>26</v>
      </c>
      <c r="M47" s="175" t="s">
        <v>27</v>
      </c>
      <c r="N47" s="175" t="s">
        <v>28</v>
      </c>
      <c r="O47" s="175" t="s">
        <v>11</v>
      </c>
      <c r="U47" s="265"/>
    </row>
    <row r="48" spans="1:21">
      <c r="A48" s="173" t="s">
        <v>1493</v>
      </c>
      <c r="B48" s="173">
        <f>Q48</f>
        <v>6.89</v>
      </c>
      <c r="D48" s="173" t="s">
        <v>37</v>
      </c>
      <c r="E48" s="258" t="s">
        <v>2</v>
      </c>
      <c r="F48" s="173" t="s">
        <v>29</v>
      </c>
      <c r="G48" s="173" t="s">
        <v>14</v>
      </c>
      <c r="H48" s="173" t="s">
        <v>30</v>
      </c>
      <c r="I48" s="173">
        <v>2</v>
      </c>
      <c r="J48" s="173">
        <f>LN(B48)</f>
        <v>1.9300710850255671</v>
      </c>
      <c r="K48" s="173">
        <v>0.10307764064044142</v>
      </c>
      <c r="L48" s="173" t="s">
        <v>31</v>
      </c>
      <c r="M48" s="173" t="s">
        <v>31</v>
      </c>
      <c r="N48" s="173" t="s">
        <v>31</v>
      </c>
      <c r="Q48" s="344">
        <v>6.89</v>
      </c>
    </row>
    <row r="49" spans="1:25">
      <c r="A49" s="232" t="s">
        <v>1047</v>
      </c>
      <c r="B49" s="173">
        <f>Q49</f>
        <v>14.5</v>
      </c>
      <c r="D49" s="173" t="s">
        <v>37</v>
      </c>
      <c r="E49" s="173" t="s">
        <v>38</v>
      </c>
      <c r="F49" s="173" t="s">
        <v>29</v>
      </c>
      <c r="G49" s="173" t="s">
        <v>60</v>
      </c>
      <c r="H49" s="173" t="s">
        <v>33</v>
      </c>
      <c r="I49" s="173">
        <v>2</v>
      </c>
      <c r="J49" s="173">
        <f t="shared" ref="J49:J57" si="4">LN(B49)</f>
        <v>2.6741486494265287</v>
      </c>
      <c r="K49" s="173">
        <v>4.9999999999998969E-3</v>
      </c>
      <c r="L49" s="173" t="s">
        <v>31</v>
      </c>
      <c r="M49" s="173" t="s">
        <v>31</v>
      </c>
      <c r="N49" s="173" t="s">
        <v>31</v>
      </c>
      <c r="P49" s="242" t="s">
        <v>337</v>
      </c>
      <c r="Q49" s="264">
        <v>14.5</v>
      </c>
    </row>
    <row r="50" spans="1:25">
      <c r="A50" s="293" t="s">
        <v>170</v>
      </c>
      <c r="B50" s="173">
        <f>S50</f>
        <v>3.864229765013055</v>
      </c>
      <c r="D50" s="173" t="s">
        <v>50</v>
      </c>
      <c r="E50" s="173" t="s">
        <v>38</v>
      </c>
      <c r="F50" s="173" t="s">
        <v>29</v>
      </c>
      <c r="G50" s="173" t="s">
        <v>333</v>
      </c>
      <c r="H50" s="173" t="s">
        <v>33</v>
      </c>
      <c r="I50" s="173">
        <v>2</v>
      </c>
      <c r="J50" s="173">
        <f t="shared" si="4"/>
        <v>1.3517623775775147</v>
      </c>
      <c r="K50" s="173">
        <v>4.9999999999998969E-3</v>
      </c>
      <c r="L50" s="173" t="s">
        <v>31</v>
      </c>
      <c r="M50" s="173" t="s">
        <v>31</v>
      </c>
      <c r="N50" s="173" t="s">
        <v>31</v>
      </c>
      <c r="P50" s="242" t="s">
        <v>331</v>
      </c>
      <c r="Q50" s="264">
        <v>148</v>
      </c>
      <c r="R50" s="173" t="s">
        <v>335</v>
      </c>
      <c r="S50" s="173">
        <f>Q50/38.3</f>
        <v>3.864229765013055</v>
      </c>
      <c r="T50" s="345"/>
      <c r="U50" s="346"/>
      <c r="V50" s="346"/>
      <c r="W50" s="346"/>
      <c r="X50" s="346"/>
      <c r="Y50" s="346"/>
    </row>
    <row r="51" spans="1:25">
      <c r="A51" s="177" t="s">
        <v>168</v>
      </c>
      <c r="B51" s="184">
        <f>Q51</f>
        <v>35.6</v>
      </c>
      <c r="C51" s="184"/>
      <c r="D51" s="173" t="s">
        <v>41</v>
      </c>
      <c r="E51" s="173" t="s">
        <v>38</v>
      </c>
      <c r="F51" s="173" t="s">
        <v>29</v>
      </c>
      <c r="G51" s="185" t="s">
        <v>60</v>
      </c>
      <c r="H51" s="173" t="s">
        <v>33</v>
      </c>
      <c r="I51" s="173">
        <v>2</v>
      </c>
      <c r="J51" s="173">
        <f t="shared" si="4"/>
        <v>3.572345637857985</v>
      </c>
      <c r="K51" s="173">
        <v>4.9999999999998969E-3</v>
      </c>
      <c r="L51" s="173" t="s">
        <v>31</v>
      </c>
      <c r="M51" s="173" t="s">
        <v>31</v>
      </c>
      <c r="N51" s="173" t="s">
        <v>31</v>
      </c>
      <c r="P51" s="242" t="s">
        <v>332</v>
      </c>
      <c r="Q51" s="264">
        <v>35.6</v>
      </c>
    </row>
    <row r="52" spans="1:25">
      <c r="A52" s="232" t="s">
        <v>1049</v>
      </c>
      <c r="B52" s="173">
        <f>S52</f>
        <v>0.27</v>
      </c>
      <c r="D52" s="173" t="s">
        <v>37</v>
      </c>
      <c r="E52" s="173" t="s">
        <v>38</v>
      </c>
      <c r="F52" s="173" t="s">
        <v>29</v>
      </c>
      <c r="G52" s="173" t="s">
        <v>35</v>
      </c>
      <c r="H52" s="173" t="s">
        <v>33</v>
      </c>
      <c r="I52" s="173">
        <v>2</v>
      </c>
      <c r="J52" s="173">
        <f t="shared" si="4"/>
        <v>-1.3093333199837622</v>
      </c>
      <c r="K52" s="173">
        <v>0.10049875621120885</v>
      </c>
      <c r="L52" s="173" t="s">
        <v>31</v>
      </c>
      <c r="M52" s="173" t="s">
        <v>31</v>
      </c>
      <c r="N52" s="173" t="s">
        <v>31</v>
      </c>
      <c r="P52" s="242" t="s">
        <v>947</v>
      </c>
      <c r="Q52" s="264">
        <v>270</v>
      </c>
      <c r="R52" s="242" t="s">
        <v>337</v>
      </c>
      <c r="S52" s="264">
        <f t="shared" ref="S52:S54" si="5">0.001*Q52</f>
        <v>0.27</v>
      </c>
    </row>
    <row r="53" spans="1:25" ht="15">
      <c r="A53" s="232" t="s">
        <v>1050</v>
      </c>
      <c r="B53" s="173">
        <f>S53</f>
        <v>5.4999999999999997E-3</v>
      </c>
      <c r="D53" s="173" t="s">
        <v>37</v>
      </c>
      <c r="E53" s="173" t="s">
        <v>43</v>
      </c>
      <c r="F53" s="173" t="s">
        <v>44</v>
      </c>
      <c r="G53" s="173" t="s">
        <v>29</v>
      </c>
      <c r="H53" s="173" t="s">
        <v>45</v>
      </c>
      <c r="I53" s="173">
        <v>2</v>
      </c>
      <c r="J53" s="173">
        <f t="shared" si="4"/>
        <v>-5.2030071867437115</v>
      </c>
      <c r="K53" s="173">
        <v>4.9999999999998969E-3</v>
      </c>
      <c r="L53" s="173" t="s">
        <v>31</v>
      </c>
      <c r="M53" s="173" t="s">
        <v>31</v>
      </c>
      <c r="N53" s="173" t="s">
        <v>31</v>
      </c>
      <c r="P53" s="266" t="s">
        <v>947</v>
      </c>
      <c r="Q53" s="365">
        <v>5.5</v>
      </c>
      <c r="R53" s="242" t="s">
        <v>337</v>
      </c>
      <c r="S53" s="264">
        <f t="shared" si="5"/>
        <v>5.4999999999999997E-3</v>
      </c>
    </row>
    <row r="54" spans="1:25" ht="15">
      <c r="A54" s="177" t="s">
        <v>941</v>
      </c>
      <c r="B54" s="173">
        <f>S54</f>
        <v>1.37E-2</v>
      </c>
      <c r="D54" s="173" t="s">
        <v>37</v>
      </c>
      <c r="E54" s="173" t="s">
        <v>43</v>
      </c>
      <c r="F54" s="173" t="s">
        <v>44</v>
      </c>
      <c r="G54" s="185" t="s">
        <v>29</v>
      </c>
      <c r="H54" s="173" t="s">
        <v>45</v>
      </c>
      <c r="I54" s="173">
        <v>2</v>
      </c>
      <c r="J54" s="173">
        <f t="shared" si="4"/>
        <v>-4.2903594461480576</v>
      </c>
      <c r="K54" s="173">
        <v>8.9582364335844641E-2</v>
      </c>
      <c r="L54" s="173" t="s">
        <v>31</v>
      </c>
      <c r="M54" s="173" t="s">
        <v>31</v>
      </c>
      <c r="N54" s="173" t="s">
        <v>31</v>
      </c>
      <c r="P54" s="266" t="s">
        <v>947</v>
      </c>
      <c r="Q54" s="365">
        <v>13.7</v>
      </c>
      <c r="R54" s="242" t="s">
        <v>337</v>
      </c>
      <c r="S54" s="264">
        <f t="shared" si="5"/>
        <v>1.37E-2</v>
      </c>
    </row>
    <row r="55" spans="1:25">
      <c r="A55" s="292" t="s">
        <v>94</v>
      </c>
      <c r="B55" s="173">
        <f>B56</f>
        <v>0.82</v>
      </c>
      <c r="C55" s="271" t="s">
        <v>95</v>
      </c>
      <c r="D55" s="173" t="s">
        <v>37</v>
      </c>
      <c r="E55" s="173" t="s">
        <v>38</v>
      </c>
      <c r="F55" s="173" t="s">
        <v>29</v>
      </c>
      <c r="G55" s="185" t="s">
        <v>35</v>
      </c>
      <c r="H55" s="173" t="s">
        <v>33</v>
      </c>
      <c r="I55" s="173">
        <v>2</v>
      </c>
      <c r="J55" s="173">
        <f t="shared" si="4"/>
        <v>-0.19845093872383832</v>
      </c>
      <c r="K55" s="173">
        <v>9.6046863561492793E-2</v>
      </c>
      <c r="L55" s="173" t="s">
        <v>31</v>
      </c>
      <c r="M55" s="173" t="s">
        <v>31</v>
      </c>
      <c r="N55" s="173" t="s">
        <v>31</v>
      </c>
      <c r="P55" s="266"/>
      <c r="Q55" s="295"/>
      <c r="R55" s="286"/>
      <c r="S55" s="287"/>
    </row>
    <row r="56" spans="1:25">
      <c r="A56" s="271" t="s">
        <v>93</v>
      </c>
      <c r="B56" s="173">
        <f>Q56</f>
        <v>0.82</v>
      </c>
      <c r="D56" s="173" t="s">
        <v>37</v>
      </c>
      <c r="E56" s="173" t="s">
        <v>38</v>
      </c>
      <c r="F56" s="173" t="s">
        <v>29</v>
      </c>
      <c r="G56" s="173" t="s">
        <v>35</v>
      </c>
      <c r="H56" s="173" t="s">
        <v>33</v>
      </c>
      <c r="I56" s="173">
        <v>2</v>
      </c>
      <c r="J56" s="173">
        <f t="shared" si="4"/>
        <v>-0.19845093872383832</v>
      </c>
      <c r="K56" s="173">
        <v>4.9999999999998969E-3</v>
      </c>
      <c r="L56" s="173" t="s">
        <v>31</v>
      </c>
      <c r="M56" s="173" t="s">
        <v>31</v>
      </c>
      <c r="N56" s="173" t="s">
        <v>31</v>
      </c>
      <c r="P56" s="268" t="s">
        <v>337</v>
      </c>
      <c r="Q56" s="269">
        <v>0.82</v>
      </c>
    </row>
    <row r="57" spans="1:25">
      <c r="A57" s="232" t="s">
        <v>1047</v>
      </c>
      <c r="B57" s="173">
        <f>Q56</f>
        <v>0.82</v>
      </c>
      <c r="D57" s="173" t="s">
        <v>37</v>
      </c>
      <c r="E57" s="173" t="s">
        <v>38</v>
      </c>
      <c r="F57" s="173" t="s">
        <v>29</v>
      </c>
      <c r="G57" s="173" t="s">
        <v>60</v>
      </c>
      <c r="H57" s="173" t="s">
        <v>98</v>
      </c>
      <c r="I57" s="173">
        <v>2</v>
      </c>
      <c r="J57" s="173">
        <f t="shared" si="4"/>
        <v>-0.19845093872383832</v>
      </c>
      <c r="K57" s="173">
        <v>4.9999999999998969E-3</v>
      </c>
      <c r="L57" s="173" t="s">
        <v>31</v>
      </c>
      <c r="M57" s="173" t="s">
        <v>31</v>
      </c>
      <c r="N57" s="173" t="s">
        <v>31</v>
      </c>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BE071-D723-4542-AA3B-972EBE2BAA72}">
  <sheetPr>
    <tabColor theme="5"/>
  </sheetPr>
  <dimension ref="A1:U363"/>
  <sheetViews>
    <sheetView zoomScale="85" zoomScaleNormal="85" workbookViewId="0">
      <selection activeCell="H12" sqref="H12"/>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5</v>
      </c>
      <c r="B2" s="210" t="s">
        <v>1465</v>
      </c>
      <c r="C2" s="211"/>
      <c r="D2" s="188"/>
      <c r="E2" s="188"/>
      <c r="F2" s="188"/>
      <c r="G2" s="188"/>
      <c r="H2" s="188"/>
      <c r="I2" s="188"/>
      <c r="J2" s="188"/>
      <c r="K2" s="188"/>
      <c r="L2" s="188"/>
      <c r="M2" s="188"/>
      <c r="N2" s="173"/>
      <c r="O2" s="173"/>
      <c r="P2" s="173"/>
      <c r="Q2" s="173"/>
      <c r="R2" s="173"/>
      <c r="S2" s="173"/>
      <c r="T2" s="173"/>
      <c r="U2" s="173"/>
    </row>
    <row r="3" spans="1:21">
      <c r="A3" s="177" t="s">
        <v>7</v>
      </c>
      <c r="B3" s="173" t="s">
        <v>566</v>
      </c>
      <c r="C3" s="176"/>
      <c r="D3" s="173"/>
      <c r="E3" s="173"/>
      <c r="F3" s="173"/>
      <c r="G3" s="173"/>
      <c r="H3" s="173"/>
      <c r="I3" s="173"/>
      <c r="J3" s="173"/>
      <c r="K3" s="173"/>
      <c r="L3" s="173"/>
      <c r="M3" s="173"/>
      <c r="N3" s="173"/>
      <c r="O3" s="173"/>
      <c r="P3" s="173"/>
      <c r="Q3" s="173"/>
      <c r="R3" s="173"/>
      <c r="S3" s="173"/>
      <c r="T3" s="173"/>
      <c r="U3" s="173"/>
    </row>
    <row r="4" spans="1:21">
      <c r="A4" s="177" t="s">
        <v>9</v>
      </c>
      <c r="B4" s="173" t="s">
        <v>1495</v>
      </c>
      <c r="C4" s="176"/>
      <c r="D4" s="173"/>
      <c r="E4" s="173"/>
      <c r="F4" s="173"/>
      <c r="G4" s="173"/>
      <c r="H4" s="173"/>
      <c r="I4" s="173"/>
      <c r="J4" s="173"/>
      <c r="K4" s="173"/>
      <c r="L4" s="173"/>
      <c r="M4" s="173"/>
      <c r="N4" s="173"/>
      <c r="O4" s="173"/>
      <c r="P4" s="173"/>
      <c r="Q4" s="173"/>
      <c r="R4" s="173"/>
      <c r="S4" s="173"/>
      <c r="T4" s="173"/>
      <c r="U4" s="173"/>
    </row>
    <row r="5" spans="1:21" ht="16.5" customHeight="1">
      <c r="A5" s="177" t="s">
        <v>11</v>
      </c>
      <c r="B5" s="179" t="s">
        <v>913</v>
      </c>
      <c r="C5" s="173"/>
      <c r="D5" s="173"/>
      <c r="E5" s="173"/>
      <c r="F5" s="173"/>
      <c r="G5" s="173"/>
      <c r="H5" s="173"/>
      <c r="I5" s="173"/>
      <c r="J5" s="173"/>
      <c r="K5" s="173"/>
      <c r="L5" s="173"/>
      <c r="M5" s="173"/>
      <c r="N5" s="173"/>
      <c r="O5" s="173"/>
      <c r="P5" s="173"/>
      <c r="Q5" s="173"/>
      <c r="R5" s="173"/>
      <c r="S5" s="173"/>
      <c r="T5" s="173"/>
      <c r="U5" s="173"/>
    </row>
    <row r="6" spans="1:21">
      <c r="A6" s="177" t="s">
        <v>13</v>
      </c>
      <c r="B6" s="173" t="s">
        <v>14</v>
      </c>
      <c r="C6" s="173"/>
      <c r="D6" s="173"/>
      <c r="E6" s="173"/>
      <c r="F6" s="173"/>
      <c r="G6" s="173"/>
      <c r="H6" s="173"/>
      <c r="I6" s="173"/>
      <c r="J6" s="173"/>
      <c r="K6" s="173"/>
      <c r="L6" s="173"/>
      <c r="M6" s="173"/>
      <c r="N6" s="173"/>
      <c r="O6" s="173"/>
      <c r="P6" s="173"/>
      <c r="Q6" s="173"/>
      <c r="R6" s="173"/>
      <c r="S6" s="173"/>
      <c r="T6" s="173"/>
      <c r="U6" s="173"/>
    </row>
    <row r="7" spans="1:21">
      <c r="A7" s="177" t="s">
        <v>15</v>
      </c>
      <c r="B7" s="173">
        <f>B12</f>
        <v>5.4</v>
      </c>
      <c r="C7" s="173"/>
      <c r="D7" s="173"/>
      <c r="E7" s="173"/>
      <c r="F7" s="173"/>
      <c r="G7" s="173"/>
      <c r="H7" s="173"/>
      <c r="I7" s="173"/>
      <c r="J7" s="173"/>
      <c r="K7" s="173"/>
      <c r="L7" s="173"/>
      <c r="M7" s="173"/>
      <c r="N7" s="173"/>
      <c r="O7" s="173" t="s">
        <v>1417</v>
      </c>
      <c r="P7" s="173"/>
      <c r="Q7" s="173"/>
      <c r="R7" s="173"/>
      <c r="S7" s="173"/>
      <c r="T7" s="173"/>
      <c r="U7" s="173"/>
    </row>
    <row r="8" spans="1:21">
      <c r="A8" s="177" t="s">
        <v>16</v>
      </c>
      <c r="B8" s="173" t="s">
        <v>17</v>
      </c>
      <c r="C8" s="173"/>
      <c r="D8" s="173"/>
      <c r="E8" s="173"/>
      <c r="F8" s="173"/>
      <c r="G8" s="173"/>
      <c r="H8" s="173"/>
      <c r="I8" s="173"/>
      <c r="J8" s="173"/>
      <c r="K8" s="173"/>
      <c r="L8" s="173"/>
      <c r="M8" s="173"/>
      <c r="N8" s="173"/>
      <c r="O8" s="173"/>
      <c r="P8" s="173"/>
      <c r="Q8" s="173"/>
      <c r="R8" s="173"/>
      <c r="S8" s="173"/>
      <c r="T8" s="173"/>
      <c r="U8" s="173"/>
    </row>
    <row r="9" spans="1:21">
      <c r="A9" s="177" t="s">
        <v>18</v>
      </c>
      <c r="B9" s="173" t="s">
        <v>37</v>
      </c>
      <c r="C9" s="173"/>
      <c r="D9" s="173"/>
      <c r="E9" s="173"/>
      <c r="F9" s="173"/>
      <c r="G9" s="173"/>
      <c r="H9" s="173"/>
      <c r="I9" s="173"/>
      <c r="J9" s="173"/>
      <c r="K9" s="173"/>
      <c r="L9" s="173"/>
      <c r="M9" s="173"/>
      <c r="N9" s="173"/>
      <c r="O9" s="173"/>
      <c r="P9" s="173"/>
      <c r="Q9" s="173"/>
      <c r="R9" s="173"/>
      <c r="S9" s="173"/>
      <c r="T9" s="173"/>
      <c r="U9" s="173"/>
    </row>
    <row r="10" spans="1:21">
      <c r="A10" s="174" t="s">
        <v>19</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173"/>
      <c r="S11" s="173"/>
      <c r="T11" s="173"/>
      <c r="U11" s="173"/>
    </row>
    <row r="12" spans="1:21">
      <c r="A12" s="177" t="s">
        <v>1465</v>
      </c>
      <c r="B12" s="173">
        <f>'2C. GENERATOR INVERTER ACDC'!B16</f>
        <v>5.4</v>
      </c>
      <c r="C12" s="173" t="s">
        <v>37</v>
      </c>
      <c r="D12" s="258" t="s">
        <v>2</v>
      </c>
      <c r="E12" s="173" t="s">
        <v>29</v>
      </c>
      <c r="F12" s="185" t="s">
        <v>14</v>
      </c>
      <c r="G12" s="173" t="s">
        <v>30</v>
      </c>
      <c r="H12" s="173">
        <v>1</v>
      </c>
      <c r="I12" s="173">
        <v>2.8722813232690055E-2</v>
      </c>
      <c r="J12" s="173" t="s">
        <v>31</v>
      </c>
      <c r="K12" s="173" t="s">
        <v>31</v>
      </c>
      <c r="L12" s="173" t="s">
        <v>31</v>
      </c>
      <c r="M12" s="173" t="s">
        <v>31</v>
      </c>
      <c r="N12" s="173"/>
      <c r="O12" s="173"/>
      <c r="P12" s="173"/>
      <c r="Q12" s="173"/>
      <c r="R12" s="173"/>
      <c r="S12" s="173"/>
      <c r="T12" s="173"/>
      <c r="U12" s="173"/>
    </row>
    <row r="13" spans="1:21">
      <c r="A13" s="173" t="s">
        <v>1496</v>
      </c>
      <c r="B13" s="173">
        <v>1</v>
      </c>
      <c r="C13" s="173" t="s">
        <v>18</v>
      </c>
      <c r="D13" s="258" t="s">
        <v>2</v>
      </c>
      <c r="E13" s="173" t="s">
        <v>29</v>
      </c>
      <c r="F13" s="185" t="s">
        <v>14</v>
      </c>
      <c r="G13" s="173" t="s">
        <v>33</v>
      </c>
      <c r="H13" s="173">
        <v>1</v>
      </c>
      <c r="I13" s="173">
        <f>B13</f>
        <v>1</v>
      </c>
      <c r="J13" s="173" t="s">
        <v>31</v>
      </c>
      <c r="K13" s="173" t="s">
        <v>31</v>
      </c>
      <c r="L13" s="173" t="s">
        <v>31</v>
      </c>
      <c r="M13" s="173" t="s">
        <v>31</v>
      </c>
      <c r="N13" s="173"/>
      <c r="O13" s="173"/>
      <c r="P13" s="173"/>
      <c r="Q13" s="173"/>
      <c r="R13" s="173"/>
      <c r="S13" s="173"/>
      <c r="T13" s="173"/>
      <c r="U13" s="173"/>
    </row>
    <row r="14" spans="1:21">
      <c r="A14" s="173" t="s">
        <v>1497</v>
      </c>
      <c r="B14" s="173">
        <v>1</v>
      </c>
      <c r="C14" s="173" t="s">
        <v>18</v>
      </c>
      <c r="D14" s="258" t="s">
        <v>2</v>
      </c>
      <c r="E14" s="173" t="s">
        <v>29</v>
      </c>
      <c r="F14" s="185" t="s">
        <v>14</v>
      </c>
      <c r="G14" s="173" t="s">
        <v>33</v>
      </c>
      <c r="H14" s="173">
        <v>1</v>
      </c>
      <c r="I14" s="173">
        <f>B14</f>
        <v>1</v>
      </c>
      <c r="J14" s="173" t="s">
        <v>31</v>
      </c>
      <c r="K14" s="173" t="s">
        <v>31</v>
      </c>
      <c r="L14" s="173" t="s">
        <v>31</v>
      </c>
      <c r="M14" s="173" t="s">
        <v>31</v>
      </c>
      <c r="N14" s="173"/>
      <c r="O14" s="173"/>
      <c r="P14" s="173"/>
      <c r="Q14" s="173"/>
      <c r="R14" s="173"/>
      <c r="S14" s="173"/>
      <c r="T14" s="173"/>
      <c r="U14" s="173"/>
    </row>
    <row r="15" spans="1:21">
      <c r="A15" s="232" t="s">
        <v>533</v>
      </c>
      <c r="B15" s="231">
        <f>R15</f>
        <v>5.2000000000000006E-4</v>
      </c>
      <c r="C15" s="173" t="s">
        <v>37</v>
      </c>
      <c r="D15" s="173" t="s">
        <v>38</v>
      </c>
      <c r="E15" s="173" t="s">
        <v>29</v>
      </c>
      <c r="F15" s="185" t="s">
        <v>35</v>
      </c>
      <c r="G15" s="173" t="s">
        <v>33</v>
      </c>
      <c r="H15" s="173">
        <v>2</v>
      </c>
      <c r="I15" s="173">
        <f>LN(B15)</f>
        <v>-7.5616817463888006</v>
      </c>
      <c r="J15" s="173">
        <v>2.8722813232690055E-2</v>
      </c>
      <c r="K15" s="173" t="s">
        <v>31</v>
      </c>
      <c r="L15" s="173" t="s">
        <v>31</v>
      </c>
      <c r="M15" s="173" t="s">
        <v>31</v>
      </c>
      <c r="N15" s="173"/>
      <c r="O15" s="222" t="s">
        <v>947</v>
      </c>
      <c r="P15" s="296">
        <v>0.52</v>
      </c>
      <c r="Q15" s="173" t="s">
        <v>337</v>
      </c>
      <c r="R15" s="231">
        <f>P15*0.001</f>
        <v>5.2000000000000006E-4</v>
      </c>
      <c r="S15" s="173"/>
      <c r="T15" s="173"/>
      <c r="U15" s="173"/>
    </row>
    <row r="16" spans="1:21">
      <c r="A16" s="209" t="s">
        <v>5</v>
      </c>
      <c r="B16" s="210" t="s">
        <v>1497</v>
      </c>
      <c r="C16" s="211"/>
      <c r="D16" s="188"/>
      <c r="E16" s="188"/>
      <c r="F16" s="188"/>
      <c r="G16" s="188"/>
      <c r="H16" s="188"/>
      <c r="I16" s="188"/>
      <c r="J16" s="188"/>
      <c r="K16" s="188"/>
      <c r="L16" s="188"/>
      <c r="M16" s="188"/>
      <c r="N16" s="173"/>
      <c r="O16" s="173"/>
      <c r="P16" s="173"/>
      <c r="Q16" s="173"/>
      <c r="R16" s="173"/>
      <c r="S16" s="173"/>
      <c r="T16" s="173"/>
      <c r="U16" s="173"/>
    </row>
    <row r="17" spans="1:21">
      <c r="A17" s="177" t="s">
        <v>7</v>
      </c>
      <c r="B17" s="173" t="s">
        <v>566</v>
      </c>
      <c r="C17" s="176"/>
      <c r="D17" s="173"/>
      <c r="E17" s="173"/>
      <c r="F17" s="173"/>
      <c r="G17" s="173"/>
      <c r="H17" s="173"/>
      <c r="I17" s="173"/>
      <c r="J17" s="173"/>
      <c r="K17" s="173"/>
      <c r="L17" s="173"/>
      <c r="M17" s="173"/>
      <c r="N17" s="173"/>
      <c r="O17" s="173"/>
      <c r="P17" s="173"/>
      <c r="Q17" s="173"/>
      <c r="R17" s="173"/>
      <c r="S17" s="173"/>
      <c r="T17" s="173"/>
      <c r="U17" s="173"/>
    </row>
    <row r="18" spans="1:21">
      <c r="A18" s="177" t="s">
        <v>9</v>
      </c>
      <c r="B18" s="173" t="s">
        <v>1498</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11</v>
      </c>
      <c r="B19" s="179" t="s">
        <v>913</v>
      </c>
      <c r="C19" s="173"/>
      <c r="D19" s="173"/>
      <c r="E19" s="173"/>
      <c r="F19" s="173"/>
      <c r="G19" s="173"/>
      <c r="H19" s="173"/>
      <c r="I19" s="173"/>
      <c r="J19" s="173"/>
      <c r="K19" s="173"/>
      <c r="L19" s="173"/>
      <c r="M19" s="173"/>
      <c r="N19" s="173"/>
      <c r="O19" s="173"/>
      <c r="P19" s="173"/>
      <c r="Q19" s="173"/>
      <c r="R19" s="173"/>
      <c r="S19" s="173"/>
      <c r="T19" s="173"/>
      <c r="U19" s="173"/>
    </row>
    <row r="20" spans="1:21">
      <c r="A20" s="177" t="s">
        <v>13</v>
      </c>
      <c r="B20" s="173" t="s">
        <v>14</v>
      </c>
      <c r="C20" s="173"/>
      <c r="D20" s="173"/>
      <c r="E20" s="173"/>
      <c r="F20" s="173"/>
      <c r="G20" s="173"/>
      <c r="H20" s="173"/>
      <c r="I20" s="173"/>
      <c r="J20" s="173"/>
      <c r="K20" s="173"/>
      <c r="L20" s="173"/>
      <c r="M20" s="173"/>
      <c r="N20" s="173"/>
      <c r="O20" s="173"/>
      <c r="P20" s="173"/>
      <c r="Q20" s="173"/>
      <c r="R20" s="173"/>
      <c r="S20" s="173"/>
      <c r="T20" s="173"/>
      <c r="U20" s="173"/>
    </row>
    <row r="21" spans="1:21">
      <c r="A21" s="177" t="s">
        <v>15</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16</v>
      </c>
      <c r="B22" s="173" t="s">
        <v>17</v>
      </c>
      <c r="C22" s="173"/>
      <c r="D22" s="173"/>
      <c r="E22" s="173"/>
      <c r="F22" s="173"/>
      <c r="G22" s="173"/>
      <c r="H22" s="173"/>
      <c r="I22" s="173"/>
      <c r="J22" s="173"/>
      <c r="K22" s="173"/>
      <c r="L22" s="173"/>
      <c r="M22" s="173"/>
      <c r="N22" s="173"/>
      <c r="O22" s="173"/>
      <c r="P22" s="173"/>
      <c r="Q22" s="173"/>
      <c r="R22" s="173"/>
      <c r="S22" s="173"/>
      <c r="T22" s="173"/>
      <c r="U22" s="173"/>
    </row>
    <row r="23" spans="1:21">
      <c r="A23" s="177" t="s">
        <v>18</v>
      </c>
      <c r="B23" s="173" t="s">
        <v>18</v>
      </c>
      <c r="C23" s="173"/>
      <c r="D23" s="173"/>
      <c r="E23" s="173"/>
      <c r="F23" s="173"/>
      <c r="G23" s="173"/>
      <c r="H23" s="173"/>
      <c r="I23" s="173"/>
      <c r="J23" s="173"/>
      <c r="K23" s="173"/>
      <c r="L23" s="173"/>
      <c r="M23" s="173"/>
      <c r="N23" s="173"/>
      <c r="O23" s="173"/>
      <c r="P23" s="173"/>
      <c r="Q23" s="173"/>
      <c r="R23" s="173"/>
      <c r="S23" s="173"/>
      <c r="T23" s="173"/>
      <c r="U23" s="173"/>
    </row>
    <row r="24" spans="1:21">
      <c r="A24" s="174" t="s">
        <v>19</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20</v>
      </c>
      <c r="B25" s="175" t="s">
        <v>21</v>
      </c>
      <c r="C25" s="175" t="s">
        <v>18</v>
      </c>
      <c r="D25" s="175" t="s">
        <v>22</v>
      </c>
      <c r="E25" s="175" t="s">
        <v>7</v>
      </c>
      <c r="F25" s="175" t="s">
        <v>13</v>
      </c>
      <c r="G25" s="175" t="s">
        <v>16</v>
      </c>
      <c r="H25" s="175" t="s">
        <v>23</v>
      </c>
      <c r="I25" s="175" t="s">
        <v>24</v>
      </c>
      <c r="J25" s="175" t="s">
        <v>25</v>
      </c>
      <c r="K25" s="175" t="s">
        <v>26</v>
      </c>
      <c r="L25" s="175" t="s">
        <v>27</v>
      </c>
      <c r="M25" s="175" t="s">
        <v>28</v>
      </c>
      <c r="N25" s="175" t="s">
        <v>11</v>
      </c>
      <c r="O25" s="173"/>
      <c r="P25" s="173"/>
      <c r="Q25" s="173"/>
      <c r="R25" s="173"/>
      <c r="S25" s="173"/>
      <c r="T25" s="173"/>
      <c r="U25" s="173"/>
    </row>
    <row r="26" spans="1:21">
      <c r="A26" s="173" t="s">
        <v>1497</v>
      </c>
      <c r="B26" s="173">
        <v>1</v>
      </c>
      <c r="C26" s="173" t="s">
        <v>18</v>
      </c>
      <c r="D26" s="258" t="s">
        <v>2</v>
      </c>
      <c r="E26" s="173" t="s">
        <v>29</v>
      </c>
      <c r="F26" s="185" t="s">
        <v>14</v>
      </c>
      <c r="G26" s="173" t="s">
        <v>30</v>
      </c>
      <c r="H26" s="173">
        <v>1</v>
      </c>
      <c r="I26" s="173">
        <f>B26</f>
        <v>1</v>
      </c>
      <c r="J26" s="173" t="s">
        <v>31</v>
      </c>
      <c r="K26" s="173" t="s">
        <v>31</v>
      </c>
      <c r="L26" s="173" t="s">
        <v>31</v>
      </c>
      <c r="M26" s="173" t="s">
        <v>31</v>
      </c>
      <c r="N26" s="173"/>
      <c r="O26" s="173"/>
      <c r="P26" s="173"/>
      <c r="Q26" s="173"/>
      <c r="R26" s="173"/>
      <c r="S26" s="173"/>
      <c r="T26" s="173"/>
      <c r="U26" s="173"/>
    </row>
    <row r="27" spans="1:21">
      <c r="A27" s="232" t="s">
        <v>1056</v>
      </c>
      <c r="B27" s="173">
        <f>P27</f>
        <v>1.02</v>
      </c>
      <c r="C27" s="173" t="s">
        <v>37</v>
      </c>
      <c r="D27" s="173" t="s">
        <v>38</v>
      </c>
      <c r="E27" s="173" t="s">
        <v>29</v>
      </c>
      <c r="F27" s="173" t="s">
        <v>60</v>
      </c>
      <c r="G27" s="173" t="s">
        <v>33</v>
      </c>
      <c r="H27" s="173">
        <v>1</v>
      </c>
      <c r="I27" s="173">
        <f>B27</f>
        <v>1.02</v>
      </c>
      <c r="J27" s="173" t="s">
        <v>31</v>
      </c>
      <c r="K27" s="173" t="s">
        <v>31</v>
      </c>
      <c r="L27" s="173" t="s">
        <v>31</v>
      </c>
      <c r="M27" s="173" t="s">
        <v>31</v>
      </c>
      <c r="N27" s="173"/>
      <c r="O27" s="173" t="s">
        <v>337</v>
      </c>
      <c r="P27" s="173">
        <v>1.02</v>
      </c>
      <c r="Q27" s="173"/>
      <c r="R27" s="173"/>
      <c r="S27" s="173"/>
      <c r="T27" s="173"/>
      <c r="U27" s="173"/>
    </row>
    <row r="28" spans="1:21">
      <c r="A28" s="232" t="s">
        <v>1057</v>
      </c>
      <c r="B28" s="173">
        <f>R28</f>
        <v>0.67300000000000004</v>
      </c>
      <c r="C28" s="173" t="s">
        <v>37</v>
      </c>
      <c r="D28" s="173" t="s">
        <v>38</v>
      </c>
      <c r="E28" s="173" t="s">
        <v>29</v>
      </c>
      <c r="F28" s="173" t="s">
        <v>60</v>
      </c>
      <c r="G28" s="173" t="s">
        <v>33</v>
      </c>
      <c r="H28" s="173">
        <v>2</v>
      </c>
      <c r="I28" s="173">
        <f>LN(B28)</f>
        <v>-0.39600994933740918</v>
      </c>
      <c r="J28" s="173">
        <v>3.7749172176353707E-2</v>
      </c>
      <c r="K28" s="173" t="s">
        <v>31</v>
      </c>
      <c r="L28" s="173" t="s">
        <v>31</v>
      </c>
      <c r="M28" s="173" t="s">
        <v>31</v>
      </c>
      <c r="N28" s="173"/>
      <c r="O28" s="242" t="s">
        <v>947</v>
      </c>
      <c r="P28" s="264">
        <v>673</v>
      </c>
      <c r="Q28" s="173" t="s">
        <v>337</v>
      </c>
      <c r="R28" s="173">
        <f>P28*0.001</f>
        <v>0.67300000000000004</v>
      </c>
      <c r="S28" s="173"/>
      <c r="T28" s="173"/>
      <c r="U28" s="173"/>
    </row>
    <row r="29" spans="1:21">
      <c r="A29" s="232" t="s">
        <v>1058</v>
      </c>
      <c r="B29" s="173">
        <f>R29</f>
        <v>4.0200000000000007E-2</v>
      </c>
      <c r="C29" s="173" t="s">
        <v>37</v>
      </c>
      <c r="D29" s="173" t="s">
        <v>38</v>
      </c>
      <c r="E29" s="173" t="s">
        <v>29</v>
      </c>
      <c r="F29" s="173" t="s">
        <v>60</v>
      </c>
      <c r="G29" s="173" t="s">
        <v>33</v>
      </c>
      <c r="H29" s="173">
        <v>2</v>
      </c>
      <c r="I29" s="173">
        <f>LN(B29)</f>
        <v>-3.2138882833571616</v>
      </c>
      <c r="J29" s="173">
        <v>3.7749172176353707E-2</v>
      </c>
      <c r="K29" s="173" t="s">
        <v>31</v>
      </c>
      <c r="L29" s="173" t="s">
        <v>31</v>
      </c>
      <c r="M29" s="173" t="s">
        <v>31</v>
      </c>
      <c r="N29" s="173"/>
      <c r="O29" s="242" t="s">
        <v>947</v>
      </c>
      <c r="P29" s="264">
        <v>40.200000000000003</v>
      </c>
      <c r="Q29" s="173" t="s">
        <v>337</v>
      </c>
      <c r="R29" s="173">
        <f t="shared" ref="R29:R30" si="0">P29*0.001</f>
        <v>4.0200000000000007E-2</v>
      </c>
      <c r="S29" s="173"/>
      <c r="T29" s="173"/>
      <c r="U29" s="173"/>
    </row>
    <row r="30" spans="1:21">
      <c r="A30" s="232" t="s">
        <v>1059</v>
      </c>
      <c r="B30" s="173">
        <f>R30</f>
        <v>0.30399999999999999</v>
      </c>
      <c r="C30" s="173" t="s">
        <v>37</v>
      </c>
      <c r="D30" s="173" t="s">
        <v>38</v>
      </c>
      <c r="E30" s="173" t="s">
        <v>29</v>
      </c>
      <c r="F30" s="173" t="s">
        <v>60</v>
      </c>
      <c r="G30" s="173" t="s">
        <v>33</v>
      </c>
      <c r="H30" s="173">
        <v>2</v>
      </c>
      <c r="I30" s="173">
        <f>LN(B30)</f>
        <v>-1.1907275775759154</v>
      </c>
      <c r="J30" s="173">
        <v>3.7749172176353707E-2</v>
      </c>
      <c r="K30" s="173" t="s">
        <v>31</v>
      </c>
      <c r="L30" s="173" t="s">
        <v>31</v>
      </c>
      <c r="M30" s="173" t="s">
        <v>31</v>
      </c>
      <c r="N30" s="173"/>
      <c r="O30" s="242" t="s">
        <v>947</v>
      </c>
      <c r="P30" s="264">
        <v>304</v>
      </c>
      <c r="Q30" s="173" t="s">
        <v>337</v>
      </c>
      <c r="R30" s="173">
        <f t="shared" si="0"/>
        <v>0.30399999999999999</v>
      </c>
      <c r="S30" s="173"/>
      <c r="T30" s="173"/>
      <c r="U30" s="173"/>
    </row>
    <row r="31" spans="1:21">
      <c r="A31" s="209" t="s">
        <v>5</v>
      </c>
      <c r="B31" s="210" t="s">
        <v>1496</v>
      </c>
      <c r="C31" s="211"/>
      <c r="D31" s="188"/>
      <c r="E31" s="188"/>
      <c r="F31" s="188"/>
      <c r="G31" s="188"/>
      <c r="H31" s="188"/>
      <c r="I31" s="188"/>
      <c r="J31" s="188"/>
      <c r="K31" s="188"/>
      <c r="L31" s="188"/>
      <c r="M31" s="188"/>
      <c r="N31" s="173"/>
      <c r="O31" s="173"/>
      <c r="P31" s="173"/>
      <c r="Q31" s="173"/>
      <c r="R31" s="173"/>
      <c r="S31" s="173"/>
      <c r="T31" s="173"/>
      <c r="U31" s="173"/>
    </row>
    <row r="32" spans="1:21">
      <c r="A32" s="177" t="s">
        <v>7</v>
      </c>
      <c r="B32" s="173" t="s">
        <v>566</v>
      </c>
      <c r="C32" s="176"/>
      <c r="D32" s="173"/>
      <c r="E32" s="173"/>
      <c r="F32" s="173"/>
      <c r="G32" s="173"/>
      <c r="H32" s="173"/>
      <c r="I32" s="173"/>
      <c r="J32" s="173"/>
      <c r="K32" s="173"/>
      <c r="L32" s="173"/>
      <c r="M32" s="173"/>
      <c r="N32" s="173"/>
      <c r="O32" s="173"/>
      <c r="P32" s="173"/>
      <c r="Q32" s="173"/>
      <c r="R32" s="173"/>
      <c r="S32" s="173"/>
      <c r="T32" s="173"/>
      <c r="U32" s="173"/>
    </row>
    <row r="33" spans="1:21">
      <c r="A33" s="177" t="s">
        <v>9</v>
      </c>
      <c r="B33" s="173" t="s">
        <v>1499</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11</v>
      </c>
      <c r="B34" s="179" t="s">
        <v>913</v>
      </c>
      <c r="C34" s="173"/>
      <c r="D34" s="173"/>
      <c r="E34" s="173"/>
      <c r="F34" s="173"/>
      <c r="G34" s="173"/>
      <c r="H34" s="173"/>
      <c r="I34" s="173"/>
      <c r="J34" s="173"/>
      <c r="K34" s="173"/>
      <c r="L34" s="173"/>
      <c r="M34" s="173"/>
      <c r="N34" s="173"/>
      <c r="O34" s="173"/>
      <c r="P34" s="173"/>
      <c r="Q34" s="173"/>
      <c r="R34" s="173"/>
      <c r="S34" s="173"/>
      <c r="T34" s="173"/>
      <c r="U34" s="173"/>
    </row>
    <row r="35" spans="1:21">
      <c r="A35" s="177" t="s">
        <v>13</v>
      </c>
      <c r="B35" s="173" t="s">
        <v>14</v>
      </c>
      <c r="C35" s="173"/>
      <c r="D35" s="173"/>
      <c r="E35" s="173"/>
      <c r="F35" s="173"/>
      <c r="G35" s="173"/>
      <c r="H35" s="173"/>
      <c r="I35" s="173"/>
      <c r="J35" s="173"/>
      <c r="K35" s="173"/>
      <c r="L35" s="173"/>
      <c r="M35" s="173"/>
      <c r="N35" s="173"/>
      <c r="O35" s="173"/>
      <c r="P35" s="173"/>
      <c r="Q35" s="173"/>
      <c r="R35" s="173"/>
      <c r="S35" s="173"/>
      <c r="T35" s="173"/>
      <c r="U35" s="173"/>
    </row>
    <row r="36" spans="1:21">
      <c r="A36" s="177" t="s">
        <v>15</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16</v>
      </c>
      <c r="B37" s="173" t="s">
        <v>17</v>
      </c>
      <c r="C37" s="173"/>
      <c r="D37" s="173"/>
      <c r="E37" s="173"/>
      <c r="F37" s="173"/>
      <c r="G37" s="173"/>
      <c r="H37" s="173"/>
      <c r="I37" s="173"/>
      <c r="J37" s="173"/>
      <c r="K37" s="173"/>
      <c r="L37" s="173"/>
      <c r="M37" s="173"/>
      <c r="N37" s="173"/>
      <c r="O37" s="173"/>
      <c r="P37" s="173"/>
      <c r="Q37" s="173"/>
      <c r="R37" s="173"/>
      <c r="S37" s="173"/>
      <c r="T37" s="173"/>
      <c r="U37" s="173"/>
    </row>
    <row r="38" spans="1:21">
      <c r="A38" s="177" t="s">
        <v>18</v>
      </c>
      <c r="B38" s="173" t="s">
        <v>18</v>
      </c>
      <c r="C38" s="173"/>
      <c r="D38" s="173"/>
      <c r="E38" s="173"/>
      <c r="F38" s="173"/>
      <c r="G38" s="173"/>
      <c r="H38" s="173"/>
      <c r="I38" s="173"/>
      <c r="J38" s="173"/>
      <c r="K38" s="173"/>
      <c r="L38" s="173"/>
      <c r="M38" s="173"/>
      <c r="N38" s="173"/>
      <c r="O38" s="173"/>
      <c r="P38" s="173"/>
      <c r="Q38" s="173"/>
      <c r="R38" s="173"/>
      <c r="S38" s="173"/>
      <c r="T38" s="173"/>
      <c r="U38" s="173"/>
    </row>
    <row r="39" spans="1:21">
      <c r="A39" s="174" t="s">
        <v>19</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20</v>
      </c>
      <c r="B40" s="175" t="s">
        <v>21</v>
      </c>
      <c r="C40" s="175" t="s">
        <v>18</v>
      </c>
      <c r="D40" s="175" t="s">
        <v>22</v>
      </c>
      <c r="E40" s="175" t="s">
        <v>7</v>
      </c>
      <c r="F40" s="175" t="s">
        <v>13</v>
      </c>
      <c r="G40" s="175" t="s">
        <v>16</v>
      </c>
      <c r="H40" s="175" t="s">
        <v>23</v>
      </c>
      <c r="I40" s="175" t="s">
        <v>24</v>
      </c>
      <c r="J40" s="175" t="s">
        <v>25</v>
      </c>
      <c r="K40" s="175" t="s">
        <v>26</v>
      </c>
      <c r="L40" s="175" t="s">
        <v>27</v>
      </c>
      <c r="M40" s="175" t="s">
        <v>28</v>
      </c>
      <c r="N40" s="175" t="s">
        <v>11</v>
      </c>
      <c r="O40" s="173"/>
      <c r="P40" s="173"/>
      <c r="Q40" s="173"/>
      <c r="R40" s="173"/>
      <c r="S40" s="173"/>
      <c r="T40" s="173"/>
      <c r="U40" s="173"/>
    </row>
    <row r="41" spans="1:21">
      <c r="A41" s="173" t="s">
        <v>1496</v>
      </c>
      <c r="B41" s="173">
        <v>1</v>
      </c>
      <c r="C41" s="173" t="s">
        <v>18</v>
      </c>
      <c r="D41" s="258" t="s">
        <v>2</v>
      </c>
      <c r="E41" s="173" t="s">
        <v>29</v>
      </c>
      <c r="F41" s="185" t="s">
        <v>14</v>
      </c>
      <c r="G41" s="173" t="s">
        <v>30</v>
      </c>
      <c r="H41" s="173">
        <v>1</v>
      </c>
      <c r="I41" s="173">
        <f>B41</f>
        <v>1</v>
      </c>
      <c r="J41" s="173" t="s">
        <v>31</v>
      </c>
      <c r="K41" s="173" t="s">
        <v>31</v>
      </c>
      <c r="L41" s="173" t="s">
        <v>31</v>
      </c>
      <c r="M41" s="173" t="s">
        <v>31</v>
      </c>
      <c r="N41" s="173"/>
      <c r="O41" s="173"/>
      <c r="P41" s="173"/>
      <c r="Q41" s="173"/>
      <c r="R41" s="173"/>
      <c r="S41" s="173"/>
      <c r="T41" s="173"/>
      <c r="U41" s="173"/>
    </row>
    <row r="42" spans="1:21">
      <c r="A42" s="232" t="s">
        <v>1500</v>
      </c>
      <c r="B42" s="173">
        <f>B55</f>
        <v>0.36099999999999999</v>
      </c>
      <c r="C42" s="173" t="s">
        <v>37</v>
      </c>
      <c r="D42" s="258" t="s">
        <v>2</v>
      </c>
      <c r="E42" s="173" t="s">
        <v>29</v>
      </c>
      <c r="F42" s="185" t="s">
        <v>14</v>
      </c>
      <c r="G42" s="173" t="s">
        <v>33</v>
      </c>
      <c r="H42" s="173">
        <v>1</v>
      </c>
      <c r="I42" s="173">
        <f>B42</f>
        <v>0.36099999999999999</v>
      </c>
      <c r="J42" s="173" t="s">
        <v>31</v>
      </c>
      <c r="K42" s="173" t="s">
        <v>31</v>
      </c>
      <c r="L42" s="173" t="s">
        <v>31</v>
      </c>
      <c r="M42" s="173" t="s">
        <v>31</v>
      </c>
      <c r="N42" s="173"/>
      <c r="O42" s="271"/>
      <c r="P42" s="272"/>
      <c r="Q42" s="173"/>
      <c r="R42" s="173"/>
      <c r="S42" s="173"/>
      <c r="T42" s="173"/>
      <c r="U42" s="173"/>
    </row>
    <row r="43" spans="1:21">
      <c r="A43" s="232" t="s">
        <v>1501</v>
      </c>
      <c r="B43" s="173">
        <v>1</v>
      </c>
      <c r="C43" s="173" t="s">
        <v>18</v>
      </c>
      <c r="D43" s="258" t="s">
        <v>2</v>
      </c>
      <c r="E43" s="173" t="s">
        <v>29</v>
      </c>
      <c r="F43" s="185" t="s">
        <v>14</v>
      </c>
      <c r="G43" s="173" t="s">
        <v>33</v>
      </c>
      <c r="H43" s="173">
        <v>1</v>
      </c>
      <c r="I43" s="173">
        <f>B43</f>
        <v>1</v>
      </c>
      <c r="J43" s="173" t="s">
        <v>31</v>
      </c>
      <c r="K43" s="173" t="s">
        <v>31</v>
      </c>
      <c r="L43" s="173" t="s">
        <v>31</v>
      </c>
      <c r="M43" s="173" t="s">
        <v>31</v>
      </c>
      <c r="N43" s="173"/>
      <c r="O43" s="173"/>
      <c r="P43" s="173"/>
      <c r="Q43" s="173"/>
      <c r="R43" s="173"/>
      <c r="S43" s="173"/>
      <c r="T43" s="173"/>
      <c r="U43" s="173"/>
    </row>
    <row r="44" spans="1:21">
      <c r="A44" s="177" t="s">
        <v>168</v>
      </c>
      <c r="B44" s="191">
        <f>R44</f>
        <v>0.03</v>
      </c>
      <c r="C44" s="173" t="s">
        <v>41</v>
      </c>
      <c r="D44" s="173" t="s">
        <v>38</v>
      </c>
      <c r="E44" s="173" t="s">
        <v>29</v>
      </c>
      <c r="F44" s="185" t="s">
        <v>35</v>
      </c>
      <c r="G44" s="173" t="s">
        <v>33</v>
      </c>
      <c r="H44" s="173">
        <v>2</v>
      </c>
      <c r="I44" s="173">
        <f t="shared" ref="I44" si="1">LN(B44)</f>
        <v>-3.5065578973199818</v>
      </c>
      <c r="J44" s="173">
        <v>7.2284161474004766E-2</v>
      </c>
      <c r="K44" s="173" t="s">
        <v>31</v>
      </c>
      <c r="L44" s="173" t="s">
        <v>31</v>
      </c>
      <c r="M44" s="173" t="s">
        <v>31</v>
      </c>
      <c r="N44" s="173"/>
      <c r="O44" s="222" t="s">
        <v>332</v>
      </c>
      <c r="P44" s="233">
        <v>0.03</v>
      </c>
      <c r="Q44" s="173" t="s">
        <v>332</v>
      </c>
      <c r="R44" s="191">
        <f>P44</f>
        <v>0.03</v>
      </c>
      <c r="S44" s="173"/>
      <c r="T44" s="173"/>
      <c r="U44" s="173"/>
    </row>
    <row r="45" spans="1:21">
      <c r="A45" s="209" t="s">
        <v>5</v>
      </c>
      <c r="B45" s="210" t="s">
        <v>1500</v>
      </c>
      <c r="C45" s="211"/>
      <c r="D45" s="188"/>
      <c r="E45" s="188"/>
      <c r="F45" s="188"/>
      <c r="G45" s="188"/>
      <c r="H45" s="188"/>
      <c r="I45" s="188"/>
      <c r="J45" s="188"/>
      <c r="K45" s="188"/>
      <c r="L45" s="188"/>
      <c r="M45" s="188"/>
      <c r="N45" s="173"/>
      <c r="O45" s="173"/>
      <c r="P45" s="173"/>
      <c r="Q45" s="173"/>
      <c r="R45" s="173"/>
      <c r="S45" s="173"/>
      <c r="T45" s="173"/>
      <c r="U45" s="173"/>
    </row>
    <row r="46" spans="1:21">
      <c r="A46" s="177" t="s">
        <v>7</v>
      </c>
      <c r="B46" s="173" t="s">
        <v>566</v>
      </c>
      <c r="C46" s="176"/>
      <c r="D46" s="173"/>
      <c r="E46" s="173"/>
      <c r="F46" s="173"/>
      <c r="G46" s="173"/>
      <c r="H46" s="173"/>
      <c r="I46" s="173"/>
      <c r="J46" s="173"/>
      <c r="K46" s="173"/>
      <c r="L46" s="173"/>
      <c r="M46" s="173"/>
      <c r="N46" s="173"/>
      <c r="O46" s="173"/>
      <c r="P46" s="173"/>
      <c r="Q46" s="173"/>
      <c r="R46" s="173"/>
      <c r="S46" s="173"/>
      <c r="T46" s="173"/>
      <c r="U46" s="173"/>
    </row>
    <row r="47" spans="1:21">
      <c r="A47" s="177" t="s">
        <v>9</v>
      </c>
      <c r="B47" s="173" t="s">
        <v>1502</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11</v>
      </c>
      <c r="B48" s="179" t="s">
        <v>913</v>
      </c>
      <c r="C48" s="173"/>
      <c r="D48" s="173"/>
      <c r="E48" s="173"/>
      <c r="F48" s="173"/>
      <c r="G48" s="173"/>
      <c r="H48" s="173"/>
      <c r="I48" s="173"/>
      <c r="J48" s="173"/>
      <c r="K48" s="173"/>
      <c r="L48" s="173"/>
      <c r="M48" s="173"/>
      <c r="N48" s="173"/>
      <c r="O48" s="173"/>
      <c r="P48" s="173"/>
      <c r="Q48" s="173"/>
      <c r="R48" s="173"/>
      <c r="S48" s="173"/>
      <c r="T48" s="173"/>
      <c r="U48" s="173"/>
    </row>
    <row r="49" spans="1:21">
      <c r="A49" s="177" t="s">
        <v>13</v>
      </c>
      <c r="B49" s="173" t="s">
        <v>14</v>
      </c>
      <c r="C49" s="173"/>
      <c r="D49" s="173"/>
      <c r="E49" s="173"/>
      <c r="F49" s="173"/>
      <c r="G49" s="173"/>
      <c r="H49" s="173"/>
      <c r="I49" s="173"/>
      <c r="J49" s="173"/>
      <c r="K49" s="173"/>
      <c r="L49" s="173"/>
      <c r="M49" s="173"/>
      <c r="N49" s="173"/>
      <c r="O49" s="173"/>
      <c r="P49" s="173"/>
      <c r="Q49" s="173"/>
      <c r="R49" s="173"/>
      <c r="S49" s="173"/>
      <c r="T49" s="173"/>
      <c r="U49" s="173"/>
    </row>
    <row r="50" spans="1:21">
      <c r="A50" s="177" t="s">
        <v>15</v>
      </c>
      <c r="B50" s="173">
        <f>B55</f>
        <v>0.36099999999999999</v>
      </c>
      <c r="C50" s="173"/>
      <c r="D50" s="173"/>
      <c r="E50" s="173"/>
      <c r="F50" s="173"/>
      <c r="G50" s="173"/>
      <c r="H50" s="173"/>
      <c r="I50" s="173"/>
      <c r="J50" s="173"/>
      <c r="K50" s="173"/>
      <c r="L50" s="173"/>
      <c r="M50" s="173"/>
      <c r="N50" s="173"/>
      <c r="O50" s="173"/>
      <c r="P50" s="173"/>
      <c r="Q50" s="173"/>
      <c r="R50" s="173"/>
      <c r="S50" s="173"/>
      <c r="T50" s="173"/>
      <c r="U50" s="173"/>
    </row>
    <row r="51" spans="1:21">
      <c r="A51" s="177" t="s">
        <v>16</v>
      </c>
      <c r="B51" s="173" t="s">
        <v>17</v>
      </c>
      <c r="C51" s="173"/>
      <c r="D51" s="173"/>
      <c r="E51" s="173"/>
      <c r="F51" s="173"/>
      <c r="G51" s="173"/>
      <c r="H51" s="173"/>
      <c r="I51" s="173"/>
      <c r="J51" s="173"/>
      <c r="K51" s="173"/>
      <c r="L51" s="173"/>
      <c r="M51" s="173"/>
      <c r="N51" s="173"/>
      <c r="O51" s="173"/>
      <c r="P51" s="173"/>
      <c r="Q51" s="173"/>
      <c r="R51" s="173"/>
      <c r="S51" s="173"/>
      <c r="T51" s="173"/>
      <c r="U51" s="173"/>
    </row>
    <row r="52" spans="1:21">
      <c r="A52" s="177" t="s">
        <v>18</v>
      </c>
      <c r="B52" s="173" t="s">
        <v>37</v>
      </c>
      <c r="C52" s="173"/>
      <c r="D52" s="173"/>
      <c r="E52" s="173"/>
      <c r="F52" s="173"/>
      <c r="G52" s="173"/>
      <c r="H52" s="173"/>
      <c r="I52" s="173"/>
      <c r="J52" s="173"/>
      <c r="K52" s="173"/>
      <c r="L52" s="173"/>
      <c r="M52" s="173"/>
      <c r="N52" s="173"/>
      <c r="O52" s="173"/>
      <c r="P52" s="173"/>
      <c r="Q52" s="173"/>
      <c r="R52" s="173"/>
      <c r="S52" s="173"/>
      <c r="T52" s="173"/>
      <c r="U52" s="173"/>
    </row>
    <row r="53" spans="1:21">
      <c r="A53" s="174" t="s">
        <v>19</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20</v>
      </c>
      <c r="B54" s="175" t="s">
        <v>21</v>
      </c>
      <c r="C54" s="175" t="s">
        <v>18</v>
      </c>
      <c r="D54" s="175" t="s">
        <v>22</v>
      </c>
      <c r="E54" s="175" t="s">
        <v>7</v>
      </c>
      <c r="F54" s="175" t="s">
        <v>13</v>
      </c>
      <c r="G54" s="175" t="s">
        <v>16</v>
      </c>
      <c r="H54" s="175" t="s">
        <v>23</v>
      </c>
      <c r="I54" s="175" t="s">
        <v>24</v>
      </c>
      <c r="J54" s="175" t="s">
        <v>25</v>
      </c>
      <c r="K54" s="175" t="s">
        <v>26</v>
      </c>
      <c r="L54" s="175" t="s">
        <v>27</v>
      </c>
      <c r="M54" s="175" t="s">
        <v>28</v>
      </c>
      <c r="N54" s="175" t="s">
        <v>11</v>
      </c>
      <c r="O54" s="173"/>
      <c r="P54" s="173"/>
      <c r="Q54" s="173"/>
      <c r="R54" s="173"/>
      <c r="S54" s="173"/>
      <c r="T54" s="173"/>
      <c r="U54" s="173"/>
    </row>
    <row r="55" spans="1:21">
      <c r="A55" s="232" t="s">
        <v>1500</v>
      </c>
      <c r="B55" s="173">
        <f>P55</f>
        <v>0.36099999999999999</v>
      </c>
      <c r="C55" s="173" t="s">
        <v>37</v>
      </c>
      <c r="D55" s="258" t="s">
        <v>2</v>
      </c>
      <c r="E55" s="173" t="s">
        <v>29</v>
      </c>
      <c r="F55" s="185" t="s">
        <v>14</v>
      </c>
      <c r="G55" s="173" t="s">
        <v>30</v>
      </c>
      <c r="H55" s="173">
        <v>1</v>
      </c>
      <c r="I55" s="173">
        <f>B55</f>
        <v>0.36099999999999999</v>
      </c>
      <c r="J55" s="173" t="s">
        <v>31</v>
      </c>
      <c r="K55" s="173" t="s">
        <v>31</v>
      </c>
      <c r="L55" s="173" t="s">
        <v>31</v>
      </c>
      <c r="M55" s="173" t="s">
        <v>31</v>
      </c>
      <c r="N55" s="173"/>
      <c r="O55" s="367" t="s">
        <v>337</v>
      </c>
      <c r="P55" s="368">
        <v>0.36099999999999999</v>
      </c>
      <c r="Q55" s="173" t="s">
        <v>337</v>
      </c>
      <c r="R55" s="173">
        <f>P55</f>
        <v>0.36099999999999999</v>
      </c>
      <c r="S55" s="173"/>
      <c r="T55" s="173"/>
      <c r="U55" s="173"/>
    </row>
    <row r="56" spans="1:21">
      <c r="A56" s="232" t="s">
        <v>533</v>
      </c>
      <c r="B56" s="231">
        <f>R56</f>
        <v>0.36099999999999999</v>
      </c>
      <c r="C56" s="173" t="s">
        <v>37</v>
      </c>
      <c r="D56" s="173" t="s">
        <v>38</v>
      </c>
      <c r="E56" s="173" t="s">
        <v>29</v>
      </c>
      <c r="F56" s="185" t="s">
        <v>35</v>
      </c>
      <c r="G56" s="173" t="s">
        <v>33</v>
      </c>
      <c r="H56" s="173">
        <v>2</v>
      </c>
      <c r="I56" s="173">
        <f>LN(B56)</f>
        <v>-1.0188773206492561</v>
      </c>
      <c r="J56" s="173">
        <v>2.8722813232690055E-2</v>
      </c>
      <c r="K56" s="173" t="s">
        <v>31</v>
      </c>
      <c r="L56" s="173" t="s">
        <v>31</v>
      </c>
      <c r="M56" s="173" t="s">
        <v>31</v>
      </c>
      <c r="N56" s="173"/>
      <c r="O56" s="369" t="s">
        <v>337</v>
      </c>
      <c r="P56" s="296">
        <v>0.36099999999999999</v>
      </c>
      <c r="Q56" s="173" t="s">
        <v>337</v>
      </c>
      <c r="R56" s="231">
        <f>P56</f>
        <v>0.36099999999999999</v>
      </c>
      <c r="S56" s="173"/>
      <c r="T56" s="173"/>
      <c r="U56" s="173"/>
    </row>
    <row r="57" spans="1:21">
      <c r="A57" s="177" t="s">
        <v>168</v>
      </c>
      <c r="B57" s="184">
        <f>R57</f>
        <v>0.108</v>
      </c>
      <c r="C57" s="173" t="s">
        <v>41</v>
      </c>
      <c r="D57" s="173" t="s">
        <v>38</v>
      </c>
      <c r="E57" s="173" t="s">
        <v>29</v>
      </c>
      <c r="F57" s="185" t="s">
        <v>35</v>
      </c>
      <c r="G57" s="173" t="s">
        <v>33</v>
      </c>
      <c r="H57" s="173">
        <v>2</v>
      </c>
      <c r="I57" s="173">
        <f t="shared" ref="I57" si="2">LN(B57)</f>
        <v>-2.2256240518579173</v>
      </c>
      <c r="J57" s="173">
        <v>7.2284161474004766E-2</v>
      </c>
      <c r="K57" s="173" t="s">
        <v>31</v>
      </c>
      <c r="L57" s="173" t="s">
        <v>31</v>
      </c>
      <c r="M57" s="173" t="s">
        <v>31</v>
      </c>
      <c r="N57" s="173"/>
      <c r="O57" s="222" t="s">
        <v>332</v>
      </c>
      <c r="P57" s="296">
        <v>0.108</v>
      </c>
      <c r="Q57" s="173" t="s">
        <v>332</v>
      </c>
      <c r="R57" s="184">
        <f>P57</f>
        <v>0.108</v>
      </c>
      <c r="S57" s="173"/>
      <c r="T57" s="173"/>
      <c r="U57" s="173"/>
    </row>
    <row r="58" spans="1:21">
      <c r="A58" s="209" t="s">
        <v>5</v>
      </c>
      <c r="B58" s="323" t="s">
        <v>1501</v>
      </c>
      <c r="C58" s="211"/>
      <c r="D58" s="188"/>
      <c r="E58" s="188"/>
      <c r="F58" s="188"/>
      <c r="G58" s="188"/>
      <c r="H58" s="188"/>
      <c r="I58" s="188"/>
      <c r="J58" s="188"/>
      <c r="K58" s="188"/>
      <c r="L58" s="188"/>
      <c r="M58" s="188"/>
      <c r="N58" s="173"/>
      <c r="O58" s="173"/>
      <c r="P58" s="173"/>
      <c r="Q58" s="173"/>
      <c r="R58" s="173"/>
      <c r="S58" s="173"/>
      <c r="T58" s="173"/>
      <c r="U58" s="173"/>
    </row>
    <row r="59" spans="1:21">
      <c r="A59" s="177" t="s">
        <v>7</v>
      </c>
      <c r="B59" s="173" t="s">
        <v>566</v>
      </c>
      <c r="C59" s="176"/>
      <c r="D59" s="173"/>
      <c r="E59" s="173"/>
      <c r="F59" s="173"/>
      <c r="G59" s="173"/>
      <c r="H59" s="173"/>
      <c r="I59" s="173"/>
      <c r="J59" s="173"/>
      <c r="K59" s="173"/>
      <c r="L59" s="173"/>
      <c r="M59" s="173"/>
      <c r="N59" s="173"/>
      <c r="O59" s="173"/>
      <c r="P59" s="173"/>
      <c r="Q59" s="173"/>
      <c r="R59" s="173"/>
      <c r="S59" s="173"/>
      <c r="T59" s="173"/>
      <c r="U59" s="173"/>
    </row>
    <row r="60" spans="1:21">
      <c r="A60" s="276" t="s">
        <v>9</v>
      </c>
      <c r="B60" s="173" t="s">
        <v>1503</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11</v>
      </c>
      <c r="B61" s="179" t="s">
        <v>913</v>
      </c>
      <c r="C61" s="173"/>
      <c r="D61" s="173"/>
      <c r="E61" s="173"/>
      <c r="F61" s="173"/>
      <c r="G61" s="173"/>
      <c r="H61" s="173"/>
      <c r="I61" s="173"/>
      <c r="J61" s="173"/>
      <c r="K61" s="173"/>
      <c r="L61" s="173"/>
      <c r="M61" s="173"/>
      <c r="N61" s="173"/>
      <c r="O61" s="173"/>
      <c r="P61" s="173"/>
      <c r="Q61" s="173"/>
      <c r="R61" s="173"/>
      <c r="S61" s="173"/>
      <c r="T61" s="173"/>
      <c r="U61" s="173"/>
    </row>
    <row r="62" spans="1:21">
      <c r="A62" s="177" t="s">
        <v>13</v>
      </c>
      <c r="B62" s="173" t="s">
        <v>14</v>
      </c>
      <c r="C62" s="173"/>
      <c r="D62" s="173"/>
      <c r="E62" s="173"/>
      <c r="F62" s="173"/>
      <c r="G62" s="173"/>
      <c r="H62" s="173"/>
      <c r="I62" s="173"/>
      <c r="J62" s="173"/>
      <c r="K62" s="173"/>
      <c r="L62" s="173"/>
      <c r="M62" s="173"/>
      <c r="N62" s="173"/>
      <c r="O62" s="173"/>
      <c r="P62" s="173"/>
      <c r="Q62" s="173"/>
      <c r="R62" s="173"/>
      <c r="S62" s="173"/>
      <c r="T62" s="173"/>
      <c r="U62" s="173"/>
    </row>
    <row r="63" spans="1:21">
      <c r="A63" s="177" t="s">
        <v>15</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16</v>
      </c>
      <c r="B64" s="173" t="s">
        <v>17</v>
      </c>
      <c r="C64" s="173"/>
      <c r="D64" s="173"/>
      <c r="E64" s="173"/>
      <c r="F64" s="173"/>
      <c r="G64" s="173"/>
      <c r="H64" s="173"/>
      <c r="I64" s="173"/>
      <c r="J64" s="173"/>
      <c r="K64" s="173"/>
      <c r="L64" s="173"/>
      <c r="M64" s="173"/>
      <c r="N64" s="173"/>
      <c r="O64" s="173"/>
      <c r="P64" s="173"/>
      <c r="Q64" s="173"/>
      <c r="R64" s="173"/>
      <c r="S64" s="173"/>
      <c r="T64" s="173"/>
      <c r="U64" s="173"/>
    </row>
    <row r="65" spans="1:21">
      <c r="A65" s="177" t="s">
        <v>18</v>
      </c>
      <c r="B65" s="173" t="s">
        <v>18</v>
      </c>
      <c r="C65" s="173"/>
      <c r="D65" s="173"/>
      <c r="E65" s="173"/>
      <c r="F65" s="173"/>
      <c r="G65" s="173"/>
      <c r="H65" s="173"/>
      <c r="I65" s="173"/>
      <c r="J65" s="173"/>
      <c r="K65" s="173"/>
      <c r="L65" s="173"/>
      <c r="M65" s="173"/>
      <c r="N65" s="173"/>
      <c r="O65" s="173"/>
      <c r="P65" s="173"/>
      <c r="Q65" s="173"/>
      <c r="R65" s="173"/>
      <c r="S65" s="173"/>
      <c r="T65" s="173"/>
      <c r="U65" s="173"/>
    </row>
    <row r="66" spans="1:21">
      <c r="A66" s="174" t="s">
        <v>19</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20</v>
      </c>
      <c r="B67" s="175" t="s">
        <v>21</v>
      </c>
      <c r="C67" s="175" t="s">
        <v>18</v>
      </c>
      <c r="D67" s="175" t="s">
        <v>22</v>
      </c>
      <c r="E67" s="175" t="s">
        <v>7</v>
      </c>
      <c r="F67" s="175" t="s">
        <v>13</v>
      </c>
      <c r="G67" s="175" t="s">
        <v>16</v>
      </c>
      <c r="H67" s="175" t="s">
        <v>23</v>
      </c>
      <c r="I67" s="175" t="s">
        <v>24</v>
      </c>
      <c r="J67" s="175" t="s">
        <v>25</v>
      </c>
      <c r="K67" s="175" t="s">
        <v>26</v>
      </c>
      <c r="L67" s="175" t="s">
        <v>27</v>
      </c>
      <c r="M67" s="175" t="s">
        <v>28</v>
      </c>
      <c r="N67" s="175" t="s">
        <v>11</v>
      </c>
      <c r="O67" s="173"/>
      <c r="P67" s="173"/>
      <c r="Q67" s="173"/>
      <c r="R67" s="173"/>
      <c r="S67" s="173"/>
      <c r="T67" s="173"/>
      <c r="U67" s="173"/>
    </row>
    <row r="68" spans="1:21">
      <c r="A68" s="232" t="s">
        <v>1501</v>
      </c>
      <c r="B68" s="173">
        <v>1</v>
      </c>
      <c r="C68" s="173" t="s">
        <v>18</v>
      </c>
      <c r="D68" s="258" t="s">
        <v>2</v>
      </c>
      <c r="E68" s="173" t="s">
        <v>29</v>
      </c>
      <c r="F68" s="185" t="s">
        <v>14</v>
      </c>
      <c r="G68" s="173" t="s">
        <v>30</v>
      </c>
      <c r="H68" s="173">
        <v>1</v>
      </c>
      <c r="I68" s="173">
        <f>B68</f>
        <v>1</v>
      </c>
      <c r="J68" s="173" t="s">
        <v>31</v>
      </c>
      <c r="K68" s="173" t="s">
        <v>31</v>
      </c>
      <c r="L68" s="173" t="s">
        <v>31</v>
      </c>
      <c r="M68" s="173" t="s">
        <v>31</v>
      </c>
      <c r="N68" s="173"/>
      <c r="O68" s="173"/>
      <c r="P68" s="173"/>
      <c r="Q68" s="173"/>
      <c r="R68" s="173"/>
      <c r="S68" s="173"/>
      <c r="T68" s="173"/>
      <c r="U68" s="173"/>
    </row>
    <row r="69" spans="1:21">
      <c r="A69" s="232" t="s">
        <v>1504</v>
      </c>
      <c r="B69" s="231">
        <f>B77</f>
        <v>0.19</v>
      </c>
      <c r="C69" s="173" t="s">
        <v>37</v>
      </c>
      <c r="D69" s="258" t="s">
        <v>2</v>
      </c>
      <c r="E69" s="173" t="s">
        <v>29</v>
      </c>
      <c r="F69" s="185" t="s">
        <v>14</v>
      </c>
      <c r="G69" s="173" t="s">
        <v>33</v>
      </c>
      <c r="H69" s="173">
        <v>1</v>
      </c>
      <c r="I69" s="173">
        <f>B69</f>
        <v>0.19</v>
      </c>
      <c r="J69" s="173" t="s">
        <v>31</v>
      </c>
      <c r="K69" s="173" t="s">
        <v>31</v>
      </c>
      <c r="L69" s="173" t="s">
        <v>31</v>
      </c>
      <c r="M69" s="173" t="s">
        <v>31</v>
      </c>
      <c r="N69" s="173"/>
      <c r="O69" s="222"/>
      <c r="P69" s="234"/>
      <c r="Q69" s="173" t="s">
        <v>337</v>
      </c>
      <c r="R69" s="231">
        <v>0.01</v>
      </c>
      <c r="S69" s="173"/>
      <c r="T69" s="173"/>
      <c r="U69" s="173"/>
    </row>
    <row r="70" spans="1:21">
      <c r="A70" s="232" t="s">
        <v>1505</v>
      </c>
      <c r="B70" s="184">
        <v>1</v>
      </c>
      <c r="C70" s="173" t="s">
        <v>18</v>
      </c>
      <c r="D70" s="258" t="s">
        <v>2</v>
      </c>
      <c r="E70" s="173" t="s">
        <v>29</v>
      </c>
      <c r="F70" s="185" t="s">
        <v>14</v>
      </c>
      <c r="G70" s="173" t="s">
        <v>33</v>
      </c>
      <c r="H70" s="173">
        <v>1</v>
      </c>
      <c r="I70" s="173">
        <f>B70</f>
        <v>1</v>
      </c>
      <c r="J70" s="173" t="s">
        <v>31</v>
      </c>
      <c r="K70" s="173" t="s">
        <v>31</v>
      </c>
      <c r="L70" s="173" t="s">
        <v>31</v>
      </c>
      <c r="M70" s="173" t="s">
        <v>31</v>
      </c>
      <c r="N70" s="173"/>
      <c r="O70" s="222"/>
      <c r="P70" s="297"/>
      <c r="Q70" s="173"/>
      <c r="R70" s="184"/>
      <c r="S70" s="173"/>
      <c r="T70" s="173"/>
      <c r="U70" s="173"/>
    </row>
    <row r="71" spans="1:21">
      <c r="A71" s="177" t="s">
        <v>168</v>
      </c>
      <c r="B71" s="184">
        <f>R71</f>
        <v>1.24</v>
      </c>
      <c r="C71" s="173" t="s">
        <v>41</v>
      </c>
      <c r="D71" s="173" t="s">
        <v>38</v>
      </c>
      <c r="E71" s="173" t="s">
        <v>29</v>
      </c>
      <c r="F71" s="185" t="s">
        <v>35</v>
      </c>
      <c r="G71" s="173" t="s">
        <v>33</v>
      </c>
      <c r="H71" s="173">
        <v>2</v>
      </c>
      <c r="I71" s="173">
        <f t="shared" ref="I71" si="3">LN(B71)</f>
        <v>0.21511137961694549</v>
      </c>
      <c r="J71" s="173">
        <v>7.2284161474004766E-2</v>
      </c>
      <c r="K71" s="173" t="s">
        <v>31</v>
      </c>
      <c r="L71" s="173" t="s">
        <v>31</v>
      </c>
      <c r="M71" s="173" t="s">
        <v>31</v>
      </c>
      <c r="N71" s="173"/>
      <c r="O71" s="222" t="s">
        <v>332</v>
      </c>
      <c r="P71" s="297">
        <v>1.24</v>
      </c>
      <c r="Q71" s="173" t="s">
        <v>332</v>
      </c>
      <c r="R71" s="184">
        <f>P71</f>
        <v>1.24</v>
      </c>
      <c r="S71" s="173"/>
      <c r="T71" s="173"/>
      <c r="U71" s="173"/>
    </row>
    <row r="72" spans="1:21">
      <c r="A72" s="209" t="s">
        <v>5</v>
      </c>
      <c r="B72" s="323" t="s">
        <v>1504</v>
      </c>
      <c r="C72" s="211"/>
      <c r="D72" s="188"/>
      <c r="E72" s="188"/>
      <c r="F72" s="188"/>
      <c r="G72" s="188"/>
      <c r="H72" s="188"/>
      <c r="I72" s="188"/>
      <c r="J72" s="188"/>
      <c r="K72" s="188"/>
      <c r="L72" s="188"/>
      <c r="M72" s="188"/>
      <c r="N72" s="173"/>
      <c r="O72" s="173"/>
      <c r="P72" s="173"/>
      <c r="Q72" s="173"/>
      <c r="R72" s="173"/>
      <c r="S72" s="173"/>
      <c r="T72" s="173"/>
      <c r="U72" s="173"/>
    </row>
    <row r="73" spans="1:21">
      <c r="A73" s="177" t="s">
        <v>7</v>
      </c>
      <c r="B73" s="173" t="s">
        <v>566</v>
      </c>
      <c r="C73" s="176"/>
      <c r="D73" s="173"/>
      <c r="E73" s="173"/>
      <c r="F73" s="173"/>
      <c r="G73" s="173"/>
      <c r="H73" s="173"/>
      <c r="I73" s="173"/>
      <c r="J73" s="173"/>
      <c r="K73" s="173"/>
      <c r="L73" s="173"/>
      <c r="M73" s="173"/>
      <c r="N73" s="173"/>
      <c r="O73" s="173"/>
      <c r="P73" s="173"/>
      <c r="Q73" s="173"/>
      <c r="R73" s="173"/>
      <c r="S73" s="173"/>
      <c r="T73" s="173"/>
      <c r="U73" s="173"/>
    </row>
    <row r="74" spans="1:21">
      <c r="A74" s="276" t="s">
        <v>9</v>
      </c>
      <c r="B74" s="173" t="s">
        <v>1506</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11</v>
      </c>
      <c r="B75" s="179" t="s">
        <v>913</v>
      </c>
      <c r="C75" s="173"/>
      <c r="D75" s="173"/>
      <c r="E75" s="173"/>
      <c r="F75" s="173"/>
      <c r="G75" s="173"/>
      <c r="H75" s="173"/>
      <c r="I75" s="173"/>
      <c r="J75" s="173"/>
      <c r="K75" s="173"/>
      <c r="L75" s="173"/>
      <c r="M75" s="173"/>
      <c r="N75" s="173"/>
      <c r="O75" s="173"/>
      <c r="P75" s="173"/>
      <c r="Q75" s="173"/>
      <c r="R75" s="173"/>
      <c r="S75" s="173"/>
      <c r="T75" s="173"/>
      <c r="U75" s="173"/>
    </row>
    <row r="76" spans="1:21">
      <c r="A76" s="177" t="s">
        <v>13</v>
      </c>
      <c r="B76" s="173" t="s">
        <v>14</v>
      </c>
      <c r="C76" s="173"/>
      <c r="D76" s="173"/>
      <c r="E76" s="173"/>
      <c r="F76" s="173"/>
      <c r="G76" s="173"/>
      <c r="H76" s="173"/>
      <c r="I76" s="173"/>
      <c r="J76" s="173"/>
      <c r="K76" s="173"/>
      <c r="L76" s="173"/>
      <c r="M76" s="173"/>
      <c r="N76" s="173"/>
      <c r="O76" s="173"/>
      <c r="P76" s="173"/>
      <c r="Q76" s="173"/>
      <c r="R76" s="173"/>
      <c r="S76" s="173"/>
      <c r="T76" s="173"/>
      <c r="U76" s="173"/>
    </row>
    <row r="77" spans="1:21">
      <c r="A77" s="177" t="s">
        <v>15</v>
      </c>
      <c r="B77" s="191">
        <f>B82</f>
        <v>0.19</v>
      </c>
      <c r="C77" s="173"/>
      <c r="D77" s="173"/>
      <c r="E77" s="173"/>
      <c r="F77" s="173"/>
      <c r="G77" s="173"/>
      <c r="H77" s="173"/>
      <c r="I77" s="173"/>
      <c r="J77" s="173"/>
      <c r="K77" s="173"/>
      <c r="L77" s="173"/>
      <c r="M77" s="173"/>
      <c r="N77" s="173"/>
      <c r="O77" s="173"/>
      <c r="P77" s="173"/>
      <c r="Q77" s="173"/>
      <c r="R77" s="173"/>
      <c r="S77" s="173"/>
      <c r="T77" s="173"/>
      <c r="U77" s="173"/>
    </row>
    <row r="78" spans="1:21">
      <c r="A78" s="177" t="s">
        <v>16</v>
      </c>
      <c r="B78" s="173" t="s">
        <v>17</v>
      </c>
      <c r="C78" s="173"/>
      <c r="D78" s="173"/>
      <c r="E78" s="173"/>
      <c r="F78" s="173"/>
      <c r="G78" s="173"/>
      <c r="H78" s="173"/>
      <c r="I78" s="173"/>
      <c r="J78" s="173"/>
      <c r="K78" s="173"/>
      <c r="L78" s="173"/>
      <c r="M78" s="173"/>
      <c r="N78" s="173"/>
      <c r="O78" s="173"/>
      <c r="P78" s="173"/>
      <c r="Q78" s="173"/>
      <c r="R78" s="173"/>
      <c r="S78" s="173"/>
      <c r="T78" s="173"/>
      <c r="U78" s="173"/>
    </row>
    <row r="79" spans="1:21">
      <c r="A79" s="177" t="s">
        <v>18</v>
      </c>
      <c r="B79" s="173" t="s">
        <v>37</v>
      </c>
      <c r="C79" s="173"/>
      <c r="D79" s="173"/>
      <c r="E79" s="173"/>
      <c r="F79" s="173"/>
      <c r="G79" s="173"/>
      <c r="H79" s="173"/>
      <c r="I79" s="173"/>
      <c r="J79" s="173"/>
      <c r="K79" s="173"/>
      <c r="L79" s="173"/>
      <c r="M79" s="173"/>
      <c r="N79" s="173"/>
      <c r="O79" s="173"/>
      <c r="P79" s="173"/>
      <c r="Q79" s="173"/>
      <c r="R79" s="173"/>
      <c r="S79" s="173"/>
      <c r="T79" s="173"/>
      <c r="U79" s="173"/>
    </row>
    <row r="80" spans="1:21">
      <c r="A80" s="174" t="s">
        <v>19</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20</v>
      </c>
      <c r="B81" s="175" t="s">
        <v>21</v>
      </c>
      <c r="C81" s="175" t="s">
        <v>18</v>
      </c>
      <c r="D81" s="175" t="s">
        <v>22</v>
      </c>
      <c r="E81" s="175" t="s">
        <v>7</v>
      </c>
      <c r="F81" s="175" t="s">
        <v>13</v>
      </c>
      <c r="G81" s="175" t="s">
        <v>16</v>
      </c>
      <c r="H81" s="175" t="s">
        <v>23</v>
      </c>
      <c r="I81" s="175" t="s">
        <v>24</v>
      </c>
      <c r="J81" s="175" t="s">
        <v>25</v>
      </c>
      <c r="K81" s="175" t="s">
        <v>26</v>
      </c>
      <c r="L81" s="175" t="s">
        <v>27</v>
      </c>
      <c r="M81" s="175" t="s">
        <v>28</v>
      </c>
      <c r="N81" s="175" t="s">
        <v>11</v>
      </c>
      <c r="O81" s="173"/>
      <c r="P81" s="173"/>
      <c r="Q81" s="173"/>
      <c r="R81" s="173"/>
      <c r="S81" s="173"/>
      <c r="T81" s="173"/>
      <c r="U81" s="173"/>
    </row>
    <row r="82" spans="1:21">
      <c r="A82" s="232" t="s">
        <v>1504</v>
      </c>
      <c r="B82" s="173">
        <v>0.19</v>
      </c>
      <c r="C82" s="173" t="s">
        <v>37</v>
      </c>
      <c r="D82" s="258" t="s">
        <v>2</v>
      </c>
      <c r="E82" s="173" t="s">
        <v>29</v>
      </c>
      <c r="F82" s="185" t="s">
        <v>14</v>
      </c>
      <c r="G82" s="173" t="s">
        <v>30</v>
      </c>
      <c r="H82" s="173">
        <v>1</v>
      </c>
      <c r="I82" s="173">
        <f>B82</f>
        <v>0.19</v>
      </c>
      <c r="J82" s="173" t="s">
        <v>31</v>
      </c>
      <c r="K82" s="173" t="s">
        <v>31</v>
      </c>
      <c r="L82" s="173" t="s">
        <v>31</v>
      </c>
      <c r="M82" s="173" t="s">
        <v>31</v>
      </c>
      <c r="N82" s="173"/>
      <c r="O82" s="222"/>
      <c r="P82" s="234"/>
      <c r="Q82" s="173" t="s">
        <v>337</v>
      </c>
      <c r="R82" s="231">
        <v>0.01</v>
      </c>
      <c r="S82" s="173"/>
      <c r="T82" s="173"/>
      <c r="U82" s="173"/>
    </row>
    <row r="83" spans="1:21">
      <c r="A83" s="232" t="s">
        <v>918</v>
      </c>
      <c r="B83" s="173">
        <v>0.19</v>
      </c>
      <c r="C83" s="173" t="s">
        <v>37</v>
      </c>
      <c r="D83" s="173" t="s">
        <v>38</v>
      </c>
      <c r="E83" s="173" t="s">
        <v>29</v>
      </c>
      <c r="F83" s="185" t="s">
        <v>60</v>
      </c>
      <c r="G83" s="173" t="s">
        <v>33</v>
      </c>
      <c r="H83" s="173">
        <v>1</v>
      </c>
      <c r="I83" s="173">
        <f>B83</f>
        <v>0.19</v>
      </c>
      <c r="J83" s="173" t="s">
        <v>31</v>
      </c>
      <c r="K83" s="173" t="s">
        <v>31</v>
      </c>
      <c r="L83" s="173" t="s">
        <v>31</v>
      </c>
      <c r="M83" s="173" t="s">
        <v>31</v>
      </c>
      <c r="N83" s="173"/>
      <c r="O83" s="222"/>
      <c r="P83" s="297"/>
      <c r="Q83" s="173"/>
      <c r="R83" s="184"/>
      <c r="S83" s="173"/>
      <c r="T83" s="173"/>
      <c r="U83" s="173"/>
    </row>
    <row r="84" spans="1:21">
      <c r="A84" s="232" t="s">
        <v>146</v>
      </c>
      <c r="B84" s="173">
        <v>0.19</v>
      </c>
      <c r="C84" s="173" t="s">
        <v>37</v>
      </c>
      <c r="D84" s="173" t="s">
        <v>38</v>
      </c>
      <c r="E84" s="173" t="s">
        <v>29</v>
      </c>
      <c r="F84" s="173" t="s">
        <v>60</v>
      </c>
      <c r="G84" s="173" t="s">
        <v>33</v>
      </c>
      <c r="H84" s="173">
        <v>1</v>
      </c>
      <c r="I84" s="173">
        <f>B84</f>
        <v>0.19</v>
      </c>
      <c r="J84" s="173" t="s">
        <v>31</v>
      </c>
      <c r="K84" s="173" t="s">
        <v>31</v>
      </c>
      <c r="L84" s="173" t="s">
        <v>31</v>
      </c>
      <c r="M84" s="173" t="s">
        <v>31</v>
      </c>
      <c r="N84" s="173"/>
      <c r="O84" s="173"/>
      <c r="P84" s="173"/>
      <c r="Q84" s="173"/>
      <c r="R84" s="173"/>
      <c r="S84" s="173"/>
      <c r="T84" s="173"/>
      <c r="U84" s="173"/>
    </row>
    <row r="85" spans="1:21" s="42" customFormat="1">
      <c r="A85" s="209" t="s">
        <v>5</v>
      </c>
      <c r="B85" s="323" t="s">
        <v>1505</v>
      </c>
      <c r="C85" s="211"/>
      <c r="D85" s="188"/>
      <c r="E85" s="188"/>
      <c r="F85" s="188"/>
      <c r="G85" s="188"/>
      <c r="H85" s="188"/>
      <c r="I85" s="188"/>
      <c r="J85" s="188"/>
      <c r="K85" s="188"/>
      <c r="L85" s="188"/>
      <c r="M85" s="188"/>
      <c r="N85" s="188"/>
      <c r="O85" s="188"/>
      <c r="P85" s="188"/>
      <c r="Q85" s="188"/>
      <c r="R85" s="188"/>
      <c r="S85" s="188"/>
      <c r="T85" s="188"/>
      <c r="U85" s="188"/>
    </row>
    <row r="86" spans="1:21">
      <c r="A86" s="177" t="s">
        <v>7</v>
      </c>
      <c r="B86" s="173" t="s">
        <v>566</v>
      </c>
      <c r="C86" s="176"/>
      <c r="D86" s="173"/>
      <c r="E86" s="173"/>
      <c r="F86" s="173"/>
      <c r="G86" s="173"/>
      <c r="H86" s="173"/>
      <c r="I86" s="173"/>
      <c r="J86" s="173"/>
      <c r="K86" s="173"/>
      <c r="L86" s="173"/>
      <c r="M86" s="173"/>
      <c r="N86" s="173"/>
      <c r="O86" s="173"/>
      <c r="P86" s="173"/>
      <c r="Q86" s="173"/>
      <c r="R86" s="173"/>
      <c r="S86" s="173"/>
      <c r="T86" s="173"/>
      <c r="U86" s="173"/>
    </row>
    <row r="87" spans="1:21">
      <c r="A87" s="276" t="s">
        <v>9</v>
      </c>
      <c r="B87" s="173" t="s">
        <v>1507</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11</v>
      </c>
      <c r="B88" s="179" t="s">
        <v>913</v>
      </c>
      <c r="C88" s="173"/>
      <c r="D88" s="173"/>
      <c r="E88" s="173"/>
      <c r="F88" s="173"/>
      <c r="G88" s="173"/>
      <c r="H88" s="173"/>
      <c r="I88" s="173"/>
      <c r="J88" s="173"/>
      <c r="K88" s="173"/>
      <c r="L88" s="173"/>
      <c r="M88" s="173"/>
      <c r="N88" s="173"/>
      <c r="O88" s="173"/>
      <c r="P88" s="173"/>
      <c r="Q88" s="173"/>
      <c r="R88" s="173"/>
      <c r="S88" s="173"/>
      <c r="T88" s="173"/>
      <c r="U88" s="173"/>
    </row>
    <row r="89" spans="1:21">
      <c r="A89" s="177" t="s">
        <v>13</v>
      </c>
      <c r="B89" s="173" t="s">
        <v>14</v>
      </c>
      <c r="C89" s="173"/>
      <c r="D89" s="173"/>
      <c r="E89" s="173"/>
      <c r="F89" s="173"/>
      <c r="G89" s="173"/>
      <c r="H89" s="173"/>
      <c r="I89" s="173"/>
      <c r="J89" s="173"/>
      <c r="K89" s="173"/>
      <c r="L89" s="173"/>
      <c r="M89" s="173"/>
      <c r="N89" s="173"/>
      <c r="O89" s="173"/>
      <c r="P89" s="173"/>
      <c r="Q89" s="173"/>
      <c r="R89" s="173"/>
      <c r="S89" s="173"/>
      <c r="T89" s="173"/>
      <c r="U89" s="173"/>
    </row>
    <row r="90" spans="1:21">
      <c r="A90" s="177" t="s">
        <v>15</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16</v>
      </c>
      <c r="B91" s="173" t="s">
        <v>17</v>
      </c>
      <c r="C91" s="173"/>
      <c r="D91" s="173"/>
      <c r="E91" s="173"/>
      <c r="F91" s="173"/>
      <c r="G91" s="173"/>
      <c r="H91" s="173"/>
      <c r="I91" s="173"/>
      <c r="J91" s="173"/>
      <c r="K91" s="173"/>
      <c r="L91" s="173"/>
      <c r="M91" s="173"/>
      <c r="N91" s="173"/>
      <c r="O91" s="173"/>
      <c r="P91" s="173"/>
      <c r="Q91" s="173"/>
      <c r="R91" s="173"/>
      <c r="S91" s="173"/>
      <c r="T91" s="173"/>
      <c r="U91" s="173"/>
    </row>
    <row r="92" spans="1:21">
      <c r="A92" s="177" t="s">
        <v>18</v>
      </c>
      <c r="B92" s="173" t="s">
        <v>18</v>
      </c>
      <c r="C92" s="173"/>
      <c r="D92" s="173"/>
      <c r="E92" s="173"/>
      <c r="F92" s="173"/>
      <c r="G92" s="173"/>
      <c r="H92" s="173"/>
      <c r="I92" s="173"/>
      <c r="J92" s="173"/>
      <c r="K92" s="173"/>
      <c r="L92" s="173"/>
      <c r="M92" s="173"/>
      <c r="N92" s="173"/>
      <c r="O92" s="173"/>
      <c r="P92" s="173"/>
      <c r="Q92" s="173"/>
      <c r="R92" s="173"/>
      <c r="S92" s="173"/>
      <c r="T92" s="173"/>
      <c r="U92" s="173"/>
    </row>
    <row r="93" spans="1:21">
      <c r="A93" s="174" t="s">
        <v>19</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20</v>
      </c>
      <c r="B94" s="175" t="s">
        <v>21</v>
      </c>
      <c r="C94" s="175" t="s">
        <v>18</v>
      </c>
      <c r="D94" s="175" t="s">
        <v>22</v>
      </c>
      <c r="E94" s="175" t="s">
        <v>7</v>
      </c>
      <c r="F94" s="175" t="s">
        <v>13</v>
      </c>
      <c r="G94" s="175" t="s">
        <v>16</v>
      </c>
      <c r="H94" s="175" t="s">
        <v>23</v>
      </c>
      <c r="I94" s="175" t="s">
        <v>24</v>
      </c>
      <c r="J94" s="175" t="s">
        <v>25</v>
      </c>
      <c r="K94" s="175" t="s">
        <v>26</v>
      </c>
      <c r="L94" s="175" t="s">
        <v>27</v>
      </c>
      <c r="M94" s="175" t="s">
        <v>28</v>
      </c>
      <c r="N94" s="175" t="s">
        <v>11</v>
      </c>
      <c r="O94" s="173"/>
      <c r="P94" s="173"/>
      <c r="Q94" s="173"/>
      <c r="R94" s="173"/>
      <c r="S94" s="173"/>
      <c r="T94" s="173"/>
      <c r="U94" s="173"/>
    </row>
    <row r="95" spans="1:21">
      <c r="A95" s="232" t="s">
        <v>1505</v>
      </c>
      <c r="B95" s="184">
        <v>1</v>
      </c>
      <c r="C95" s="173" t="s">
        <v>18</v>
      </c>
      <c r="D95" s="258" t="s">
        <v>2</v>
      </c>
      <c r="E95" s="173" t="s">
        <v>29</v>
      </c>
      <c r="F95" s="185" t="s">
        <v>14</v>
      </c>
      <c r="G95" s="173" t="s">
        <v>30</v>
      </c>
      <c r="H95" s="173">
        <v>1</v>
      </c>
      <c r="I95" s="173">
        <f>B95</f>
        <v>1</v>
      </c>
      <c r="J95" s="173" t="s">
        <v>31</v>
      </c>
      <c r="K95" s="173" t="s">
        <v>31</v>
      </c>
      <c r="L95" s="173" t="s">
        <v>31</v>
      </c>
      <c r="M95" s="173" t="s">
        <v>31</v>
      </c>
      <c r="N95" s="173"/>
      <c r="O95" s="222"/>
      <c r="P95" s="297"/>
      <c r="Q95" s="173"/>
      <c r="R95" s="184"/>
      <c r="S95" s="173"/>
      <c r="T95" s="173"/>
      <c r="U95" s="173"/>
    </row>
    <row r="96" spans="1:21">
      <c r="A96" s="232" t="s">
        <v>1508</v>
      </c>
      <c r="B96" s="173">
        <v>1</v>
      </c>
      <c r="C96" s="173" t="s">
        <v>18</v>
      </c>
      <c r="D96" s="258" t="s">
        <v>2</v>
      </c>
      <c r="E96" s="173" t="s">
        <v>29</v>
      </c>
      <c r="F96" s="185" t="s">
        <v>14</v>
      </c>
      <c r="G96" s="173" t="s">
        <v>33</v>
      </c>
      <c r="H96" s="173">
        <v>1</v>
      </c>
      <c r="I96" s="173">
        <f>B96</f>
        <v>1</v>
      </c>
      <c r="J96" s="173" t="s">
        <v>31</v>
      </c>
      <c r="K96" s="173" t="s">
        <v>31</v>
      </c>
      <c r="L96" s="173" t="s">
        <v>31</v>
      </c>
      <c r="M96" s="173" t="s">
        <v>31</v>
      </c>
      <c r="N96" s="173"/>
      <c r="O96" s="222"/>
      <c r="P96" s="297"/>
      <c r="Q96" s="173"/>
      <c r="R96" s="173"/>
      <c r="S96" s="173"/>
      <c r="T96" s="173"/>
      <c r="U96" s="173"/>
    </row>
    <row r="97" spans="1:21">
      <c r="A97" s="177" t="s">
        <v>168</v>
      </c>
      <c r="B97" s="184">
        <f>R97</f>
        <v>0.05</v>
      </c>
      <c r="C97" s="173" t="s">
        <v>41</v>
      </c>
      <c r="D97" s="173" t="s">
        <v>38</v>
      </c>
      <c r="E97" s="173" t="s">
        <v>29</v>
      </c>
      <c r="F97" s="185" t="s">
        <v>35</v>
      </c>
      <c r="G97" s="173" t="s">
        <v>33</v>
      </c>
      <c r="H97" s="173">
        <v>2</v>
      </c>
      <c r="I97" s="173">
        <f t="shared" ref="I97" si="4">LN(B97)</f>
        <v>-2.9957322735539909</v>
      </c>
      <c r="J97" s="173">
        <v>7.2284161474004766E-2</v>
      </c>
      <c r="K97" s="173" t="s">
        <v>31</v>
      </c>
      <c r="L97" s="173" t="s">
        <v>31</v>
      </c>
      <c r="M97" s="173" t="s">
        <v>31</v>
      </c>
      <c r="N97" s="173"/>
      <c r="O97" s="222" t="s">
        <v>332</v>
      </c>
      <c r="P97" s="297">
        <v>0.05</v>
      </c>
      <c r="Q97" s="173" t="s">
        <v>332</v>
      </c>
      <c r="R97" s="184">
        <f>P97</f>
        <v>0.05</v>
      </c>
      <c r="S97" s="173"/>
      <c r="T97" s="173"/>
      <c r="U97" s="173"/>
    </row>
    <row r="98" spans="1:21" s="42" customFormat="1">
      <c r="A98" s="209" t="s">
        <v>5</v>
      </c>
      <c r="B98" s="323" t="s">
        <v>1508</v>
      </c>
      <c r="C98" s="211"/>
      <c r="D98" s="188"/>
      <c r="E98" s="188"/>
      <c r="F98" s="188"/>
      <c r="G98" s="188"/>
      <c r="H98" s="188"/>
      <c r="I98" s="188"/>
      <c r="J98" s="188"/>
      <c r="K98" s="188"/>
      <c r="L98" s="188"/>
      <c r="M98" s="188"/>
      <c r="N98" s="188"/>
      <c r="O98" s="188"/>
      <c r="P98" s="188"/>
      <c r="Q98" s="188"/>
      <c r="R98" s="188"/>
      <c r="S98" s="188"/>
      <c r="T98" s="188"/>
      <c r="U98" s="188"/>
    </row>
    <row r="99" spans="1:21">
      <c r="A99" s="177" t="s">
        <v>7</v>
      </c>
      <c r="B99" s="173" t="s">
        <v>566</v>
      </c>
      <c r="C99" s="176"/>
      <c r="D99" s="173"/>
      <c r="E99" s="173"/>
      <c r="F99" s="173"/>
      <c r="G99" s="173"/>
      <c r="H99" s="173"/>
      <c r="I99" s="173"/>
      <c r="J99" s="173"/>
      <c r="K99" s="173"/>
      <c r="L99" s="173"/>
      <c r="M99" s="173"/>
      <c r="N99" s="173"/>
      <c r="O99" s="173"/>
      <c r="P99" s="173"/>
      <c r="Q99" s="173"/>
      <c r="R99" s="173"/>
      <c r="S99" s="173"/>
      <c r="T99" s="173"/>
      <c r="U99" s="173"/>
    </row>
    <row r="100" spans="1:21">
      <c r="A100" s="276" t="s">
        <v>9</v>
      </c>
      <c r="B100" s="173" t="s">
        <v>1509</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11</v>
      </c>
      <c r="B101" s="179" t="s">
        <v>913</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13</v>
      </c>
      <c r="B102" s="173" t="s">
        <v>14</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15</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16</v>
      </c>
      <c r="B104" s="173" t="s">
        <v>17</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18</v>
      </c>
      <c r="B105" s="173" t="s">
        <v>18</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19</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20</v>
      </c>
      <c r="B107" s="175" t="s">
        <v>21</v>
      </c>
      <c r="C107" s="175" t="s">
        <v>18</v>
      </c>
      <c r="D107" s="175" t="s">
        <v>22</v>
      </c>
      <c r="E107" s="175" t="s">
        <v>7</v>
      </c>
      <c r="F107" s="175" t="s">
        <v>13</v>
      </c>
      <c r="G107" s="175" t="s">
        <v>16</v>
      </c>
      <c r="H107" s="175" t="s">
        <v>23</v>
      </c>
      <c r="I107" s="175" t="s">
        <v>24</v>
      </c>
      <c r="J107" s="175" t="s">
        <v>25</v>
      </c>
      <c r="K107" s="175" t="s">
        <v>26</v>
      </c>
      <c r="L107" s="175" t="s">
        <v>27</v>
      </c>
      <c r="M107" s="175" t="s">
        <v>28</v>
      </c>
      <c r="N107" s="175" t="s">
        <v>11</v>
      </c>
      <c r="O107" s="173"/>
      <c r="P107" s="173"/>
      <c r="Q107" s="173"/>
      <c r="R107" s="173"/>
      <c r="S107" s="173"/>
      <c r="T107" s="173"/>
      <c r="U107" s="173"/>
    </row>
    <row r="108" spans="1:21">
      <c r="A108" s="232" t="s">
        <v>1508</v>
      </c>
      <c r="B108" s="173">
        <v>1</v>
      </c>
      <c r="C108" s="173" t="s">
        <v>18</v>
      </c>
      <c r="D108" s="173" t="s">
        <v>2</v>
      </c>
      <c r="E108" s="173" t="s">
        <v>29</v>
      </c>
      <c r="F108" s="185" t="s">
        <v>14</v>
      </c>
      <c r="G108" s="173" t="s">
        <v>30</v>
      </c>
      <c r="H108" s="173">
        <v>1</v>
      </c>
      <c r="I108" s="173">
        <f>B108</f>
        <v>1</v>
      </c>
      <c r="J108" s="173" t="s">
        <v>31</v>
      </c>
      <c r="K108" s="173" t="s">
        <v>31</v>
      </c>
      <c r="L108" s="173" t="s">
        <v>31</v>
      </c>
      <c r="M108" s="173" t="s">
        <v>31</v>
      </c>
      <c r="N108" s="173"/>
      <c r="O108" s="173"/>
      <c r="P108" s="347"/>
      <c r="Q108" s="173"/>
      <c r="R108" s="173"/>
      <c r="S108" s="173"/>
      <c r="T108" s="173"/>
      <c r="U108" s="173"/>
    </row>
    <row r="109" spans="1:21">
      <c r="A109" s="177" t="s">
        <v>1510</v>
      </c>
      <c r="B109" s="298">
        <f>B133</f>
        <v>0.12</v>
      </c>
      <c r="C109" s="173" t="s">
        <v>206</v>
      </c>
      <c r="D109" s="173" t="s">
        <v>2</v>
      </c>
      <c r="E109" s="173" t="s">
        <v>29</v>
      </c>
      <c r="F109" s="185" t="s">
        <v>14</v>
      </c>
      <c r="G109" s="173" t="s">
        <v>33</v>
      </c>
      <c r="H109" s="173">
        <v>1</v>
      </c>
      <c r="I109" s="173">
        <f>B109</f>
        <v>0.12</v>
      </c>
      <c r="J109" s="173" t="s">
        <v>31</v>
      </c>
      <c r="K109" s="173" t="s">
        <v>31</v>
      </c>
      <c r="L109" s="173" t="s">
        <v>31</v>
      </c>
      <c r="M109" s="173" t="s">
        <v>31</v>
      </c>
      <c r="N109" s="173"/>
      <c r="O109" s="259"/>
      <c r="P109" s="260"/>
      <c r="Q109" s="184" t="s">
        <v>1511</v>
      </c>
      <c r="R109" s="173"/>
      <c r="S109" s="173"/>
      <c r="T109" s="173"/>
      <c r="U109" s="173"/>
    </row>
    <row r="110" spans="1:21">
      <c r="A110" s="173" t="s">
        <v>1466</v>
      </c>
      <c r="B110" s="231">
        <f>S110</f>
        <v>1.6250000000000001E-2</v>
      </c>
      <c r="C110" s="178" t="s">
        <v>206</v>
      </c>
      <c r="D110" s="173" t="s">
        <v>2</v>
      </c>
      <c r="E110" s="173" t="s">
        <v>29</v>
      </c>
      <c r="F110" s="185" t="s">
        <v>14</v>
      </c>
      <c r="G110" s="173" t="s">
        <v>33</v>
      </c>
      <c r="H110" s="173">
        <v>1</v>
      </c>
      <c r="I110" s="173">
        <f>B110</f>
        <v>1.6250000000000001E-2</v>
      </c>
      <c r="J110" s="173" t="s">
        <v>31</v>
      </c>
      <c r="K110" s="173" t="s">
        <v>31</v>
      </c>
      <c r="L110" s="173" t="s">
        <v>31</v>
      </c>
      <c r="M110" s="173" t="s">
        <v>31</v>
      </c>
      <c r="N110" s="173"/>
      <c r="O110" s="299" t="s">
        <v>947</v>
      </c>
      <c r="P110" s="300">
        <v>91</v>
      </c>
      <c r="Q110" s="173">
        <f>0.05/0.28</f>
        <v>0.17857142857142858</v>
      </c>
      <c r="R110" s="173" t="s">
        <v>1304</v>
      </c>
      <c r="S110" s="231">
        <f>P110*0.001*Q110</f>
        <v>1.6250000000000001E-2</v>
      </c>
      <c r="T110" s="173"/>
      <c r="U110" s="173"/>
    </row>
    <row r="111" spans="1:21">
      <c r="A111" s="173" t="s">
        <v>1512</v>
      </c>
      <c r="B111" s="173">
        <v>1</v>
      </c>
      <c r="C111" s="173" t="s">
        <v>18</v>
      </c>
      <c r="D111" s="173" t="s">
        <v>2</v>
      </c>
      <c r="E111" s="173" t="s">
        <v>29</v>
      </c>
      <c r="F111" s="185" t="s">
        <v>14</v>
      </c>
      <c r="G111" s="173" t="s">
        <v>33</v>
      </c>
      <c r="H111" s="173">
        <v>1</v>
      </c>
      <c r="I111" s="173">
        <f>B111</f>
        <v>1</v>
      </c>
      <c r="J111" s="173" t="s">
        <v>31</v>
      </c>
      <c r="K111" s="173" t="s">
        <v>31</v>
      </c>
      <c r="L111" s="173" t="s">
        <v>31</v>
      </c>
      <c r="M111" s="173" t="s">
        <v>31</v>
      </c>
      <c r="N111" s="173"/>
      <c r="O111" s="259"/>
      <c r="P111" s="260"/>
      <c r="Q111" s="173"/>
      <c r="R111" s="173"/>
      <c r="S111" s="173"/>
      <c r="T111" s="173"/>
      <c r="U111" s="173"/>
    </row>
    <row r="112" spans="1:21">
      <c r="A112" s="232" t="s">
        <v>533</v>
      </c>
      <c r="B112" s="231">
        <f>R112</f>
        <v>5.2000000000000006E-4</v>
      </c>
      <c r="C112" s="173" t="s">
        <v>37</v>
      </c>
      <c r="D112" s="173" t="s">
        <v>38</v>
      </c>
      <c r="E112" s="173" t="s">
        <v>29</v>
      </c>
      <c r="F112" s="185" t="s">
        <v>35</v>
      </c>
      <c r="G112" s="173" t="s">
        <v>33</v>
      </c>
      <c r="H112" s="173">
        <v>2</v>
      </c>
      <c r="I112" s="173">
        <f>LN(B112)</f>
        <v>-7.5616817463888006</v>
      </c>
      <c r="J112" s="173">
        <v>2.8722813232690055E-2</v>
      </c>
      <c r="K112" s="173" t="s">
        <v>31</v>
      </c>
      <c r="L112" s="173" t="s">
        <v>31</v>
      </c>
      <c r="M112" s="173" t="s">
        <v>31</v>
      </c>
      <c r="N112" s="173"/>
      <c r="O112" s="299" t="s">
        <v>947</v>
      </c>
      <c r="P112" s="302">
        <v>0.52</v>
      </c>
      <c r="Q112" s="173" t="s">
        <v>337</v>
      </c>
      <c r="R112" s="231">
        <f>P112*10^-3</f>
        <v>5.2000000000000006E-4</v>
      </c>
      <c r="S112" s="173"/>
      <c r="T112" s="173"/>
      <c r="U112" s="173"/>
    </row>
    <row r="113" spans="1:21" s="42" customFormat="1">
      <c r="A113" s="209" t="s">
        <v>5</v>
      </c>
      <c r="B113" s="210" t="s">
        <v>1512</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7</v>
      </c>
      <c r="B114" s="173" t="s">
        <v>566</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9</v>
      </c>
      <c r="B115" s="173" t="s">
        <v>1513</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11</v>
      </c>
      <c r="B116" s="179" t="s">
        <v>913</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13</v>
      </c>
      <c r="B117" s="173" t="s">
        <v>14</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15</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16</v>
      </c>
      <c r="B119" s="173" t="s">
        <v>17</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18</v>
      </c>
      <c r="B120" s="173" t="s">
        <v>18</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19</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20</v>
      </c>
      <c r="B122" s="175" t="s">
        <v>21</v>
      </c>
      <c r="C122" s="175" t="s">
        <v>18</v>
      </c>
      <c r="D122" s="175" t="s">
        <v>22</v>
      </c>
      <c r="E122" s="175" t="s">
        <v>7</v>
      </c>
      <c r="F122" s="175" t="s">
        <v>13</v>
      </c>
      <c r="G122" s="175" t="s">
        <v>16</v>
      </c>
      <c r="H122" s="175" t="s">
        <v>23</v>
      </c>
      <c r="I122" s="175" t="s">
        <v>24</v>
      </c>
      <c r="J122" s="175" t="s">
        <v>25</v>
      </c>
      <c r="K122" s="175" t="s">
        <v>26</v>
      </c>
      <c r="L122" s="175" t="s">
        <v>27</v>
      </c>
      <c r="M122" s="175" t="s">
        <v>28</v>
      </c>
      <c r="N122" s="175" t="s">
        <v>11</v>
      </c>
      <c r="O122" s="173"/>
      <c r="P122" s="173"/>
      <c r="Q122" s="173"/>
      <c r="R122" s="173"/>
      <c r="S122" s="173"/>
      <c r="T122" s="173"/>
      <c r="U122" s="173"/>
    </row>
    <row r="123" spans="1:21">
      <c r="A123" s="173" t="s">
        <v>1512</v>
      </c>
      <c r="B123" s="173">
        <v>1</v>
      </c>
      <c r="C123" s="173" t="s">
        <v>18</v>
      </c>
      <c r="D123" s="258" t="s">
        <v>2</v>
      </c>
      <c r="E123" s="173" t="s">
        <v>29</v>
      </c>
      <c r="F123" s="185" t="s">
        <v>14</v>
      </c>
      <c r="G123" s="173" t="s">
        <v>30</v>
      </c>
      <c r="H123" s="173">
        <v>1</v>
      </c>
      <c r="I123" s="173">
        <f>B123</f>
        <v>1</v>
      </c>
      <c r="J123" s="173" t="s">
        <v>31</v>
      </c>
      <c r="K123" s="173" t="s">
        <v>31</v>
      </c>
      <c r="L123" s="173" t="s">
        <v>31</v>
      </c>
      <c r="M123" s="173" t="s">
        <v>31</v>
      </c>
      <c r="N123" s="173"/>
      <c r="O123" s="173"/>
      <c r="P123" s="173"/>
      <c r="Q123" s="173"/>
      <c r="R123" s="173"/>
      <c r="S123" s="173"/>
      <c r="T123" s="173"/>
      <c r="U123" s="173"/>
    </row>
    <row r="124" spans="1:21">
      <c r="A124" s="232" t="s">
        <v>1056</v>
      </c>
      <c r="B124" s="173">
        <f>R124</f>
        <v>1.02</v>
      </c>
      <c r="C124" s="173" t="s">
        <v>37</v>
      </c>
      <c r="D124" s="173" t="s">
        <v>38</v>
      </c>
      <c r="E124" s="173" t="s">
        <v>29</v>
      </c>
      <c r="F124" s="173" t="s">
        <v>60</v>
      </c>
      <c r="G124" s="173" t="s">
        <v>33</v>
      </c>
      <c r="H124" s="173">
        <v>1</v>
      </c>
      <c r="I124" s="173">
        <f>B124</f>
        <v>1.02</v>
      </c>
      <c r="J124" s="173" t="s">
        <v>31</v>
      </c>
      <c r="K124" s="173" t="s">
        <v>31</v>
      </c>
      <c r="L124" s="173" t="s">
        <v>31</v>
      </c>
      <c r="M124" s="173" t="s">
        <v>31</v>
      </c>
      <c r="N124" s="173"/>
      <c r="O124" s="173"/>
      <c r="P124" s="173">
        <v>1.02</v>
      </c>
      <c r="Q124" s="173" t="s">
        <v>337</v>
      </c>
      <c r="R124" s="173">
        <f>P124</f>
        <v>1.02</v>
      </c>
      <c r="S124" s="173"/>
      <c r="T124" s="173"/>
      <c r="U124" s="173"/>
    </row>
    <row r="125" spans="1:21">
      <c r="A125" s="232" t="s">
        <v>1057</v>
      </c>
      <c r="B125" s="173">
        <f t="shared" ref="B125:B127" si="5">R125</f>
        <v>0.67300000000000004</v>
      </c>
      <c r="C125" s="173" t="s">
        <v>37</v>
      </c>
      <c r="D125" s="173" t="s">
        <v>38</v>
      </c>
      <c r="E125" s="173" t="s">
        <v>29</v>
      </c>
      <c r="F125" s="173" t="s">
        <v>60</v>
      </c>
      <c r="G125" s="173" t="s">
        <v>33</v>
      </c>
      <c r="H125" s="173">
        <v>2</v>
      </c>
      <c r="I125" s="173">
        <f>LN(B125)</f>
        <v>-0.39600994933740918</v>
      </c>
      <c r="J125" s="173">
        <v>3.7749172176353707E-2</v>
      </c>
      <c r="K125" s="173" t="s">
        <v>31</v>
      </c>
      <c r="L125" s="173" t="s">
        <v>31</v>
      </c>
      <c r="M125" s="173" t="s">
        <v>31</v>
      </c>
      <c r="N125" s="173"/>
      <c r="O125" s="242" t="s">
        <v>947</v>
      </c>
      <c r="P125" s="296">
        <v>673</v>
      </c>
      <c r="Q125" s="173" t="s">
        <v>337</v>
      </c>
      <c r="R125" s="173">
        <f>P125*0.001</f>
        <v>0.67300000000000004</v>
      </c>
      <c r="S125" s="173"/>
      <c r="T125" s="173"/>
      <c r="U125" s="173"/>
    </row>
    <row r="126" spans="1:21">
      <c r="A126" s="232" t="s">
        <v>1058</v>
      </c>
      <c r="B126" s="173">
        <f t="shared" si="5"/>
        <v>4.0200000000000007E-2</v>
      </c>
      <c r="C126" s="173" t="s">
        <v>37</v>
      </c>
      <c r="D126" s="173" t="s">
        <v>38</v>
      </c>
      <c r="E126" s="173" t="s">
        <v>29</v>
      </c>
      <c r="F126" s="173" t="s">
        <v>60</v>
      </c>
      <c r="G126" s="173" t="s">
        <v>33</v>
      </c>
      <c r="H126" s="173">
        <v>2</v>
      </c>
      <c r="I126" s="173">
        <f>LN(B126)</f>
        <v>-3.2138882833571616</v>
      </c>
      <c r="J126" s="173">
        <v>3.7749172176353707E-2</v>
      </c>
      <c r="K126" s="173" t="s">
        <v>31</v>
      </c>
      <c r="L126" s="173" t="s">
        <v>31</v>
      </c>
      <c r="M126" s="173" t="s">
        <v>31</v>
      </c>
      <c r="N126" s="173"/>
      <c r="O126" s="242" t="s">
        <v>947</v>
      </c>
      <c r="P126" s="296">
        <v>40.200000000000003</v>
      </c>
      <c r="Q126" s="173" t="s">
        <v>337</v>
      </c>
      <c r="R126" s="173">
        <f t="shared" ref="R126:R127" si="6">P126*0.001</f>
        <v>4.0200000000000007E-2</v>
      </c>
      <c r="S126" s="173"/>
      <c r="T126" s="173"/>
      <c r="U126" s="173"/>
    </row>
    <row r="127" spans="1:21">
      <c r="A127" s="232" t="s">
        <v>1059</v>
      </c>
      <c r="B127" s="173">
        <f t="shared" si="5"/>
        <v>0.30399999999999999</v>
      </c>
      <c r="C127" s="173" t="s">
        <v>37</v>
      </c>
      <c r="D127" s="173" t="s">
        <v>38</v>
      </c>
      <c r="E127" s="173" t="s">
        <v>29</v>
      </c>
      <c r="F127" s="173" t="s">
        <v>60</v>
      </c>
      <c r="G127" s="173" t="s">
        <v>33</v>
      </c>
      <c r="H127" s="173">
        <v>2</v>
      </c>
      <c r="I127" s="173">
        <f>LN(B127)</f>
        <v>-1.1907275775759154</v>
      </c>
      <c r="J127" s="173">
        <v>3.7749172176353707E-2</v>
      </c>
      <c r="K127" s="173" t="s">
        <v>31</v>
      </c>
      <c r="L127" s="173" t="s">
        <v>31</v>
      </c>
      <c r="M127" s="173" t="s">
        <v>31</v>
      </c>
      <c r="N127" s="173"/>
      <c r="O127" s="242" t="s">
        <v>947</v>
      </c>
      <c r="P127" s="296">
        <v>304</v>
      </c>
      <c r="Q127" s="173" t="s">
        <v>337</v>
      </c>
      <c r="R127" s="173">
        <f t="shared" si="6"/>
        <v>0.30399999999999999</v>
      </c>
      <c r="S127" s="173"/>
      <c r="T127" s="173"/>
      <c r="U127" s="173"/>
    </row>
    <row r="128" spans="1:21" s="42" customFormat="1">
      <c r="A128" s="209" t="s">
        <v>5</v>
      </c>
      <c r="B128" s="323" t="s">
        <v>1510</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7</v>
      </c>
      <c r="B129" s="173" t="s">
        <v>566</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9</v>
      </c>
      <c r="B130" s="173" t="s">
        <v>1514</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11</v>
      </c>
      <c r="B131" s="179" t="s">
        <v>913</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13</v>
      </c>
      <c r="B132" s="173" t="s">
        <v>14</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15</v>
      </c>
      <c r="B133" s="277">
        <f>B138</f>
        <v>0.12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16</v>
      </c>
      <c r="B134" s="173" t="s">
        <v>17</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18</v>
      </c>
      <c r="B135" s="173" t="s">
        <v>206</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19</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20</v>
      </c>
      <c r="B137" s="175" t="s">
        <v>21</v>
      </c>
      <c r="C137" s="175" t="s">
        <v>18</v>
      </c>
      <c r="D137" s="175" t="s">
        <v>22</v>
      </c>
      <c r="E137" s="175" t="s">
        <v>7</v>
      </c>
      <c r="F137" s="175" t="s">
        <v>13</v>
      </c>
      <c r="G137" s="175" t="s">
        <v>16</v>
      </c>
      <c r="H137" s="175" t="s">
        <v>23</v>
      </c>
      <c r="I137" s="175" t="s">
        <v>24</v>
      </c>
      <c r="J137" s="175" t="s">
        <v>25</v>
      </c>
      <c r="K137" s="175" t="s">
        <v>26</v>
      </c>
      <c r="L137" s="175" t="s">
        <v>27</v>
      </c>
      <c r="M137" s="175" t="s">
        <v>28</v>
      </c>
      <c r="N137" s="175" t="s">
        <v>11</v>
      </c>
      <c r="O137" s="173"/>
      <c r="P137" s="173"/>
      <c r="Q137" s="173"/>
      <c r="R137" s="173"/>
      <c r="S137" s="173"/>
      <c r="T137" s="173"/>
      <c r="U137" s="173"/>
    </row>
    <row r="138" spans="1:21">
      <c r="A138" s="173" t="s">
        <v>1510</v>
      </c>
      <c r="B138" s="303">
        <f>B147</f>
        <v>0.12</v>
      </c>
      <c r="C138" s="173" t="s">
        <v>206</v>
      </c>
      <c r="D138" s="258" t="s">
        <v>2</v>
      </c>
      <c r="E138" s="173" t="s">
        <v>29</v>
      </c>
      <c r="F138" s="185" t="s">
        <v>14</v>
      </c>
      <c r="G138" s="173" t="s">
        <v>30</v>
      </c>
      <c r="H138" s="173">
        <v>1</v>
      </c>
      <c r="I138" s="173">
        <f>B138</f>
        <v>0.12</v>
      </c>
      <c r="J138" s="173" t="s">
        <v>31</v>
      </c>
      <c r="K138" s="173" t="s">
        <v>31</v>
      </c>
      <c r="L138" s="173" t="s">
        <v>31</v>
      </c>
      <c r="M138" s="173" t="s">
        <v>31</v>
      </c>
      <c r="N138" s="173"/>
      <c r="O138" s="259"/>
      <c r="P138" s="349">
        <v>0.1</v>
      </c>
      <c r="Q138" s="184"/>
      <c r="R138" s="173"/>
      <c r="S138" s="173"/>
      <c r="T138" s="173"/>
      <c r="U138" s="173"/>
    </row>
    <row r="139" spans="1:21">
      <c r="A139" s="271" t="s">
        <v>1515</v>
      </c>
      <c r="B139" s="303">
        <v>0.12</v>
      </c>
      <c r="C139" s="173" t="s">
        <v>206</v>
      </c>
      <c r="D139" s="258" t="s">
        <v>2</v>
      </c>
      <c r="E139" s="173" t="s">
        <v>29</v>
      </c>
      <c r="F139" s="185" t="s">
        <v>14</v>
      </c>
      <c r="G139" s="173" t="s">
        <v>33</v>
      </c>
      <c r="H139" s="173">
        <v>1</v>
      </c>
      <c r="I139" s="173">
        <f>B139</f>
        <v>0.12</v>
      </c>
      <c r="J139" s="173" t="s">
        <v>31</v>
      </c>
      <c r="K139" s="173" t="s">
        <v>31</v>
      </c>
      <c r="L139" s="173" t="s">
        <v>31</v>
      </c>
      <c r="M139" s="173" t="s">
        <v>31</v>
      </c>
      <c r="N139" s="173"/>
      <c r="O139" s="173"/>
      <c r="P139" s="349">
        <v>0.1</v>
      </c>
      <c r="Q139" s="173"/>
      <c r="R139" s="173"/>
      <c r="S139" s="173"/>
      <c r="T139" s="173"/>
      <c r="U139" s="173"/>
    </row>
    <row r="140" spans="1:21">
      <c r="A140" s="232" t="s">
        <v>1077</v>
      </c>
      <c r="B140" s="173">
        <f>R140</f>
        <v>1.0500000000000001E-2</v>
      </c>
      <c r="C140" s="173" t="s">
        <v>37</v>
      </c>
      <c r="D140" s="173" t="s">
        <v>38</v>
      </c>
      <c r="E140" s="173" t="s">
        <v>29</v>
      </c>
      <c r="F140" s="173" t="s">
        <v>35</v>
      </c>
      <c r="G140" s="173" t="s">
        <v>33</v>
      </c>
      <c r="H140" s="173">
        <v>2</v>
      </c>
      <c r="I140" s="173">
        <f>LN(B140)</f>
        <v>-4.5563800218186596</v>
      </c>
      <c r="J140" s="173">
        <v>0.20928449536456342</v>
      </c>
      <c r="K140" s="173" t="s">
        <v>31</v>
      </c>
      <c r="L140" s="173" t="s">
        <v>31</v>
      </c>
      <c r="M140" s="173" t="s">
        <v>31</v>
      </c>
      <c r="N140" s="173"/>
      <c r="O140" s="242" t="s">
        <v>947</v>
      </c>
      <c r="P140" s="264">
        <v>10.5</v>
      </c>
      <c r="Q140" s="173" t="s">
        <v>337</v>
      </c>
      <c r="R140" s="173">
        <f>0.001*P140</f>
        <v>1.0500000000000001E-2</v>
      </c>
      <c r="S140" s="173"/>
      <c r="T140" s="173"/>
      <c r="U140" s="173"/>
    </row>
    <row r="141" spans="1:21">
      <c r="A141" s="232" t="s">
        <v>1078</v>
      </c>
      <c r="B141" s="173">
        <f>R141</f>
        <v>1.0500000000000001E-2</v>
      </c>
      <c r="C141" s="173" t="s">
        <v>37</v>
      </c>
      <c r="D141" s="173" t="s">
        <v>38</v>
      </c>
      <c r="E141" s="173" t="s">
        <v>29</v>
      </c>
      <c r="F141" s="173" t="s">
        <v>35</v>
      </c>
      <c r="G141" s="173" t="s">
        <v>33</v>
      </c>
      <c r="H141" s="173">
        <v>2</v>
      </c>
      <c r="I141" s="173">
        <f>LN(B141)</f>
        <v>-4.5563800218186596</v>
      </c>
      <c r="J141" s="173">
        <v>0.20928449536456342</v>
      </c>
      <c r="K141" s="173" t="s">
        <v>31</v>
      </c>
      <c r="L141" s="173" t="s">
        <v>31</v>
      </c>
      <c r="M141" s="173" t="s">
        <v>31</v>
      </c>
      <c r="N141" s="173"/>
      <c r="O141" s="242" t="s">
        <v>947</v>
      </c>
      <c r="P141" s="264">
        <v>10.5</v>
      </c>
      <c r="Q141" s="173" t="s">
        <v>337</v>
      </c>
      <c r="R141" s="173">
        <f>0.001*P141</f>
        <v>1.0500000000000001E-2</v>
      </c>
      <c r="S141" s="173"/>
      <c r="T141" s="173"/>
      <c r="U141" s="173"/>
    </row>
    <row r="142" spans="1:21" s="42" customFormat="1">
      <c r="A142" s="209" t="s">
        <v>5</v>
      </c>
      <c r="B142" s="304" t="s">
        <v>1515</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7</v>
      </c>
      <c r="B143" s="173" t="s">
        <v>566</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9</v>
      </c>
      <c r="B144" s="173" t="s">
        <v>1516</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11</v>
      </c>
      <c r="B145" s="179" t="s">
        <v>913</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13</v>
      </c>
      <c r="B146" s="173" t="s">
        <v>14</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15</v>
      </c>
      <c r="B147" s="277">
        <f>B152</f>
        <v>0.12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16</v>
      </c>
      <c r="B148" s="173" t="s">
        <v>17</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18</v>
      </c>
      <c r="B149" s="173" t="s">
        <v>206</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19</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20</v>
      </c>
      <c r="B151" s="175" t="s">
        <v>21</v>
      </c>
      <c r="C151" s="175" t="s">
        <v>18</v>
      </c>
      <c r="D151" s="175" t="s">
        <v>22</v>
      </c>
      <c r="E151" s="175" t="s">
        <v>7</v>
      </c>
      <c r="F151" s="175" t="s">
        <v>13</v>
      </c>
      <c r="G151" s="175" t="s">
        <v>16</v>
      </c>
      <c r="H151" s="175" t="s">
        <v>23</v>
      </c>
      <c r="I151" s="175" t="s">
        <v>24</v>
      </c>
      <c r="J151" s="175" t="s">
        <v>25</v>
      </c>
      <c r="K151" s="175" t="s">
        <v>26</v>
      </c>
      <c r="L151" s="175" t="s">
        <v>27</v>
      </c>
      <c r="M151" s="175" t="s">
        <v>28</v>
      </c>
      <c r="N151" s="175" t="s">
        <v>11</v>
      </c>
      <c r="O151" s="173"/>
      <c r="P151" s="173"/>
      <c r="Q151" s="173"/>
      <c r="R151" s="173"/>
      <c r="S151" s="173"/>
      <c r="T151" s="173"/>
      <c r="U151" s="173"/>
    </row>
    <row r="152" spans="1:21">
      <c r="A152" s="271" t="s">
        <v>1515</v>
      </c>
      <c r="B152" s="303">
        <f>B162</f>
        <v>0.12</v>
      </c>
      <c r="C152" s="173" t="s">
        <v>206</v>
      </c>
      <c r="D152" s="258" t="s">
        <v>2</v>
      </c>
      <c r="E152" s="173" t="s">
        <v>29</v>
      </c>
      <c r="F152" s="185" t="s">
        <v>14</v>
      </c>
      <c r="G152" s="173" t="s">
        <v>30</v>
      </c>
      <c r="H152" s="173">
        <v>1</v>
      </c>
      <c r="I152" s="173">
        <f>B152</f>
        <v>0.12</v>
      </c>
      <c r="J152" s="173" t="s">
        <v>31</v>
      </c>
      <c r="K152" s="173" t="s">
        <v>31</v>
      </c>
      <c r="L152" s="173" t="s">
        <v>31</v>
      </c>
      <c r="M152" s="173" t="s">
        <v>31</v>
      </c>
      <c r="N152" s="173"/>
      <c r="O152" s="350" t="s">
        <v>945</v>
      </c>
      <c r="P152" s="348">
        <v>5.3999999999999999E-2</v>
      </c>
      <c r="Q152" s="173"/>
      <c r="R152" s="173"/>
      <c r="S152" s="173"/>
      <c r="T152" s="173"/>
      <c r="U152" s="173"/>
    </row>
    <row r="153" spans="1:21">
      <c r="A153" s="173" t="s">
        <v>1517</v>
      </c>
      <c r="B153" s="303">
        <f>B228</f>
        <v>3.5999999999999997E-2</v>
      </c>
      <c r="C153" s="173" t="s">
        <v>206</v>
      </c>
      <c r="D153" s="258" t="s">
        <v>2</v>
      </c>
      <c r="E153" s="173" t="s">
        <v>29</v>
      </c>
      <c r="F153" s="185" t="s">
        <v>14</v>
      </c>
      <c r="G153" s="173" t="s">
        <v>33</v>
      </c>
      <c r="H153" s="173">
        <v>1</v>
      </c>
      <c r="I153" s="173">
        <f>B153</f>
        <v>3.5999999999999997E-2</v>
      </c>
      <c r="J153" s="173" t="s">
        <v>31</v>
      </c>
      <c r="K153" s="173" t="s">
        <v>31</v>
      </c>
      <c r="L153" s="173" t="s">
        <v>31</v>
      </c>
      <c r="M153" s="173" t="s">
        <v>31</v>
      </c>
      <c r="N153" s="173"/>
      <c r="O153" s="350" t="s">
        <v>963</v>
      </c>
      <c r="P153" s="351">
        <v>1.7000000000000001E-2</v>
      </c>
      <c r="Q153" s="173"/>
      <c r="R153" s="173"/>
      <c r="S153" s="173"/>
      <c r="T153" s="173"/>
      <c r="U153" s="173"/>
    </row>
    <row r="154" spans="1:21">
      <c r="A154" s="173" t="s">
        <v>1518</v>
      </c>
      <c r="B154" s="303">
        <f>B152</f>
        <v>0.12</v>
      </c>
      <c r="C154" s="173" t="s">
        <v>206</v>
      </c>
      <c r="D154" s="258" t="s">
        <v>2</v>
      </c>
      <c r="E154" s="173" t="s">
        <v>29</v>
      </c>
      <c r="F154" s="185" t="s">
        <v>14</v>
      </c>
      <c r="G154" s="173" t="s">
        <v>33</v>
      </c>
      <c r="H154" s="173">
        <v>1</v>
      </c>
      <c r="I154" s="173">
        <f>B154</f>
        <v>0.12</v>
      </c>
      <c r="J154" s="173" t="s">
        <v>31</v>
      </c>
      <c r="K154" s="173" t="s">
        <v>31</v>
      </c>
      <c r="L154" s="173" t="s">
        <v>31</v>
      </c>
      <c r="M154" s="173" t="s">
        <v>31</v>
      </c>
      <c r="N154" s="173"/>
      <c r="O154" s="241" t="s">
        <v>963</v>
      </c>
      <c r="P154" s="348">
        <v>5.3999999999999999E-2</v>
      </c>
      <c r="Q154" s="173"/>
      <c r="R154" s="173"/>
      <c r="S154" s="173"/>
      <c r="T154" s="173"/>
      <c r="U154" s="173"/>
    </row>
    <row r="155" spans="1:21">
      <c r="A155" s="177" t="s">
        <v>168</v>
      </c>
      <c r="B155" s="303">
        <f t="shared" ref="B155:B156" si="7">P155</f>
        <v>2.81</v>
      </c>
      <c r="C155" s="173" t="s">
        <v>41</v>
      </c>
      <c r="D155" s="173" t="s">
        <v>38</v>
      </c>
      <c r="E155" s="173" t="s">
        <v>29</v>
      </c>
      <c r="F155" s="185" t="s">
        <v>35</v>
      </c>
      <c r="G155" s="173" t="s">
        <v>33</v>
      </c>
      <c r="H155" s="173">
        <v>2</v>
      </c>
      <c r="I155" s="173">
        <f t="shared" ref="I155:I156" si="8">LN(B155)</f>
        <v>1.0331844833456545</v>
      </c>
      <c r="J155" s="173">
        <v>9.7082439194738052E-2</v>
      </c>
      <c r="K155" s="173" t="s">
        <v>31</v>
      </c>
      <c r="L155" s="173" t="s">
        <v>31</v>
      </c>
      <c r="M155" s="173" t="s">
        <v>31</v>
      </c>
      <c r="N155" s="173"/>
      <c r="O155" s="242" t="s">
        <v>332</v>
      </c>
      <c r="P155" s="264">
        <v>2.81</v>
      </c>
      <c r="Q155" s="173" t="s">
        <v>332</v>
      </c>
      <c r="R155" s="184">
        <f>P155</f>
        <v>2.81</v>
      </c>
      <c r="S155" s="173"/>
      <c r="T155" s="173"/>
      <c r="U155" s="173"/>
    </row>
    <row r="156" spans="1:21">
      <c r="A156" s="177" t="s">
        <v>934</v>
      </c>
      <c r="B156" s="303">
        <f t="shared" si="7"/>
        <v>7.5</v>
      </c>
      <c r="C156" s="173" t="s">
        <v>37</v>
      </c>
      <c r="D156" s="173" t="s">
        <v>38</v>
      </c>
      <c r="E156" s="173" t="s">
        <v>29</v>
      </c>
      <c r="F156" s="185" t="s">
        <v>35</v>
      </c>
      <c r="G156" s="173" t="s">
        <v>33</v>
      </c>
      <c r="H156" s="173">
        <v>2</v>
      </c>
      <c r="I156" s="173">
        <f t="shared" si="8"/>
        <v>2.0149030205422647</v>
      </c>
      <c r="J156" s="173">
        <v>9.7082439194738052E-2</v>
      </c>
      <c r="K156" s="173" t="s">
        <v>31</v>
      </c>
      <c r="L156" s="173" t="s">
        <v>31</v>
      </c>
      <c r="M156" s="173" t="s">
        <v>31</v>
      </c>
      <c r="N156" s="173"/>
      <c r="O156" s="242" t="s">
        <v>337</v>
      </c>
      <c r="P156" s="264">
        <v>7.5</v>
      </c>
      <c r="Q156" s="173"/>
      <c r="R156" s="173"/>
      <c r="S156" s="173"/>
      <c r="T156" s="173"/>
      <c r="U156" s="173"/>
    </row>
    <row r="157" spans="1:21" s="42" customFormat="1">
      <c r="A157" s="209" t="s">
        <v>5</v>
      </c>
      <c r="B157" s="210" t="s">
        <v>1518</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7</v>
      </c>
      <c r="B158" s="173" t="s">
        <v>566</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9</v>
      </c>
      <c r="B159" s="173" t="s">
        <v>1519</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11</v>
      </c>
      <c r="B160" s="179" t="s">
        <v>913</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13</v>
      </c>
      <c r="B161" s="173" t="s">
        <v>14</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15</v>
      </c>
      <c r="B162" s="303">
        <f>B167</f>
        <v>0.12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16</v>
      </c>
      <c r="B163" s="173" t="s">
        <v>17</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18</v>
      </c>
      <c r="B164" s="173" t="s">
        <v>206</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19</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20</v>
      </c>
      <c r="B166" s="175" t="s">
        <v>21</v>
      </c>
      <c r="C166" s="175" t="s">
        <v>18</v>
      </c>
      <c r="D166" s="175" t="s">
        <v>22</v>
      </c>
      <c r="E166" s="175" t="s">
        <v>7</v>
      </c>
      <c r="F166" s="175" t="s">
        <v>13</v>
      </c>
      <c r="G166" s="175" t="s">
        <v>16</v>
      </c>
      <c r="H166" s="175" t="s">
        <v>23</v>
      </c>
      <c r="I166" s="175" t="s">
        <v>24</v>
      </c>
      <c r="J166" s="175" t="s">
        <v>25</v>
      </c>
      <c r="K166" s="175" t="s">
        <v>26</v>
      </c>
      <c r="L166" s="175" t="s">
        <v>27</v>
      </c>
      <c r="M166" s="175" t="s">
        <v>28</v>
      </c>
      <c r="N166" s="175" t="s">
        <v>11</v>
      </c>
      <c r="O166" s="173"/>
      <c r="P166" s="173"/>
      <c r="Q166" s="173"/>
      <c r="R166" s="173"/>
      <c r="S166" s="173"/>
      <c r="T166" s="173"/>
      <c r="U166" s="173"/>
    </row>
    <row r="167" spans="1:21">
      <c r="A167" s="173" t="s">
        <v>1518</v>
      </c>
      <c r="B167" s="265">
        <f>P167</f>
        <v>0.12</v>
      </c>
      <c r="C167" s="173" t="s">
        <v>206</v>
      </c>
      <c r="D167" s="258" t="s">
        <v>2</v>
      </c>
      <c r="E167" s="173" t="s">
        <v>29</v>
      </c>
      <c r="F167" s="185" t="s">
        <v>14</v>
      </c>
      <c r="G167" s="173" t="s">
        <v>30</v>
      </c>
      <c r="H167" s="173">
        <v>1</v>
      </c>
      <c r="I167" s="173">
        <f>B167</f>
        <v>0.12</v>
      </c>
      <c r="J167" s="173" t="s">
        <v>31</v>
      </c>
      <c r="K167" s="173" t="s">
        <v>31</v>
      </c>
      <c r="L167" s="173" t="s">
        <v>31</v>
      </c>
      <c r="M167" s="173" t="s">
        <v>31</v>
      </c>
      <c r="N167" s="173"/>
      <c r="O167" s="173"/>
      <c r="P167" s="348">
        <f>B184</f>
        <v>0.12</v>
      </c>
      <c r="Q167" s="173"/>
      <c r="R167" s="173"/>
      <c r="S167" s="173"/>
      <c r="T167" s="173"/>
      <c r="U167" s="173"/>
    </row>
    <row r="168" spans="1:21">
      <c r="A168" s="271" t="s">
        <v>1520</v>
      </c>
      <c r="B168" s="265">
        <f>P168</f>
        <v>0.12</v>
      </c>
      <c r="C168" s="173" t="s">
        <v>206</v>
      </c>
      <c r="D168" s="258" t="s">
        <v>2</v>
      </c>
      <c r="E168" s="173" t="s">
        <v>29</v>
      </c>
      <c r="F168" s="185" t="s">
        <v>14</v>
      </c>
      <c r="G168" s="173" t="s">
        <v>33</v>
      </c>
      <c r="H168" s="173">
        <v>1</v>
      </c>
      <c r="I168" s="173">
        <f>B168</f>
        <v>0.12</v>
      </c>
      <c r="J168" s="173" t="s">
        <v>31</v>
      </c>
      <c r="K168" s="173" t="s">
        <v>31</v>
      </c>
      <c r="L168" s="173" t="s">
        <v>31</v>
      </c>
      <c r="M168" s="173" t="s">
        <v>31</v>
      </c>
      <c r="N168" s="173"/>
      <c r="O168" s="173"/>
      <c r="P168" s="348">
        <f>B185</f>
        <v>0.12</v>
      </c>
      <c r="Q168" s="173"/>
      <c r="R168" s="173"/>
      <c r="S168" s="173"/>
      <c r="T168" s="173"/>
      <c r="U168" s="173"/>
    </row>
    <row r="169" spans="1:21">
      <c r="A169" s="177" t="s">
        <v>168</v>
      </c>
      <c r="B169" s="184">
        <f>R169</f>
        <v>0.32</v>
      </c>
      <c r="C169" s="173" t="s">
        <v>41</v>
      </c>
      <c r="D169" s="173" t="s">
        <v>38</v>
      </c>
      <c r="E169" s="173" t="s">
        <v>29</v>
      </c>
      <c r="F169" s="185" t="s">
        <v>35</v>
      </c>
      <c r="G169" s="173" t="s">
        <v>33</v>
      </c>
      <c r="H169" s="173">
        <v>2</v>
      </c>
      <c r="I169" s="173">
        <f t="shared" ref="I169:I173" si="9">LN(B169)</f>
        <v>-1.1394342831883648</v>
      </c>
      <c r="J169" s="173">
        <v>0.20928449536456342</v>
      </c>
      <c r="K169" s="173" t="s">
        <v>31</v>
      </c>
      <c r="L169" s="173" t="s">
        <v>31</v>
      </c>
      <c r="M169" s="173" t="s">
        <v>31</v>
      </c>
      <c r="N169" s="173"/>
      <c r="O169" s="222" t="s">
        <v>332</v>
      </c>
      <c r="P169" s="264">
        <v>0.32</v>
      </c>
      <c r="Q169" s="173" t="s">
        <v>332</v>
      </c>
      <c r="R169" s="184">
        <f>P169</f>
        <v>0.32</v>
      </c>
      <c r="S169" s="173"/>
      <c r="T169" s="173"/>
      <c r="U169" s="173"/>
    </row>
    <row r="170" spans="1:21">
      <c r="A170" s="232" t="s">
        <v>931</v>
      </c>
      <c r="B170" s="173">
        <f>R170</f>
        <v>9.9000000000000008E-3</v>
      </c>
      <c r="C170" s="173" t="s">
        <v>37</v>
      </c>
      <c r="D170" s="173" t="s">
        <v>38</v>
      </c>
      <c r="E170" s="173" t="s">
        <v>29</v>
      </c>
      <c r="F170" s="185" t="s">
        <v>35</v>
      </c>
      <c r="G170" s="173" t="s">
        <v>33</v>
      </c>
      <c r="H170" s="173">
        <v>2</v>
      </c>
      <c r="I170" s="173">
        <f t="shared" si="9"/>
        <v>-4.6152205218415929</v>
      </c>
      <c r="J170" s="173">
        <v>0.20928449536456342</v>
      </c>
      <c r="K170" s="173" t="s">
        <v>31</v>
      </c>
      <c r="L170" s="173" t="s">
        <v>31</v>
      </c>
      <c r="M170" s="173" t="s">
        <v>31</v>
      </c>
      <c r="N170" s="173"/>
      <c r="O170" s="242" t="s">
        <v>947</v>
      </c>
      <c r="P170" s="264">
        <v>9.9</v>
      </c>
      <c r="Q170" s="173" t="s">
        <v>337</v>
      </c>
      <c r="R170" s="173">
        <f>0.001*P170</f>
        <v>9.9000000000000008E-3</v>
      </c>
      <c r="S170" s="173"/>
      <c r="T170" s="173"/>
      <c r="U170" s="173"/>
    </row>
    <row r="171" spans="1:21">
      <c r="A171" s="232" t="s">
        <v>932</v>
      </c>
      <c r="B171" s="173">
        <f>R171</f>
        <v>1.5E-3</v>
      </c>
      <c r="C171" s="173" t="s">
        <v>37</v>
      </c>
      <c r="D171" s="173" t="s">
        <v>38</v>
      </c>
      <c r="E171" s="173" t="s">
        <v>29</v>
      </c>
      <c r="F171" s="185" t="s">
        <v>60</v>
      </c>
      <c r="G171" s="173" t="s">
        <v>33</v>
      </c>
      <c r="H171" s="173">
        <v>2</v>
      </c>
      <c r="I171" s="173">
        <f t="shared" si="9"/>
        <v>-6.5022901708739722</v>
      </c>
      <c r="J171" s="173">
        <v>0.20928449536456342</v>
      </c>
      <c r="K171" s="173" t="s">
        <v>31</v>
      </c>
      <c r="L171" s="173" t="s">
        <v>31</v>
      </c>
      <c r="M171" s="173" t="s">
        <v>31</v>
      </c>
      <c r="N171" s="173"/>
      <c r="O171" s="242" t="s">
        <v>947</v>
      </c>
      <c r="P171" s="264">
        <v>1.5</v>
      </c>
      <c r="Q171" s="173" t="s">
        <v>337</v>
      </c>
      <c r="R171" s="173">
        <f t="shared" ref="R171:R173" si="10">0.001*P171</f>
        <v>1.5E-3</v>
      </c>
      <c r="S171" s="173"/>
      <c r="T171" s="173"/>
      <c r="U171" s="173"/>
    </row>
    <row r="172" spans="1:21">
      <c r="A172" s="177" t="s">
        <v>933</v>
      </c>
      <c r="B172" s="173">
        <f>R172</f>
        <v>4.8899999999999999E-2</v>
      </c>
      <c r="C172" s="173" t="s">
        <v>37</v>
      </c>
      <c r="D172" s="173" t="s">
        <v>38</v>
      </c>
      <c r="E172" s="173" t="s">
        <v>29</v>
      </c>
      <c r="F172" s="185" t="s">
        <v>39</v>
      </c>
      <c r="G172" s="173" t="s">
        <v>33</v>
      </c>
      <c r="H172" s="173">
        <v>2</v>
      </c>
      <c r="I172" s="173">
        <f t="shared" si="9"/>
        <v>-3.0179778825013108</v>
      </c>
      <c r="J172" s="173">
        <v>0.20928449536456342</v>
      </c>
      <c r="K172" s="173" t="s">
        <v>31</v>
      </c>
      <c r="L172" s="173" t="s">
        <v>31</v>
      </c>
      <c r="M172" s="173" t="s">
        <v>31</v>
      </c>
      <c r="N172" s="173"/>
      <c r="O172" s="242" t="s">
        <v>947</v>
      </c>
      <c r="P172" s="264">
        <v>48.9</v>
      </c>
      <c r="Q172" s="173" t="s">
        <v>337</v>
      </c>
      <c r="R172" s="173">
        <f t="shared" si="10"/>
        <v>4.8899999999999999E-2</v>
      </c>
      <c r="S172" s="173"/>
      <c r="T172" s="173"/>
      <c r="U172" s="173"/>
    </row>
    <row r="173" spans="1:21">
      <c r="A173" s="173" t="s">
        <v>1285</v>
      </c>
      <c r="B173" s="173">
        <f>R173</f>
        <v>1.15E-2</v>
      </c>
      <c r="C173" s="173" t="s">
        <v>37</v>
      </c>
      <c r="D173" s="258" t="s">
        <v>2</v>
      </c>
      <c r="E173" s="173" t="s">
        <v>29</v>
      </c>
      <c r="F173" s="185" t="s">
        <v>39</v>
      </c>
      <c r="G173" s="173" t="s">
        <v>33</v>
      </c>
      <c r="H173" s="173">
        <v>2</v>
      </c>
      <c r="I173" s="173">
        <f t="shared" si="9"/>
        <v>-4.4654082436129325</v>
      </c>
      <c r="J173" s="173">
        <v>0.20928449536456342</v>
      </c>
      <c r="K173" s="173" t="s">
        <v>31</v>
      </c>
      <c r="L173" s="173" t="s">
        <v>31</v>
      </c>
      <c r="M173" s="173" t="s">
        <v>31</v>
      </c>
      <c r="N173" s="173"/>
      <c r="O173" s="305" t="s">
        <v>947</v>
      </c>
      <c r="P173" s="269">
        <v>11.5</v>
      </c>
      <c r="Q173" s="173" t="s">
        <v>337</v>
      </c>
      <c r="R173" s="173">
        <f t="shared" si="10"/>
        <v>1.15E-2</v>
      </c>
      <c r="S173" s="173"/>
      <c r="T173" s="173"/>
      <c r="U173" s="173"/>
    </row>
    <row r="174" spans="1:21" s="42" customFormat="1">
      <c r="A174" s="209" t="s">
        <v>5</v>
      </c>
      <c r="B174" s="210" t="s">
        <v>1520</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7</v>
      </c>
      <c r="B175" s="173" t="s">
        <v>566</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9</v>
      </c>
      <c r="B176" s="173" t="s">
        <v>1521</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11</v>
      </c>
      <c r="B177" s="179" t="s">
        <v>913</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13</v>
      </c>
      <c r="B178" s="173" t="s">
        <v>14</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15</v>
      </c>
      <c r="B179" s="277">
        <f>B184</f>
        <v>0.12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16</v>
      </c>
      <c r="B180" s="173" t="s">
        <v>17</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18</v>
      </c>
      <c r="B181" s="173" t="s">
        <v>206</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19</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20</v>
      </c>
      <c r="B183" s="175" t="s">
        <v>21</v>
      </c>
      <c r="C183" s="175" t="s">
        <v>18</v>
      </c>
      <c r="D183" s="175" t="s">
        <v>22</v>
      </c>
      <c r="E183" s="175" t="s">
        <v>7</v>
      </c>
      <c r="F183" s="175" t="s">
        <v>13</v>
      </c>
      <c r="G183" s="175" t="s">
        <v>16</v>
      </c>
      <c r="H183" s="175" t="s">
        <v>23</v>
      </c>
      <c r="I183" s="175" t="s">
        <v>24</v>
      </c>
      <c r="J183" s="175" t="s">
        <v>25</v>
      </c>
      <c r="K183" s="175" t="s">
        <v>26</v>
      </c>
      <c r="L183" s="175" t="s">
        <v>27</v>
      </c>
      <c r="M183" s="175" t="s">
        <v>28</v>
      </c>
      <c r="N183" s="175" t="s">
        <v>11</v>
      </c>
      <c r="O183" s="173"/>
      <c r="P183" s="173"/>
      <c r="Q183" s="173"/>
      <c r="R183" s="173"/>
      <c r="S183" s="173"/>
      <c r="T183" s="173"/>
      <c r="U183" s="173"/>
    </row>
    <row r="184" spans="1:21">
      <c r="A184" s="271" t="s">
        <v>1520</v>
      </c>
      <c r="B184" s="265">
        <v>0.12</v>
      </c>
      <c r="C184" s="173" t="s">
        <v>206</v>
      </c>
      <c r="D184" s="258" t="s">
        <v>2</v>
      </c>
      <c r="E184" s="173" t="s">
        <v>29</v>
      </c>
      <c r="F184" s="185" t="s">
        <v>14</v>
      </c>
      <c r="G184" s="173" t="s">
        <v>30</v>
      </c>
      <c r="H184" s="173">
        <v>1</v>
      </c>
      <c r="I184" s="173">
        <f>B184</f>
        <v>0.12</v>
      </c>
      <c r="J184" s="173" t="s">
        <v>31</v>
      </c>
      <c r="K184" s="173" t="s">
        <v>31</v>
      </c>
      <c r="L184" s="173" t="s">
        <v>31</v>
      </c>
      <c r="M184" s="173" t="s">
        <v>31</v>
      </c>
      <c r="N184" s="173"/>
      <c r="O184" s="173"/>
      <c r="P184" s="173"/>
      <c r="Q184" s="173"/>
      <c r="R184" s="173"/>
      <c r="S184" s="173"/>
      <c r="T184" s="173"/>
      <c r="U184" s="173"/>
    </row>
    <row r="185" spans="1:21">
      <c r="A185" s="173" t="s">
        <v>1522</v>
      </c>
      <c r="B185" s="265">
        <v>0.12</v>
      </c>
      <c r="C185" s="173" t="s">
        <v>206</v>
      </c>
      <c r="D185" s="258" t="s">
        <v>2</v>
      </c>
      <c r="E185" s="173" t="s">
        <v>29</v>
      </c>
      <c r="F185" s="185" t="s">
        <v>14</v>
      </c>
      <c r="G185" s="173" t="s">
        <v>33</v>
      </c>
      <c r="H185" s="173">
        <v>1</v>
      </c>
      <c r="I185" s="173">
        <f>B185</f>
        <v>0.12</v>
      </c>
      <c r="J185" s="173" t="s">
        <v>31</v>
      </c>
      <c r="K185" s="173" t="s">
        <v>31</v>
      </c>
      <c r="L185" s="173" t="s">
        <v>31</v>
      </c>
      <c r="M185" s="173" t="s">
        <v>31</v>
      </c>
      <c r="N185" s="173"/>
      <c r="O185" s="173"/>
      <c r="P185" s="173"/>
      <c r="Q185" s="173"/>
      <c r="R185" s="173"/>
      <c r="S185" s="173"/>
      <c r="T185" s="173"/>
      <c r="U185" s="173"/>
    </row>
    <row r="186" spans="1:21">
      <c r="A186" s="177" t="s">
        <v>168</v>
      </c>
      <c r="B186" s="184">
        <f>P186</f>
        <v>6.8800000000000008</v>
      </c>
      <c r="C186" s="173" t="s">
        <v>41</v>
      </c>
      <c r="D186" s="173" t="s">
        <v>38</v>
      </c>
      <c r="E186" s="173" t="s">
        <v>29</v>
      </c>
      <c r="F186" s="185" t="s">
        <v>35</v>
      </c>
      <c r="G186" s="173" t="s">
        <v>33</v>
      </c>
      <c r="H186" s="173">
        <v>2</v>
      </c>
      <c r="I186" s="173">
        <f t="shared" ref="I186:I187" si="11">LN(B186)</f>
        <v>1.9286186519452524</v>
      </c>
      <c r="J186" s="173">
        <v>0.20928449536456342</v>
      </c>
      <c r="K186" s="173" t="s">
        <v>31</v>
      </c>
      <c r="L186" s="173" t="s">
        <v>31</v>
      </c>
      <c r="M186" s="173" t="s">
        <v>31</v>
      </c>
      <c r="N186" s="173"/>
      <c r="O186" s="242" t="s">
        <v>332</v>
      </c>
      <c r="P186" s="296">
        <f>4.74+2.14</f>
        <v>6.8800000000000008</v>
      </c>
      <c r="Q186" s="173"/>
      <c r="R186" s="173"/>
      <c r="S186" s="173"/>
      <c r="T186" s="173"/>
      <c r="U186" s="173"/>
    </row>
    <row r="187" spans="1:21">
      <c r="A187" s="177" t="s">
        <v>933</v>
      </c>
      <c r="B187" s="173">
        <f>R187</f>
        <v>1.3800000000000002E-2</v>
      </c>
      <c r="C187" s="173" t="s">
        <v>37</v>
      </c>
      <c r="D187" s="173" t="s">
        <v>38</v>
      </c>
      <c r="E187" s="173" t="s">
        <v>29</v>
      </c>
      <c r="F187" s="185" t="s">
        <v>39</v>
      </c>
      <c r="G187" s="173" t="s">
        <v>33</v>
      </c>
      <c r="H187" s="173">
        <v>2</v>
      </c>
      <c r="I187" s="173">
        <f t="shared" si="11"/>
        <v>-4.2830866868189776</v>
      </c>
      <c r="J187" s="173">
        <v>0.20928449536456342</v>
      </c>
      <c r="K187" s="173" t="s">
        <v>31</v>
      </c>
      <c r="L187" s="173" t="s">
        <v>31</v>
      </c>
      <c r="M187" s="173" t="s">
        <v>31</v>
      </c>
      <c r="N187" s="173"/>
      <c r="O187" s="242" t="s">
        <v>947</v>
      </c>
      <c r="P187" s="296">
        <v>13.8</v>
      </c>
      <c r="Q187" s="173" t="s">
        <v>337</v>
      </c>
      <c r="R187" s="173">
        <f>P187*0.001</f>
        <v>1.3800000000000002E-2</v>
      </c>
      <c r="S187" s="173"/>
      <c r="T187" s="173"/>
      <c r="U187" s="173"/>
    </row>
    <row r="188" spans="1:21">
      <c r="A188" s="232" t="s">
        <v>1078</v>
      </c>
      <c r="B188" s="173">
        <f>R188</f>
        <v>1.6800000000000002E-2</v>
      </c>
      <c r="C188" s="173" t="s">
        <v>37</v>
      </c>
      <c r="D188" s="173" t="s">
        <v>38</v>
      </c>
      <c r="E188" s="173" t="s">
        <v>29</v>
      </c>
      <c r="F188" s="173" t="s">
        <v>35</v>
      </c>
      <c r="G188" s="173" t="s">
        <v>33</v>
      </c>
      <c r="H188" s="173">
        <v>2</v>
      </c>
      <c r="I188" s="173">
        <f>LN(B188)</f>
        <v>-4.086376392572924</v>
      </c>
      <c r="J188" s="173">
        <v>0.20928449536456342</v>
      </c>
      <c r="K188" s="173" t="s">
        <v>31</v>
      </c>
      <c r="L188" s="173" t="s">
        <v>31</v>
      </c>
      <c r="M188" s="173" t="s">
        <v>31</v>
      </c>
      <c r="N188" s="173"/>
      <c r="O188" s="242" t="s">
        <v>947</v>
      </c>
      <c r="P188" s="296">
        <v>16.8</v>
      </c>
      <c r="Q188" s="173" t="s">
        <v>337</v>
      </c>
      <c r="R188" s="173">
        <f>P188*0.001</f>
        <v>1.6800000000000002E-2</v>
      </c>
      <c r="S188" s="173"/>
      <c r="T188" s="173"/>
      <c r="U188" s="173"/>
    </row>
    <row r="189" spans="1:21">
      <c r="A189" s="173" t="s">
        <v>1285</v>
      </c>
      <c r="B189" s="173">
        <f>R189</f>
        <v>1.6800000000000002E-2</v>
      </c>
      <c r="C189" s="173" t="s">
        <v>37</v>
      </c>
      <c r="D189" s="258" t="s">
        <v>2</v>
      </c>
      <c r="E189" s="173" t="s">
        <v>29</v>
      </c>
      <c r="F189" s="185" t="s">
        <v>39</v>
      </c>
      <c r="G189" s="173" t="s">
        <v>33</v>
      </c>
      <c r="H189" s="173">
        <v>2</v>
      </c>
      <c r="I189" s="173">
        <f t="shared" ref="I189" si="12">LN(B189)</f>
        <v>-4.086376392572924</v>
      </c>
      <c r="J189" s="173">
        <v>0.20928449536456342</v>
      </c>
      <c r="K189" s="173" t="s">
        <v>31</v>
      </c>
      <c r="L189" s="173" t="s">
        <v>31</v>
      </c>
      <c r="M189" s="173" t="s">
        <v>31</v>
      </c>
      <c r="N189" s="173"/>
      <c r="O189" s="305" t="s">
        <v>947</v>
      </c>
      <c r="P189" s="306">
        <v>16.8</v>
      </c>
      <c r="Q189" s="173" t="s">
        <v>337</v>
      </c>
      <c r="R189" s="173">
        <f t="shared" ref="R189" si="13">0.001*P189</f>
        <v>1.6800000000000002E-2</v>
      </c>
      <c r="S189" s="173"/>
      <c r="T189" s="173"/>
      <c r="U189" s="173"/>
    </row>
    <row r="190" spans="1:21" s="42" customFormat="1">
      <c r="A190" s="209" t="s">
        <v>5</v>
      </c>
      <c r="B190" s="210" t="s">
        <v>1522</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7</v>
      </c>
      <c r="B191" s="173" t="s">
        <v>566</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9</v>
      </c>
      <c r="B192" s="173" t="s">
        <v>1523</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11</v>
      </c>
      <c r="B193" s="179" t="s">
        <v>913</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13</v>
      </c>
      <c r="B194" s="173" t="s">
        <v>14</v>
      </c>
      <c r="C194" s="173"/>
      <c r="D194" s="173"/>
      <c r="E194" s="173"/>
      <c r="F194" s="173"/>
      <c r="G194" s="173"/>
      <c r="H194" s="173"/>
      <c r="I194" s="173"/>
      <c r="J194" s="173"/>
      <c r="K194" s="173"/>
      <c r="L194" s="173"/>
      <c r="M194" s="173"/>
      <c r="N194" s="173"/>
      <c r="O194" s="173"/>
      <c r="P194" s="173"/>
      <c r="Q194" s="173"/>
      <c r="R194" s="173"/>
      <c r="S194" s="173"/>
      <c r="T194" s="173"/>
      <c r="U194" s="173"/>
    </row>
    <row r="195" spans="1:21">
      <c r="A195" s="177" t="s">
        <v>15</v>
      </c>
      <c r="B195" s="277">
        <f>B200</f>
        <v>1.2</v>
      </c>
      <c r="C195" s="173"/>
      <c r="D195" s="173"/>
      <c r="E195" s="173"/>
      <c r="F195" s="173"/>
      <c r="G195" s="173"/>
      <c r="H195" s="173"/>
      <c r="I195" s="173"/>
      <c r="J195" s="173"/>
      <c r="K195" s="173"/>
      <c r="L195" s="173"/>
      <c r="M195" s="173"/>
      <c r="N195" s="173"/>
      <c r="O195" s="173"/>
      <c r="P195" s="173"/>
      <c r="Q195" s="173"/>
      <c r="R195" s="173"/>
      <c r="S195" s="173"/>
      <c r="T195" s="173"/>
      <c r="U195" s="173"/>
    </row>
    <row r="196" spans="1:21">
      <c r="A196" s="177" t="s">
        <v>16</v>
      </c>
      <c r="B196" s="173" t="s">
        <v>17</v>
      </c>
      <c r="C196" s="173"/>
      <c r="D196" s="173"/>
      <c r="E196" s="173"/>
      <c r="F196" s="173"/>
      <c r="G196" s="173"/>
      <c r="H196" s="173"/>
      <c r="I196" s="173"/>
      <c r="J196" s="173"/>
      <c r="K196" s="173"/>
      <c r="L196" s="173"/>
      <c r="M196" s="173"/>
      <c r="N196" s="173"/>
      <c r="O196" s="173"/>
      <c r="P196" s="173"/>
      <c r="Q196" s="173"/>
      <c r="R196" s="175" t="s">
        <v>1023</v>
      </c>
      <c r="S196" s="173"/>
      <c r="T196" s="173"/>
      <c r="U196" s="173"/>
    </row>
    <row r="197" spans="1:21">
      <c r="A197" s="177" t="s">
        <v>18</v>
      </c>
      <c r="B197" s="173" t="s">
        <v>206</v>
      </c>
      <c r="C197" s="173"/>
      <c r="D197" s="173"/>
      <c r="E197" s="173"/>
      <c r="F197" s="173"/>
      <c r="G197" s="173"/>
      <c r="H197" s="173"/>
      <c r="I197" s="173"/>
      <c r="J197" s="173"/>
      <c r="K197" s="173"/>
      <c r="L197" s="173"/>
      <c r="M197" s="173"/>
      <c r="N197" s="173"/>
      <c r="O197" s="173"/>
      <c r="P197" s="173"/>
      <c r="Q197" s="173"/>
      <c r="R197" s="173" t="s">
        <v>1024</v>
      </c>
      <c r="S197" s="173">
        <v>8900</v>
      </c>
      <c r="T197" s="173" t="s">
        <v>1025</v>
      </c>
      <c r="U197" s="173"/>
    </row>
    <row r="198" spans="1:21">
      <c r="A198" s="174" t="s">
        <v>19</v>
      </c>
      <c r="B198" s="173"/>
      <c r="C198" s="173"/>
      <c r="D198" s="173"/>
      <c r="E198" s="173"/>
      <c r="F198" s="173"/>
      <c r="G198" s="173"/>
      <c r="H198" s="173"/>
      <c r="I198" s="173"/>
      <c r="J198" s="173"/>
      <c r="K198" s="173"/>
      <c r="L198" s="173"/>
      <c r="M198" s="173"/>
      <c r="N198" s="173"/>
      <c r="O198" s="173"/>
      <c r="P198" s="173"/>
      <c r="Q198" s="173"/>
      <c r="R198" s="173" t="s">
        <v>1026</v>
      </c>
      <c r="S198" s="173">
        <f>5*10^-6</f>
        <v>4.9999999999999996E-6</v>
      </c>
      <c r="T198" s="173" t="s">
        <v>1027</v>
      </c>
      <c r="U198" s="173"/>
    </row>
    <row r="199" spans="1:21">
      <c r="A199" s="175" t="s">
        <v>20</v>
      </c>
      <c r="B199" s="175" t="s">
        <v>21</v>
      </c>
      <c r="C199" s="175" t="s">
        <v>18</v>
      </c>
      <c r="D199" s="175" t="s">
        <v>22</v>
      </c>
      <c r="E199" s="175" t="s">
        <v>7</v>
      </c>
      <c r="F199" s="175" t="s">
        <v>13</v>
      </c>
      <c r="G199" s="175" t="s">
        <v>16</v>
      </c>
      <c r="H199" s="175" t="s">
        <v>23</v>
      </c>
      <c r="I199" s="175" t="s">
        <v>24</v>
      </c>
      <c r="J199" s="175" t="s">
        <v>25</v>
      </c>
      <c r="K199" s="175" t="s">
        <v>26</v>
      </c>
      <c r="L199" s="175" t="s">
        <v>27</v>
      </c>
      <c r="M199" s="175" t="s">
        <v>28</v>
      </c>
      <c r="N199" s="175" t="s">
        <v>11</v>
      </c>
      <c r="O199" s="173"/>
      <c r="P199" s="173"/>
      <c r="Q199" s="173"/>
      <c r="R199" s="280" t="s">
        <v>1029</v>
      </c>
      <c r="S199" s="281">
        <v>0.86</v>
      </c>
      <c r="T199" s="282" t="s">
        <v>985</v>
      </c>
      <c r="U199" s="173"/>
    </row>
    <row r="200" spans="1:21">
      <c r="A200" s="173" t="s">
        <v>1522</v>
      </c>
      <c r="B200" s="370">
        <v>1.2</v>
      </c>
      <c r="C200" s="173" t="s">
        <v>206</v>
      </c>
      <c r="D200" s="258" t="s">
        <v>2</v>
      </c>
      <c r="E200" s="173" t="s">
        <v>29</v>
      </c>
      <c r="F200" s="173" t="s">
        <v>14</v>
      </c>
      <c r="G200" s="173" t="s">
        <v>30</v>
      </c>
      <c r="H200" s="173">
        <v>1</v>
      </c>
      <c r="I200" s="173">
        <f>B200</f>
        <v>1.2</v>
      </c>
      <c r="J200" s="173" t="s">
        <v>31</v>
      </c>
      <c r="K200" s="173" t="s">
        <v>31</v>
      </c>
      <c r="L200" s="173" t="s">
        <v>31</v>
      </c>
      <c r="M200" s="173" t="s">
        <v>31</v>
      </c>
      <c r="N200" s="173"/>
      <c r="O200" s="308" t="s">
        <v>1031</v>
      </c>
      <c r="P200" s="309">
        <f>B200*100</f>
        <v>120</v>
      </c>
      <c r="Q200" s="173"/>
      <c r="R200" s="173"/>
      <c r="S200" s="173"/>
      <c r="T200" s="173"/>
      <c r="U200" s="173"/>
    </row>
    <row r="201" spans="1:21">
      <c r="A201" s="173" t="s">
        <v>1524</v>
      </c>
      <c r="B201" s="370">
        <v>1.2</v>
      </c>
      <c r="C201" s="173" t="s">
        <v>206</v>
      </c>
      <c r="D201" s="258" t="s">
        <v>2</v>
      </c>
      <c r="E201" s="173" t="s">
        <v>29</v>
      </c>
      <c r="F201" s="173" t="s">
        <v>14</v>
      </c>
      <c r="G201" s="173" t="s">
        <v>33</v>
      </c>
      <c r="H201" s="173">
        <v>1</v>
      </c>
      <c r="I201" s="173">
        <f>B201</f>
        <v>1.2</v>
      </c>
      <c r="J201" s="173">
        <v>7.2284161474004766E-2</v>
      </c>
      <c r="K201" s="173" t="s">
        <v>31</v>
      </c>
      <c r="L201" s="173" t="s">
        <v>31</v>
      </c>
      <c r="M201" s="173" t="s">
        <v>31</v>
      </c>
      <c r="N201" s="173"/>
      <c r="O201" s="242" t="s">
        <v>1031</v>
      </c>
      <c r="P201" s="264">
        <f>B201*100</f>
        <v>120</v>
      </c>
      <c r="Q201" s="173"/>
      <c r="R201" s="173" t="s">
        <v>1032</v>
      </c>
      <c r="S201" s="173"/>
      <c r="T201" s="173"/>
      <c r="U201" s="260"/>
    </row>
    <row r="202" spans="1:21">
      <c r="A202" s="271" t="s">
        <v>1479</v>
      </c>
      <c r="B202" s="270">
        <f>T202</f>
        <v>1.0835999999999999</v>
      </c>
      <c r="C202" s="173" t="s">
        <v>37</v>
      </c>
      <c r="D202" s="258" t="s">
        <v>2</v>
      </c>
      <c r="E202" s="173" t="s">
        <v>29</v>
      </c>
      <c r="F202" s="185" t="s">
        <v>14</v>
      </c>
      <c r="G202" s="173" t="s">
        <v>33</v>
      </c>
      <c r="H202" s="173">
        <v>1</v>
      </c>
      <c r="I202" s="173">
        <f>B202</f>
        <v>1.0835999999999999</v>
      </c>
      <c r="J202" s="173">
        <v>7.2284161474004766E-2</v>
      </c>
      <c r="K202" s="173" t="s">
        <v>31</v>
      </c>
      <c r="L202" s="173" t="s">
        <v>31</v>
      </c>
      <c r="M202" s="173" t="s">
        <v>31</v>
      </c>
      <c r="N202" s="173"/>
      <c r="O202" s="271"/>
      <c r="P202" s="272"/>
      <c r="Q202" s="173"/>
      <c r="R202" s="284">
        <v>1.26</v>
      </c>
      <c r="S202" s="285" t="s">
        <v>945</v>
      </c>
      <c r="T202" s="284">
        <f>R202*S199</f>
        <v>1.0835999999999999</v>
      </c>
      <c r="U202" s="285" t="s">
        <v>337</v>
      </c>
    </row>
    <row r="203" spans="1:21">
      <c r="A203" s="177" t="s">
        <v>933</v>
      </c>
      <c r="B203" s="173">
        <f>P203</f>
        <v>10.1</v>
      </c>
      <c r="C203" s="173" t="s">
        <v>37</v>
      </c>
      <c r="D203" s="173" t="s">
        <v>38</v>
      </c>
      <c r="E203" s="173" t="s">
        <v>29</v>
      </c>
      <c r="F203" s="185" t="s">
        <v>39</v>
      </c>
      <c r="G203" s="173" t="s">
        <v>33</v>
      </c>
      <c r="H203" s="173">
        <v>2</v>
      </c>
      <c r="I203" s="173">
        <f t="shared" ref="I203" si="14">LN(B203)</f>
        <v>2.3125354238472138</v>
      </c>
      <c r="J203" s="173">
        <v>7.2284161474004766E-2</v>
      </c>
      <c r="K203" s="173" t="s">
        <v>31</v>
      </c>
      <c r="L203" s="173" t="s">
        <v>31</v>
      </c>
      <c r="M203" s="173" t="s">
        <v>31</v>
      </c>
      <c r="N203" s="173"/>
      <c r="O203" s="242" t="s">
        <v>337</v>
      </c>
      <c r="P203" s="296">
        <v>10.1</v>
      </c>
      <c r="Q203" s="173"/>
      <c r="R203" s="173"/>
      <c r="S203" s="173"/>
      <c r="T203" s="173"/>
      <c r="U203" s="173"/>
    </row>
    <row r="204" spans="1:21">
      <c r="A204" s="232" t="s">
        <v>1021</v>
      </c>
      <c r="B204" s="310">
        <f>R204</f>
        <v>4.9999999999999998E-7</v>
      </c>
      <c r="C204" s="173" t="s">
        <v>37</v>
      </c>
      <c r="D204" s="173" t="s">
        <v>38</v>
      </c>
      <c r="E204" s="173" t="s">
        <v>29</v>
      </c>
      <c r="F204" s="185" t="s">
        <v>60</v>
      </c>
      <c r="G204" s="173" t="s">
        <v>33</v>
      </c>
      <c r="H204" s="173">
        <v>2</v>
      </c>
      <c r="I204" s="173">
        <f>LN(B204)</f>
        <v>-14.508657738524219</v>
      </c>
      <c r="J204" s="173">
        <v>7.2284161474004766E-2</v>
      </c>
      <c r="K204" s="173" t="s">
        <v>31</v>
      </c>
      <c r="L204" s="173" t="s">
        <v>31</v>
      </c>
      <c r="M204" s="173" t="s">
        <v>31</v>
      </c>
      <c r="N204" s="173"/>
      <c r="O204" s="266" t="s">
        <v>952</v>
      </c>
      <c r="P204" s="365">
        <v>0.5</v>
      </c>
      <c r="Q204" s="173" t="s">
        <v>337</v>
      </c>
      <c r="R204" s="173">
        <f>0.000001*P204</f>
        <v>4.9999999999999998E-7</v>
      </c>
      <c r="S204" s="173"/>
      <c r="T204" s="173"/>
      <c r="U204" s="173"/>
    </row>
    <row r="205" spans="1:21">
      <c r="A205" s="232" t="s">
        <v>489</v>
      </c>
      <c r="B205" s="310">
        <f>R205</f>
        <v>1.01E-2</v>
      </c>
      <c r="C205" s="173" t="s">
        <v>50</v>
      </c>
      <c r="D205" s="173" t="s">
        <v>38</v>
      </c>
      <c r="E205" s="173" t="s">
        <v>29</v>
      </c>
      <c r="F205" s="185" t="s">
        <v>39</v>
      </c>
      <c r="G205" s="173" t="s">
        <v>33</v>
      </c>
      <c r="H205" s="173">
        <v>2</v>
      </c>
      <c r="I205" s="173">
        <f t="shared" ref="I205" si="15">LN(B205)</f>
        <v>-4.595219855134923</v>
      </c>
      <c r="J205" s="173">
        <v>7.2284161474004766E-2</v>
      </c>
      <c r="K205" s="173" t="s">
        <v>31</v>
      </c>
      <c r="L205" s="173" t="s">
        <v>31</v>
      </c>
      <c r="M205" s="173" t="s">
        <v>31</v>
      </c>
      <c r="N205" s="173"/>
      <c r="O205" s="268" t="s">
        <v>1009</v>
      </c>
      <c r="P205" s="306">
        <v>10.1</v>
      </c>
      <c r="Q205" s="173" t="s">
        <v>335</v>
      </c>
      <c r="R205" s="173">
        <f>0.001*P205</f>
        <v>1.01E-2</v>
      </c>
      <c r="S205" s="173"/>
      <c r="T205" s="173"/>
      <c r="U205" s="173"/>
    </row>
    <row r="206" spans="1:21" s="42" customFormat="1">
      <c r="A206" s="209" t="s">
        <v>5</v>
      </c>
      <c r="B206" s="210" t="s">
        <v>1524</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7</v>
      </c>
      <c r="B207" s="173" t="s">
        <v>566</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9</v>
      </c>
      <c r="B208" s="173" t="s">
        <v>1525</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11</v>
      </c>
      <c r="B209" s="179" t="s">
        <v>913</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13</v>
      </c>
      <c r="B210" s="173" t="s">
        <v>14</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15</v>
      </c>
      <c r="B211" s="277">
        <f>B216</f>
        <v>1.2</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16</v>
      </c>
      <c r="B212" s="173" t="s">
        <v>17</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18</v>
      </c>
      <c r="B213" s="173" t="s">
        <v>206</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19</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20</v>
      </c>
      <c r="B215" s="175" t="s">
        <v>21</v>
      </c>
      <c r="C215" s="175" t="s">
        <v>18</v>
      </c>
      <c r="D215" s="175" t="s">
        <v>22</v>
      </c>
      <c r="E215" s="175" t="s">
        <v>7</v>
      </c>
      <c r="F215" s="175" t="s">
        <v>13</v>
      </c>
      <c r="G215" s="175" t="s">
        <v>16</v>
      </c>
      <c r="H215" s="175" t="s">
        <v>23</v>
      </c>
      <c r="I215" s="175" t="s">
        <v>24</v>
      </c>
      <c r="J215" s="175" t="s">
        <v>25</v>
      </c>
      <c r="K215" s="175" t="s">
        <v>26</v>
      </c>
      <c r="L215" s="175" t="s">
        <v>27</v>
      </c>
      <c r="M215" s="175" t="s">
        <v>28</v>
      </c>
      <c r="N215" s="175" t="s">
        <v>11</v>
      </c>
      <c r="O215" s="173"/>
      <c r="P215" s="173"/>
      <c r="Q215" s="173"/>
      <c r="R215" s="173"/>
      <c r="S215" s="173"/>
      <c r="T215" s="173"/>
      <c r="U215" s="173"/>
    </row>
    <row r="216" spans="1:21">
      <c r="A216" s="173" t="s">
        <v>1524</v>
      </c>
      <c r="B216" s="265">
        <f>P216</f>
        <v>1.2</v>
      </c>
      <c r="C216" s="173" t="s">
        <v>206</v>
      </c>
      <c r="D216" s="258" t="s">
        <v>2</v>
      </c>
      <c r="E216" s="173" t="s">
        <v>29</v>
      </c>
      <c r="F216" s="173" t="s">
        <v>14</v>
      </c>
      <c r="G216" s="173" t="s">
        <v>30</v>
      </c>
      <c r="H216" s="173">
        <v>1</v>
      </c>
      <c r="I216" s="173">
        <f>B216</f>
        <v>1.2</v>
      </c>
      <c r="J216" s="173" t="s">
        <v>31</v>
      </c>
      <c r="K216" s="173" t="s">
        <v>31</v>
      </c>
      <c r="L216" s="173" t="s">
        <v>31</v>
      </c>
      <c r="M216" s="173" t="s">
        <v>31</v>
      </c>
      <c r="N216" s="173"/>
      <c r="O216" s="242" t="s">
        <v>945</v>
      </c>
      <c r="P216" s="371">
        <v>1.2</v>
      </c>
      <c r="Q216" s="173"/>
      <c r="R216" s="173"/>
      <c r="S216" s="173"/>
      <c r="T216" s="173"/>
      <c r="U216" s="173"/>
    </row>
    <row r="217" spans="1:21">
      <c r="A217" s="173" t="s">
        <v>1482</v>
      </c>
      <c r="B217" s="265">
        <f>'2C. Reusable'!B81</f>
        <v>9.18</v>
      </c>
      <c r="C217" s="173" t="s">
        <v>37</v>
      </c>
      <c r="D217" s="258" t="s">
        <v>2</v>
      </c>
      <c r="E217" s="173" t="s">
        <v>29</v>
      </c>
      <c r="F217" s="173" t="s">
        <v>14</v>
      </c>
      <c r="G217" s="173" t="s">
        <v>33</v>
      </c>
      <c r="H217" s="173">
        <v>1</v>
      </c>
      <c r="I217" s="173">
        <f>B217</f>
        <v>9.18</v>
      </c>
      <c r="J217" s="173" t="s">
        <v>31</v>
      </c>
      <c r="K217" s="173" t="s">
        <v>31</v>
      </c>
      <c r="L217" s="173" t="s">
        <v>31</v>
      </c>
      <c r="M217" s="173" t="s">
        <v>31</v>
      </c>
      <c r="N217" s="173"/>
      <c r="O217" s="286"/>
      <c r="P217" s="314">
        <v>1.2</v>
      </c>
      <c r="Q217" s="173" t="s">
        <v>1448</v>
      </c>
      <c r="R217" s="173"/>
      <c r="S217" s="173"/>
      <c r="T217" s="173"/>
      <c r="U217" s="173"/>
    </row>
    <row r="218" spans="1:21">
      <c r="A218" s="177" t="s">
        <v>168</v>
      </c>
      <c r="B218" s="184">
        <f>P218</f>
        <v>0.55000000000000004</v>
      </c>
      <c r="C218" s="173" t="s">
        <v>41</v>
      </c>
      <c r="D218" s="173" t="s">
        <v>38</v>
      </c>
      <c r="E218" s="173" t="s">
        <v>29</v>
      </c>
      <c r="F218" s="185" t="s">
        <v>35</v>
      </c>
      <c r="G218" s="173" t="s">
        <v>33</v>
      </c>
      <c r="H218" s="173">
        <v>2</v>
      </c>
      <c r="I218" s="173">
        <f t="shared" ref="I218:I219" si="16">LN(B218)</f>
        <v>-0.59783700075562041</v>
      </c>
      <c r="J218" s="173">
        <v>7.2284161474004766E-2</v>
      </c>
      <c r="K218" s="173" t="s">
        <v>31</v>
      </c>
      <c r="L218" s="173" t="s">
        <v>31</v>
      </c>
      <c r="M218" s="173" t="s">
        <v>31</v>
      </c>
      <c r="N218" s="173"/>
      <c r="O218" s="242" t="s">
        <v>332</v>
      </c>
      <c r="P218" s="296">
        <v>0.55000000000000004</v>
      </c>
      <c r="Q218" s="173"/>
      <c r="R218" s="173"/>
      <c r="S218" s="173"/>
      <c r="T218" s="173"/>
      <c r="U218" s="173"/>
    </row>
    <row r="219" spans="1:21">
      <c r="A219" s="232" t="s">
        <v>1017</v>
      </c>
      <c r="B219" s="173">
        <f>R219</f>
        <v>1.3000000000000001E-2</v>
      </c>
      <c r="C219" s="265" t="s">
        <v>37</v>
      </c>
      <c r="D219" s="173" t="s">
        <v>38</v>
      </c>
      <c r="E219" s="173" t="s">
        <v>29</v>
      </c>
      <c r="F219" s="173" t="s">
        <v>60</v>
      </c>
      <c r="G219" s="173" t="s">
        <v>33</v>
      </c>
      <c r="H219" s="173">
        <v>2</v>
      </c>
      <c r="I219" s="173">
        <f t="shared" si="16"/>
        <v>-4.3428059215206005</v>
      </c>
      <c r="J219" s="173">
        <v>7.2284161474004766E-2</v>
      </c>
      <c r="K219" s="173" t="s">
        <v>31</v>
      </c>
      <c r="L219" s="173" t="s">
        <v>31</v>
      </c>
      <c r="M219" s="173" t="s">
        <v>31</v>
      </c>
      <c r="N219" s="173"/>
      <c r="O219" s="242" t="s">
        <v>947</v>
      </c>
      <c r="P219" s="296">
        <v>13</v>
      </c>
      <c r="Q219" s="173" t="s">
        <v>337</v>
      </c>
      <c r="R219" s="173">
        <f>P219*0.001</f>
        <v>1.3000000000000001E-2</v>
      </c>
      <c r="S219" s="173"/>
      <c r="T219" s="173"/>
      <c r="U219" s="173"/>
    </row>
    <row r="220" spans="1:21">
      <c r="A220" s="83" t="s">
        <v>1018</v>
      </c>
      <c r="B220" s="173">
        <f t="shared" ref="B220:B221" si="17">R220</f>
        <v>2.4E-2</v>
      </c>
      <c r="C220" s="173" t="s">
        <v>37</v>
      </c>
      <c r="D220" s="173" t="s">
        <v>38</v>
      </c>
      <c r="E220" s="173" t="s">
        <v>29</v>
      </c>
      <c r="F220" s="185" t="s">
        <v>35</v>
      </c>
      <c r="G220" s="173" t="s">
        <v>33</v>
      </c>
      <c r="H220" s="173">
        <v>2</v>
      </c>
      <c r="I220" s="173">
        <f>LN(B220)</f>
        <v>-3.7297014486341915</v>
      </c>
      <c r="J220" s="173">
        <v>7.2284161474004766E-2</v>
      </c>
      <c r="K220" s="173" t="s">
        <v>31</v>
      </c>
      <c r="L220" s="173" t="s">
        <v>31</v>
      </c>
      <c r="M220" s="173" t="s">
        <v>31</v>
      </c>
      <c r="N220" s="173"/>
      <c r="O220" s="242" t="s">
        <v>947</v>
      </c>
      <c r="P220" s="296">
        <v>24</v>
      </c>
      <c r="Q220" s="173" t="s">
        <v>337</v>
      </c>
      <c r="R220" s="173">
        <f>P220*0.001</f>
        <v>2.4E-2</v>
      </c>
      <c r="S220" s="173"/>
      <c r="T220" s="173"/>
      <c r="U220" s="173"/>
    </row>
    <row r="221" spans="1:21">
      <c r="A221" s="177" t="s">
        <v>933</v>
      </c>
      <c r="B221" s="173">
        <f t="shared" si="17"/>
        <v>21</v>
      </c>
      <c r="C221" s="173" t="s">
        <v>37</v>
      </c>
      <c r="D221" s="173" t="s">
        <v>38</v>
      </c>
      <c r="E221" s="173" t="s">
        <v>29</v>
      </c>
      <c r="F221" s="185" t="s">
        <v>39</v>
      </c>
      <c r="G221" s="173" t="s">
        <v>33</v>
      </c>
      <c r="H221" s="173">
        <v>2</v>
      </c>
      <c r="I221" s="173">
        <f t="shared" ref="I221:I222" si="18">LN(B221)</f>
        <v>3.044522437723423</v>
      </c>
      <c r="J221" s="173">
        <v>7.2284161474004766E-2</v>
      </c>
      <c r="K221" s="173" t="s">
        <v>31</v>
      </c>
      <c r="L221" s="173" t="s">
        <v>31</v>
      </c>
      <c r="M221" s="173" t="s">
        <v>31</v>
      </c>
      <c r="N221" s="173"/>
      <c r="O221" s="242" t="s">
        <v>337</v>
      </c>
      <c r="P221" s="296">
        <v>21</v>
      </c>
      <c r="Q221" s="173" t="s">
        <v>337</v>
      </c>
      <c r="R221" s="173">
        <f>P221</f>
        <v>21</v>
      </c>
      <c r="S221" s="173"/>
      <c r="T221" s="173"/>
      <c r="U221" s="173"/>
    </row>
    <row r="222" spans="1:21">
      <c r="A222" s="232" t="s">
        <v>489</v>
      </c>
      <c r="B222" s="173">
        <f>R222</f>
        <v>2.1000000000000001E-2</v>
      </c>
      <c r="C222" s="173" t="s">
        <v>50</v>
      </c>
      <c r="D222" s="173" t="s">
        <v>38</v>
      </c>
      <c r="E222" s="173" t="s">
        <v>29</v>
      </c>
      <c r="F222" s="185" t="s">
        <v>39</v>
      </c>
      <c r="G222" s="173" t="s">
        <v>33</v>
      </c>
      <c r="H222" s="173">
        <v>2</v>
      </c>
      <c r="I222" s="173">
        <f t="shared" si="18"/>
        <v>-3.8632328412587138</v>
      </c>
      <c r="J222" s="173">
        <v>7.2284161474004766E-2</v>
      </c>
      <c r="K222" s="173" t="s">
        <v>31</v>
      </c>
      <c r="L222" s="173" t="s">
        <v>31</v>
      </c>
      <c r="M222" s="173" t="s">
        <v>31</v>
      </c>
      <c r="N222" s="173"/>
      <c r="O222" s="268" t="s">
        <v>1009</v>
      </c>
      <c r="P222" s="306">
        <v>21</v>
      </c>
      <c r="Q222" s="173" t="s">
        <v>335</v>
      </c>
      <c r="R222" s="173">
        <f>0.001*P222</f>
        <v>2.1000000000000001E-2</v>
      </c>
      <c r="S222" s="173"/>
      <c r="T222" s="173"/>
      <c r="U222" s="173"/>
    </row>
    <row r="223" spans="1:21" s="42" customFormat="1">
      <c r="A223" s="209" t="s">
        <v>5</v>
      </c>
      <c r="B223" s="304" t="s">
        <v>1517</v>
      </c>
      <c r="C223" s="211"/>
      <c r="D223" s="188"/>
      <c r="E223" s="188"/>
      <c r="F223" s="188"/>
      <c r="G223" s="188"/>
      <c r="H223" s="188"/>
      <c r="I223" s="188"/>
      <c r="J223" s="188"/>
      <c r="K223" s="188"/>
      <c r="L223" s="188"/>
      <c r="M223" s="188"/>
      <c r="N223" s="188"/>
      <c r="O223" s="188"/>
      <c r="P223" s="173"/>
      <c r="Q223" s="188"/>
      <c r="R223" s="188"/>
      <c r="S223" s="188"/>
      <c r="T223" s="188"/>
      <c r="U223" s="188"/>
    </row>
    <row r="224" spans="1:21">
      <c r="A224" s="177" t="s">
        <v>7</v>
      </c>
      <c r="B224" s="173" t="s">
        <v>566</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9</v>
      </c>
      <c r="B225" s="173" t="s">
        <v>1526</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11</v>
      </c>
      <c r="B226" s="179" t="s">
        <v>913</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13</v>
      </c>
      <c r="B227" s="173" t="s">
        <v>14</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15</v>
      </c>
      <c r="B228" s="277">
        <f>B233</f>
        <v>3.5999999999999997E-2</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16</v>
      </c>
      <c r="B229" s="173" t="s">
        <v>17</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18</v>
      </c>
      <c r="B230" s="173" t="s">
        <v>206</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19</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20</v>
      </c>
      <c r="B232" s="175" t="s">
        <v>21</v>
      </c>
      <c r="C232" s="175" t="s">
        <v>18</v>
      </c>
      <c r="D232" s="175" t="s">
        <v>22</v>
      </c>
      <c r="E232" s="175" t="s">
        <v>7</v>
      </c>
      <c r="F232" s="175" t="s">
        <v>13</v>
      </c>
      <c r="G232" s="175" t="s">
        <v>16</v>
      </c>
      <c r="H232" s="175" t="s">
        <v>23</v>
      </c>
      <c r="I232" s="175" t="s">
        <v>24</v>
      </c>
      <c r="J232" s="175" t="s">
        <v>25</v>
      </c>
      <c r="K232" s="175" t="s">
        <v>26</v>
      </c>
      <c r="L232" s="175" t="s">
        <v>27</v>
      </c>
      <c r="M232" s="175" t="s">
        <v>28</v>
      </c>
      <c r="N232" s="175" t="s">
        <v>11</v>
      </c>
      <c r="O232" s="173"/>
      <c r="P232" s="173"/>
      <c r="Q232" s="173"/>
      <c r="R232" s="173"/>
      <c r="S232" s="173"/>
      <c r="T232" s="173"/>
      <c r="U232" s="173"/>
    </row>
    <row r="233" spans="1:21">
      <c r="A233" s="173" t="s">
        <v>1517</v>
      </c>
      <c r="B233" s="265">
        <f>P233</f>
        <v>3.5999999999999997E-2</v>
      </c>
      <c r="C233" s="173" t="s">
        <v>206</v>
      </c>
      <c r="D233" s="258" t="s">
        <v>2</v>
      </c>
      <c r="E233" s="173" t="s">
        <v>29</v>
      </c>
      <c r="F233" s="185" t="s">
        <v>14</v>
      </c>
      <c r="G233" s="173" t="s">
        <v>30</v>
      </c>
      <c r="H233" s="173">
        <v>1</v>
      </c>
      <c r="I233" s="173">
        <f>B233</f>
        <v>3.5999999999999997E-2</v>
      </c>
      <c r="J233" s="173" t="s">
        <v>31</v>
      </c>
      <c r="K233" s="173" t="s">
        <v>31</v>
      </c>
      <c r="L233" s="173" t="s">
        <v>31</v>
      </c>
      <c r="M233" s="173" t="s">
        <v>31</v>
      </c>
      <c r="N233" s="173"/>
      <c r="O233" s="350" t="s">
        <v>963</v>
      </c>
      <c r="P233" s="351">
        <v>3.5999999999999997E-2</v>
      </c>
      <c r="Q233" s="173"/>
      <c r="R233" s="173"/>
      <c r="S233" s="173"/>
      <c r="T233" s="173"/>
      <c r="U233" s="173"/>
    </row>
    <row r="234" spans="1:21">
      <c r="A234" s="173" t="s">
        <v>1527</v>
      </c>
      <c r="B234" s="265">
        <f>B254</f>
        <v>3.5999999999999997E-2</v>
      </c>
      <c r="C234" s="173" t="s">
        <v>206</v>
      </c>
      <c r="D234" s="258" t="s">
        <v>2</v>
      </c>
      <c r="E234" s="173" t="s">
        <v>29</v>
      </c>
      <c r="F234" s="185" t="s">
        <v>14</v>
      </c>
      <c r="G234" s="173" t="s">
        <v>33</v>
      </c>
      <c r="H234" s="173">
        <v>1</v>
      </c>
      <c r="I234" s="173">
        <f>B234</f>
        <v>3.5999999999999997E-2</v>
      </c>
      <c r="J234" s="173" t="s">
        <v>31</v>
      </c>
      <c r="K234" s="173" t="s">
        <v>31</v>
      </c>
      <c r="L234" s="173" t="s">
        <v>31</v>
      </c>
      <c r="M234" s="173" t="s">
        <v>31</v>
      </c>
      <c r="N234" s="173"/>
      <c r="O234" s="350" t="s">
        <v>963</v>
      </c>
      <c r="P234" s="372">
        <v>3.5999999999999997E-2</v>
      </c>
      <c r="Q234" s="173"/>
      <c r="R234" s="173"/>
      <c r="S234" s="173"/>
      <c r="T234" s="173"/>
      <c r="U234" s="173"/>
    </row>
    <row r="235" spans="1:21">
      <c r="A235" s="173" t="s">
        <v>1528</v>
      </c>
      <c r="B235" s="265">
        <f>B242</f>
        <v>62</v>
      </c>
      <c r="C235" s="173" t="s">
        <v>206</v>
      </c>
      <c r="D235" s="258" t="s">
        <v>2</v>
      </c>
      <c r="E235" s="173" t="s">
        <v>29</v>
      </c>
      <c r="F235" s="185" t="s">
        <v>14</v>
      </c>
      <c r="G235" s="173" t="s">
        <v>33</v>
      </c>
      <c r="H235" s="173">
        <v>1</v>
      </c>
      <c r="I235" s="173">
        <f>B235</f>
        <v>62</v>
      </c>
      <c r="J235" s="173" t="s">
        <v>31</v>
      </c>
      <c r="K235" s="173" t="s">
        <v>31</v>
      </c>
      <c r="L235" s="173" t="s">
        <v>31</v>
      </c>
      <c r="M235" s="173" t="s">
        <v>31</v>
      </c>
      <c r="N235" s="173"/>
      <c r="O235" s="241" t="s">
        <v>963</v>
      </c>
      <c r="P235" s="358">
        <v>6.1999999999999998E-3</v>
      </c>
      <c r="Q235" s="173"/>
      <c r="R235" s="173"/>
      <c r="S235" s="173"/>
      <c r="T235" s="173"/>
      <c r="U235" s="173"/>
    </row>
    <row r="236" spans="1:21">
      <c r="A236" s="177" t="s">
        <v>168</v>
      </c>
      <c r="B236" s="265">
        <f>P236</f>
        <v>0.86</v>
      </c>
      <c r="C236" s="173" t="s">
        <v>41</v>
      </c>
      <c r="D236" s="173" t="s">
        <v>38</v>
      </c>
      <c r="E236" s="173" t="s">
        <v>29</v>
      </c>
      <c r="F236" s="185" t="s">
        <v>35</v>
      </c>
      <c r="G236" s="173" t="s">
        <v>33</v>
      </c>
      <c r="H236" s="173">
        <v>2</v>
      </c>
      <c r="I236" s="173">
        <f t="shared" ref="I236" si="19">LN(B236)</f>
        <v>-0.15082288973458366</v>
      </c>
      <c r="J236" s="173">
        <v>0.20928449536456342</v>
      </c>
      <c r="K236" s="173" t="s">
        <v>31</v>
      </c>
      <c r="L236" s="173" t="s">
        <v>31</v>
      </c>
      <c r="M236" s="173" t="s">
        <v>31</v>
      </c>
      <c r="N236" s="173"/>
      <c r="O236" s="242" t="s">
        <v>332</v>
      </c>
      <c r="P236" s="296">
        <v>0.86</v>
      </c>
      <c r="Q236" s="173"/>
      <c r="R236" s="173"/>
      <c r="S236" s="173"/>
      <c r="T236" s="173"/>
      <c r="U236" s="173"/>
    </row>
    <row r="237" spans="1:21" s="42" customFormat="1">
      <c r="A237" s="209" t="s">
        <v>5</v>
      </c>
      <c r="B237" s="304" t="s">
        <v>1528</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7</v>
      </c>
      <c r="B238" s="173" t="s">
        <v>566</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9</v>
      </c>
      <c r="B239" s="173" t="s">
        <v>1529</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11</v>
      </c>
      <c r="B240" s="179" t="s">
        <v>913</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13</v>
      </c>
      <c r="B241" s="173" t="s">
        <v>14</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15</v>
      </c>
      <c r="B242" s="265">
        <f>B247</f>
        <v>62</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16</v>
      </c>
      <c r="B243" s="173" t="s">
        <v>17</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18</v>
      </c>
      <c r="B244" s="173" t="s">
        <v>206</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19</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20</v>
      </c>
      <c r="B246" s="175" t="s">
        <v>21</v>
      </c>
      <c r="C246" s="175" t="s">
        <v>18</v>
      </c>
      <c r="D246" s="175" t="s">
        <v>22</v>
      </c>
      <c r="E246" s="175" t="s">
        <v>7</v>
      </c>
      <c r="F246" s="175" t="s">
        <v>13</v>
      </c>
      <c r="G246" s="175" t="s">
        <v>16</v>
      </c>
      <c r="H246" s="175" t="s">
        <v>23</v>
      </c>
      <c r="I246" s="175" t="s">
        <v>24</v>
      </c>
      <c r="J246" s="175" t="s">
        <v>25</v>
      </c>
      <c r="K246" s="175" t="s">
        <v>26</v>
      </c>
      <c r="L246" s="175" t="s">
        <v>27</v>
      </c>
      <c r="M246" s="175" t="s">
        <v>28</v>
      </c>
      <c r="N246" s="175" t="s">
        <v>11</v>
      </c>
      <c r="O246" s="173"/>
      <c r="P246" s="173"/>
      <c r="Q246" s="173"/>
      <c r="R246" s="173"/>
      <c r="S246" s="173"/>
      <c r="T246" s="173"/>
      <c r="U246" s="173"/>
    </row>
    <row r="247" spans="1:21">
      <c r="A247" s="173" t="s">
        <v>1528</v>
      </c>
      <c r="B247" s="265">
        <f>Q247</f>
        <v>62</v>
      </c>
      <c r="C247" s="173" t="s">
        <v>206</v>
      </c>
      <c r="D247" s="258" t="s">
        <v>2</v>
      </c>
      <c r="E247" s="173" t="s">
        <v>29</v>
      </c>
      <c r="F247" s="185" t="s">
        <v>14</v>
      </c>
      <c r="G247" s="173" t="s">
        <v>30</v>
      </c>
      <c r="H247" s="173">
        <v>1</v>
      </c>
      <c r="I247" s="173">
        <f>B247</f>
        <v>62</v>
      </c>
      <c r="J247" s="173" t="s">
        <v>31</v>
      </c>
      <c r="K247" s="173" t="s">
        <v>31</v>
      </c>
      <c r="L247" s="173" t="s">
        <v>31</v>
      </c>
      <c r="M247" s="173" t="s">
        <v>31</v>
      </c>
      <c r="N247" s="173"/>
      <c r="O247" s="173"/>
      <c r="P247" s="242" t="s">
        <v>1094</v>
      </c>
      <c r="Q247" s="264">
        <v>62</v>
      </c>
      <c r="R247" s="173" t="s">
        <v>945</v>
      </c>
      <c r="S247" s="173">
        <f>Q247*0.0001</f>
        <v>6.2000000000000006E-3</v>
      </c>
      <c r="T247" s="173"/>
      <c r="U247" s="173"/>
    </row>
    <row r="248" spans="1:21">
      <c r="A248" s="232" t="s">
        <v>1095</v>
      </c>
      <c r="B248" s="265">
        <f>S248</f>
        <v>6.2000000000000006E-3</v>
      </c>
      <c r="C248" s="173" t="s">
        <v>206</v>
      </c>
      <c r="D248" s="173" t="s">
        <v>38</v>
      </c>
      <c r="E248" s="173" t="s">
        <v>29</v>
      </c>
      <c r="F248" s="173" t="s">
        <v>60</v>
      </c>
      <c r="G248" s="173" t="s">
        <v>33</v>
      </c>
      <c r="H248" s="173">
        <v>2</v>
      </c>
      <c r="I248" s="173">
        <f>LN(B248)</f>
        <v>-5.083205986931091</v>
      </c>
      <c r="J248" s="173">
        <v>3.7749172176353707E-2</v>
      </c>
      <c r="K248" s="173" t="s">
        <v>31</v>
      </c>
      <c r="L248" s="173" t="s">
        <v>31</v>
      </c>
      <c r="M248" s="173" t="s">
        <v>31</v>
      </c>
      <c r="N248" s="173"/>
      <c r="O248" s="173"/>
      <c r="P248" s="241" t="s">
        <v>1094</v>
      </c>
      <c r="Q248" s="314">
        <v>62</v>
      </c>
      <c r="R248" s="173" t="s">
        <v>945</v>
      </c>
      <c r="S248" s="173">
        <f>Q248*0.0001</f>
        <v>6.2000000000000006E-3</v>
      </c>
      <c r="T248" s="173"/>
      <c r="U248" s="173"/>
    </row>
    <row r="249" spans="1:21" s="42" customFormat="1">
      <c r="A249" s="209" t="s">
        <v>5</v>
      </c>
      <c r="B249" s="210" t="s">
        <v>1527</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7</v>
      </c>
      <c r="B250" s="173" t="s">
        <v>566</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9</v>
      </c>
      <c r="B251" s="173" t="s">
        <v>1530</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11</v>
      </c>
      <c r="B252" s="179" t="s">
        <v>913</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13</v>
      </c>
      <c r="B253" s="173" t="s">
        <v>14</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15</v>
      </c>
      <c r="B254" s="265">
        <f>B259</f>
        <v>3.5999999999999997E-2</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16</v>
      </c>
      <c r="B255" s="173" t="s">
        <v>17</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18</v>
      </c>
      <c r="B256" s="173" t="s">
        <v>206</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19</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20</v>
      </c>
      <c r="B258" s="175" t="s">
        <v>21</v>
      </c>
      <c r="C258" s="175" t="s">
        <v>18</v>
      </c>
      <c r="D258" s="175" t="s">
        <v>22</v>
      </c>
      <c r="E258" s="175" t="s">
        <v>7</v>
      </c>
      <c r="F258" s="175" t="s">
        <v>13</v>
      </c>
      <c r="G258" s="175" t="s">
        <v>16</v>
      </c>
      <c r="H258" s="175" t="s">
        <v>23</v>
      </c>
      <c r="I258" s="175" t="s">
        <v>24</v>
      </c>
      <c r="J258" s="175" t="s">
        <v>25</v>
      </c>
      <c r="K258" s="175" t="s">
        <v>26</v>
      </c>
      <c r="L258" s="175" t="s">
        <v>27</v>
      </c>
      <c r="M258" s="175" t="s">
        <v>28</v>
      </c>
      <c r="N258" s="175" t="s">
        <v>11</v>
      </c>
      <c r="O258" s="173"/>
      <c r="P258" s="173"/>
      <c r="Q258" s="173"/>
      <c r="R258" s="173"/>
      <c r="S258" s="173"/>
      <c r="T258" s="173"/>
      <c r="U258" s="173"/>
    </row>
    <row r="259" spans="1:21">
      <c r="A259" s="173" t="s">
        <v>1527</v>
      </c>
      <c r="B259" s="265">
        <f>B260</f>
        <v>3.5999999999999997E-2</v>
      </c>
      <c r="C259" s="173" t="s">
        <v>206</v>
      </c>
      <c r="D259" s="258" t="s">
        <v>2</v>
      </c>
      <c r="E259" s="173" t="s">
        <v>29</v>
      </c>
      <c r="F259" s="185" t="s">
        <v>14</v>
      </c>
      <c r="G259" s="173" t="s">
        <v>30</v>
      </c>
      <c r="H259" s="173">
        <v>1</v>
      </c>
      <c r="I259" s="173">
        <f t="shared" ref="I259:I260" si="20">B259</f>
        <v>3.5999999999999997E-2</v>
      </c>
      <c r="J259" s="173" t="s">
        <v>31</v>
      </c>
      <c r="K259" s="173" t="s">
        <v>31</v>
      </c>
      <c r="L259" s="173" t="s">
        <v>31</v>
      </c>
      <c r="M259" s="173" t="s">
        <v>31</v>
      </c>
      <c r="N259" s="173"/>
      <c r="O259" s="173"/>
      <c r="P259" s="173"/>
      <c r="Q259" s="173"/>
      <c r="R259" s="173"/>
      <c r="S259" s="173"/>
      <c r="T259" s="173"/>
      <c r="U259" s="173"/>
    </row>
    <row r="260" spans="1:21">
      <c r="A260" s="173" t="s">
        <v>1531</v>
      </c>
      <c r="B260" s="265">
        <f>P260</f>
        <v>3.5999999999999997E-2</v>
      </c>
      <c r="C260" s="173" t="s">
        <v>206</v>
      </c>
      <c r="D260" s="258" t="s">
        <v>2</v>
      </c>
      <c r="E260" s="173" t="s">
        <v>29</v>
      </c>
      <c r="F260" s="173" t="s">
        <v>14</v>
      </c>
      <c r="G260" s="173" t="s">
        <v>33</v>
      </c>
      <c r="H260" s="173">
        <v>1</v>
      </c>
      <c r="I260" s="173">
        <f t="shared" si="20"/>
        <v>3.5999999999999997E-2</v>
      </c>
      <c r="J260" s="173" t="s">
        <v>31</v>
      </c>
      <c r="K260" s="173" t="s">
        <v>31</v>
      </c>
      <c r="L260" s="173" t="s">
        <v>31</v>
      </c>
      <c r="M260" s="173" t="s">
        <v>31</v>
      </c>
      <c r="N260" s="173"/>
      <c r="O260" s="173"/>
      <c r="P260" s="349">
        <f>B271</f>
        <v>3.5999999999999997E-2</v>
      </c>
      <c r="Q260" s="173"/>
      <c r="R260" s="173"/>
      <c r="S260" s="173"/>
      <c r="T260" s="173"/>
      <c r="U260" s="173"/>
    </row>
    <row r="261" spans="1:21">
      <c r="A261" s="177" t="s">
        <v>168</v>
      </c>
      <c r="B261" s="184">
        <f>R261</f>
        <v>0.32</v>
      </c>
      <c r="C261" s="173" t="s">
        <v>41</v>
      </c>
      <c r="D261" s="173" t="s">
        <v>38</v>
      </c>
      <c r="E261" s="173" t="s">
        <v>29</v>
      </c>
      <c r="F261" s="185" t="s">
        <v>35</v>
      </c>
      <c r="G261" s="173" t="s">
        <v>33</v>
      </c>
      <c r="H261" s="173">
        <v>2</v>
      </c>
      <c r="I261" s="173">
        <f t="shared" ref="I261:I265" si="21">LN(B261)</f>
        <v>-1.1394342831883648</v>
      </c>
      <c r="J261" s="173">
        <v>0.20928449536456342</v>
      </c>
      <c r="K261" s="173" t="s">
        <v>31</v>
      </c>
      <c r="L261" s="173" t="s">
        <v>31</v>
      </c>
      <c r="M261" s="173" t="s">
        <v>31</v>
      </c>
      <c r="N261" s="173"/>
      <c r="O261" s="222" t="s">
        <v>332</v>
      </c>
      <c r="P261" s="296">
        <v>0.32</v>
      </c>
      <c r="Q261" s="173" t="s">
        <v>332</v>
      </c>
      <c r="R261" s="184">
        <f>P261</f>
        <v>0.32</v>
      </c>
      <c r="S261" s="173"/>
      <c r="T261" s="173"/>
      <c r="U261" s="173"/>
    </row>
    <row r="262" spans="1:21">
      <c r="A262" s="232" t="s">
        <v>931</v>
      </c>
      <c r="B262" s="173">
        <f>R262</f>
        <v>9.9000000000000008E-3</v>
      </c>
      <c r="C262" s="173" t="s">
        <v>37</v>
      </c>
      <c r="D262" s="173" t="s">
        <v>38</v>
      </c>
      <c r="E262" s="173" t="s">
        <v>29</v>
      </c>
      <c r="F262" s="185" t="s">
        <v>35</v>
      </c>
      <c r="G262" s="173" t="s">
        <v>33</v>
      </c>
      <c r="H262" s="173">
        <v>2</v>
      </c>
      <c r="I262" s="173">
        <f t="shared" si="21"/>
        <v>-4.6152205218415929</v>
      </c>
      <c r="J262" s="173">
        <v>0.20928449536456342</v>
      </c>
      <c r="K262" s="173" t="s">
        <v>31</v>
      </c>
      <c r="L262" s="173" t="s">
        <v>31</v>
      </c>
      <c r="M262" s="173" t="s">
        <v>31</v>
      </c>
      <c r="N262" s="173"/>
      <c r="O262" s="242" t="s">
        <v>947</v>
      </c>
      <c r="P262" s="296">
        <v>9.9</v>
      </c>
      <c r="Q262" s="173" t="s">
        <v>337</v>
      </c>
      <c r="R262" s="173">
        <f>0.001*P262</f>
        <v>9.9000000000000008E-3</v>
      </c>
      <c r="S262" s="173"/>
      <c r="T262" s="173"/>
      <c r="U262" s="173"/>
    </row>
    <row r="263" spans="1:21">
      <c r="A263" s="232" t="s">
        <v>932</v>
      </c>
      <c r="B263" s="173">
        <f>R263</f>
        <v>1.5E-3</v>
      </c>
      <c r="C263" s="173" t="s">
        <v>37</v>
      </c>
      <c r="D263" s="173" t="s">
        <v>38</v>
      </c>
      <c r="E263" s="173" t="s">
        <v>29</v>
      </c>
      <c r="F263" s="185" t="s">
        <v>60</v>
      </c>
      <c r="G263" s="173" t="s">
        <v>33</v>
      </c>
      <c r="H263" s="173">
        <v>2</v>
      </c>
      <c r="I263" s="173">
        <f t="shared" si="21"/>
        <v>-6.5022901708739722</v>
      </c>
      <c r="J263" s="173">
        <v>0.20928449536456342</v>
      </c>
      <c r="K263" s="173" t="s">
        <v>31</v>
      </c>
      <c r="L263" s="173" t="s">
        <v>31</v>
      </c>
      <c r="M263" s="173" t="s">
        <v>31</v>
      </c>
      <c r="N263" s="173"/>
      <c r="O263" s="242" t="s">
        <v>947</v>
      </c>
      <c r="P263" s="296">
        <v>1.5</v>
      </c>
      <c r="Q263" s="173" t="s">
        <v>337</v>
      </c>
      <c r="R263" s="173">
        <f>0.001*P263</f>
        <v>1.5E-3</v>
      </c>
      <c r="S263" s="173"/>
      <c r="T263" s="173"/>
      <c r="U263" s="173"/>
    </row>
    <row r="264" spans="1:21">
      <c r="A264" s="177" t="s">
        <v>933</v>
      </c>
      <c r="B264" s="173">
        <f>R264</f>
        <v>4.8899999999999999E-2</v>
      </c>
      <c r="C264" s="173" t="s">
        <v>37</v>
      </c>
      <c r="D264" s="173" t="s">
        <v>38</v>
      </c>
      <c r="E264" s="173" t="s">
        <v>29</v>
      </c>
      <c r="F264" s="185" t="s">
        <v>39</v>
      </c>
      <c r="G264" s="173" t="s">
        <v>33</v>
      </c>
      <c r="H264" s="173">
        <v>2</v>
      </c>
      <c r="I264" s="173">
        <f t="shared" si="21"/>
        <v>-3.0179778825013108</v>
      </c>
      <c r="J264" s="173">
        <v>0.20928449536456342</v>
      </c>
      <c r="K264" s="173" t="s">
        <v>31</v>
      </c>
      <c r="L264" s="173" t="s">
        <v>31</v>
      </c>
      <c r="M264" s="173" t="s">
        <v>31</v>
      </c>
      <c r="N264" s="173"/>
      <c r="O264" s="242" t="s">
        <v>947</v>
      </c>
      <c r="P264" s="296">
        <v>48.9</v>
      </c>
      <c r="Q264" s="173" t="s">
        <v>337</v>
      </c>
      <c r="R264" s="173">
        <f>0.001*P264</f>
        <v>4.8899999999999999E-2</v>
      </c>
      <c r="S264" s="173"/>
      <c r="T264" s="173"/>
      <c r="U264" s="173"/>
    </row>
    <row r="265" spans="1:21">
      <c r="A265" s="173" t="s">
        <v>1285</v>
      </c>
      <c r="B265" s="173">
        <f>R265</f>
        <v>1.15E-2</v>
      </c>
      <c r="C265" s="173" t="s">
        <v>37</v>
      </c>
      <c r="D265" s="258" t="s">
        <v>2</v>
      </c>
      <c r="E265" s="173" t="s">
        <v>29</v>
      </c>
      <c r="F265" s="185" t="s">
        <v>39</v>
      </c>
      <c r="G265" s="173" t="s">
        <v>33</v>
      </c>
      <c r="H265" s="173">
        <v>2</v>
      </c>
      <c r="I265" s="173">
        <f t="shared" si="21"/>
        <v>-4.4654082436129325</v>
      </c>
      <c r="J265" s="173">
        <v>0.20928449536456342</v>
      </c>
      <c r="K265" s="173" t="s">
        <v>31</v>
      </c>
      <c r="L265" s="173" t="s">
        <v>31</v>
      </c>
      <c r="M265" s="173" t="s">
        <v>31</v>
      </c>
      <c r="N265" s="173"/>
      <c r="O265" s="305" t="s">
        <v>947</v>
      </c>
      <c r="P265" s="306">
        <v>11.5</v>
      </c>
      <c r="Q265" s="173" t="s">
        <v>337</v>
      </c>
      <c r="R265" s="173">
        <f>0.001*P265</f>
        <v>1.15E-2</v>
      </c>
      <c r="S265" s="173"/>
      <c r="T265" s="173"/>
      <c r="U265" s="173"/>
    </row>
    <row r="266" spans="1:21" s="42" customFormat="1">
      <c r="A266" s="209" t="s">
        <v>5</v>
      </c>
      <c r="B266" s="210" t="s">
        <v>1531</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7</v>
      </c>
      <c r="B267" s="173" t="s">
        <v>566</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9</v>
      </c>
      <c r="B268" s="173" t="s">
        <v>1532</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11</v>
      </c>
      <c r="B269" s="179" t="s">
        <v>913</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13</v>
      </c>
      <c r="B270" s="173" t="s">
        <v>14</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15</v>
      </c>
      <c r="B271" s="265">
        <f>B276</f>
        <v>3.5999999999999997E-2</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16</v>
      </c>
      <c r="B272" s="173" t="s">
        <v>17</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18</v>
      </c>
      <c r="B273" s="173" t="s">
        <v>206</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19</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20</v>
      </c>
      <c r="B275" s="175" t="s">
        <v>21</v>
      </c>
      <c r="C275" s="175" t="s">
        <v>18</v>
      </c>
      <c r="D275" s="175" t="s">
        <v>22</v>
      </c>
      <c r="E275" s="175" t="s">
        <v>7</v>
      </c>
      <c r="F275" s="175" t="s">
        <v>13</v>
      </c>
      <c r="G275" s="175" t="s">
        <v>16</v>
      </c>
      <c r="H275" s="175" t="s">
        <v>23</v>
      </c>
      <c r="I275" s="175" t="s">
        <v>24</v>
      </c>
      <c r="J275" s="175" t="s">
        <v>25</v>
      </c>
      <c r="K275" s="175" t="s">
        <v>26</v>
      </c>
      <c r="L275" s="175" t="s">
        <v>27</v>
      </c>
      <c r="M275" s="175" t="s">
        <v>28</v>
      </c>
      <c r="N275" s="175" t="s">
        <v>11</v>
      </c>
      <c r="O275" s="173"/>
      <c r="P275" s="173"/>
      <c r="Q275" s="173"/>
      <c r="R275" s="173"/>
      <c r="S275" s="173"/>
      <c r="T275" s="173"/>
      <c r="U275" s="173"/>
    </row>
    <row r="276" spans="1:21">
      <c r="A276" s="173" t="s">
        <v>1531</v>
      </c>
      <c r="B276" s="265">
        <f>P277</f>
        <v>3.5999999999999997E-2</v>
      </c>
      <c r="C276" s="173" t="s">
        <v>206</v>
      </c>
      <c r="D276" s="258" t="s">
        <v>2</v>
      </c>
      <c r="E276" s="173" t="s">
        <v>29</v>
      </c>
      <c r="F276" s="173" t="s">
        <v>14</v>
      </c>
      <c r="G276" s="173" t="s">
        <v>30</v>
      </c>
      <c r="H276" s="173">
        <v>1</v>
      </c>
      <c r="I276" s="173">
        <f t="shared" ref="I276:I277" si="22">B276</f>
        <v>3.5999999999999997E-2</v>
      </c>
      <c r="J276" s="173" t="s">
        <v>31</v>
      </c>
      <c r="K276" s="173" t="s">
        <v>31</v>
      </c>
      <c r="L276" s="173" t="s">
        <v>31</v>
      </c>
      <c r="M276" s="173" t="s">
        <v>31</v>
      </c>
      <c r="N276" s="173"/>
      <c r="O276" s="173"/>
      <c r="P276" s="173"/>
      <c r="Q276" s="173"/>
      <c r="R276" s="173"/>
      <c r="S276" s="173"/>
      <c r="T276" s="173"/>
      <c r="U276" s="173"/>
    </row>
    <row r="277" spans="1:21">
      <c r="A277" s="173" t="s">
        <v>1533</v>
      </c>
      <c r="B277" s="265">
        <f>P277</f>
        <v>3.5999999999999997E-2</v>
      </c>
      <c r="C277" s="173" t="s">
        <v>206</v>
      </c>
      <c r="D277" s="258" t="s">
        <v>2</v>
      </c>
      <c r="E277" s="173" t="s">
        <v>29</v>
      </c>
      <c r="F277" s="173" t="s">
        <v>14</v>
      </c>
      <c r="G277" s="173" t="s">
        <v>33</v>
      </c>
      <c r="H277" s="173">
        <v>1</v>
      </c>
      <c r="I277" s="173">
        <f t="shared" si="22"/>
        <v>3.5999999999999997E-2</v>
      </c>
      <c r="J277" s="173" t="s">
        <v>31</v>
      </c>
      <c r="K277" s="173" t="s">
        <v>31</v>
      </c>
      <c r="L277" s="173" t="s">
        <v>31</v>
      </c>
      <c r="M277" s="173" t="s">
        <v>31</v>
      </c>
      <c r="N277" s="173"/>
      <c r="O277" s="173"/>
      <c r="P277" s="349">
        <v>3.5999999999999997E-2</v>
      </c>
      <c r="Q277" s="173"/>
      <c r="R277" s="173"/>
      <c r="S277" s="173"/>
      <c r="T277" s="173"/>
      <c r="U277" s="173"/>
    </row>
    <row r="278" spans="1:21">
      <c r="A278" s="177" t="s">
        <v>168</v>
      </c>
      <c r="B278" s="184">
        <f>P278</f>
        <v>6.8800000000000008</v>
      </c>
      <c r="C278" s="173" t="s">
        <v>41</v>
      </c>
      <c r="D278" s="173" t="s">
        <v>38</v>
      </c>
      <c r="E278" s="173" t="s">
        <v>29</v>
      </c>
      <c r="F278" s="185" t="s">
        <v>35</v>
      </c>
      <c r="G278" s="173" t="s">
        <v>33</v>
      </c>
      <c r="H278" s="173">
        <v>2</v>
      </c>
      <c r="I278" s="173">
        <f t="shared" ref="I278:I279" si="23">LN(B278)</f>
        <v>1.9286186519452524</v>
      </c>
      <c r="J278" s="173">
        <v>0.20928449536456342</v>
      </c>
      <c r="K278" s="173" t="s">
        <v>31</v>
      </c>
      <c r="L278" s="173" t="s">
        <v>31</v>
      </c>
      <c r="M278" s="173" t="s">
        <v>31</v>
      </c>
      <c r="N278" s="173"/>
      <c r="O278" s="242" t="s">
        <v>332</v>
      </c>
      <c r="P278" s="296">
        <f>4.74+2.14</f>
        <v>6.8800000000000008</v>
      </c>
      <c r="Q278" s="173"/>
      <c r="R278" s="173"/>
      <c r="S278" s="173"/>
      <c r="T278" s="173"/>
      <c r="U278" s="173"/>
    </row>
    <row r="279" spans="1:21">
      <c r="A279" s="177" t="s">
        <v>933</v>
      </c>
      <c r="B279" s="184">
        <f>R279</f>
        <v>1.3800000000000002E-2</v>
      </c>
      <c r="C279" s="173" t="s">
        <v>37</v>
      </c>
      <c r="D279" s="173" t="s">
        <v>38</v>
      </c>
      <c r="E279" s="173" t="s">
        <v>29</v>
      </c>
      <c r="F279" s="185" t="s">
        <v>39</v>
      </c>
      <c r="G279" s="173" t="s">
        <v>33</v>
      </c>
      <c r="H279" s="173">
        <v>2</v>
      </c>
      <c r="I279" s="173">
        <f t="shared" si="23"/>
        <v>-4.2830866868189776</v>
      </c>
      <c r="J279" s="173">
        <v>0.20928449536456342</v>
      </c>
      <c r="K279" s="173" t="s">
        <v>31</v>
      </c>
      <c r="L279" s="173" t="s">
        <v>31</v>
      </c>
      <c r="M279" s="173" t="s">
        <v>31</v>
      </c>
      <c r="N279" s="173"/>
      <c r="O279" s="242" t="s">
        <v>947</v>
      </c>
      <c r="P279" s="296">
        <v>13.8</v>
      </c>
      <c r="Q279" s="173" t="s">
        <v>337</v>
      </c>
      <c r="R279" s="173">
        <f>P279*0.001</f>
        <v>1.3800000000000002E-2</v>
      </c>
      <c r="S279" s="173"/>
      <c r="T279" s="173"/>
      <c r="U279" s="173"/>
    </row>
    <row r="280" spans="1:21">
      <c r="A280" s="232" t="s">
        <v>1078</v>
      </c>
      <c r="B280" s="184">
        <f>R280</f>
        <v>1.6800000000000002E-2</v>
      </c>
      <c r="C280" s="173" t="s">
        <v>37</v>
      </c>
      <c r="D280" s="173" t="s">
        <v>38</v>
      </c>
      <c r="E280" s="173" t="s">
        <v>29</v>
      </c>
      <c r="F280" s="173" t="s">
        <v>35</v>
      </c>
      <c r="G280" s="173" t="s">
        <v>33</v>
      </c>
      <c r="H280" s="173">
        <v>2</v>
      </c>
      <c r="I280" s="173">
        <f>LN(B280)</f>
        <v>-4.086376392572924</v>
      </c>
      <c r="J280" s="173">
        <v>0.20928449536456342</v>
      </c>
      <c r="K280" s="173" t="s">
        <v>31</v>
      </c>
      <c r="L280" s="173" t="s">
        <v>31</v>
      </c>
      <c r="M280" s="173" t="s">
        <v>31</v>
      </c>
      <c r="N280" s="173"/>
      <c r="O280" s="242" t="s">
        <v>947</v>
      </c>
      <c r="P280" s="296">
        <v>16.8</v>
      </c>
      <c r="Q280" s="173" t="s">
        <v>337</v>
      </c>
      <c r="R280" s="173">
        <f>P280*0.001</f>
        <v>1.6800000000000002E-2</v>
      </c>
      <c r="S280" s="173"/>
      <c r="T280" s="173"/>
      <c r="U280" s="173"/>
    </row>
    <row r="281" spans="1:21">
      <c r="A281" s="173" t="s">
        <v>1285</v>
      </c>
      <c r="B281" s="184">
        <f>R281</f>
        <v>1.6800000000000002E-2</v>
      </c>
      <c r="C281" s="173" t="s">
        <v>37</v>
      </c>
      <c r="D281" s="258" t="s">
        <v>2</v>
      </c>
      <c r="E281" s="173" t="s">
        <v>29</v>
      </c>
      <c r="F281" s="185" t="s">
        <v>39</v>
      </c>
      <c r="G281" s="173" t="s">
        <v>33</v>
      </c>
      <c r="H281" s="173">
        <v>2</v>
      </c>
      <c r="I281" s="173">
        <f t="shared" ref="I281" si="24">LN(B281)</f>
        <v>-4.086376392572924</v>
      </c>
      <c r="J281" s="173">
        <v>0.20928449536456342</v>
      </c>
      <c r="K281" s="173" t="s">
        <v>31</v>
      </c>
      <c r="L281" s="173" t="s">
        <v>31</v>
      </c>
      <c r="M281" s="173" t="s">
        <v>31</v>
      </c>
      <c r="N281" s="173"/>
      <c r="O281" s="305" t="s">
        <v>947</v>
      </c>
      <c r="P281" s="306">
        <v>16.8</v>
      </c>
      <c r="Q281" s="173" t="s">
        <v>337</v>
      </c>
      <c r="R281" s="173">
        <f>0.001*P281</f>
        <v>1.6800000000000002E-2</v>
      </c>
      <c r="S281" s="173"/>
      <c r="T281" s="173"/>
      <c r="U281" s="173"/>
    </row>
    <row r="282" spans="1:21" s="42" customFormat="1">
      <c r="A282" s="209" t="s">
        <v>5</v>
      </c>
      <c r="B282" s="210" t="s">
        <v>1533</v>
      </c>
      <c r="C282" s="188"/>
      <c r="D282" s="188"/>
      <c r="E282" s="188"/>
      <c r="F282" s="188"/>
      <c r="G282" s="188"/>
      <c r="H282" s="188"/>
      <c r="I282" s="188"/>
      <c r="J282" s="188"/>
      <c r="K282" s="188"/>
      <c r="L282" s="188"/>
      <c r="M282" s="188"/>
      <c r="N282" s="188"/>
      <c r="O282" s="188"/>
      <c r="P282" s="291"/>
      <c r="Q282" s="188"/>
      <c r="R282" s="188"/>
      <c r="S282" s="188"/>
      <c r="T282" s="188"/>
      <c r="U282" s="188"/>
    </row>
    <row r="283" spans="1:21">
      <c r="A283" s="177" t="s">
        <v>7</v>
      </c>
      <c r="B283" s="173" t="s">
        <v>566</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9</v>
      </c>
      <c r="B284" s="173" t="s">
        <v>1534</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11</v>
      </c>
      <c r="B285" s="179" t="s">
        <v>913</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13</v>
      </c>
      <c r="B286" s="173" t="s">
        <v>14</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15</v>
      </c>
      <c r="B287" s="265">
        <f>B292</f>
        <v>7.0000000000000007E-2</v>
      </c>
      <c r="C287" s="173"/>
      <c r="D287" s="173"/>
      <c r="E287" s="173"/>
      <c r="F287" s="173"/>
      <c r="G287" s="173"/>
      <c r="H287" s="173"/>
      <c r="I287" s="173"/>
      <c r="J287" s="173"/>
      <c r="K287" s="173"/>
      <c r="L287" s="173"/>
      <c r="M287" s="173"/>
      <c r="N287" s="173"/>
      <c r="O287" s="173"/>
      <c r="P287" s="173"/>
      <c r="Q287" s="173"/>
      <c r="R287" s="173"/>
      <c r="S287" s="173"/>
      <c r="T287" s="173"/>
      <c r="U287" s="173"/>
    </row>
    <row r="288" spans="1:21">
      <c r="A288" s="177" t="s">
        <v>16</v>
      </c>
      <c r="B288" s="173" t="s">
        <v>17</v>
      </c>
      <c r="C288" s="173"/>
      <c r="D288" s="173"/>
      <c r="E288" s="173"/>
      <c r="F288" s="173"/>
      <c r="G288" s="173"/>
      <c r="H288" s="173"/>
      <c r="I288" s="173"/>
      <c r="J288" s="173"/>
      <c r="K288" s="173"/>
      <c r="L288" s="173"/>
      <c r="M288" s="173"/>
      <c r="N288" s="173"/>
      <c r="O288" s="173"/>
      <c r="P288" s="173"/>
      <c r="Q288" s="173"/>
      <c r="R288" s="175" t="s">
        <v>1023</v>
      </c>
      <c r="S288" s="173"/>
      <c r="T288" s="173"/>
      <c r="U288" s="173"/>
    </row>
    <row r="289" spans="1:21">
      <c r="A289" s="177" t="s">
        <v>18</v>
      </c>
      <c r="B289" s="173" t="s">
        <v>206</v>
      </c>
      <c r="C289" s="173"/>
      <c r="D289" s="173"/>
      <c r="E289" s="173"/>
      <c r="F289" s="173"/>
      <c r="G289" s="173"/>
      <c r="H289" s="173"/>
      <c r="I289" s="173"/>
      <c r="J289" s="173"/>
      <c r="K289" s="173"/>
      <c r="L289" s="173"/>
      <c r="M289" s="173"/>
      <c r="N289" s="173"/>
      <c r="O289" s="173"/>
      <c r="P289" s="173"/>
      <c r="Q289" s="173"/>
      <c r="R289" s="173" t="s">
        <v>1024</v>
      </c>
      <c r="S289" s="173">
        <v>8900</v>
      </c>
      <c r="T289" s="173" t="s">
        <v>1025</v>
      </c>
      <c r="U289" s="173"/>
    </row>
    <row r="290" spans="1:21">
      <c r="A290" s="174" t="s">
        <v>19</v>
      </c>
      <c r="B290" s="173"/>
      <c r="C290" s="173"/>
      <c r="D290" s="173"/>
      <c r="E290" s="173"/>
      <c r="F290" s="173"/>
      <c r="G290" s="173"/>
      <c r="H290" s="173"/>
      <c r="I290" s="173"/>
      <c r="J290" s="173"/>
      <c r="K290" s="173"/>
      <c r="L290" s="173"/>
      <c r="M290" s="173"/>
      <c r="N290" s="173"/>
      <c r="O290" s="173"/>
      <c r="P290" s="173"/>
      <c r="Q290" s="173"/>
      <c r="R290" s="173" t="s">
        <v>1026</v>
      </c>
      <c r="S290" s="173">
        <f>5*10^-6</f>
        <v>4.9999999999999996E-6</v>
      </c>
      <c r="T290" s="173" t="s">
        <v>1027</v>
      </c>
      <c r="U290" s="173"/>
    </row>
    <row r="291" spans="1:21">
      <c r="A291" s="175" t="s">
        <v>20</v>
      </c>
      <c r="B291" s="175" t="s">
        <v>21</v>
      </c>
      <c r="C291" s="175" t="s">
        <v>18</v>
      </c>
      <c r="D291" s="175" t="s">
        <v>22</v>
      </c>
      <c r="E291" s="175" t="s">
        <v>7</v>
      </c>
      <c r="F291" s="175" t="s">
        <v>13</v>
      </c>
      <c r="G291" s="175" t="s">
        <v>16</v>
      </c>
      <c r="H291" s="175" t="s">
        <v>23</v>
      </c>
      <c r="I291" s="175" t="s">
        <v>24</v>
      </c>
      <c r="J291" s="175" t="s">
        <v>25</v>
      </c>
      <c r="K291" s="175" t="s">
        <v>26</v>
      </c>
      <c r="L291" s="175" t="s">
        <v>27</v>
      </c>
      <c r="M291" s="175" t="s">
        <v>28</v>
      </c>
      <c r="N291" s="175" t="s">
        <v>11</v>
      </c>
      <c r="O291" s="173"/>
      <c r="P291" s="173"/>
      <c r="Q291" s="173"/>
      <c r="R291" s="280" t="s">
        <v>1029</v>
      </c>
      <c r="S291" s="281">
        <f>S290*S289</f>
        <v>4.4499999999999998E-2</v>
      </c>
      <c r="T291" s="282" t="s">
        <v>985</v>
      </c>
      <c r="U291" s="173"/>
    </row>
    <row r="292" spans="1:21">
      <c r="A292" s="173" t="s">
        <v>1533</v>
      </c>
      <c r="B292" s="265">
        <v>7.0000000000000007E-2</v>
      </c>
      <c r="C292" s="173" t="s">
        <v>206</v>
      </c>
      <c r="D292" s="258" t="s">
        <v>2</v>
      </c>
      <c r="E292" s="173" t="s">
        <v>29</v>
      </c>
      <c r="F292" s="173" t="s">
        <v>14</v>
      </c>
      <c r="G292" s="173" t="s">
        <v>30</v>
      </c>
      <c r="H292" s="173">
        <v>1</v>
      </c>
      <c r="I292" s="173">
        <f t="shared" ref="I292:I294" si="25">B292</f>
        <v>7.0000000000000007E-2</v>
      </c>
      <c r="J292" s="173" t="s">
        <v>31</v>
      </c>
      <c r="K292" s="173" t="s">
        <v>31</v>
      </c>
      <c r="L292" s="173" t="s">
        <v>31</v>
      </c>
      <c r="M292" s="173" t="s">
        <v>31</v>
      </c>
      <c r="N292" s="173"/>
      <c r="O292" s="242" t="s">
        <v>1031</v>
      </c>
      <c r="P292" s="264">
        <f>B292*100</f>
        <v>7.0000000000000009</v>
      </c>
      <c r="Q292" s="173"/>
      <c r="R292" s="173"/>
      <c r="S292" s="173"/>
      <c r="T292" s="173"/>
      <c r="U292" s="173"/>
    </row>
    <row r="293" spans="1:21">
      <c r="A293" s="173" t="s">
        <v>1535</v>
      </c>
      <c r="B293" s="265">
        <v>7.0000000000000007E-2</v>
      </c>
      <c r="C293" s="173" t="s">
        <v>206</v>
      </c>
      <c r="D293" s="258" t="s">
        <v>2</v>
      </c>
      <c r="E293" s="173" t="s">
        <v>29</v>
      </c>
      <c r="F293" s="173" t="s">
        <v>14</v>
      </c>
      <c r="G293" s="173" t="s">
        <v>33</v>
      </c>
      <c r="H293" s="173">
        <v>1</v>
      </c>
      <c r="I293" s="173">
        <f t="shared" si="25"/>
        <v>7.0000000000000007E-2</v>
      </c>
      <c r="J293" s="173">
        <v>7.2284161474004766E-2</v>
      </c>
      <c r="K293" s="173" t="s">
        <v>31</v>
      </c>
      <c r="L293" s="173" t="s">
        <v>31</v>
      </c>
      <c r="M293" s="173" t="s">
        <v>31</v>
      </c>
      <c r="N293" s="173"/>
      <c r="O293" s="242" t="s">
        <v>1031</v>
      </c>
      <c r="P293" s="264">
        <f>B293*100</f>
        <v>7.0000000000000009</v>
      </c>
      <c r="Q293" s="173"/>
      <c r="R293" s="173" t="s">
        <v>1032</v>
      </c>
      <c r="S293" s="173"/>
      <c r="T293" s="173"/>
      <c r="U293" s="260"/>
    </row>
    <row r="294" spans="1:21">
      <c r="A294" s="271" t="s">
        <v>1479</v>
      </c>
      <c r="B294" s="270">
        <f>T294</f>
        <v>5.6069999999999995E-2</v>
      </c>
      <c r="C294" s="173" t="s">
        <v>37</v>
      </c>
      <c r="D294" s="258" t="s">
        <v>2</v>
      </c>
      <c r="E294" s="173" t="s">
        <v>29</v>
      </c>
      <c r="F294" s="185" t="s">
        <v>14</v>
      </c>
      <c r="G294" s="173" t="s">
        <v>33</v>
      </c>
      <c r="H294" s="173">
        <v>1</v>
      </c>
      <c r="I294" s="173">
        <f t="shared" si="25"/>
        <v>5.6069999999999995E-2</v>
      </c>
      <c r="J294" s="173">
        <v>7.2284161474004766E-2</v>
      </c>
      <c r="K294" s="173" t="s">
        <v>31</v>
      </c>
      <c r="L294" s="173" t="s">
        <v>31</v>
      </c>
      <c r="M294" s="173" t="s">
        <v>31</v>
      </c>
      <c r="N294" s="173"/>
      <c r="O294" s="286"/>
      <c r="P294" s="287"/>
      <c r="Q294" s="173"/>
      <c r="R294" s="284">
        <v>1.26</v>
      </c>
      <c r="S294" s="285" t="s">
        <v>945</v>
      </c>
      <c r="T294" s="284">
        <f>R294*S291</f>
        <v>5.6069999999999995E-2</v>
      </c>
      <c r="U294" s="285" t="s">
        <v>337</v>
      </c>
    </row>
    <row r="295" spans="1:21">
      <c r="A295" s="177" t="s">
        <v>933</v>
      </c>
      <c r="B295" s="173">
        <f>P295</f>
        <v>10.1</v>
      </c>
      <c r="C295" s="173" t="s">
        <v>37</v>
      </c>
      <c r="D295" s="173" t="s">
        <v>38</v>
      </c>
      <c r="E295" s="173" t="s">
        <v>29</v>
      </c>
      <c r="F295" s="185" t="s">
        <v>39</v>
      </c>
      <c r="G295" s="173" t="s">
        <v>33</v>
      </c>
      <c r="H295" s="173">
        <v>2</v>
      </c>
      <c r="I295" s="173">
        <f t="shared" ref="I295" si="26">LN(B295)</f>
        <v>2.3125354238472138</v>
      </c>
      <c r="J295" s="173">
        <v>7.2284161474004766E-2</v>
      </c>
      <c r="K295" s="173" t="s">
        <v>31</v>
      </c>
      <c r="L295" s="173" t="s">
        <v>31</v>
      </c>
      <c r="M295" s="173" t="s">
        <v>31</v>
      </c>
      <c r="N295" s="173"/>
      <c r="O295" s="242" t="s">
        <v>337</v>
      </c>
      <c r="P295" s="296">
        <v>10.1</v>
      </c>
      <c r="Q295" s="173"/>
      <c r="R295" s="173"/>
      <c r="S295" s="173"/>
      <c r="T295" s="173"/>
      <c r="U295" s="173"/>
    </row>
    <row r="296" spans="1:21">
      <c r="A296" s="232" t="s">
        <v>1021</v>
      </c>
      <c r="B296" s="184">
        <f>R296</f>
        <v>5.0000000000000001E-4</v>
      </c>
      <c r="C296" s="173" t="s">
        <v>37</v>
      </c>
      <c r="D296" s="173" t="s">
        <v>38</v>
      </c>
      <c r="E296" s="173" t="s">
        <v>29</v>
      </c>
      <c r="F296" s="185" t="s">
        <v>60</v>
      </c>
      <c r="G296" s="173" t="s">
        <v>33</v>
      </c>
      <c r="H296" s="173">
        <v>2</v>
      </c>
      <c r="I296" s="173">
        <f>LN(B296)</f>
        <v>-7.6009024595420822</v>
      </c>
      <c r="J296" s="173">
        <v>7.2284161474004766E-2</v>
      </c>
      <c r="K296" s="173" t="s">
        <v>31</v>
      </c>
      <c r="L296" s="173" t="s">
        <v>31</v>
      </c>
      <c r="M296" s="173" t="s">
        <v>31</v>
      </c>
      <c r="N296" s="173"/>
      <c r="O296" s="266" t="s">
        <v>952</v>
      </c>
      <c r="P296" s="365">
        <v>0.5</v>
      </c>
      <c r="Q296" s="242" t="s">
        <v>337</v>
      </c>
      <c r="R296" s="173">
        <f>P296*0.001</f>
        <v>5.0000000000000001E-4</v>
      </c>
      <c r="S296" s="173"/>
      <c r="T296" s="173"/>
      <c r="U296" s="173"/>
    </row>
    <row r="297" spans="1:21">
      <c r="A297" s="232" t="s">
        <v>489</v>
      </c>
      <c r="B297" s="173">
        <f>R297</f>
        <v>1.01E-2</v>
      </c>
      <c r="C297" s="173" t="s">
        <v>50</v>
      </c>
      <c r="D297" s="173" t="s">
        <v>38</v>
      </c>
      <c r="E297" s="173" t="s">
        <v>29</v>
      </c>
      <c r="F297" s="185" t="s">
        <v>39</v>
      </c>
      <c r="G297" s="173" t="s">
        <v>33</v>
      </c>
      <c r="H297" s="173">
        <v>2</v>
      </c>
      <c r="I297" s="173">
        <f t="shared" ref="I297" si="27">LN(B297)</f>
        <v>-4.595219855134923</v>
      </c>
      <c r="J297" s="173">
        <v>7.2284161474004766E-2</v>
      </c>
      <c r="K297" s="173" t="s">
        <v>31</v>
      </c>
      <c r="L297" s="173" t="s">
        <v>31</v>
      </c>
      <c r="M297" s="173" t="s">
        <v>31</v>
      </c>
      <c r="N297" s="173"/>
      <c r="O297" s="268" t="s">
        <v>1009</v>
      </c>
      <c r="P297" s="306">
        <v>10.1</v>
      </c>
      <c r="Q297" s="173" t="s">
        <v>335</v>
      </c>
      <c r="R297" s="173">
        <f>P297*0.001</f>
        <v>1.01E-2</v>
      </c>
      <c r="S297" s="173"/>
      <c r="T297" s="173"/>
      <c r="U297" s="173"/>
    </row>
    <row r="298" spans="1:21" s="42" customFormat="1">
      <c r="A298" s="209" t="s">
        <v>5</v>
      </c>
      <c r="B298" s="210" t="s">
        <v>1535</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7</v>
      </c>
      <c r="B299" s="173" t="s">
        <v>566</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9</v>
      </c>
      <c r="B300" s="173" t="s">
        <v>1536</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11</v>
      </c>
      <c r="B301" s="179" t="s">
        <v>913</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13</v>
      </c>
      <c r="B302" s="173" t="s">
        <v>14</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15</v>
      </c>
      <c r="B303" s="265">
        <f>B308</f>
        <v>3.5999999999999997E-2</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16</v>
      </c>
      <c r="B304" s="173" t="s">
        <v>17</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18</v>
      </c>
      <c r="B305" s="173" t="s">
        <v>206</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19</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20</v>
      </c>
      <c r="B307" s="175" t="s">
        <v>21</v>
      </c>
      <c r="C307" s="175" t="s">
        <v>18</v>
      </c>
      <c r="D307" s="175" t="s">
        <v>22</v>
      </c>
      <c r="E307" s="175" t="s">
        <v>7</v>
      </c>
      <c r="F307" s="175" t="s">
        <v>13</v>
      </c>
      <c r="G307" s="175" t="s">
        <v>16</v>
      </c>
      <c r="H307" s="175" t="s">
        <v>23</v>
      </c>
      <c r="I307" s="175" t="s">
        <v>24</v>
      </c>
      <c r="J307" s="175" t="s">
        <v>25</v>
      </c>
      <c r="K307" s="175" t="s">
        <v>26</v>
      </c>
      <c r="L307" s="175" t="s">
        <v>27</v>
      </c>
      <c r="M307" s="175" t="s">
        <v>28</v>
      </c>
      <c r="N307" s="175" t="s">
        <v>11</v>
      </c>
      <c r="O307" s="173"/>
      <c r="P307" s="173"/>
      <c r="Q307" s="173"/>
      <c r="R307" s="173"/>
      <c r="S307" s="173"/>
      <c r="T307" s="265"/>
      <c r="U307" s="173"/>
    </row>
    <row r="308" spans="1:21">
      <c r="A308" s="173" t="s">
        <v>1535</v>
      </c>
      <c r="B308" s="265">
        <f t="shared" ref="B308:B318" si="28">P308</f>
        <v>3.5999999999999997E-2</v>
      </c>
      <c r="C308" s="173" t="s">
        <v>206</v>
      </c>
      <c r="D308" s="258" t="s">
        <v>2</v>
      </c>
      <c r="E308" s="173" t="s">
        <v>29</v>
      </c>
      <c r="F308" s="173" t="s">
        <v>14</v>
      </c>
      <c r="G308" s="173" t="s">
        <v>30</v>
      </c>
      <c r="H308" s="173">
        <v>1</v>
      </c>
      <c r="I308" s="173">
        <f t="shared" ref="I308:I309" si="29">B308</f>
        <v>3.5999999999999997E-2</v>
      </c>
      <c r="J308" s="173" t="s">
        <v>31</v>
      </c>
      <c r="K308" s="173" t="s">
        <v>31</v>
      </c>
      <c r="L308" s="173" t="s">
        <v>31</v>
      </c>
      <c r="M308" s="173" t="s">
        <v>31</v>
      </c>
      <c r="N308" s="173"/>
      <c r="O308" s="173"/>
      <c r="P308" s="348">
        <v>3.5999999999999997E-2</v>
      </c>
      <c r="Q308" s="173"/>
      <c r="R308" s="173"/>
      <c r="S308" s="173"/>
      <c r="T308" s="173"/>
      <c r="U308" s="173"/>
    </row>
    <row r="309" spans="1:21">
      <c r="A309" s="173" t="s">
        <v>1537</v>
      </c>
      <c r="B309" s="265">
        <f t="shared" si="28"/>
        <v>3.5999999999999997E-2</v>
      </c>
      <c r="C309" s="173" t="s">
        <v>206</v>
      </c>
      <c r="D309" s="258" t="s">
        <v>2</v>
      </c>
      <c r="E309" s="173" t="s">
        <v>29</v>
      </c>
      <c r="F309" s="173" t="s">
        <v>14</v>
      </c>
      <c r="G309" s="173" t="s">
        <v>33</v>
      </c>
      <c r="H309" s="173">
        <v>1</v>
      </c>
      <c r="I309" s="173">
        <f t="shared" si="29"/>
        <v>3.5999999999999997E-2</v>
      </c>
      <c r="J309" s="173" t="s">
        <v>31</v>
      </c>
      <c r="K309" s="173" t="s">
        <v>31</v>
      </c>
      <c r="L309" s="173" t="s">
        <v>31</v>
      </c>
      <c r="M309" s="173" t="s">
        <v>31</v>
      </c>
      <c r="N309" s="173"/>
      <c r="O309" s="173"/>
      <c r="P309" s="348">
        <v>3.5999999999999997E-2</v>
      </c>
      <c r="Q309" s="173"/>
      <c r="R309" s="173"/>
      <c r="S309" s="173"/>
      <c r="T309" s="173"/>
      <c r="U309" s="173"/>
    </row>
    <row r="310" spans="1:21">
      <c r="A310" s="177" t="s">
        <v>168</v>
      </c>
      <c r="B310" s="184">
        <f t="shared" si="28"/>
        <v>0.47</v>
      </c>
      <c r="C310" s="173" t="s">
        <v>41</v>
      </c>
      <c r="D310" s="173" t="s">
        <v>38</v>
      </c>
      <c r="E310" s="173" t="s">
        <v>29</v>
      </c>
      <c r="F310" s="185" t="s">
        <v>35</v>
      </c>
      <c r="G310" s="173" t="s">
        <v>33</v>
      </c>
      <c r="H310" s="173">
        <v>2</v>
      </c>
      <c r="I310" s="173">
        <f t="shared" ref="I310" si="30">LN(B310)</f>
        <v>-0.75502258427803282</v>
      </c>
      <c r="J310" s="173">
        <v>0.22500000000000006</v>
      </c>
      <c r="K310" s="173" t="s">
        <v>31</v>
      </c>
      <c r="L310" s="173" t="s">
        <v>31</v>
      </c>
      <c r="M310" s="173" t="s">
        <v>31</v>
      </c>
      <c r="N310" s="173"/>
      <c r="O310" s="242" t="s">
        <v>332</v>
      </c>
      <c r="P310" s="264">
        <v>0.47</v>
      </c>
      <c r="Q310" s="173"/>
      <c r="R310" s="173"/>
      <c r="S310" s="173"/>
      <c r="T310" s="173"/>
      <c r="U310" s="173"/>
    </row>
    <row r="311" spans="1:21">
      <c r="A311" s="232" t="s">
        <v>1077</v>
      </c>
      <c r="B311" s="265">
        <f t="shared" si="28"/>
        <v>2.1499999999999998E-2</v>
      </c>
      <c r="C311" s="173" t="s">
        <v>37</v>
      </c>
      <c r="D311" s="173" t="s">
        <v>38</v>
      </c>
      <c r="E311" s="173" t="s">
        <v>29</v>
      </c>
      <c r="F311" s="173" t="s">
        <v>35</v>
      </c>
      <c r="G311" s="173" t="s">
        <v>33</v>
      </c>
      <c r="H311" s="173">
        <v>2</v>
      </c>
      <c r="I311" s="173">
        <f>LN(B311)</f>
        <v>-3.8397023438485198</v>
      </c>
      <c r="J311" s="173">
        <v>0.22500000000000006</v>
      </c>
      <c r="K311" s="173" t="s">
        <v>31</v>
      </c>
      <c r="L311" s="173" t="s">
        <v>31</v>
      </c>
      <c r="M311" s="173" t="s">
        <v>31</v>
      </c>
      <c r="N311" s="173"/>
      <c r="O311" s="242" t="s">
        <v>337</v>
      </c>
      <c r="P311" s="311">
        <v>2.1499999999999998E-2</v>
      </c>
      <c r="Q311" s="173"/>
      <c r="R311" s="173"/>
      <c r="S311" s="173"/>
      <c r="T311" s="173"/>
      <c r="U311" s="173"/>
    </row>
    <row r="312" spans="1:21">
      <c r="A312" s="173" t="s">
        <v>1104</v>
      </c>
      <c r="B312" s="265">
        <f t="shared" si="28"/>
        <v>4.65E-2</v>
      </c>
      <c r="C312" s="173" t="s">
        <v>37</v>
      </c>
      <c r="D312" s="173" t="s">
        <v>38</v>
      </c>
      <c r="E312" s="173" t="s">
        <v>29</v>
      </c>
      <c r="F312" s="173" t="s">
        <v>60</v>
      </c>
      <c r="G312" s="173" t="s">
        <v>33</v>
      </c>
      <c r="H312" s="173">
        <v>2</v>
      </c>
      <c r="I312" s="173">
        <f t="shared" ref="I312:I318" si="31">LN(B312)</f>
        <v>-3.0683029663888264</v>
      </c>
      <c r="J312" s="173">
        <v>0.22500000000000006</v>
      </c>
      <c r="K312" s="173" t="s">
        <v>31</v>
      </c>
      <c r="L312" s="173" t="s">
        <v>31</v>
      </c>
      <c r="M312" s="173" t="s">
        <v>31</v>
      </c>
      <c r="N312" s="173"/>
      <c r="O312" s="242" t="s">
        <v>337</v>
      </c>
      <c r="P312" s="311">
        <v>4.65E-2</v>
      </c>
      <c r="Q312" s="173"/>
      <c r="R312" s="173"/>
      <c r="S312" s="173"/>
      <c r="T312" s="173"/>
      <c r="U312" s="173"/>
    </row>
    <row r="313" spans="1:21">
      <c r="A313" s="232" t="s">
        <v>1078</v>
      </c>
      <c r="B313" s="265">
        <f t="shared" si="28"/>
        <v>2.1499999999999998E-2</v>
      </c>
      <c r="C313" s="173" t="s">
        <v>37</v>
      </c>
      <c r="D313" s="173" t="s">
        <v>38</v>
      </c>
      <c r="E313" s="173" t="s">
        <v>29</v>
      </c>
      <c r="F313" s="173" t="s">
        <v>35</v>
      </c>
      <c r="G313" s="173" t="s">
        <v>33</v>
      </c>
      <c r="H313" s="173">
        <v>2</v>
      </c>
      <c r="I313" s="173">
        <f t="shared" si="31"/>
        <v>-3.8397023438485198</v>
      </c>
      <c r="J313" s="173">
        <v>0.22500000000000006</v>
      </c>
      <c r="K313" s="173" t="s">
        <v>31</v>
      </c>
      <c r="L313" s="173" t="s">
        <v>31</v>
      </c>
      <c r="M313" s="173" t="s">
        <v>31</v>
      </c>
      <c r="N313" s="173"/>
      <c r="O313" s="242" t="s">
        <v>337</v>
      </c>
      <c r="P313" s="311">
        <v>2.1499999999999998E-2</v>
      </c>
      <c r="Q313" s="173"/>
      <c r="R313" s="173"/>
      <c r="S313" s="173"/>
      <c r="T313" s="173"/>
      <c r="U313" s="173"/>
    </row>
    <row r="314" spans="1:21">
      <c r="A314" s="232" t="s">
        <v>1105</v>
      </c>
      <c r="B314" s="265">
        <f t="shared" si="28"/>
        <v>1.61E-2</v>
      </c>
      <c r="C314" s="173" t="s">
        <v>37</v>
      </c>
      <c r="D314" s="173" t="s">
        <v>38</v>
      </c>
      <c r="E314" s="173" t="s">
        <v>29</v>
      </c>
      <c r="F314" s="173" t="s">
        <v>60</v>
      </c>
      <c r="G314" s="173" t="s">
        <v>33</v>
      </c>
      <c r="H314" s="173">
        <v>2</v>
      </c>
      <c r="I314" s="173">
        <f t="shared" si="31"/>
        <v>-4.1289360069917196</v>
      </c>
      <c r="J314" s="173">
        <v>0.22500000000000006</v>
      </c>
      <c r="K314" s="173" t="s">
        <v>31</v>
      </c>
      <c r="L314" s="173" t="s">
        <v>31</v>
      </c>
      <c r="M314" s="173" t="s">
        <v>31</v>
      </c>
      <c r="N314" s="173"/>
      <c r="O314" s="242" t="s">
        <v>337</v>
      </c>
      <c r="P314" s="311">
        <v>1.61E-2</v>
      </c>
      <c r="Q314" s="173"/>
      <c r="R314" s="173"/>
      <c r="S314" s="173"/>
      <c r="T314" s="173"/>
      <c r="U314" s="173"/>
    </row>
    <row r="315" spans="1:21">
      <c r="A315" s="232" t="s">
        <v>1106</v>
      </c>
      <c r="B315" s="265">
        <f t="shared" si="28"/>
        <v>4.65E-2</v>
      </c>
      <c r="C315" s="173" t="s">
        <v>37</v>
      </c>
      <c r="D315" s="173" t="s">
        <v>38</v>
      </c>
      <c r="E315" s="173" t="s">
        <v>29</v>
      </c>
      <c r="F315" s="173" t="s">
        <v>60</v>
      </c>
      <c r="G315" s="173" t="s">
        <v>33</v>
      </c>
      <c r="H315" s="173">
        <v>2</v>
      </c>
      <c r="I315" s="173">
        <f t="shared" si="31"/>
        <v>-3.0683029663888264</v>
      </c>
      <c r="J315" s="173">
        <v>0.22500000000000006</v>
      </c>
      <c r="K315" s="173" t="s">
        <v>31</v>
      </c>
      <c r="L315" s="173" t="s">
        <v>31</v>
      </c>
      <c r="M315" s="173" t="s">
        <v>31</v>
      </c>
      <c r="N315" s="173"/>
      <c r="O315" s="242" t="s">
        <v>337</v>
      </c>
      <c r="P315" s="311">
        <v>4.65E-2</v>
      </c>
      <c r="Q315" s="173"/>
      <c r="R315" s="173"/>
      <c r="S315" s="173"/>
      <c r="T315" s="173"/>
      <c r="U315" s="173"/>
    </row>
    <row r="316" spans="1:21">
      <c r="A316" s="177" t="s">
        <v>933</v>
      </c>
      <c r="B316" s="265">
        <f t="shared" si="28"/>
        <v>0.85899999999999999</v>
      </c>
      <c r="C316" s="173" t="s">
        <v>37</v>
      </c>
      <c r="D316" s="173" t="s">
        <v>38</v>
      </c>
      <c r="E316" s="173" t="s">
        <v>29</v>
      </c>
      <c r="F316" s="185" t="s">
        <v>39</v>
      </c>
      <c r="G316" s="173" t="s">
        <v>33</v>
      </c>
      <c r="H316" s="173">
        <v>2</v>
      </c>
      <c r="I316" s="173">
        <f t="shared" si="31"/>
        <v>-0.15198635699788171</v>
      </c>
      <c r="J316" s="173">
        <v>0.22500000000000006</v>
      </c>
      <c r="K316" s="173" t="s">
        <v>31</v>
      </c>
      <c r="L316" s="173" t="s">
        <v>31</v>
      </c>
      <c r="M316" s="173" t="s">
        <v>31</v>
      </c>
      <c r="N316" s="173"/>
      <c r="O316" s="242" t="s">
        <v>337</v>
      </c>
      <c r="P316" s="311">
        <v>0.85899999999999999</v>
      </c>
      <c r="Q316" s="173"/>
      <c r="R316" s="173"/>
      <c r="S316" s="173"/>
      <c r="T316" s="173"/>
      <c r="U316" s="173"/>
    </row>
    <row r="317" spans="1:21">
      <c r="A317" s="232" t="s">
        <v>941</v>
      </c>
      <c r="B317" s="265">
        <f t="shared" si="28"/>
        <v>8.2000000000000007E-3</v>
      </c>
      <c r="C317" s="173" t="s">
        <v>37</v>
      </c>
      <c r="D317" s="173" t="s">
        <v>43</v>
      </c>
      <c r="E317" s="173" t="s">
        <v>44</v>
      </c>
      <c r="F317" s="173" t="s">
        <v>29</v>
      </c>
      <c r="G317" s="173" t="s">
        <v>45</v>
      </c>
      <c r="H317" s="173">
        <v>2</v>
      </c>
      <c r="I317" s="173">
        <f t="shared" si="31"/>
        <v>-4.8036211247119294</v>
      </c>
      <c r="J317" s="173">
        <v>0.22500000000000006</v>
      </c>
      <c r="K317" s="173" t="s">
        <v>31</v>
      </c>
      <c r="L317" s="173" t="s">
        <v>31</v>
      </c>
      <c r="M317" s="173" t="s">
        <v>31</v>
      </c>
      <c r="N317" s="173"/>
      <c r="O317" s="266" t="s">
        <v>337</v>
      </c>
      <c r="P317" s="267">
        <v>8.2000000000000007E-3</v>
      </c>
      <c r="Q317" s="173"/>
      <c r="R317" s="173"/>
      <c r="S317" s="173"/>
      <c r="T317" s="173"/>
      <c r="U317" s="173"/>
    </row>
    <row r="318" spans="1:21">
      <c r="A318" s="173" t="s">
        <v>1285</v>
      </c>
      <c r="B318" s="265">
        <f t="shared" si="28"/>
        <v>0.15</v>
      </c>
      <c r="C318" s="173" t="s">
        <v>37</v>
      </c>
      <c r="D318" s="258" t="s">
        <v>2</v>
      </c>
      <c r="E318" s="173" t="s">
        <v>29</v>
      </c>
      <c r="F318" s="185" t="s">
        <v>39</v>
      </c>
      <c r="G318" s="173" t="s">
        <v>33</v>
      </c>
      <c r="H318" s="173">
        <v>2</v>
      </c>
      <c r="I318" s="173">
        <f t="shared" si="31"/>
        <v>-1.8971199848858813</v>
      </c>
      <c r="J318" s="173">
        <v>0.22500000000000006</v>
      </c>
      <c r="K318" s="173" t="s">
        <v>31</v>
      </c>
      <c r="L318" s="173" t="s">
        <v>31</v>
      </c>
      <c r="M318" s="173" t="s">
        <v>31</v>
      </c>
      <c r="N318" s="173"/>
      <c r="O318" s="268" t="s">
        <v>337</v>
      </c>
      <c r="P318" s="312">
        <v>0.15</v>
      </c>
      <c r="Q318" s="173"/>
      <c r="R318" s="173"/>
      <c r="S318" s="173"/>
      <c r="T318" s="173"/>
      <c r="U318" s="173"/>
    </row>
    <row r="319" spans="1:21" s="42" customFormat="1">
      <c r="A319" s="209" t="s">
        <v>5</v>
      </c>
      <c r="B319" s="210" t="s">
        <v>1537</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7</v>
      </c>
      <c r="B320" s="173" t="s">
        <v>566</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9</v>
      </c>
      <c r="B321" s="173" t="s">
        <v>1538</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11</v>
      </c>
      <c r="B322" s="179" t="s">
        <v>913</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13</v>
      </c>
      <c r="B323" s="173" t="s">
        <v>14</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15</v>
      </c>
      <c r="B324" s="265">
        <f>B329</f>
        <v>3.5999999999999997E-2</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16</v>
      </c>
      <c r="B325" s="173" t="s">
        <v>17</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18</v>
      </c>
      <c r="B326" s="173" t="s">
        <v>206</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19</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20</v>
      </c>
      <c r="B328" s="175" t="s">
        <v>21</v>
      </c>
      <c r="C328" s="175" t="s">
        <v>18</v>
      </c>
      <c r="D328" s="175" t="s">
        <v>22</v>
      </c>
      <c r="E328" s="175" t="s">
        <v>7</v>
      </c>
      <c r="F328" s="175" t="s">
        <v>13</v>
      </c>
      <c r="G328" s="175" t="s">
        <v>16</v>
      </c>
      <c r="H328" s="175" t="s">
        <v>23</v>
      </c>
      <c r="I328" s="175" t="s">
        <v>24</v>
      </c>
      <c r="J328" s="175" t="s">
        <v>25</v>
      </c>
      <c r="K328" s="175" t="s">
        <v>26</v>
      </c>
      <c r="L328" s="175" t="s">
        <v>27</v>
      </c>
      <c r="M328" s="175" t="s">
        <v>28</v>
      </c>
      <c r="N328" s="175" t="s">
        <v>11</v>
      </c>
      <c r="O328" s="173"/>
      <c r="P328" s="173"/>
      <c r="Q328" s="173"/>
      <c r="R328" s="173"/>
      <c r="S328" s="173"/>
      <c r="T328" s="265"/>
      <c r="U328" s="173"/>
    </row>
    <row r="329" spans="1:21">
      <c r="A329" s="173" t="s">
        <v>1537</v>
      </c>
      <c r="B329" s="265">
        <f>P330</f>
        <v>3.5999999999999997E-2</v>
      </c>
      <c r="C329" s="173" t="s">
        <v>206</v>
      </c>
      <c r="D329" s="258" t="s">
        <v>2</v>
      </c>
      <c r="E329" s="173" t="s">
        <v>29</v>
      </c>
      <c r="F329" s="173" t="s">
        <v>14</v>
      </c>
      <c r="G329" s="173" t="s">
        <v>30</v>
      </c>
      <c r="H329" s="173">
        <v>1</v>
      </c>
      <c r="I329" s="173">
        <f t="shared" ref="I329:I331" si="32">B329</f>
        <v>3.5999999999999997E-2</v>
      </c>
      <c r="J329" s="173" t="s">
        <v>31</v>
      </c>
      <c r="K329" s="173" t="s">
        <v>31</v>
      </c>
      <c r="L329" s="173" t="s">
        <v>31</v>
      </c>
      <c r="M329" s="173" t="s">
        <v>31</v>
      </c>
      <c r="N329" s="173"/>
      <c r="O329" s="173"/>
      <c r="P329" s="173"/>
      <c r="Q329" s="173"/>
      <c r="R329" s="173"/>
      <c r="S329" s="173"/>
      <c r="T329" s="173"/>
      <c r="U329" s="173"/>
    </row>
    <row r="330" spans="1:21">
      <c r="A330" s="271" t="s">
        <v>1539</v>
      </c>
      <c r="B330" s="265">
        <f>P330</f>
        <v>3.5999999999999997E-2</v>
      </c>
      <c r="C330" s="173" t="s">
        <v>206</v>
      </c>
      <c r="D330" s="258" t="s">
        <v>2</v>
      </c>
      <c r="E330" s="173" t="s">
        <v>29</v>
      </c>
      <c r="F330" s="173" t="s">
        <v>14</v>
      </c>
      <c r="G330" s="173" t="s">
        <v>33</v>
      </c>
      <c r="H330" s="173">
        <v>1</v>
      </c>
      <c r="I330" s="173">
        <f t="shared" si="32"/>
        <v>3.5999999999999997E-2</v>
      </c>
      <c r="J330" s="173">
        <v>2.8722813232690055E-2</v>
      </c>
      <c r="K330" s="173" t="s">
        <v>31</v>
      </c>
      <c r="L330" s="173" t="s">
        <v>31</v>
      </c>
      <c r="M330" s="173" t="s">
        <v>31</v>
      </c>
      <c r="N330" s="173"/>
      <c r="O330" s="236" t="s">
        <v>963</v>
      </c>
      <c r="P330" s="313">
        <v>3.5999999999999997E-2</v>
      </c>
      <c r="Q330" s="173"/>
      <c r="R330" s="173"/>
      <c r="S330" s="173"/>
      <c r="T330" s="173"/>
      <c r="U330" s="173"/>
    </row>
    <row r="331" spans="1:21">
      <c r="A331" s="271" t="s">
        <v>1482</v>
      </c>
      <c r="B331" s="173">
        <f>R331</f>
        <v>0.373</v>
      </c>
      <c r="C331" s="173" t="s">
        <v>337</v>
      </c>
      <c r="D331" s="258" t="s">
        <v>2</v>
      </c>
      <c r="E331" s="173" t="s">
        <v>29</v>
      </c>
      <c r="F331" s="173" t="s">
        <v>14</v>
      </c>
      <c r="G331" s="173" t="s">
        <v>33</v>
      </c>
      <c r="H331" s="173">
        <v>1</v>
      </c>
      <c r="I331" s="173">
        <f t="shared" si="32"/>
        <v>0.373</v>
      </c>
      <c r="J331" s="173">
        <v>2.8722813232690055E-2</v>
      </c>
      <c r="K331" s="173" t="s">
        <v>31</v>
      </c>
      <c r="L331" s="173" t="s">
        <v>31</v>
      </c>
      <c r="M331" s="173" t="s">
        <v>31</v>
      </c>
      <c r="N331" s="173"/>
      <c r="O331" s="236" t="s">
        <v>947</v>
      </c>
      <c r="P331" s="314">
        <v>373</v>
      </c>
      <c r="Q331" s="173" t="s">
        <v>337</v>
      </c>
      <c r="R331" s="173">
        <f>P331*0.001</f>
        <v>0.373</v>
      </c>
      <c r="S331" s="173"/>
      <c r="T331" s="173"/>
      <c r="U331" s="173"/>
    </row>
    <row r="332" spans="1:21">
      <c r="A332" s="177" t="s">
        <v>168</v>
      </c>
      <c r="B332" s="184">
        <f>P332</f>
        <v>0.04</v>
      </c>
      <c r="C332" s="173" t="s">
        <v>41</v>
      </c>
      <c r="D332" s="173" t="s">
        <v>38</v>
      </c>
      <c r="E332" s="173" t="s">
        <v>29</v>
      </c>
      <c r="F332" s="185" t="s">
        <v>35</v>
      </c>
      <c r="G332" s="173" t="s">
        <v>33</v>
      </c>
      <c r="H332" s="173">
        <v>2</v>
      </c>
      <c r="I332" s="173">
        <f t="shared" ref="I332:I334" si="33">LN(B332)</f>
        <v>-3.2188758248682006</v>
      </c>
      <c r="J332" s="173">
        <v>0.20928449536456342</v>
      </c>
      <c r="K332" s="173" t="s">
        <v>31</v>
      </c>
      <c r="L332" s="173" t="s">
        <v>31</v>
      </c>
      <c r="M332" s="173" t="s">
        <v>31</v>
      </c>
      <c r="N332" s="173"/>
      <c r="O332" s="242" t="s">
        <v>332</v>
      </c>
      <c r="P332" s="302">
        <v>0.04</v>
      </c>
      <c r="Q332" s="173"/>
      <c r="R332" s="173"/>
      <c r="S332" s="173"/>
      <c r="T332" s="173"/>
      <c r="U332" s="173"/>
    </row>
    <row r="333" spans="1:21">
      <c r="A333" s="177" t="s">
        <v>168</v>
      </c>
      <c r="B333" s="184">
        <f>P333</f>
        <v>2.11</v>
      </c>
      <c r="C333" s="173" t="s">
        <v>41</v>
      </c>
      <c r="D333" s="173" t="s">
        <v>38</v>
      </c>
      <c r="E333" s="173" t="s">
        <v>29</v>
      </c>
      <c r="F333" s="185" t="s">
        <v>35</v>
      </c>
      <c r="G333" s="173" t="s">
        <v>33</v>
      </c>
      <c r="H333" s="173">
        <v>2</v>
      </c>
      <c r="I333" s="173">
        <f t="shared" si="33"/>
        <v>0.74668794748797507</v>
      </c>
      <c r="J333" s="173">
        <v>0.20928449536456342</v>
      </c>
      <c r="K333" s="173" t="s">
        <v>31</v>
      </c>
      <c r="L333" s="173" t="s">
        <v>31</v>
      </c>
      <c r="M333" s="173" t="s">
        <v>31</v>
      </c>
      <c r="N333" s="173"/>
      <c r="O333" s="242" t="s">
        <v>332</v>
      </c>
      <c r="P333" s="296">
        <v>2.11</v>
      </c>
      <c r="Q333" s="173"/>
      <c r="R333" s="173"/>
      <c r="S333" s="173"/>
      <c r="T333" s="173"/>
      <c r="U333" s="173"/>
    </row>
    <row r="334" spans="1:21">
      <c r="A334" s="177" t="s">
        <v>168</v>
      </c>
      <c r="B334" s="184">
        <f>P334</f>
        <v>0.54</v>
      </c>
      <c r="C334" s="173" t="s">
        <v>41</v>
      </c>
      <c r="D334" s="173" t="s">
        <v>38</v>
      </c>
      <c r="E334" s="173" t="s">
        <v>29</v>
      </c>
      <c r="F334" s="185" t="s">
        <v>35</v>
      </c>
      <c r="G334" s="173" t="s">
        <v>33</v>
      </c>
      <c r="H334" s="173">
        <v>2</v>
      </c>
      <c r="I334" s="173">
        <f t="shared" si="33"/>
        <v>-0.61618613942381695</v>
      </c>
      <c r="J334" s="173">
        <v>9.6436507609929598E-2</v>
      </c>
      <c r="K334" s="173" t="s">
        <v>31</v>
      </c>
      <c r="L334" s="173" t="s">
        <v>31</v>
      </c>
      <c r="M334" s="173" t="s">
        <v>31</v>
      </c>
      <c r="N334" s="173"/>
      <c r="O334" s="242" t="s">
        <v>332</v>
      </c>
      <c r="P334" s="296">
        <v>0.54</v>
      </c>
      <c r="Q334" s="173"/>
      <c r="R334" s="173"/>
      <c r="S334" s="173"/>
      <c r="T334" s="173"/>
      <c r="U334" s="173"/>
    </row>
    <row r="335" spans="1:21">
      <c r="A335" s="232" t="s">
        <v>1077</v>
      </c>
      <c r="B335" s="265">
        <f>R335</f>
        <v>3.0000000000000001E-3</v>
      </c>
      <c r="C335" s="173" t="s">
        <v>37</v>
      </c>
      <c r="D335" s="173" t="s">
        <v>38</v>
      </c>
      <c r="E335" s="173" t="s">
        <v>29</v>
      </c>
      <c r="F335" s="173" t="s">
        <v>35</v>
      </c>
      <c r="G335" s="173" t="s">
        <v>33</v>
      </c>
      <c r="H335" s="173">
        <v>2</v>
      </c>
      <c r="I335" s="173">
        <f>LN(B335)</f>
        <v>-5.8091429903140277</v>
      </c>
      <c r="J335" s="173">
        <v>0.20928449536456342</v>
      </c>
      <c r="K335" s="173" t="s">
        <v>31</v>
      </c>
      <c r="L335" s="173" t="s">
        <v>31</v>
      </c>
      <c r="M335" s="173" t="s">
        <v>31</v>
      </c>
      <c r="N335" s="173"/>
      <c r="O335" s="242" t="s">
        <v>947</v>
      </c>
      <c r="P335" s="296">
        <v>3</v>
      </c>
      <c r="Q335" s="173" t="s">
        <v>337</v>
      </c>
      <c r="R335" s="173">
        <f>P335*0.001</f>
        <v>3.0000000000000001E-3</v>
      </c>
      <c r="S335" s="173"/>
      <c r="T335" s="173"/>
      <c r="U335" s="173"/>
    </row>
    <row r="336" spans="1:21">
      <c r="A336" s="177" t="s">
        <v>933</v>
      </c>
      <c r="B336" s="265">
        <f>P336</f>
        <v>0.03</v>
      </c>
      <c r="C336" s="173" t="s">
        <v>37</v>
      </c>
      <c r="D336" s="173" t="s">
        <v>38</v>
      </c>
      <c r="E336" s="173" t="s">
        <v>29</v>
      </c>
      <c r="F336" s="185" t="s">
        <v>39</v>
      </c>
      <c r="G336" s="173" t="s">
        <v>33</v>
      </c>
      <c r="H336" s="173">
        <v>2</v>
      </c>
      <c r="I336" s="173">
        <f>LN(B336)</f>
        <v>-3.5065578973199818</v>
      </c>
      <c r="J336" s="173">
        <v>0.20928449536456342</v>
      </c>
      <c r="K336" s="173" t="s">
        <v>31</v>
      </c>
      <c r="L336" s="173" t="s">
        <v>31</v>
      </c>
      <c r="M336" s="173" t="s">
        <v>31</v>
      </c>
      <c r="N336" s="173"/>
      <c r="O336" s="242" t="s">
        <v>337</v>
      </c>
      <c r="P336" s="302">
        <v>0.03</v>
      </c>
      <c r="Q336" s="173"/>
      <c r="R336" s="173"/>
      <c r="S336" s="173"/>
      <c r="T336" s="173"/>
      <c r="U336" s="173"/>
    </row>
    <row r="337" spans="1:21">
      <c r="A337" s="232" t="s">
        <v>1109</v>
      </c>
      <c r="B337" s="298">
        <f>R337</f>
        <v>5.4000000000000003E-3</v>
      </c>
      <c r="C337" s="173" t="s">
        <v>37</v>
      </c>
      <c r="D337" s="173" t="s">
        <v>38</v>
      </c>
      <c r="E337" s="173" t="s">
        <v>29</v>
      </c>
      <c r="F337" s="185" t="s">
        <v>86</v>
      </c>
      <c r="G337" s="173" t="s">
        <v>33</v>
      </c>
      <c r="H337" s="173">
        <v>2</v>
      </c>
      <c r="I337" s="173">
        <f>LN(B337)</f>
        <v>-5.2213563254119082</v>
      </c>
      <c r="J337" s="173">
        <v>0.20928449536456342</v>
      </c>
      <c r="K337" s="173" t="s">
        <v>31</v>
      </c>
      <c r="L337" s="173" t="s">
        <v>31</v>
      </c>
      <c r="M337" s="173" t="s">
        <v>31</v>
      </c>
      <c r="N337" s="173"/>
      <c r="O337" s="242" t="s">
        <v>947</v>
      </c>
      <c r="P337" s="296">
        <v>5.4</v>
      </c>
      <c r="Q337" s="173" t="s">
        <v>337</v>
      </c>
      <c r="R337" s="173">
        <f>P337*0.001</f>
        <v>5.4000000000000003E-3</v>
      </c>
      <c r="S337" s="173"/>
      <c r="T337" s="173"/>
      <c r="U337" s="173"/>
    </row>
    <row r="338" spans="1:21">
      <c r="A338" s="232" t="s">
        <v>1078</v>
      </c>
      <c r="B338" s="173">
        <f>R338</f>
        <v>9.0000000000000011E-3</v>
      </c>
      <c r="C338" s="173" t="s">
        <v>37</v>
      </c>
      <c r="D338" s="173" t="s">
        <v>38</v>
      </c>
      <c r="E338" s="173" t="s">
        <v>29</v>
      </c>
      <c r="F338" s="173" t="s">
        <v>35</v>
      </c>
      <c r="G338" s="173" t="s">
        <v>33</v>
      </c>
      <c r="H338" s="173">
        <v>2</v>
      </c>
      <c r="I338" s="173">
        <f>LN(B338)</f>
        <v>-4.7105307016459177</v>
      </c>
      <c r="J338" s="173">
        <v>0.20928449536456342</v>
      </c>
      <c r="K338" s="173" t="s">
        <v>31</v>
      </c>
      <c r="L338" s="173" t="s">
        <v>31</v>
      </c>
      <c r="M338" s="173" t="s">
        <v>31</v>
      </c>
      <c r="N338" s="173"/>
      <c r="O338" s="242" t="s">
        <v>947</v>
      </c>
      <c r="P338" s="296">
        <v>9</v>
      </c>
      <c r="Q338" s="173" t="s">
        <v>337</v>
      </c>
      <c r="R338" s="173">
        <f>P338*0.001</f>
        <v>9.0000000000000011E-3</v>
      </c>
      <c r="S338" s="173"/>
      <c r="T338" s="173"/>
      <c r="U338" s="173"/>
    </row>
    <row r="339" spans="1:21">
      <c r="A339" s="177" t="s">
        <v>934</v>
      </c>
      <c r="B339" s="173">
        <f>P339</f>
        <v>6.3</v>
      </c>
      <c r="C339" s="173" t="s">
        <v>37</v>
      </c>
      <c r="D339" s="173" t="s">
        <v>38</v>
      </c>
      <c r="E339" s="173" t="s">
        <v>29</v>
      </c>
      <c r="F339" s="185" t="s">
        <v>35</v>
      </c>
      <c r="G339" s="173" t="s">
        <v>33</v>
      </c>
      <c r="H339" s="173">
        <v>2</v>
      </c>
      <c r="I339" s="173">
        <f t="shared" ref="I339:I340" si="34">LN(B339)</f>
        <v>1.8405496333974869</v>
      </c>
      <c r="J339" s="173">
        <v>0.20928449536456342</v>
      </c>
      <c r="K339" s="173" t="s">
        <v>31</v>
      </c>
      <c r="L339" s="173" t="s">
        <v>31</v>
      </c>
      <c r="M339" s="173" t="s">
        <v>31</v>
      </c>
      <c r="N339" s="173"/>
      <c r="O339" s="242" t="s">
        <v>337</v>
      </c>
      <c r="P339" s="296">
        <v>6.3</v>
      </c>
      <c r="Q339" s="173"/>
      <c r="R339" s="173"/>
      <c r="S339" s="173"/>
      <c r="T339" s="173"/>
      <c r="U339" s="173"/>
    </row>
    <row r="340" spans="1:21">
      <c r="A340" s="173" t="s">
        <v>1285</v>
      </c>
      <c r="B340" s="265">
        <f>P340</f>
        <v>1.7999999999999999E-2</v>
      </c>
      <c r="C340" s="173" t="s">
        <v>37</v>
      </c>
      <c r="D340" s="258" t="s">
        <v>2</v>
      </c>
      <c r="E340" s="173" t="s">
        <v>29</v>
      </c>
      <c r="F340" s="185" t="s">
        <v>39</v>
      </c>
      <c r="G340" s="173" t="s">
        <v>33</v>
      </c>
      <c r="H340" s="173">
        <v>2</v>
      </c>
      <c r="I340" s="173">
        <f t="shared" si="34"/>
        <v>-4.0173835210859723</v>
      </c>
      <c r="J340" s="173">
        <v>0.20928449536456342</v>
      </c>
      <c r="K340" s="173" t="s">
        <v>31</v>
      </c>
      <c r="L340" s="173" t="s">
        <v>31</v>
      </c>
      <c r="M340" s="173" t="s">
        <v>31</v>
      </c>
      <c r="N340" s="173"/>
      <c r="O340" s="268" t="s">
        <v>337</v>
      </c>
      <c r="P340" s="315">
        <v>1.7999999999999999E-2</v>
      </c>
      <c r="Q340" s="173"/>
      <c r="R340" s="173"/>
      <c r="S340" s="173"/>
      <c r="T340" s="173"/>
      <c r="U340" s="173"/>
    </row>
    <row r="341" spans="1:21" s="42" customFormat="1">
      <c r="A341" s="209" t="s">
        <v>5</v>
      </c>
      <c r="B341" s="210" t="s">
        <v>1539</v>
      </c>
      <c r="C341" s="188"/>
      <c r="D341" s="188"/>
      <c r="E341" s="188"/>
      <c r="F341" s="188"/>
      <c r="G341" s="188"/>
      <c r="H341" s="188"/>
      <c r="I341" s="188"/>
      <c r="J341" s="188"/>
      <c r="K341" s="188"/>
      <c r="L341" s="188"/>
      <c r="M341" s="188"/>
      <c r="N341" s="188"/>
      <c r="O341" s="188"/>
      <c r="P341" s="348"/>
      <c r="Q341" s="188"/>
      <c r="R341" s="188"/>
      <c r="S341" s="188"/>
      <c r="T341" s="188"/>
      <c r="U341" s="188"/>
    </row>
    <row r="342" spans="1:21">
      <c r="A342" s="177" t="s">
        <v>7</v>
      </c>
      <c r="B342" s="173" t="s">
        <v>566</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9</v>
      </c>
      <c r="B343" s="173" t="s">
        <v>1540</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11</v>
      </c>
      <c r="B344" s="179" t="s">
        <v>913</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13</v>
      </c>
      <c r="B345" s="173" t="s">
        <v>14</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15</v>
      </c>
      <c r="B346" s="265">
        <f>B351</f>
        <v>3.5999999999999997E-2</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16</v>
      </c>
      <c r="B347" s="173" t="s">
        <v>17</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18</v>
      </c>
      <c r="B348" s="173" t="s">
        <v>206</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19</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20</v>
      </c>
      <c r="B350" s="175" t="s">
        <v>21</v>
      </c>
      <c r="C350" s="175" t="s">
        <v>18</v>
      </c>
      <c r="D350" s="175" t="s">
        <v>22</v>
      </c>
      <c r="E350" s="175" t="s">
        <v>7</v>
      </c>
      <c r="F350" s="175" t="s">
        <v>13</v>
      </c>
      <c r="G350" s="175" t="s">
        <v>16</v>
      </c>
      <c r="H350" s="175" t="s">
        <v>23</v>
      </c>
      <c r="I350" s="175" t="s">
        <v>24</v>
      </c>
      <c r="J350" s="175" t="s">
        <v>25</v>
      </c>
      <c r="K350" s="175" t="s">
        <v>26</v>
      </c>
      <c r="L350" s="175" t="s">
        <v>27</v>
      </c>
      <c r="M350" s="175" t="s">
        <v>28</v>
      </c>
      <c r="N350" s="175" t="s">
        <v>11</v>
      </c>
      <c r="O350" s="173"/>
      <c r="P350" s="173"/>
      <c r="Q350" s="173"/>
      <c r="R350" s="173"/>
      <c r="S350" s="173"/>
      <c r="T350" s="265"/>
      <c r="U350" s="173"/>
    </row>
    <row r="351" spans="1:21">
      <c r="A351" s="271" t="s">
        <v>1539</v>
      </c>
      <c r="B351" s="265">
        <f>P351</f>
        <v>3.5999999999999997E-2</v>
      </c>
      <c r="C351" s="173" t="s">
        <v>206</v>
      </c>
      <c r="D351" s="258" t="s">
        <v>2</v>
      </c>
      <c r="E351" s="173" t="s">
        <v>29</v>
      </c>
      <c r="F351" s="173" t="s">
        <v>14</v>
      </c>
      <c r="G351" s="173" t="s">
        <v>30</v>
      </c>
      <c r="H351" s="173">
        <v>1</v>
      </c>
      <c r="I351" s="173">
        <f>B351</f>
        <v>3.5999999999999997E-2</v>
      </c>
      <c r="J351" s="173" t="s">
        <v>31</v>
      </c>
      <c r="K351" s="173" t="s">
        <v>31</v>
      </c>
      <c r="L351" s="173" t="s">
        <v>31</v>
      </c>
      <c r="M351" s="173" t="s">
        <v>31</v>
      </c>
      <c r="N351" s="173"/>
      <c r="O351" s="236" t="s">
        <v>963</v>
      </c>
      <c r="P351" s="358">
        <v>3.5999999999999997E-2</v>
      </c>
      <c r="Q351" s="173"/>
      <c r="R351" s="173"/>
      <c r="S351" s="173"/>
      <c r="T351" s="173"/>
      <c r="U351" s="173"/>
    </row>
    <row r="352" spans="1:21">
      <c r="A352" s="232" t="s">
        <v>995</v>
      </c>
      <c r="B352" s="173">
        <f>P352</f>
        <v>7.0000000000000007E-2</v>
      </c>
      <c r="C352" s="173" t="s">
        <v>37</v>
      </c>
      <c r="D352" s="173" t="s">
        <v>38</v>
      </c>
      <c r="E352" s="173" t="s">
        <v>29</v>
      </c>
      <c r="F352" s="173" t="s">
        <v>86</v>
      </c>
      <c r="G352" s="173" t="s">
        <v>33</v>
      </c>
      <c r="H352" s="173">
        <v>2</v>
      </c>
      <c r="I352" s="173">
        <f t="shared" ref="I352:I362" si="35">LN(B352)</f>
        <v>-2.6592600369327779</v>
      </c>
      <c r="J352" s="343">
        <v>0.22516660498395411</v>
      </c>
      <c r="K352" s="173" t="s">
        <v>31</v>
      </c>
      <c r="L352" s="173" t="s">
        <v>31</v>
      </c>
      <c r="M352" s="173" t="s">
        <v>31</v>
      </c>
      <c r="N352" s="173"/>
      <c r="O352" s="242" t="s">
        <v>337</v>
      </c>
      <c r="P352" s="296">
        <v>7.0000000000000007E-2</v>
      </c>
      <c r="Q352" s="173"/>
      <c r="R352" s="173"/>
      <c r="S352" s="173"/>
      <c r="T352" s="173"/>
      <c r="U352" s="173"/>
    </row>
    <row r="353" spans="1:21">
      <c r="A353" s="177" t="s">
        <v>168</v>
      </c>
      <c r="B353" s="184">
        <f>P353</f>
        <v>0.75</v>
      </c>
      <c r="C353" s="173" t="s">
        <v>41</v>
      </c>
      <c r="D353" s="173" t="s">
        <v>38</v>
      </c>
      <c r="E353" s="173" t="s">
        <v>29</v>
      </c>
      <c r="F353" s="185" t="s">
        <v>35</v>
      </c>
      <c r="G353" s="173" t="s">
        <v>33</v>
      </c>
      <c r="H353" s="173">
        <v>2</v>
      </c>
      <c r="I353" s="173">
        <f t="shared" si="35"/>
        <v>-0.2876820724517809</v>
      </c>
      <c r="J353" s="343">
        <v>0.22516660498395411</v>
      </c>
      <c r="K353" s="173" t="s">
        <v>31</v>
      </c>
      <c r="L353" s="173" t="s">
        <v>31</v>
      </c>
      <c r="M353" s="173" t="s">
        <v>31</v>
      </c>
      <c r="N353" s="173"/>
      <c r="O353" s="242" t="s">
        <v>332</v>
      </c>
      <c r="P353" s="296">
        <v>0.75</v>
      </c>
      <c r="Q353" s="173"/>
      <c r="R353" s="173"/>
      <c r="S353" s="173"/>
      <c r="T353" s="173"/>
      <c r="U353" s="173"/>
    </row>
    <row r="354" spans="1:21">
      <c r="A354" s="232" t="s">
        <v>1111</v>
      </c>
      <c r="B354" s="265">
        <f>R354</f>
        <v>1E-3</v>
      </c>
      <c r="C354" s="173" t="s">
        <v>37</v>
      </c>
      <c r="D354" s="173" t="s">
        <v>38</v>
      </c>
      <c r="E354" s="173" t="s">
        <v>29</v>
      </c>
      <c r="F354" s="173" t="s">
        <v>35</v>
      </c>
      <c r="G354" s="173" t="s">
        <v>33</v>
      </c>
      <c r="H354" s="173">
        <v>2</v>
      </c>
      <c r="I354" s="173">
        <f t="shared" si="35"/>
        <v>-6.9077552789821368</v>
      </c>
      <c r="J354" s="343">
        <v>0.22516660498395411</v>
      </c>
      <c r="K354" s="173" t="s">
        <v>31</v>
      </c>
      <c r="L354" s="173" t="s">
        <v>31</v>
      </c>
      <c r="M354" s="173" t="s">
        <v>31</v>
      </c>
      <c r="N354" s="173"/>
      <c r="O354" s="242" t="s">
        <v>947</v>
      </c>
      <c r="P354" s="302">
        <v>1</v>
      </c>
      <c r="Q354" s="173" t="s">
        <v>337</v>
      </c>
      <c r="R354" s="265">
        <f>0.001*P354</f>
        <v>1E-3</v>
      </c>
      <c r="S354" s="173"/>
      <c r="T354" s="173"/>
      <c r="U354" s="173"/>
    </row>
    <row r="355" spans="1:21">
      <c r="A355" s="232" t="s">
        <v>1112</v>
      </c>
      <c r="B355" s="265">
        <f>P355</f>
        <v>6.1000000000000004E-3</v>
      </c>
      <c r="C355" s="173" t="s">
        <v>37</v>
      </c>
      <c r="D355" s="173" t="s">
        <v>38</v>
      </c>
      <c r="E355" s="173" t="s">
        <v>29</v>
      </c>
      <c r="F355" s="173" t="s">
        <v>35</v>
      </c>
      <c r="G355" s="173" t="s">
        <v>33</v>
      </c>
      <c r="H355" s="173">
        <v>2</v>
      </c>
      <c r="I355" s="173">
        <f t="shared" si="35"/>
        <v>-5.0994665078028714</v>
      </c>
      <c r="J355" s="343">
        <v>0.22516660498395411</v>
      </c>
      <c r="K355" s="173" t="s">
        <v>31</v>
      </c>
      <c r="L355" s="173" t="s">
        <v>31</v>
      </c>
      <c r="M355" s="173" t="s">
        <v>31</v>
      </c>
      <c r="N355" s="173"/>
      <c r="O355" s="242" t="s">
        <v>337</v>
      </c>
      <c r="P355" s="302">
        <v>6.1000000000000004E-3</v>
      </c>
      <c r="Q355" s="173"/>
      <c r="R355" s="173"/>
      <c r="S355" s="173"/>
      <c r="T355" s="173"/>
      <c r="U355" s="173"/>
    </row>
    <row r="356" spans="1:21">
      <c r="A356" s="232" t="s">
        <v>1113</v>
      </c>
      <c r="B356" s="265">
        <f>P356</f>
        <v>5.0000000000000001E-3</v>
      </c>
      <c r="C356" s="173" t="s">
        <v>37</v>
      </c>
      <c r="D356" s="173" t="s">
        <v>38</v>
      </c>
      <c r="E356" s="173" t="s">
        <v>29</v>
      </c>
      <c r="F356" s="173" t="s">
        <v>35</v>
      </c>
      <c r="G356" s="173" t="s">
        <v>33</v>
      </c>
      <c r="H356" s="173">
        <v>2</v>
      </c>
      <c r="I356" s="173">
        <f t="shared" si="35"/>
        <v>-5.2983173665480363</v>
      </c>
      <c r="J356" s="343">
        <v>0.22516660498395411</v>
      </c>
      <c r="K356" s="173" t="s">
        <v>31</v>
      </c>
      <c r="L356" s="173" t="s">
        <v>31</v>
      </c>
      <c r="M356" s="173" t="s">
        <v>31</v>
      </c>
      <c r="N356" s="173"/>
      <c r="O356" s="242" t="s">
        <v>337</v>
      </c>
      <c r="P356" s="302">
        <v>5.0000000000000001E-3</v>
      </c>
      <c r="Q356" s="173"/>
      <c r="R356" s="173"/>
      <c r="S356" s="173"/>
      <c r="T356" s="173"/>
      <c r="U356" s="173"/>
    </row>
    <row r="357" spans="1:21">
      <c r="A357" s="232" t="s">
        <v>1114</v>
      </c>
      <c r="B357" s="265">
        <f>P357</f>
        <v>4.3999999999999997E-2</v>
      </c>
      <c r="C357" s="173" t="s">
        <v>37</v>
      </c>
      <c r="D357" s="173" t="s">
        <v>38</v>
      </c>
      <c r="E357" s="173" t="s">
        <v>29</v>
      </c>
      <c r="F357" s="173" t="s">
        <v>35</v>
      </c>
      <c r="G357" s="173" t="s">
        <v>33</v>
      </c>
      <c r="H357" s="173">
        <v>2</v>
      </c>
      <c r="I357" s="173">
        <f t="shared" si="35"/>
        <v>-3.1235656450638758</v>
      </c>
      <c r="J357" s="343">
        <v>0.22516660498395411</v>
      </c>
      <c r="K357" s="173" t="s">
        <v>31</v>
      </c>
      <c r="L357" s="173" t="s">
        <v>31</v>
      </c>
      <c r="M357" s="173" t="s">
        <v>31</v>
      </c>
      <c r="N357" s="173"/>
      <c r="O357" s="242" t="s">
        <v>337</v>
      </c>
      <c r="P357" s="296">
        <v>4.3999999999999997E-2</v>
      </c>
      <c r="Q357" s="173"/>
      <c r="R357" s="173"/>
      <c r="S357" s="173"/>
      <c r="T357" s="173"/>
      <c r="U357" s="173"/>
    </row>
    <row r="358" spans="1:21">
      <c r="A358" s="232" t="s">
        <v>1115</v>
      </c>
      <c r="B358" s="265">
        <f>R358</f>
        <v>2.5000000000000001E-4</v>
      </c>
      <c r="C358" s="173" t="s">
        <v>37</v>
      </c>
      <c r="D358" s="173" t="s">
        <v>43</v>
      </c>
      <c r="E358" s="173" t="s">
        <v>44</v>
      </c>
      <c r="F358" s="173" t="s">
        <v>29</v>
      </c>
      <c r="G358" s="173" t="s">
        <v>45</v>
      </c>
      <c r="H358" s="173">
        <v>2</v>
      </c>
      <c r="I358" s="173">
        <f t="shared" si="35"/>
        <v>-8.2940496401020276</v>
      </c>
      <c r="J358" s="343">
        <v>0.10344080432788608</v>
      </c>
      <c r="K358" s="173" t="s">
        <v>31</v>
      </c>
      <c r="L358" s="173" t="s">
        <v>31</v>
      </c>
      <c r="M358" s="173" t="s">
        <v>31</v>
      </c>
      <c r="N358" s="173"/>
      <c r="O358" s="266" t="s">
        <v>947</v>
      </c>
      <c r="P358" s="333">
        <v>0.25</v>
      </c>
      <c r="Q358" s="173" t="s">
        <v>337</v>
      </c>
      <c r="R358" s="265">
        <f>0.001*P358</f>
        <v>2.5000000000000001E-4</v>
      </c>
      <c r="S358" s="173"/>
      <c r="T358" s="173"/>
      <c r="U358" s="173"/>
    </row>
    <row r="359" spans="1:21">
      <c r="A359" s="232" t="s">
        <v>48</v>
      </c>
      <c r="B359" s="265">
        <f t="shared" ref="B359:B361" si="36">R359</f>
        <v>3.0000000000000001E-3</v>
      </c>
      <c r="C359" s="173" t="s">
        <v>37</v>
      </c>
      <c r="D359" s="173" t="s">
        <v>43</v>
      </c>
      <c r="E359" s="173" t="s">
        <v>44</v>
      </c>
      <c r="F359" s="173" t="s">
        <v>29</v>
      </c>
      <c r="G359" s="173" t="s">
        <v>45</v>
      </c>
      <c r="H359" s="173">
        <v>2</v>
      </c>
      <c r="I359" s="173">
        <f t="shared" si="35"/>
        <v>-5.8091429903140277</v>
      </c>
      <c r="J359" s="343">
        <v>0.10344080432788608</v>
      </c>
      <c r="K359" s="173" t="s">
        <v>31</v>
      </c>
      <c r="L359" s="173" t="s">
        <v>31</v>
      </c>
      <c r="M359" s="173" t="s">
        <v>31</v>
      </c>
      <c r="N359" s="173"/>
      <c r="O359" s="266" t="s">
        <v>947</v>
      </c>
      <c r="P359" s="333">
        <v>3</v>
      </c>
      <c r="Q359" s="173" t="s">
        <v>337</v>
      </c>
      <c r="R359" s="265">
        <f>0.001*P359</f>
        <v>3.0000000000000001E-3</v>
      </c>
      <c r="S359" s="173"/>
      <c r="T359" s="173"/>
      <c r="U359" s="173"/>
    </row>
    <row r="360" spans="1:21">
      <c r="A360" s="232" t="s">
        <v>46</v>
      </c>
      <c r="B360" s="265">
        <f t="shared" si="36"/>
        <v>2E-3</v>
      </c>
      <c r="C360" s="173" t="s">
        <v>37</v>
      </c>
      <c r="D360" s="173" t="s">
        <v>43</v>
      </c>
      <c r="E360" s="173" t="s">
        <v>44</v>
      </c>
      <c r="F360" s="173" t="s">
        <v>29</v>
      </c>
      <c r="G360" s="173" t="s">
        <v>45</v>
      </c>
      <c r="H360" s="173">
        <v>2</v>
      </c>
      <c r="I360" s="173">
        <f t="shared" si="35"/>
        <v>-6.2146080984221914</v>
      </c>
      <c r="J360" s="343">
        <v>0.10344080432788608</v>
      </c>
      <c r="K360" s="173" t="s">
        <v>31</v>
      </c>
      <c r="L360" s="173" t="s">
        <v>31</v>
      </c>
      <c r="M360" s="173" t="s">
        <v>31</v>
      </c>
      <c r="N360" s="173"/>
      <c r="O360" s="266" t="s">
        <v>947</v>
      </c>
      <c r="P360" s="333">
        <v>2</v>
      </c>
      <c r="Q360" s="173" t="s">
        <v>337</v>
      </c>
      <c r="R360" s="265">
        <f>0.001*P360</f>
        <v>2E-3</v>
      </c>
      <c r="S360" s="173"/>
      <c r="T360" s="173"/>
      <c r="U360" s="173"/>
    </row>
    <row r="361" spans="1:21">
      <c r="A361" s="232" t="s">
        <v>941</v>
      </c>
      <c r="B361" s="265">
        <f t="shared" si="36"/>
        <v>1E-3</v>
      </c>
      <c r="C361" s="173" t="s">
        <v>37</v>
      </c>
      <c r="D361" s="173" t="s">
        <v>43</v>
      </c>
      <c r="E361" s="173" t="s">
        <v>44</v>
      </c>
      <c r="F361" s="173" t="s">
        <v>29</v>
      </c>
      <c r="G361" s="173" t="s">
        <v>45</v>
      </c>
      <c r="H361" s="173">
        <v>2</v>
      </c>
      <c r="I361" s="173">
        <f t="shared" si="35"/>
        <v>-6.9077552789821368</v>
      </c>
      <c r="J361" s="343">
        <v>0.10344080432788608</v>
      </c>
      <c r="K361" s="173" t="s">
        <v>31</v>
      </c>
      <c r="L361" s="173" t="s">
        <v>31</v>
      </c>
      <c r="M361" s="173" t="s">
        <v>31</v>
      </c>
      <c r="N361" s="173"/>
      <c r="O361" s="266" t="s">
        <v>947</v>
      </c>
      <c r="P361" s="333">
        <v>1</v>
      </c>
      <c r="Q361" s="173" t="s">
        <v>337</v>
      </c>
      <c r="R361" s="265">
        <f>0.001*P361</f>
        <v>1E-3</v>
      </c>
      <c r="S361" s="173"/>
      <c r="T361" s="173"/>
      <c r="U361" s="173"/>
    </row>
    <row r="362" spans="1:21">
      <c r="A362" s="173" t="s">
        <v>1287</v>
      </c>
      <c r="B362" s="265">
        <f>P362</f>
        <v>1.4E-2</v>
      </c>
      <c r="C362" s="173" t="s">
        <v>37</v>
      </c>
      <c r="D362" s="258" t="s">
        <v>2</v>
      </c>
      <c r="E362" s="173" t="s">
        <v>29</v>
      </c>
      <c r="F362" s="185" t="s">
        <v>39</v>
      </c>
      <c r="G362" s="173" t="s">
        <v>33</v>
      </c>
      <c r="H362" s="173">
        <v>2</v>
      </c>
      <c r="I362" s="173">
        <f t="shared" si="35"/>
        <v>-4.2686979493668789</v>
      </c>
      <c r="J362" s="173">
        <v>0.11269427669584645</v>
      </c>
      <c r="K362" s="173" t="s">
        <v>31</v>
      </c>
      <c r="L362" s="173" t="s">
        <v>31</v>
      </c>
      <c r="M362" s="173" t="s">
        <v>31</v>
      </c>
      <c r="N362" s="173"/>
      <c r="O362" s="268" t="s">
        <v>337</v>
      </c>
      <c r="P362" s="315">
        <v>1.4E-2</v>
      </c>
      <c r="Q362" s="173"/>
      <c r="R362" s="173"/>
      <c r="S362" s="173"/>
      <c r="T362" s="173"/>
      <c r="U362" s="173"/>
    </row>
    <row r="363" spans="1:21">
      <c r="P363" s="358"/>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7818-33DA-4B2A-8C75-49042C980607}">
  <sheetPr>
    <tabColor theme="5"/>
  </sheetPr>
  <dimension ref="A1:AC57"/>
  <sheetViews>
    <sheetView topLeftCell="B1" zoomScale="85" zoomScaleNormal="85" workbookViewId="0">
      <selection activeCell="I13" sqref="I13:I30"/>
    </sheetView>
  </sheetViews>
  <sheetFormatPr defaultRowHeight="12.75"/>
  <cols>
    <col min="1" max="1" width="100.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CE0BC9767FED4648945C23E7D1DFC9DE</v>
      </c>
    </row>
    <row r="2" spans="1:26">
      <c r="A2" s="209" t="s">
        <v>5</v>
      </c>
      <c r="B2" s="210" t="s">
        <v>1281</v>
      </c>
      <c r="C2" s="211"/>
      <c r="D2" s="188"/>
      <c r="E2" s="188"/>
      <c r="F2" s="188"/>
      <c r="G2" s="188"/>
      <c r="H2" s="188"/>
      <c r="I2" s="188"/>
      <c r="J2" s="188"/>
      <c r="K2" s="188"/>
      <c r="L2" s="188"/>
      <c r="M2" s="188"/>
    </row>
    <row r="3" spans="1:26">
      <c r="A3" s="177" t="s">
        <v>7</v>
      </c>
      <c r="B3" s="173" t="s">
        <v>566</v>
      </c>
      <c r="C3" s="176"/>
    </row>
    <row r="4" spans="1:26">
      <c r="A4" s="177" t="s">
        <v>9</v>
      </c>
      <c r="B4" s="173" t="s">
        <v>1541</v>
      </c>
      <c r="C4" s="176"/>
    </row>
    <row r="5" spans="1:26" ht="25.5">
      <c r="A5" s="177" t="s">
        <v>11</v>
      </c>
      <c r="B5" s="179" t="s">
        <v>1301</v>
      </c>
    </row>
    <row r="6" spans="1:26">
      <c r="A6" s="177" t="s">
        <v>13</v>
      </c>
      <c r="B6" s="173" t="s">
        <v>14</v>
      </c>
    </row>
    <row r="7" spans="1:26">
      <c r="A7" s="177" t="s">
        <v>15</v>
      </c>
      <c r="B7" s="173">
        <v>1</v>
      </c>
    </row>
    <row r="8" spans="1:26">
      <c r="A8" s="177" t="s">
        <v>16</v>
      </c>
      <c r="B8" s="173" t="s">
        <v>17</v>
      </c>
    </row>
    <row r="9" spans="1:26">
      <c r="A9" s="177" t="s">
        <v>18</v>
      </c>
      <c r="B9" s="173" t="s">
        <v>18</v>
      </c>
    </row>
    <row r="10" spans="1:26">
      <c r="A10" s="174" t="s">
        <v>19</v>
      </c>
    </row>
    <row r="11" spans="1:26">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row>
    <row r="12" spans="1:26">
      <c r="A12" s="210" t="s">
        <v>1281</v>
      </c>
      <c r="B12" s="173">
        <v>1</v>
      </c>
      <c r="C12" s="173" t="s">
        <v>18</v>
      </c>
      <c r="D12" s="173" t="s">
        <v>2</v>
      </c>
      <c r="E12" s="173" t="s">
        <v>29</v>
      </c>
      <c r="F12" s="185" t="s">
        <v>14</v>
      </c>
      <c r="G12" s="173" t="s">
        <v>30</v>
      </c>
      <c r="H12" s="173">
        <v>1</v>
      </c>
      <c r="I12" s="173">
        <v>1</v>
      </c>
      <c r="J12" s="173" t="s">
        <v>31</v>
      </c>
      <c r="K12" s="173" t="s">
        <v>31</v>
      </c>
      <c r="L12" s="173" t="s">
        <v>31</v>
      </c>
      <c r="M12" s="173" t="s">
        <v>31</v>
      </c>
    </row>
    <row r="13" spans="1:26">
      <c r="A13" s="235" t="s">
        <v>1290</v>
      </c>
      <c r="B13" s="173">
        <f>Z13</f>
        <v>7.8E-2</v>
      </c>
      <c r="C13" s="173" t="s">
        <v>37</v>
      </c>
      <c r="D13" s="173" t="s">
        <v>2</v>
      </c>
      <c r="E13" s="173" t="s">
        <v>29</v>
      </c>
      <c r="F13" s="185" t="s">
        <v>14</v>
      </c>
      <c r="G13" s="173" t="s">
        <v>33</v>
      </c>
      <c r="H13" s="173">
        <v>1</v>
      </c>
      <c r="I13" s="173">
        <f>B13</f>
        <v>7.8E-2</v>
      </c>
      <c r="J13" s="173" t="s">
        <v>31</v>
      </c>
      <c r="K13" s="173" t="s">
        <v>31</v>
      </c>
      <c r="L13" s="173" t="s">
        <v>31</v>
      </c>
      <c r="M13" s="173" t="s">
        <v>31</v>
      </c>
      <c r="U13" s="236" t="s">
        <v>976</v>
      </c>
      <c r="V13" s="236" t="s">
        <v>947</v>
      </c>
      <c r="W13" s="237">
        <v>78</v>
      </c>
      <c r="Y13" s="173" t="s">
        <v>337</v>
      </c>
      <c r="Z13" s="173">
        <f>0.001*W13</f>
        <v>7.8E-2</v>
      </c>
    </row>
    <row r="14" spans="1:26">
      <c r="A14" s="235" t="s">
        <v>1294</v>
      </c>
      <c r="B14" s="173">
        <f t="shared" ref="B14:B27" si="0">Z14</f>
        <v>9.8000000000000004E-2</v>
      </c>
      <c r="C14" s="173" t="s">
        <v>37</v>
      </c>
      <c r="D14" s="173" t="s">
        <v>2</v>
      </c>
      <c r="E14" s="173" t="s">
        <v>29</v>
      </c>
      <c r="F14" s="185" t="s">
        <v>14</v>
      </c>
      <c r="G14" s="173" t="s">
        <v>33</v>
      </c>
      <c r="H14" s="173">
        <v>1</v>
      </c>
      <c r="I14" s="173">
        <f t="shared" ref="I14:I30" si="1">B14</f>
        <v>9.8000000000000004E-2</v>
      </c>
      <c r="J14" s="173" t="s">
        <v>31</v>
      </c>
      <c r="K14" s="173" t="s">
        <v>31</v>
      </c>
      <c r="L14" s="173" t="s">
        <v>31</v>
      </c>
      <c r="M14" s="173" t="s">
        <v>31</v>
      </c>
      <c r="U14" s="236" t="s">
        <v>977</v>
      </c>
      <c r="V14" s="236" t="s">
        <v>947</v>
      </c>
      <c r="W14" s="237">
        <v>98</v>
      </c>
      <c r="Y14" s="173" t="s">
        <v>337</v>
      </c>
      <c r="Z14" s="173">
        <f>0.001*W14</f>
        <v>9.8000000000000004E-2</v>
      </c>
    </row>
    <row r="15" spans="1:26">
      <c r="A15" s="360" t="s">
        <v>978</v>
      </c>
      <c r="B15" s="173">
        <f t="shared" si="0"/>
        <v>1</v>
      </c>
      <c r="C15" s="173" t="s">
        <v>37</v>
      </c>
      <c r="D15" s="173" t="s">
        <v>38</v>
      </c>
      <c r="E15" s="173" t="s">
        <v>29</v>
      </c>
      <c r="F15" s="185" t="s">
        <v>60</v>
      </c>
      <c r="G15" s="173" t="s">
        <v>33</v>
      </c>
      <c r="H15" s="173">
        <v>1</v>
      </c>
      <c r="I15" s="173">
        <f t="shared" si="1"/>
        <v>1</v>
      </c>
      <c r="J15" s="173" t="s">
        <v>31</v>
      </c>
      <c r="K15" s="173" t="s">
        <v>31</v>
      </c>
      <c r="L15" s="173" t="s">
        <v>31</v>
      </c>
      <c r="M15" s="173" t="s">
        <v>31</v>
      </c>
      <c r="U15" s="236" t="s">
        <v>979</v>
      </c>
      <c r="V15" s="236" t="s">
        <v>337</v>
      </c>
      <c r="W15" s="237">
        <v>1</v>
      </c>
      <c r="Y15" s="173" t="s">
        <v>337</v>
      </c>
      <c r="Z15" s="173">
        <f>W15</f>
        <v>1</v>
      </c>
    </row>
    <row r="16" spans="1:26">
      <c r="A16" s="235" t="s">
        <v>1542</v>
      </c>
      <c r="B16" s="173">
        <f t="shared" si="0"/>
        <v>0.9</v>
      </c>
      <c r="C16" s="173" t="s">
        <v>37</v>
      </c>
      <c r="D16" s="173" t="s">
        <v>2</v>
      </c>
      <c r="E16" s="173" t="s">
        <v>29</v>
      </c>
      <c r="F16" s="185" t="s">
        <v>14</v>
      </c>
      <c r="G16" s="173" t="s">
        <v>33</v>
      </c>
      <c r="H16" s="173">
        <v>1</v>
      </c>
      <c r="I16" s="173">
        <f t="shared" si="1"/>
        <v>0.9</v>
      </c>
      <c r="J16" s="173" t="s">
        <v>31</v>
      </c>
      <c r="K16" s="173" t="s">
        <v>31</v>
      </c>
      <c r="L16" s="173" t="s">
        <v>31</v>
      </c>
      <c r="M16" s="173" t="s">
        <v>31</v>
      </c>
      <c r="U16" s="236" t="s">
        <v>981</v>
      </c>
      <c r="V16" s="236" t="s">
        <v>337</v>
      </c>
      <c r="W16" s="237">
        <v>0.9</v>
      </c>
      <c r="Y16" s="173" t="s">
        <v>337</v>
      </c>
      <c r="Z16" s="173">
        <f>W16</f>
        <v>0.9</v>
      </c>
    </row>
    <row r="17" spans="1:29" s="374" customFormat="1">
      <c r="A17" s="373" t="s">
        <v>1543</v>
      </c>
      <c r="B17" s="374">
        <f t="shared" si="0"/>
        <v>4.9000000000000002E-2</v>
      </c>
      <c r="C17" s="374" t="s">
        <v>206</v>
      </c>
      <c r="D17" s="374" t="s">
        <v>2</v>
      </c>
      <c r="E17" s="374" t="s">
        <v>29</v>
      </c>
      <c r="F17" s="15" t="s">
        <v>14</v>
      </c>
      <c r="G17" s="374" t="s">
        <v>33</v>
      </c>
      <c r="H17" s="173">
        <v>1</v>
      </c>
      <c r="I17" s="173">
        <f t="shared" si="1"/>
        <v>4.9000000000000002E-2</v>
      </c>
      <c r="J17" s="374" t="s">
        <v>31</v>
      </c>
      <c r="K17" s="374" t="s">
        <v>31</v>
      </c>
      <c r="L17" s="374" t="s">
        <v>31</v>
      </c>
      <c r="M17" s="374" t="s">
        <v>31</v>
      </c>
      <c r="O17" s="374" t="s">
        <v>983</v>
      </c>
      <c r="U17" s="375" t="s">
        <v>984</v>
      </c>
      <c r="V17" s="376" t="s">
        <v>947</v>
      </c>
      <c r="W17" s="377">
        <v>245</v>
      </c>
      <c r="Y17" s="374" t="s">
        <v>945</v>
      </c>
      <c r="Z17" s="374">
        <f>W17*0.001*AB17</f>
        <v>4.9000000000000002E-2</v>
      </c>
      <c r="AB17" s="374">
        <f>'2D. Reusable'!T36</f>
        <v>0.2</v>
      </c>
      <c r="AC17" s="374" t="s">
        <v>1304</v>
      </c>
    </row>
    <row r="18" spans="1:29">
      <c r="A18" s="235" t="s">
        <v>1544</v>
      </c>
      <c r="B18" s="173">
        <f t="shared" si="0"/>
        <v>0.50700000000000001</v>
      </c>
      <c r="C18" s="173" t="s">
        <v>37</v>
      </c>
      <c r="D18" s="173" t="s">
        <v>2</v>
      </c>
      <c r="E18" s="173" t="s">
        <v>29</v>
      </c>
      <c r="F18" s="185" t="s">
        <v>14</v>
      </c>
      <c r="G18" s="173" t="s">
        <v>33</v>
      </c>
      <c r="H18" s="173">
        <v>1</v>
      </c>
      <c r="I18" s="173">
        <f t="shared" si="1"/>
        <v>0.50700000000000001</v>
      </c>
      <c r="J18" s="173" t="s">
        <v>31</v>
      </c>
      <c r="K18" s="173" t="s">
        <v>31</v>
      </c>
      <c r="L18" s="173" t="s">
        <v>31</v>
      </c>
      <c r="M18" s="173" t="s">
        <v>31</v>
      </c>
      <c r="U18" s="320" t="s">
        <v>987</v>
      </c>
      <c r="V18" s="236" t="s">
        <v>947</v>
      </c>
      <c r="W18" s="237">
        <v>507</v>
      </c>
      <c r="Y18" s="173" t="s">
        <v>337</v>
      </c>
      <c r="Z18" s="173">
        <f>0.001*W18</f>
        <v>0.50700000000000001</v>
      </c>
    </row>
    <row r="19" spans="1:29">
      <c r="A19" s="279" t="s">
        <v>988</v>
      </c>
      <c r="B19" s="173">
        <f t="shared" si="0"/>
        <v>3.0000000000000001E-3</v>
      </c>
      <c r="C19" s="173" t="s">
        <v>37</v>
      </c>
      <c r="D19" s="173" t="s">
        <v>38</v>
      </c>
      <c r="E19" s="173" t="s">
        <v>29</v>
      </c>
      <c r="F19" s="185" t="s">
        <v>35</v>
      </c>
      <c r="G19" s="173" t="s">
        <v>33</v>
      </c>
      <c r="H19" s="173">
        <v>1</v>
      </c>
      <c r="I19" s="173">
        <f t="shared" si="1"/>
        <v>3.0000000000000001E-3</v>
      </c>
      <c r="J19" s="173" t="s">
        <v>31</v>
      </c>
      <c r="K19" s="173" t="s">
        <v>31</v>
      </c>
      <c r="L19" s="173" t="s">
        <v>31</v>
      </c>
      <c r="M19" s="173" t="s">
        <v>31</v>
      </c>
      <c r="N19" s="177" t="s">
        <v>989</v>
      </c>
      <c r="U19" s="236" t="s">
        <v>989</v>
      </c>
      <c r="V19" s="236" t="s">
        <v>947</v>
      </c>
      <c r="W19" s="237">
        <v>3</v>
      </c>
      <c r="Y19" s="173" t="s">
        <v>337</v>
      </c>
      <c r="Z19" s="173">
        <f>0.001*W19</f>
        <v>3.0000000000000001E-3</v>
      </c>
    </row>
    <row r="20" spans="1:29">
      <c r="A20" s="279" t="s">
        <v>533</v>
      </c>
      <c r="B20" s="173">
        <f t="shared" si="0"/>
        <v>1.6E-2</v>
      </c>
      <c r="C20" s="173" t="s">
        <v>37</v>
      </c>
      <c r="D20" s="173" t="s">
        <v>38</v>
      </c>
      <c r="E20" s="173" t="s">
        <v>29</v>
      </c>
      <c r="F20" s="185" t="s">
        <v>35</v>
      </c>
      <c r="G20" s="173" t="s">
        <v>33</v>
      </c>
      <c r="H20" s="173">
        <v>1</v>
      </c>
      <c r="I20" s="173">
        <f t="shared" si="1"/>
        <v>1.6E-2</v>
      </c>
      <c r="J20" s="173" t="s">
        <v>31</v>
      </c>
      <c r="K20" s="173" t="s">
        <v>31</v>
      </c>
      <c r="L20" s="173" t="s">
        <v>31</v>
      </c>
      <c r="M20" s="173" t="s">
        <v>31</v>
      </c>
      <c r="N20" s="177" t="s">
        <v>990</v>
      </c>
      <c r="U20" s="320" t="s">
        <v>990</v>
      </c>
      <c r="V20" s="236" t="s">
        <v>947</v>
      </c>
      <c r="W20" s="237">
        <v>16</v>
      </c>
      <c r="Y20" s="173" t="s">
        <v>337</v>
      </c>
      <c r="Z20" s="173">
        <f t="shared" ref="Z20:Z22" si="2">0.001*W20</f>
        <v>1.6E-2</v>
      </c>
    </row>
    <row r="21" spans="1:29">
      <c r="A21" s="279" t="s">
        <v>988</v>
      </c>
      <c r="B21" s="173">
        <f t="shared" si="0"/>
        <v>2E-3</v>
      </c>
      <c r="C21" s="173" t="s">
        <v>37</v>
      </c>
      <c r="D21" s="173" t="s">
        <v>38</v>
      </c>
      <c r="E21" s="173" t="s">
        <v>29</v>
      </c>
      <c r="F21" s="185" t="s">
        <v>35</v>
      </c>
      <c r="G21" s="173" t="s">
        <v>33</v>
      </c>
      <c r="H21" s="173">
        <v>1</v>
      </c>
      <c r="I21" s="173">
        <f t="shared" si="1"/>
        <v>2E-3</v>
      </c>
      <c r="J21" s="173" t="s">
        <v>31</v>
      </c>
      <c r="K21" s="173" t="s">
        <v>31</v>
      </c>
      <c r="L21" s="173" t="s">
        <v>31</v>
      </c>
      <c r="M21" s="173" t="s">
        <v>31</v>
      </c>
      <c r="N21" s="177" t="s">
        <v>991</v>
      </c>
      <c r="U21" s="320" t="s">
        <v>991</v>
      </c>
      <c r="V21" s="236" t="s">
        <v>947</v>
      </c>
      <c r="W21" s="237">
        <v>2</v>
      </c>
      <c r="Y21" s="173" t="s">
        <v>337</v>
      </c>
      <c r="Z21" s="173">
        <f t="shared" si="2"/>
        <v>2E-3</v>
      </c>
    </row>
    <row r="22" spans="1:29">
      <c r="A22" s="279" t="s">
        <v>992</v>
      </c>
      <c r="B22" s="173">
        <f t="shared" si="0"/>
        <v>2E-3</v>
      </c>
      <c r="C22" s="173" t="s">
        <v>37</v>
      </c>
      <c r="D22" s="173" t="s">
        <v>38</v>
      </c>
      <c r="E22" s="173" t="s">
        <v>29</v>
      </c>
      <c r="F22" s="185" t="s">
        <v>35</v>
      </c>
      <c r="G22" s="173" t="s">
        <v>33</v>
      </c>
      <c r="H22" s="173">
        <v>1</v>
      </c>
      <c r="I22" s="173">
        <f t="shared" si="1"/>
        <v>2E-3</v>
      </c>
      <c r="J22" s="173" t="s">
        <v>31</v>
      </c>
      <c r="K22" s="173" t="s">
        <v>31</v>
      </c>
      <c r="L22" s="173" t="s">
        <v>31</v>
      </c>
      <c r="M22" s="173" t="s">
        <v>31</v>
      </c>
      <c r="N22" s="177" t="s">
        <v>991</v>
      </c>
      <c r="U22" s="320" t="s">
        <v>991</v>
      </c>
      <c r="V22" s="236" t="s">
        <v>947</v>
      </c>
      <c r="W22" s="378">
        <v>2</v>
      </c>
      <c r="Y22" s="173" t="s">
        <v>337</v>
      </c>
      <c r="Z22" s="173">
        <f t="shared" si="2"/>
        <v>2E-3</v>
      </c>
    </row>
    <row r="23" spans="1:29">
      <c r="A23" s="360" t="s">
        <v>1545</v>
      </c>
      <c r="B23" s="173">
        <f t="shared" si="0"/>
        <v>0.46</v>
      </c>
      <c r="C23" s="173" t="s">
        <v>37</v>
      </c>
      <c r="D23" s="173" t="s">
        <v>2</v>
      </c>
      <c r="E23" s="173" t="s">
        <v>29</v>
      </c>
      <c r="F23" s="185" t="s">
        <v>14</v>
      </c>
      <c r="G23" s="173" t="s">
        <v>33</v>
      </c>
      <c r="H23" s="173">
        <v>1</v>
      </c>
      <c r="I23" s="173">
        <f t="shared" si="1"/>
        <v>0.46</v>
      </c>
      <c r="J23" s="173" t="s">
        <v>31</v>
      </c>
      <c r="K23" s="173" t="s">
        <v>31</v>
      </c>
      <c r="L23" s="173" t="s">
        <v>31</v>
      </c>
      <c r="M23" s="173" t="s">
        <v>31</v>
      </c>
      <c r="N23" s="177" t="s">
        <v>1388</v>
      </c>
      <c r="U23" s="236" t="s">
        <v>1388</v>
      </c>
      <c r="V23" s="236" t="s">
        <v>337</v>
      </c>
      <c r="W23" s="237">
        <v>0.46</v>
      </c>
      <c r="Y23" s="173" t="s">
        <v>337</v>
      </c>
      <c r="Z23" s="173">
        <f>W23</f>
        <v>0.46</v>
      </c>
    </row>
    <row r="24" spans="1:29">
      <c r="A24" s="235" t="s">
        <v>1546</v>
      </c>
      <c r="B24" s="191">
        <f>'2D. Machined casing'!B7</f>
        <v>3.15</v>
      </c>
      <c r="C24" s="173" t="s">
        <v>37</v>
      </c>
      <c r="D24" s="173" t="s">
        <v>2</v>
      </c>
      <c r="E24" s="173" t="s">
        <v>29</v>
      </c>
      <c r="F24" s="185" t="s">
        <v>14</v>
      </c>
      <c r="G24" s="173" t="s">
        <v>33</v>
      </c>
      <c r="H24" s="173">
        <v>1</v>
      </c>
      <c r="I24" s="173">
        <f t="shared" si="1"/>
        <v>3.15</v>
      </c>
      <c r="J24" s="173" t="s">
        <v>31</v>
      </c>
      <c r="K24" s="173" t="s">
        <v>31</v>
      </c>
      <c r="L24" s="173" t="s">
        <v>31</v>
      </c>
      <c r="M24" s="173" t="s">
        <v>31</v>
      </c>
      <c r="N24" s="177" t="s">
        <v>1121</v>
      </c>
      <c r="U24" s="236" t="s">
        <v>994</v>
      </c>
      <c r="V24" s="241" t="s">
        <v>337</v>
      </c>
      <c r="W24" s="237">
        <v>3.18</v>
      </c>
      <c r="Y24" s="173" t="s">
        <v>337</v>
      </c>
      <c r="Z24" s="173">
        <f>W24</f>
        <v>3.18</v>
      </c>
    </row>
    <row r="25" spans="1:29">
      <c r="A25" s="279" t="s">
        <v>995</v>
      </c>
      <c r="B25" s="173">
        <f t="shared" si="0"/>
        <v>0.02</v>
      </c>
      <c r="C25" s="173" t="s">
        <v>37</v>
      </c>
      <c r="D25" s="173" t="s">
        <v>38</v>
      </c>
      <c r="E25" s="173" t="s">
        <v>29</v>
      </c>
      <c r="F25" s="185" t="s">
        <v>86</v>
      </c>
      <c r="G25" s="173" t="s">
        <v>33</v>
      </c>
      <c r="H25" s="173">
        <v>1</v>
      </c>
      <c r="I25" s="173">
        <f t="shared" si="1"/>
        <v>0.02</v>
      </c>
      <c r="J25" s="173" t="s">
        <v>31</v>
      </c>
      <c r="K25" s="173" t="s">
        <v>31</v>
      </c>
      <c r="L25" s="173" t="s">
        <v>31</v>
      </c>
      <c r="M25" s="173" t="s">
        <v>31</v>
      </c>
      <c r="N25" s="177" t="s">
        <v>996</v>
      </c>
      <c r="U25" s="242" t="s">
        <v>996</v>
      </c>
      <c r="V25" s="242" t="s">
        <v>947</v>
      </c>
      <c r="W25" s="243">
        <v>20</v>
      </c>
      <c r="Y25" s="173" t="s">
        <v>337</v>
      </c>
      <c r="Z25" s="173">
        <f t="shared" ref="Z25:Z27" si="3">0.001*W25</f>
        <v>0.02</v>
      </c>
    </row>
    <row r="26" spans="1:29">
      <c r="A26" s="279" t="s">
        <v>997</v>
      </c>
      <c r="B26" s="173">
        <f t="shared" si="0"/>
        <v>4.0000000000000001E-3</v>
      </c>
      <c r="C26" s="173" t="s">
        <v>37</v>
      </c>
      <c r="D26" s="173" t="s">
        <v>38</v>
      </c>
      <c r="E26" s="173" t="s">
        <v>29</v>
      </c>
      <c r="F26" s="185" t="s">
        <v>60</v>
      </c>
      <c r="G26" s="173" t="s">
        <v>33</v>
      </c>
      <c r="H26" s="173">
        <v>1</v>
      </c>
      <c r="I26" s="173">
        <f t="shared" si="1"/>
        <v>4.0000000000000001E-3</v>
      </c>
      <c r="J26" s="173" t="s">
        <v>31</v>
      </c>
      <c r="K26" s="173" t="s">
        <v>31</v>
      </c>
      <c r="L26" s="173" t="s">
        <v>31</v>
      </c>
      <c r="M26" s="173" t="s">
        <v>31</v>
      </c>
      <c r="N26" s="173" t="s">
        <v>998</v>
      </c>
      <c r="U26" s="242" t="s">
        <v>998</v>
      </c>
      <c r="V26" s="242" t="s">
        <v>947</v>
      </c>
      <c r="W26" s="243">
        <v>4</v>
      </c>
      <c r="Y26" s="173" t="s">
        <v>337</v>
      </c>
      <c r="Z26" s="173">
        <f t="shared" si="3"/>
        <v>4.0000000000000001E-3</v>
      </c>
    </row>
    <row r="27" spans="1:29">
      <c r="A27" s="279" t="s">
        <v>533</v>
      </c>
      <c r="B27" s="173">
        <f t="shared" si="0"/>
        <v>4.0000000000000001E-3</v>
      </c>
      <c r="C27" s="173" t="s">
        <v>37</v>
      </c>
      <c r="D27" s="173" t="s">
        <v>38</v>
      </c>
      <c r="E27" s="173" t="s">
        <v>29</v>
      </c>
      <c r="F27" s="185" t="s">
        <v>35</v>
      </c>
      <c r="G27" s="173" t="s">
        <v>33</v>
      </c>
      <c r="H27" s="173">
        <v>1</v>
      </c>
      <c r="I27" s="173">
        <f t="shared" si="1"/>
        <v>4.0000000000000001E-3</v>
      </c>
      <c r="J27" s="173" t="s">
        <v>31</v>
      </c>
      <c r="K27" s="173" t="s">
        <v>31</v>
      </c>
      <c r="L27" s="173" t="s">
        <v>31</v>
      </c>
      <c r="M27" s="173" t="s">
        <v>31</v>
      </c>
      <c r="N27" s="173" t="s">
        <v>999</v>
      </c>
      <c r="U27" s="242" t="s">
        <v>999</v>
      </c>
      <c r="V27" s="242" t="s">
        <v>947</v>
      </c>
      <c r="W27" s="243">
        <v>4</v>
      </c>
      <c r="Y27" s="173" t="s">
        <v>337</v>
      </c>
      <c r="Z27" s="173">
        <f t="shared" si="3"/>
        <v>4.0000000000000001E-3</v>
      </c>
    </row>
    <row r="28" spans="1:29">
      <c r="A28" s="321" t="s">
        <v>168</v>
      </c>
      <c r="B28" s="173">
        <f>0.6+0.4</f>
        <v>1</v>
      </c>
      <c r="C28" s="173" t="s">
        <v>41</v>
      </c>
      <c r="D28" s="173" t="s">
        <v>38</v>
      </c>
      <c r="E28" s="173" t="s">
        <v>29</v>
      </c>
      <c r="F28" s="173" t="s">
        <v>14</v>
      </c>
      <c r="G28" s="173" t="s">
        <v>33</v>
      </c>
      <c r="H28" s="173">
        <v>1</v>
      </c>
      <c r="I28" s="173">
        <f t="shared" si="1"/>
        <v>1</v>
      </c>
      <c r="J28" s="173" t="s">
        <v>31</v>
      </c>
      <c r="K28" s="173" t="s">
        <v>31</v>
      </c>
      <c r="L28" s="173" t="s">
        <v>31</v>
      </c>
      <c r="M28" s="173" t="s">
        <v>31</v>
      </c>
      <c r="N28" s="173" t="s">
        <v>1000</v>
      </c>
      <c r="U28" s="236"/>
      <c r="V28" s="241"/>
      <c r="W28" s="237"/>
    </row>
    <row r="29" spans="1:29">
      <c r="A29" s="321" t="s">
        <v>168</v>
      </c>
      <c r="B29" s="173">
        <v>1.4</v>
      </c>
      <c r="C29" s="173" t="s">
        <v>41</v>
      </c>
      <c r="D29" s="173" t="s">
        <v>38</v>
      </c>
      <c r="E29" s="173" t="s">
        <v>29</v>
      </c>
      <c r="F29" s="173" t="s">
        <v>14</v>
      </c>
      <c r="G29" s="173" t="s">
        <v>33</v>
      </c>
      <c r="H29" s="173">
        <v>1</v>
      </c>
      <c r="I29" s="173">
        <f t="shared" si="1"/>
        <v>1.4</v>
      </c>
      <c r="J29" s="173" t="s">
        <v>31</v>
      </c>
      <c r="K29" s="173" t="s">
        <v>31</v>
      </c>
      <c r="L29" s="173" t="s">
        <v>31</v>
      </c>
      <c r="M29" s="173" t="s">
        <v>31</v>
      </c>
      <c r="N29" s="173" t="s">
        <v>1001</v>
      </c>
    </row>
    <row r="30" spans="1:29">
      <c r="A30" s="321" t="s">
        <v>168</v>
      </c>
      <c r="B30" s="173">
        <v>1.5</v>
      </c>
      <c r="C30" s="173" t="s">
        <v>41</v>
      </c>
      <c r="D30" s="173" t="s">
        <v>38</v>
      </c>
      <c r="E30" s="173" t="s">
        <v>29</v>
      </c>
      <c r="F30" s="173" t="s">
        <v>14</v>
      </c>
      <c r="G30" s="173" t="s">
        <v>33</v>
      </c>
      <c r="H30" s="173">
        <v>1</v>
      </c>
      <c r="I30" s="173">
        <f t="shared" si="1"/>
        <v>1.5</v>
      </c>
      <c r="J30" s="173" t="s">
        <v>31</v>
      </c>
      <c r="K30" s="173" t="s">
        <v>31</v>
      </c>
      <c r="L30" s="173" t="s">
        <v>31</v>
      </c>
      <c r="M30" s="173" t="s">
        <v>31</v>
      </c>
      <c r="N30" s="173" t="s">
        <v>1002</v>
      </c>
    </row>
    <row r="31" spans="1:29">
      <c r="A31" s="209"/>
      <c r="B31" s="210"/>
      <c r="C31" s="211"/>
      <c r="D31" s="188"/>
      <c r="E31" s="188"/>
      <c r="F31" s="188"/>
      <c r="G31" s="188"/>
      <c r="H31" s="188"/>
      <c r="I31" s="188"/>
      <c r="J31" s="188"/>
      <c r="K31" s="188"/>
      <c r="L31" s="188"/>
      <c r="M31" s="188"/>
    </row>
    <row r="32" spans="1:29">
      <c r="A32" s="177"/>
      <c r="C32" s="176"/>
      <c r="N32" s="173" t="s">
        <v>1547</v>
      </c>
    </row>
    <row r="33" spans="1:14">
      <c r="A33" s="177"/>
      <c r="C33" s="176"/>
      <c r="N33" s="258">
        <f>SUM(B13:B27)-B17+0.245</f>
        <v>6.4889999999999981</v>
      </c>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BAD6-2E99-4FB9-B866-36EC8CAF0AEE}">
  <sheetPr>
    <tabColor theme="5"/>
  </sheetPr>
  <dimension ref="A1:U104"/>
  <sheetViews>
    <sheetView topLeftCell="A62" zoomScale="85" zoomScaleNormal="85" workbookViewId="0">
      <selection activeCell="A36" sqref="A36"/>
    </sheetView>
  </sheetViews>
  <sheetFormatPr defaultRowHeight="12.75"/>
  <cols>
    <col min="1" max="1" width="52.42578125" style="178" customWidth="1"/>
    <col min="2" max="2" width="17.5703125" style="173" customWidth="1"/>
    <col min="3" max="3" width="13.7109375" style="173" customWidth="1"/>
    <col min="4" max="4" width="39.85546875" style="173" customWidth="1"/>
    <col min="5" max="6" width="9.140625" style="173"/>
    <col min="7" max="7" width="14.85546875" style="173" customWidth="1"/>
    <col min="8" max="15" width="9.140625" style="173"/>
    <col min="16" max="16" width="12.140625" style="173" customWidth="1"/>
    <col min="17" max="16384" width="9.140625" style="173"/>
  </cols>
  <sheetData>
    <row r="1" spans="1:21">
      <c r="A1" s="173" t="s">
        <v>0</v>
      </c>
      <c r="B1" s="173">
        <v>13</v>
      </c>
    </row>
    <row r="2" spans="1:21">
      <c r="A2" s="254" t="s">
        <v>5</v>
      </c>
      <c r="B2" s="323" t="s">
        <v>1543</v>
      </c>
      <c r="C2" s="211"/>
      <c r="D2" s="188"/>
      <c r="E2" s="188"/>
      <c r="F2" s="188"/>
      <c r="G2" s="188"/>
      <c r="H2" s="188"/>
      <c r="I2" s="188"/>
      <c r="J2" s="188"/>
      <c r="K2" s="188"/>
      <c r="L2" s="188"/>
      <c r="M2" s="188"/>
      <c r="N2" s="188"/>
      <c r="O2" s="188"/>
      <c r="P2" s="188"/>
      <c r="Q2" s="188"/>
      <c r="R2" s="188"/>
    </row>
    <row r="3" spans="1:21">
      <c r="A3" s="256" t="s">
        <v>7</v>
      </c>
      <c r="B3" s="173" t="s">
        <v>566</v>
      </c>
      <c r="C3" s="176"/>
    </row>
    <row r="4" spans="1:21">
      <c r="A4" s="256" t="s">
        <v>9</v>
      </c>
      <c r="B4" s="178" t="s">
        <v>1548</v>
      </c>
      <c r="C4" s="176"/>
      <c r="U4" s="228"/>
    </row>
    <row r="5" spans="1:21" ht="12.75" customHeight="1">
      <c r="A5" s="256" t="s">
        <v>11</v>
      </c>
      <c r="B5" s="179" t="s">
        <v>913</v>
      </c>
    </row>
    <row r="6" spans="1:21">
      <c r="A6" s="256" t="s">
        <v>13</v>
      </c>
      <c r="B6" s="173" t="s">
        <v>14</v>
      </c>
    </row>
    <row r="7" spans="1:21">
      <c r="A7" s="256" t="s">
        <v>15</v>
      </c>
      <c r="B7" s="173">
        <f>B12</f>
        <v>4.0000000000000001E-3</v>
      </c>
    </row>
    <row r="8" spans="1:21">
      <c r="A8" s="256" t="s">
        <v>16</v>
      </c>
      <c r="B8" s="173" t="s">
        <v>17</v>
      </c>
    </row>
    <row r="9" spans="1:21">
      <c r="A9" s="256" t="s">
        <v>18</v>
      </c>
      <c r="B9" s="173" t="s">
        <v>206</v>
      </c>
    </row>
    <row r="10" spans="1:21">
      <c r="A10" s="257" t="s">
        <v>19</v>
      </c>
    </row>
    <row r="11" spans="1:21">
      <c r="A11" s="257"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row>
    <row r="12" spans="1:21">
      <c r="A12" s="178" t="s">
        <v>1543</v>
      </c>
      <c r="B12" s="173">
        <v>4.0000000000000001E-3</v>
      </c>
      <c r="C12" s="173" t="s">
        <v>206</v>
      </c>
      <c r="D12" s="258" t="s">
        <v>2</v>
      </c>
      <c r="E12" s="173" t="s">
        <v>29</v>
      </c>
      <c r="F12" s="185" t="s">
        <v>14</v>
      </c>
      <c r="G12" s="173" t="s">
        <v>30</v>
      </c>
      <c r="H12" s="173">
        <v>1</v>
      </c>
      <c r="I12" s="173">
        <f>B12</f>
        <v>4.0000000000000001E-3</v>
      </c>
      <c r="J12" s="173" t="s">
        <v>31</v>
      </c>
      <c r="K12" s="173" t="s">
        <v>31</v>
      </c>
      <c r="L12" s="173" t="s">
        <v>31</v>
      </c>
      <c r="M12" s="173" t="s">
        <v>31</v>
      </c>
      <c r="O12" s="259" t="s">
        <v>1549</v>
      </c>
      <c r="P12" s="260"/>
    </row>
    <row r="13" spans="1:21">
      <c r="A13" s="178" t="s">
        <v>1550</v>
      </c>
      <c r="B13" s="173">
        <f>Q13</f>
        <v>0.02</v>
      </c>
      <c r="C13" s="173" t="s">
        <v>37</v>
      </c>
      <c r="D13" s="258" t="s">
        <v>2</v>
      </c>
      <c r="E13" s="173" t="s">
        <v>29</v>
      </c>
      <c r="F13" s="185" t="s">
        <v>14</v>
      </c>
      <c r="G13" s="173" t="s">
        <v>33</v>
      </c>
      <c r="H13" s="173">
        <v>1</v>
      </c>
      <c r="I13" s="173">
        <f t="shared" ref="I13:I14" si="0">B13</f>
        <v>0.02</v>
      </c>
      <c r="J13" s="173" t="s">
        <v>31</v>
      </c>
      <c r="K13" s="173" t="s">
        <v>31</v>
      </c>
      <c r="L13" s="173" t="s">
        <v>31</v>
      </c>
      <c r="M13" s="173" t="s">
        <v>31</v>
      </c>
      <c r="O13" s="173">
        <f>T36</f>
        <v>0.2</v>
      </c>
      <c r="P13" s="173" t="s">
        <v>1304</v>
      </c>
      <c r="Q13" s="173">
        <f>B12/O13</f>
        <v>0.02</v>
      </c>
    </row>
    <row r="14" spans="1:21">
      <c r="A14" s="178" t="s">
        <v>1551</v>
      </c>
      <c r="B14" s="173">
        <v>8.9999999999999993E-3</v>
      </c>
      <c r="C14" s="173" t="s">
        <v>206</v>
      </c>
      <c r="D14" s="258" t="s">
        <v>2</v>
      </c>
      <c r="E14" s="173" t="s">
        <v>29</v>
      </c>
      <c r="F14" s="185" t="s">
        <v>14</v>
      </c>
      <c r="G14" s="173" t="s">
        <v>33</v>
      </c>
      <c r="H14" s="173">
        <v>1</v>
      </c>
      <c r="I14" s="173">
        <f t="shared" si="0"/>
        <v>8.9999999999999993E-3</v>
      </c>
      <c r="J14" s="173" t="s">
        <v>31</v>
      </c>
      <c r="K14" s="173" t="s">
        <v>31</v>
      </c>
      <c r="L14" s="173" t="s">
        <v>31</v>
      </c>
      <c r="M14" s="173" t="s">
        <v>31</v>
      </c>
    </row>
    <row r="15" spans="1:21">
      <c r="A15" s="83" t="s">
        <v>933</v>
      </c>
      <c r="B15" s="173">
        <f>P15</f>
        <v>0.03</v>
      </c>
      <c r="C15" s="173" t="s">
        <v>37</v>
      </c>
      <c r="D15" s="173" t="s">
        <v>38</v>
      </c>
      <c r="E15" s="173" t="s">
        <v>29</v>
      </c>
      <c r="F15" s="185" t="s">
        <v>39</v>
      </c>
      <c r="G15" s="173" t="s">
        <v>33</v>
      </c>
      <c r="H15" s="173">
        <v>2</v>
      </c>
      <c r="I15" s="173">
        <f>LN(B15)</f>
        <v>-3.5065578973199818</v>
      </c>
      <c r="J15" s="343">
        <v>0.11236102527122109</v>
      </c>
      <c r="K15" s="173" t="s">
        <v>31</v>
      </c>
      <c r="L15" s="173" t="s">
        <v>31</v>
      </c>
      <c r="M15" s="173" t="s">
        <v>31</v>
      </c>
      <c r="O15" s="242" t="s">
        <v>337</v>
      </c>
      <c r="P15" s="264">
        <v>0.03</v>
      </c>
    </row>
    <row r="16" spans="1:21">
      <c r="A16" s="83" t="s">
        <v>1008</v>
      </c>
      <c r="B16" s="265">
        <f>Q16</f>
        <v>1.6999999999999999E-9</v>
      </c>
      <c r="C16" s="173" t="s">
        <v>37</v>
      </c>
      <c r="D16" s="173" t="s">
        <v>38</v>
      </c>
      <c r="E16" s="173" t="s">
        <v>29</v>
      </c>
      <c r="F16" s="185" t="s">
        <v>60</v>
      </c>
      <c r="G16" s="173" t="s">
        <v>33</v>
      </c>
      <c r="H16" s="173">
        <v>2</v>
      </c>
      <c r="I16" s="173">
        <f t="shared" ref="I16:I17" si="1">LN(B16)</f>
        <v>-20.192637585884242</v>
      </c>
      <c r="J16" s="343">
        <v>0.11236102527122109</v>
      </c>
      <c r="K16" s="173" t="s">
        <v>31</v>
      </c>
      <c r="L16" s="173" t="s">
        <v>31</v>
      </c>
      <c r="M16" s="173" t="s">
        <v>31</v>
      </c>
      <c r="O16" s="266" t="s">
        <v>952</v>
      </c>
      <c r="P16" s="267">
        <v>1.6999999999999999E-3</v>
      </c>
      <c r="Q16" s="265">
        <f>P16*10^(-6)</f>
        <v>1.6999999999999999E-9</v>
      </c>
      <c r="R16" s="173" t="s">
        <v>37</v>
      </c>
    </row>
    <row r="17" spans="1:18">
      <c r="A17" s="83" t="s">
        <v>489</v>
      </c>
      <c r="B17" s="173">
        <f>Q17</f>
        <v>2.9999999999999997E-5</v>
      </c>
      <c r="C17" s="173" t="s">
        <v>50</v>
      </c>
      <c r="D17" s="173" t="s">
        <v>38</v>
      </c>
      <c r="E17" s="173" t="s">
        <v>29</v>
      </c>
      <c r="F17" s="185" t="s">
        <v>39</v>
      </c>
      <c r="G17" s="173" t="s">
        <v>33</v>
      </c>
      <c r="H17" s="173">
        <v>2</v>
      </c>
      <c r="I17" s="173">
        <f t="shared" si="1"/>
        <v>-10.41431317630212</v>
      </c>
      <c r="J17" s="343">
        <v>0.11236102527122109</v>
      </c>
      <c r="K17" s="173" t="s">
        <v>31</v>
      </c>
      <c r="L17" s="173" t="s">
        <v>31</v>
      </c>
      <c r="M17" s="173" t="s">
        <v>31</v>
      </c>
      <c r="O17" s="268" t="s">
        <v>1009</v>
      </c>
      <c r="P17" s="269">
        <v>0.03</v>
      </c>
      <c r="Q17" s="173">
        <f>P17/1000</f>
        <v>2.9999999999999997E-5</v>
      </c>
      <c r="R17" s="173" t="s">
        <v>1010</v>
      </c>
    </row>
    <row r="18" spans="1:18">
      <c r="A18" s="254" t="s">
        <v>5</v>
      </c>
      <c r="B18" s="323" t="s">
        <v>1550</v>
      </c>
      <c r="C18" s="211"/>
      <c r="D18" s="188"/>
      <c r="E18" s="188"/>
      <c r="F18" s="188"/>
      <c r="G18" s="188"/>
      <c r="H18" s="188"/>
      <c r="I18" s="188"/>
      <c r="J18" s="188"/>
      <c r="K18" s="188"/>
      <c r="L18" s="188"/>
      <c r="M18" s="188"/>
      <c r="N18" s="188"/>
      <c r="O18" s="188"/>
      <c r="P18" s="188"/>
      <c r="Q18" s="188"/>
      <c r="R18" s="188"/>
    </row>
    <row r="19" spans="1:18">
      <c r="A19" s="256" t="s">
        <v>7</v>
      </c>
      <c r="B19" s="173" t="s">
        <v>566</v>
      </c>
      <c r="C19" s="176"/>
    </row>
    <row r="20" spans="1:18">
      <c r="A20" s="256" t="s">
        <v>9</v>
      </c>
      <c r="B20" s="173" t="s">
        <v>1552</v>
      </c>
      <c r="C20" s="176"/>
    </row>
    <row r="21" spans="1:18" ht="10.5" customHeight="1">
      <c r="A21" s="256" t="s">
        <v>11</v>
      </c>
      <c r="B21" s="179" t="s">
        <v>913</v>
      </c>
      <c r="P21" s="272"/>
    </row>
    <row r="22" spans="1:18">
      <c r="A22" s="256" t="s">
        <v>13</v>
      </c>
      <c r="B22" s="173" t="s">
        <v>14</v>
      </c>
      <c r="P22" s="272"/>
    </row>
    <row r="23" spans="1:18">
      <c r="A23" s="256" t="s">
        <v>15</v>
      </c>
      <c r="B23" s="173">
        <f>B28</f>
        <v>5.0000000000000001E-3</v>
      </c>
      <c r="P23" s="272"/>
    </row>
    <row r="24" spans="1:18">
      <c r="A24" s="256" t="s">
        <v>16</v>
      </c>
      <c r="B24" s="173" t="s">
        <v>17</v>
      </c>
    </row>
    <row r="25" spans="1:18">
      <c r="A25" s="256" t="s">
        <v>18</v>
      </c>
      <c r="B25" s="173" t="s">
        <v>37</v>
      </c>
    </row>
    <row r="26" spans="1:18">
      <c r="A26" s="257" t="s">
        <v>19</v>
      </c>
    </row>
    <row r="27" spans="1:18">
      <c r="A27" s="257" t="s">
        <v>20</v>
      </c>
      <c r="B27" s="175" t="s">
        <v>21</v>
      </c>
      <c r="C27" s="175" t="s">
        <v>18</v>
      </c>
      <c r="D27" s="175" t="s">
        <v>22</v>
      </c>
      <c r="E27" s="175" t="s">
        <v>7</v>
      </c>
      <c r="F27" s="175" t="s">
        <v>13</v>
      </c>
      <c r="G27" s="175" t="s">
        <v>16</v>
      </c>
      <c r="H27" s="175" t="s">
        <v>23</v>
      </c>
      <c r="I27" s="175" t="s">
        <v>24</v>
      </c>
      <c r="J27" s="175" t="s">
        <v>25</v>
      </c>
      <c r="K27" s="175" t="s">
        <v>26</v>
      </c>
      <c r="L27" s="175" t="s">
        <v>27</v>
      </c>
      <c r="M27" s="175" t="s">
        <v>28</v>
      </c>
      <c r="N27" s="175" t="s">
        <v>11</v>
      </c>
    </row>
    <row r="28" spans="1:18">
      <c r="A28" s="178" t="s">
        <v>1550</v>
      </c>
      <c r="B28" s="173">
        <v>5.0000000000000001E-3</v>
      </c>
      <c r="C28" s="173" t="s">
        <v>37</v>
      </c>
      <c r="D28" s="258" t="s">
        <v>2</v>
      </c>
      <c r="E28" s="173" t="s">
        <v>29</v>
      </c>
      <c r="F28" s="185" t="s">
        <v>14</v>
      </c>
      <c r="G28" s="173" t="s">
        <v>30</v>
      </c>
      <c r="H28" s="173">
        <v>1</v>
      </c>
      <c r="I28" s="173">
        <f>B28</f>
        <v>5.0000000000000001E-3</v>
      </c>
      <c r="J28" s="173" t="s">
        <v>31</v>
      </c>
      <c r="K28" s="173" t="s">
        <v>31</v>
      </c>
      <c r="L28" s="173" t="s">
        <v>31</v>
      </c>
      <c r="M28" s="173" t="s">
        <v>31</v>
      </c>
    </row>
    <row r="29" spans="1:18">
      <c r="A29" s="83" t="s">
        <v>1008</v>
      </c>
      <c r="B29" s="265">
        <f>R29</f>
        <v>5.7000000000000002E-3</v>
      </c>
      <c r="C29" s="173" t="s">
        <v>37</v>
      </c>
      <c r="D29" s="173" t="s">
        <v>38</v>
      </c>
      <c r="E29" s="173" t="s">
        <v>29</v>
      </c>
      <c r="F29" s="185" t="s">
        <v>60</v>
      </c>
      <c r="G29" s="173" t="s">
        <v>33</v>
      </c>
      <c r="H29" s="173">
        <v>2</v>
      </c>
      <c r="I29" s="173">
        <f t="shared" ref="I29:I31" si="2">LN(B29)</f>
        <v>-5.1672891041416324</v>
      </c>
      <c r="J29" s="343">
        <v>0.11236102527122109</v>
      </c>
      <c r="K29" s="173" t="s">
        <v>31</v>
      </c>
      <c r="L29" s="173" t="s">
        <v>31</v>
      </c>
      <c r="M29" s="173" t="s">
        <v>31</v>
      </c>
      <c r="O29" s="242" t="s">
        <v>947</v>
      </c>
      <c r="P29" s="264">
        <v>5.7</v>
      </c>
      <c r="Q29" s="173" t="s">
        <v>337</v>
      </c>
      <c r="R29" s="173">
        <f>P29*0.001</f>
        <v>5.7000000000000002E-3</v>
      </c>
    </row>
    <row r="30" spans="1:18">
      <c r="A30" s="256" t="s">
        <v>168</v>
      </c>
      <c r="B30" s="184">
        <f>P30</f>
        <v>0.02</v>
      </c>
      <c r="C30" s="173" t="s">
        <v>41</v>
      </c>
      <c r="D30" s="173" t="s">
        <v>38</v>
      </c>
      <c r="E30" s="173" t="s">
        <v>29</v>
      </c>
      <c r="F30" s="185" t="s">
        <v>35</v>
      </c>
      <c r="G30" s="173" t="s">
        <v>33</v>
      </c>
      <c r="H30" s="173">
        <v>2</v>
      </c>
      <c r="I30" s="173">
        <f t="shared" si="2"/>
        <v>-3.912023005428146</v>
      </c>
      <c r="J30" s="343">
        <v>0.11236102527122109</v>
      </c>
      <c r="K30" s="173" t="s">
        <v>31</v>
      </c>
      <c r="L30" s="173" t="s">
        <v>31</v>
      </c>
      <c r="M30" s="173" t="s">
        <v>31</v>
      </c>
      <c r="O30" s="242" t="s">
        <v>332</v>
      </c>
      <c r="P30" s="264">
        <v>0.02</v>
      </c>
    </row>
    <row r="31" spans="1:18">
      <c r="A31" s="83" t="s">
        <v>1012</v>
      </c>
      <c r="B31" s="173">
        <f>R31</f>
        <v>2.9999999999999997E-4</v>
      </c>
      <c r="C31" s="173" t="s">
        <v>37</v>
      </c>
      <c r="D31" s="173" t="s">
        <v>43</v>
      </c>
      <c r="E31" s="173" t="s">
        <v>1013</v>
      </c>
      <c r="F31" s="185" t="s">
        <v>29</v>
      </c>
      <c r="G31" s="173" t="s">
        <v>45</v>
      </c>
      <c r="H31" s="173">
        <v>2</v>
      </c>
      <c r="I31" s="173">
        <f t="shared" si="2"/>
        <v>-8.1117280833080727</v>
      </c>
      <c r="J31" s="343">
        <v>0.11236102527122109</v>
      </c>
      <c r="K31" s="173" t="s">
        <v>31</v>
      </c>
      <c r="L31" s="173" t="s">
        <v>31</v>
      </c>
      <c r="M31" s="173" t="s">
        <v>31</v>
      </c>
      <c r="O31" s="268" t="s">
        <v>947</v>
      </c>
      <c r="P31" s="269">
        <v>0.3</v>
      </c>
      <c r="Q31" s="173" t="s">
        <v>337</v>
      </c>
      <c r="R31" s="173">
        <f>P31*0.001</f>
        <v>2.9999999999999997E-4</v>
      </c>
    </row>
    <row r="32" spans="1:18">
      <c r="A32" s="254" t="s">
        <v>5</v>
      </c>
      <c r="B32" s="210" t="s">
        <v>1551</v>
      </c>
      <c r="C32" s="211"/>
      <c r="D32" s="188"/>
      <c r="E32" s="188"/>
      <c r="F32" s="188"/>
      <c r="G32" s="188"/>
      <c r="H32" s="188"/>
      <c r="I32" s="188"/>
      <c r="J32" s="188"/>
      <c r="K32" s="188"/>
      <c r="L32" s="188"/>
      <c r="M32" s="188"/>
      <c r="N32" s="188"/>
      <c r="O32" s="188"/>
      <c r="P32" s="188"/>
      <c r="Q32" s="188"/>
      <c r="R32" s="188"/>
    </row>
    <row r="33" spans="1:21">
      <c r="A33" s="256" t="s">
        <v>7</v>
      </c>
      <c r="B33" s="173" t="s">
        <v>566</v>
      </c>
      <c r="C33" s="176"/>
    </row>
    <row r="34" spans="1:21">
      <c r="A34" s="256" t="s">
        <v>9</v>
      </c>
      <c r="B34" s="173" t="s">
        <v>1553</v>
      </c>
      <c r="C34" s="176"/>
    </row>
    <row r="35" spans="1:21" ht="15.75" customHeight="1">
      <c r="A35" s="256" t="s">
        <v>11</v>
      </c>
      <c r="B35" s="179" t="s">
        <v>913</v>
      </c>
      <c r="T35" s="228" t="s">
        <v>1319</v>
      </c>
    </row>
    <row r="36" spans="1:21">
      <c r="A36" s="256" t="s">
        <v>13</v>
      </c>
      <c r="B36" s="173" t="s">
        <v>14</v>
      </c>
      <c r="T36" s="173">
        <f>0.05/0.25</f>
        <v>0.2</v>
      </c>
      <c r="U36" s="173" t="s">
        <v>1304</v>
      </c>
    </row>
    <row r="37" spans="1:21">
      <c r="A37" s="256" t="s">
        <v>15</v>
      </c>
      <c r="B37" s="173">
        <f>B42</f>
        <v>0.05</v>
      </c>
    </row>
    <row r="38" spans="1:21">
      <c r="A38" s="256" t="s">
        <v>16</v>
      </c>
      <c r="B38" s="173" t="s">
        <v>17</v>
      </c>
    </row>
    <row r="39" spans="1:21">
      <c r="A39" s="256" t="s">
        <v>18</v>
      </c>
      <c r="B39" s="173" t="s">
        <v>206</v>
      </c>
    </row>
    <row r="40" spans="1:21">
      <c r="A40" s="257" t="s">
        <v>19</v>
      </c>
    </row>
    <row r="41" spans="1:21">
      <c r="A41" s="257" t="s">
        <v>20</v>
      </c>
      <c r="B41" s="175" t="s">
        <v>21</v>
      </c>
      <c r="C41" s="175" t="s">
        <v>18</v>
      </c>
      <c r="D41" s="175" t="s">
        <v>22</v>
      </c>
      <c r="E41" s="175" t="s">
        <v>7</v>
      </c>
      <c r="F41" s="175" t="s">
        <v>13</v>
      </c>
      <c r="G41" s="175" t="s">
        <v>16</v>
      </c>
      <c r="H41" s="175" t="s">
        <v>23</v>
      </c>
      <c r="I41" s="175" t="s">
        <v>24</v>
      </c>
      <c r="J41" s="175" t="s">
        <v>25</v>
      </c>
      <c r="K41" s="175" t="s">
        <v>26</v>
      </c>
      <c r="L41" s="175" t="s">
        <v>27</v>
      </c>
      <c r="M41" s="175" t="s">
        <v>28</v>
      </c>
      <c r="N41" s="175" t="s">
        <v>11</v>
      </c>
    </row>
    <row r="42" spans="1:21">
      <c r="A42" s="178" t="s">
        <v>1551</v>
      </c>
      <c r="B42" s="173">
        <f>P43</f>
        <v>0.05</v>
      </c>
      <c r="C42" s="173" t="s">
        <v>206</v>
      </c>
      <c r="D42" s="258" t="s">
        <v>2</v>
      </c>
      <c r="E42" s="173" t="s">
        <v>29</v>
      </c>
      <c r="F42" s="185" t="s">
        <v>14</v>
      </c>
      <c r="G42" s="173" t="s">
        <v>30</v>
      </c>
      <c r="H42" s="173">
        <v>1</v>
      </c>
      <c r="I42" s="173">
        <f t="shared" ref="I42:I43" si="3">B42</f>
        <v>0.05</v>
      </c>
      <c r="J42" s="173" t="s">
        <v>31</v>
      </c>
      <c r="K42" s="173" t="s">
        <v>31</v>
      </c>
      <c r="L42" s="173" t="s">
        <v>31</v>
      </c>
      <c r="M42" s="173" t="s">
        <v>31</v>
      </c>
    </row>
    <row r="43" spans="1:21">
      <c r="A43" s="178" t="s">
        <v>1554</v>
      </c>
      <c r="B43" s="270">
        <f>R43</f>
        <v>0.25</v>
      </c>
      <c r="C43" s="173" t="s">
        <v>37</v>
      </c>
      <c r="D43" s="258" t="s">
        <v>2</v>
      </c>
      <c r="E43" s="173" t="s">
        <v>29</v>
      </c>
      <c r="F43" s="185" t="s">
        <v>14</v>
      </c>
      <c r="G43" s="173" t="s">
        <v>33</v>
      </c>
      <c r="H43" s="173">
        <v>1</v>
      </c>
      <c r="I43" s="173">
        <f t="shared" si="3"/>
        <v>0.25</v>
      </c>
      <c r="J43" s="173" t="s">
        <v>31</v>
      </c>
      <c r="K43" s="173" t="s">
        <v>31</v>
      </c>
      <c r="L43" s="173" t="s">
        <v>31</v>
      </c>
      <c r="M43" s="173" t="s">
        <v>31</v>
      </c>
      <c r="O43" s="242" t="s">
        <v>945</v>
      </c>
      <c r="P43" s="264">
        <v>0.05</v>
      </c>
      <c r="Q43" s="173" t="s">
        <v>337</v>
      </c>
      <c r="R43" s="191">
        <f>B68</f>
        <v>0.25</v>
      </c>
      <c r="S43" s="173" t="s">
        <v>1555</v>
      </c>
    </row>
    <row r="44" spans="1:21" ht="15">
      <c r="A44" s="256" t="s">
        <v>168</v>
      </c>
      <c r="B44" s="184">
        <f>P44</f>
        <v>0.18</v>
      </c>
      <c r="C44" s="173" t="s">
        <v>41</v>
      </c>
      <c r="D44" s="173" t="s">
        <v>38</v>
      </c>
      <c r="E44" s="173" t="s">
        <v>29</v>
      </c>
      <c r="F44" s="185" t="s">
        <v>35</v>
      </c>
      <c r="G44" s="173" t="s">
        <v>33</v>
      </c>
      <c r="H44" s="173">
        <v>2</v>
      </c>
      <c r="I44" s="173">
        <f t="shared" ref="I44" si="4">LN(B44)</f>
        <v>-1.7147984280919266</v>
      </c>
      <c r="J44" s="343">
        <v>7.2284161474004766E-2</v>
      </c>
      <c r="K44" s="173" t="s">
        <v>31</v>
      </c>
      <c r="L44" s="173" t="s">
        <v>31</v>
      </c>
      <c r="M44" s="173" t="s">
        <v>31</v>
      </c>
      <c r="O44" s="242" t="s">
        <v>332</v>
      </c>
      <c r="P44" s="296">
        <v>0.18</v>
      </c>
    </row>
    <row r="45" spans="1:21" ht="15">
      <c r="A45" s="83" t="s">
        <v>1017</v>
      </c>
      <c r="B45" s="173">
        <f>R45</f>
        <v>4.0000000000000001E-3</v>
      </c>
      <c r="C45" s="173" t="s">
        <v>37</v>
      </c>
      <c r="D45" s="173" t="s">
        <v>38</v>
      </c>
      <c r="E45" s="173" t="s">
        <v>29</v>
      </c>
      <c r="F45" s="185" t="s">
        <v>60</v>
      </c>
      <c r="G45" s="173" t="s">
        <v>33</v>
      </c>
      <c r="H45" s="173">
        <v>2</v>
      </c>
      <c r="I45" s="173">
        <f>LN(B45)</f>
        <v>-5.521460917862246</v>
      </c>
      <c r="J45" s="343">
        <v>7.2284161474004766E-2</v>
      </c>
      <c r="K45" s="173" t="s">
        <v>31</v>
      </c>
      <c r="L45" s="173" t="s">
        <v>31</v>
      </c>
      <c r="M45" s="173" t="s">
        <v>31</v>
      </c>
      <c r="O45" s="242" t="s">
        <v>947</v>
      </c>
      <c r="P45" s="296">
        <v>4</v>
      </c>
      <c r="Q45" s="173" t="s">
        <v>337</v>
      </c>
      <c r="R45" s="173">
        <f>P45*0.001</f>
        <v>4.0000000000000001E-3</v>
      </c>
    </row>
    <row r="46" spans="1:21" ht="15">
      <c r="A46" s="83" t="s">
        <v>1018</v>
      </c>
      <c r="B46" s="173">
        <f>R46</f>
        <v>8.0000000000000002E-3</v>
      </c>
      <c r="C46" s="173" t="s">
        <v>37</v>
      </c>
      <c r="D46" s="173" t="s">
        <v>38</v>
      </c>
      <c r="E46" s="173" t="s">
        <v>29</v>
      </c>
      <c r="F46" s="185" t="s">
        <v>35</v>
      </c>
      <c r="G46" s="173" t="s">
        <v>33</v>
      </c>
      <c r="H46" s="173">
        <v>2</v>
      </c>
      <c r="I46" s="173">
        <f>LN(B46)</f>
        <v>-4.8283137373023015</v>
      </c>
      <c r="J46" s="343">
        <v>7.2284161474004766E-2</v>
      </c>
      <c r="K46" s="173" t="s">
        <v>31</v>
      </c>
      <c r="L46" s="173" t="s">
        <v>31</v>
      </c>
      <c r="M46" s="173" t="s">
        <v>31</v>
      </c>
      <c r="O46" s="242" t="s">
        <v>947</v>
      </c>
      <c r="P46" s="296">
        <v>8</v>
      </c>
      <c r="Q46" s="173" t="s">
        <v>337</v>
      </c>
      <c r="R46" s="173">
        <f>P46*0.001</f>
        <v>8.0000000000000002E-3</v>
      </c>
    </row>
    <row r="47" spans="1:21" ht="15">
      <c r="A47" s="83" t="s">
        <v>933</v>
      </c>
      <c r="B47" s="173">
        <f>P47</f>
        <v>6.8</v>
      </c>
      <c r="C47" s="173" t="s">
        <v>37</v>
      </c>
      <c r="D47" s="173" t="s">
        <v>38</v>
      </c>
      <c r="E47" s="173" t="s">
        <v>29</v>
      </c>
      <c r="F47" s="185" t="s">
        <v>39</v>
      </c>
      <c r="G47" s="173" t="s">
        <v>33</v>
      </c>
      <c r="H47" s="173">
        <v>2</v>
      </c>
      <c r="I47" s="173">
        <f>LN(B47)</f>
        <v>1.9169226121820611</v>
      </c>
      <c r="J47" s="343">
        <v>7.2284161474004766E-2</v>
      </c>
      <c r="K47" s="173" t="s">
        <v>31</v>
      </c>
      <c r="L47" s="173" t="s">
        <v>31</v>
      </c>
      <c r="M47" s="173" t="s">
        <v>31</v>
      </c>
      <c r="O47" s="242" t="s">
        <v>337</v>
      </c>
      <c r="P47" s="296">
        <v>6.8</v>
      </c>
    </row>
    <row r="48" spans="1:21" ht="15">
      <c r="A48" s="83" t="s">
        <v>489</v>
      </c>
      <c r="B48" s="173">
        <f>R48</f>
        <v>6.7999999999999996E-3</v>
      </c>
      <c r="C48" s="173" t="s">
        <v>50</v>
      </c>
      <c r="D48" s="173" t="s">
        <v>38</v>
      </c>
      <c r="E48" s="173" t="s">
        <v>29</v>
      </c>
      <c r="F48" s="185" t="s">
        <v>39</v>
      </c>
      <c r="G48" s="173" t="s">
        <v>33</v>
      </c>
      <c r="H48" s="173">
        <v>2</v>
      </c>
      <c r="I48" s="173">
        <f t="shared" ref="I48" si="5">LN(B48)</f>
        <v>-4.9908326668000758</v>
      </c>
      <c r="J48" s="343">
        <v>7.2284161474004766E-2</v>
      </c>
      <c r="K48" s="173" t="s">
        <v>31</v>
      </c>
      <c r="L48" s="173" t="s">
        <v>31</v>
      </c>
      <c r="M48" s="173" t="s">
        <v>31</v>
      </c>
      <c r="O48" s="268" t="s">
        <v>1009</v>
      </c>
      <c r="P48" s="306">
        <v>6.8</v>
      </c>
      <c r="Q48" s="173" t="s">
        <v>335</v>
      </c>
      <c r="R48" s="173">
        <f>P48/1000</f>
        <v>6.7999999999999996E-3</v>
      </c>
    </row>
    <row r="49" spans="1:18">
      <c r="A49" s="254" t="s">
        <v>5</v>
      </c>
      <c r="B49" s="210" t="s">
        <v>1556</v>
      </c>
      <c r="C49" s="211"/>
      <c r="D49" s="188"/>
      <c r="E49" s="188"/>
      <c r="F49" s="188"/>
      <c r="G49" s="188"/>
      <c r="H49" s="188"/>
      <c r="I49" s="188"/>
      <c r="J49" s="188"/>
      <c r="K49" s="188"/>
      <c r="L49" s="188"/>
      <c r="M49" s="188"/>
      <c r="N49" s="188"/>
      <c r="O49" s="188"/>
      <c r="P49" s="188"/>
      <c r="Q49" s="188"/>
      <c r="R49" s="188"/>
    </row>
    <row r="50" spans="1:18">
      <c r="A50" s="256" t="s">
        <v>7</v>
      </c>
      <c r="B50" s="173" t="s">
        <v>566</v>
      </c>
      <c r="C50" s="176"/>
    </row>
    <row r="51" spans="1:18">
      <c r="A51" s="256" t="s">
        <v>9</v>
      </c>
      <c r="B51" s="173" t="s">
        <v>1557</v>
      </c>
      <c r="C51" s="176"/>
    </row>
    <row r="52" spans="1:18" ht="10.5" customHeight="1">
      <c r="A52" s="256" t="s">
        <v>11</v>
      </c>
      <c r="B52" s="179" t="s">
        <v>913</v>
      </c>
    </row>
    <row r="53" spans="1:18">
      <c r="A53" s="256" t="s">
        <v>13</v>
      </c>
      <c r="B53" s="173" t="s">
        <v>14</v>
      </c>
    </row>
    <row r="54" spans="1:18">
      <c r="A54" s="256" t="s">
        <v>15</v>
      </c>
      <c r="B54" s="270">
        <f>B59</f>
        <v>8.9999999999999993E-3</v>
      </c>
    </row>
    <row r="55" spans="1:18">
      <c r="A55" s="256" t="s">
        <v>16</v>
      </c>
      <c r="B55" s="173" t="s">
        <v>17</v>
      </c>
    </row>
    <row r="56" spans="1:18">
      <c r="A56" s="256" t="s">
        <v>18</v>
      </c>
      <c r="B56" s="173" t="s">
        <v>37</v>
      </c>
    </row>
    <row r="57" spans="1:18">
      <c r="A57" s="257" t="s">
        <v>19</v>
      </c>
    </row>
    <row r="58" spans="1:18">
      <c r="A58" s="257" t="s">
        <v>20</v>
      </c>
      <c r="B58" s="175" t="s">
        <v>21</v>
      </c>
      <c r="C58" s="175" t="s">
        <v>18</v>
      </c>
      <c r="D58" s="175" t="s">
        <v>22</v>
      </c>
      <c r="E58" s="175" t="s">
        <v>7</v>
      </c>
      <c r="F58" s="175" t="s">
        <v>13</v>
      </c>
      <c r="G58" s="175" t="s">
        <v>16</v>
      </c>
      <c r="H58" s="175" t="s">
        <v>23</v>
      </c>
      <c r="I58" s="175" t="s">
        <v>24</v>
      </c>
      <c r="J58" s="175" t="s">
        <v>25</v>
      </c>
      <c r="K58" s="175" t="s">
        <v>26</v>
      </c>
      <c r="L58" s="175" t="s">
        <v>27</v>
      </c>
      <c r="M58" s="175" t="s">
        <v>28</v>
      </c>
      <c r="N58" s="175" t="s">
        <v>11</v>
      </c>
    </row>
    <row r="59" spans="1:18">
      <c r="A59" s="178" t="s">
        <v>1556</v>
      </c>
      <c r="B59" s="270">
        <f>P59</f>
        <v>8.9999999999999993E-3</v>
      </c>
      <c r="C59" s="173" t="s">
        <v>37</v>
      </c>
      <c r="D59" s="258" t="s">
        <v>2</v>
      </c>
      <c r="E59" s="173" t="s">
        <v>29</v>
      </c>
      <c r="F59" s="185" t="s">
        <v>14</v>
      </c>
      <c r="G59" s="173" t="s">
        <v>30</v>
      </c>
      <c r="H59" s="173">
        <v>1</v>
      </c>
      <c r="I59" s="173">
        <f>B59</f>
        <v>8.9999999999999993E-3</v>
      </c>
      <c r="J59" s="173" t="s">
        <v>31</v>
      </c>
      <c r="K59" s="173" t="s">
        <v>31</v>
      </c>
      <c r="L59" s="173" t="s">
        <v>31</v>
      </c>
      <c r="M59" s="173" t="s">
        <v>31</v>
      </c>
      <c r="O59" s="173" t="s">
        <v>337</v>
      </c>
      <c r="P59" s="341">
        <v>8.9999999999999993E-3</v>
      </c>
    </row>
    <row r="60" spans="1:18">
      <c r="A60" s="83" t="s">
        <v>1021</v>
      </c>
      <c r="B60" s="184">
        <f>R60</f>
        <v>0.01</v>
      </c>
      <c r="C60" s="173" t="s">
        <v>37</v>
      </c>
      <c r="D60" s="173" t="s">
        <v>38</v>
      </c>
      <c r="E60" s="173" t="s">
        <v>29</v>
      </c>
      <c r="F60" s="185" t="s">
        <v>60</v>
      </c>
      <c r="G60" s="173" t="s">
        <v>33</v>
      </c>
      <c r="H60" s="173">
        <v>2</v>
      </c>
      <c r="I60" s="173">
        <f>LN(B60)</f>
        <v>-4.6051701859880909</v>
      </c>
      <c r="J60" s="173">
        <v>7.2284161474004766E-2</v>
      </c>
      <c r="K60" s="173" t="s">
        <v>31</v>
      </c>
      <c r="L60" s="173" t="s">
        <v>31</v>
      </c>
      <c r="M60" s="173" t="s">
        <v>31</v>
      </c>
      <c r="O60" s="242" t="s">
        <v>947</v>
      </c>
      <c r="P60" s="264">
        <v>10</v>
      </c>
      <c r="Q60" s="173" t="s">
        <v>337</v>
      </c>
      <c r="R60" s="173">
        <f>P60*0.001</f>
        <v>0.01</v>
      </c>
    </row>
    <row r="61" spans="1:18">
      <c r="A61" s="256" t="s">
        <v>168</v>
      </c>
      <c r="B61" s="184">
        <f>P61</f>
        <v>0.04</v>
      </c>
      <c r="C61" s="173" t="s">
        <v>41</v>
      </c>
      <c r="D61" s="173" t="s">
        <v>38</v>
      </c>
      <c r="E61" s="173" t="s">
        <v>29</v>
      </c>
      <c r="F61" s="185" t="s">
        <v>35</v>
      </c>
      <c r="G61" s="173" t="s">
        <v>33</v>
      </c>
      <c r="H61" s="173">
        <v>2</v>
      </c>
      <c r="I61" s="173">
        <f t="shared" ref="I61:I62" si="6">LN(B61)</f>
        <v>-3.2188758248682006</v>
      </c>
      <c r="J61" s="173">
        <v>7.2284161474004766E-2</v>
      </c>
      <c r="K61" s="173" t="s">
        <v>31</v>
      </c>
      <c r="L61" s="173" t="s">
        <v>31</v>
      </c>
      <c r="M61" s="173" t="s">
        <v>31</v>
      </c>
      <c r="O61" s="242" t="s">
        <v>332</v>
      </c>
      <c r="P61" s="264">
        <v>0.04</v>
      </c>
    </row>
    <row r="62" spans="1:18">
      <c r="A62" s="178" t="s">
        <v>1287</v>
      </c>
      <c r="B62" s="173">
        <f>R62</f>
        <v>5.0000000000000001E-4</v>
      </c>
      <c r="C62" s="173" t="s">
        <v>37</v>
      </c>
      <c r="D62" s="258" t="s">
        <v>2</v>
      </c>
      <c r="E62" s="173" t="s">
        <v>29</v>
      </c>
      <c r="F62" s="185" t="s">
        <v>39</v>
      </c>
      <c r="G62" s="173" t="s">
        <v>33</v>
      </c>
      <c r="H62" s="173">
        <v>2</v>
      </c>
      <c r="I62" s="173">
        <f t="shared" si="6"/>
        <v>-7.6009024595420822</v>
      </c>
      <c r="J62" s="173">
        <v>7.2284161474004766E-2</v>
      </c>
      <c r="K62" s="173" t="s">
        <v>31</v>
      </c>
      <c r="L62" s="173" t="s">
        <v>31</v>
      </c>
      <c r="M62" s="173" t="s">
        <v>31</v>
      </c>
      <c r="O62" s="242" t="s">
        <v>947</v>
      </c>
      <c r="P62" s="264">
        <v>0.5</v>
      </c>
      <c r="Q62" s="173" t="s">
        <v>337</v>
      </c>
      <c r="R62" s="173">
        <f>P62*0.001</f>
        <v>5.0000000000000001E-4</v>
      </c>
    </row>
    <row r="63" spans="1:18" s="17" customFormat="1" ht="15.75">
      <c r="A63" s="254" t="s">
        <v>5</v>
      </c>
      <c r="B63" s="210" t="s">
        <v>1554</v>
      </c>
      <c r="C63" s="211"/>
      <c r="D63" s="188"/>
      <c r="E63" s="188"/>
      <c r="F63" s="188"/>
      <c r="G63" s="188"/>
      <c r="H63" s="188"/>
      <c r="I63" s="188"/>
      <c r="J63" s="188"/>
      <c r="K63" s="188"/>
      <c r="L63" s="188"/>
      <c r="M63" s="188"/>
      <c r="N63" s="188"/>
      <c r="O63" s="273"/>
      <c r="P63" s="273"/>
      <c r="Q63" s="273"/>
      <c r="R63" s="273"/>
    </row>
    <row r="64" spans="1:18" s="17" customFormat="1" ht="15.75">
      <c r="A64" s="256" t="s">
        <v>7</v>
      </c>
      <c r="B64" s="173" t="s">
        <v>566</v>
      </c>
      <c r="C64" s="176"/>
      <c r="D64" s="173"/>
      <c r="E64" s="173"/>
      <c r="F64" s="173"/>
      <c r="G64" s="173"/>
      <c r="H64" s="173"/>
      <c r="I64" s="173"/>
      <c r="J64" s="173"/>
      <c r="K64" s="173"/>
      <c r="L64" s="173"/>
      <c r="M64" s="173"/>
      <c r="N64" s="173"/>
    </row>
    <row r="65" spans="1:16" s="17" customFormat="1" ht="15.75">
      <c r="A65" s="256" t="s">
        <v>9</v>
      </c>
      <c r="B65" s="173" t="s">
        <v>1558</v>
      </c>
      <c r="C65" s="176"/>
      <c r="D65" s="173"/>
      <c r="E65" s="173"/>
      <c r="F65" s="173"/>
      <c r="G65" s="173"/>
      <c r="H65" s="173"/>
      <c r="I65" s="173"/>
      <c r="J65" s="173"/>
      <c r="K65" s="173"/>
      <c r="L65" s="173"/>
      <c r="M65" s="173"/>
      <c r="N65" s="173"/>
    </row>
    <row r="66" spans="1:16" s="17" customFormat="1" ht="10.5" customHeight="1">
      <c r="A66" s="256" t="s">
        <v>11</v>
      </c>
      <c r="B66" s="179" t="s">
        <v>913</v>
      </c>
      <c r="C66" s="173"/>
      <c r="D66" s="173"/>
      <c r="E66" s="173"/>
      <c r="F66" s="173"/>
      <c r="G66" s="173"/>
      <c r="H66" s="173"/>
      <c r="I66" s="173"/>
      <c r="J66" s="173"/>
      <c r="K66" s="173"/>
      <c r="L66" s="173"/>
      <c r="M66" s="173"/>
      <c r="N66" s="173"/>
    </row>
    <row r="67" spans="1:16" s="17" customFormat="1" ht="15.75">
      <c r="A67" s="256" t="s">
        <v>13</v>
      </c>
      <c r="B67" s="173" t="s">
        <v>14</v>
      </c>
      <c r="C67" s="173"/>
      <c r="D67" s="173"/>
      <c r="E67" s="173"/>
      <c r="F67" s="173"/>
      <c r="G67" s="173"/>
      <c r="H67" s="173"/>
      <c r="I67" s="173"/>
      <c r="J67" s="173"/>
      <c r="K67" s="173"/>
      <c r="L67" s="173"/>
      <c r="M67" s="173"/>
      <c r="N67" s="173"/>
    </row>
    <row r="68" spans="1:16" s="17" customFormat="1" ht="15.75">
      <c r="A68" s="256" t="s">
        <v>15</v>
      </c>
      <c r="B68" s="191">
        <f>B73</f>
        <v>0.25</v>
      </c>
      <c r="C68" s="173"/>
      <c r="D68" s="173"/>
      <c r="E68" s="173"/>
      <c r="F68" s="173"/>
      <c r="G68" s="173"/>
      <c r="H68" s="173"/>
      <c r="I68" s="173"/>
      <c r="J68" s="173"/>
      <c r="K68" s="173"/>
      <c r="L68" s="173"/>
      <c r="M68" s="173"/>
      <c r="N68" s="173"/>
    </row>
    <row r="69" spans="1:16" s="17" customFormat="1" ht="15.75">
      <c r="A69" s="256" t="s">
        <v>16</v>
      </c>
      <c r="B69" s="173" t="s">
        <v>17</v>
      </c>
      <c r="C69" s="173"/>
      <c r="D69" s="173"/>
      <c r="E69" s="173"/>
      <c r="F69" s="173"/>
      <c r="G69" s="173"/>
      <c r="H69" s="173"/>
      <c r="I69" s="173"/>
      <c r="J69" s="173"/>
      <c r="K69" s="173"/>
      <c r="L69" s="173"/>
      <c r="M69" s="173"/>
      <c r="N69" s="173"/>
    </row>
    <row r="70" spans="1:16" s="17" customFormat="1" ht="15.75">
      <c r="A70" s="256" t="s">
        <v>18</v>
      </c>
      <c r="B70" s="173" t="s">
        <v>37</v>
      </c>
      <c r="C70" s="173"/>
      <c r="D70" s="173"/>
      <c r="E70" s="173"/>
      <c r="F70" s="173"/>
      <c r="G70" s="173"/>
      <c r="H70" s="173"/>
      <c r="I70" s="173"/>
      <c r="J70" s="173"/>
      <c r="K70" s="173"/>
      <c r="L70" s="173"/>
      <c r="M70" s="173"/>
      <c r="N70" s="173"/>
    </row>
    <row r="71" spans="1:16" s="17" customFormat="1" ht="15.75">
      <c r="A71" s="257" t="s">
        <v>19</v>
      </c>
      <c r="B71" s="173"/>
      <c r="C71" s="173"/>
      <c r="D71" s="173"/>
      <c r="E71" s="173"/>
      <c r="F71" s="173"/>
      <c r="G71" s="173"/>
      <c r="H71" s="173"/>
      <c r="I71" s="173"/>
      <c r="J71" s="173"/>
      <c r="K71" s="173"/>
      <c r="L71" s="173"/>
      <c r="M71" s="173"/>
      <c r="N71" s="173"/>
    </row>
    <row r="72" spans="1:16" s="17" customFormat="1" ht="15.75">
      <c r="A72" s="257" t="s">
        <v>20</v>
      </c>
      <c r="B72" s="175" t="s">
        <v>21</v>
      </c>
      <c r="C72" s="175" t="s">
        <v>18</v>
      </c>
      <c r="D72" s="175" t="s">
        <v>22</v>
      </c>
      <c r="E72" s="175" t="s">
        <v>7</v>
      </c>
      <c r="F72" s="175" t="s">
        <v>13</v>
      </c>
      <c r="G72" s="175" t="s">
        <v>16</v>
      </c>
      <c r="H72" s="175" t="s">
        <v>23</v>
      </c>
      <c r="I72" s="175" t="s">
        <v>24</v>
      </c>
      <c r="J72" s="175" t="s">
        <v>25</v>
      </c>
      <c r="K72" s="175" t="s">
        <v>26</v>
      </c>
      <c r="L72" s="175" t="s">
        <v>27</v>
      </c>
      <c r="M72" s="175" t="s">
        <v>28</v>
      </c>
      <c r="N72" s="175" t="s">
        <v>11</v>
      </c>
    </row>
    <row r="73" spans="1:16" s="17" customFormat="1" ht="15.75">
      <c r="A73" s="178" t="s">
        <v>1554</v>
      </c>
      <c r="B73" s="184">
        <v>0.25</v>
      </c>
      <c r="C73" s="173" t="s">
        <v>37</v>
      </c>
      <c r="D73" s="258" t="s">
        <v>2</v>
      </c>
      <c r="E73" s="173" t="s">
        <v>29</v>
      </c>
      <c r="F73" s="185" t="s">
        <v>14</v>
      </c>
      <c r="G73" s="173" t="s">
        <v>30</v>
      </c>
      <c r="H73" s="173">
        <v>1</v>
      </c>
      <c r="I73" s="191">
        <f>B73</f>
        <v>0.25</v>
      </c>
      <c r="J73" s="173" t="s">
        <v>31</v>
      </c>
      <c r="K73" s="173" t="s">
        <v>31</v>
      </c>
      <c r="L73" s="173" t="s">
        <v>31</v>
      </c>
      <c r="M73" s="173" t="s">
        <v>31</v>
      </c>
      <c r="N73" s="173"/>
      <c r="O73" s="274"/>
      <c r="P73" s="275"/>
    </row>
    <row r="74" spans="1:16" s="17" customFormat="1" ht="15.75">
      <c r="A74" s="83" t="s">
        <v>137</v>
      </c>
      <c r="B74" s="184">
        <v>0.25</v>
      </c>
      <c r="C74" s="173" t="s">
        <v>37</v>
      </c>
      <c r="D74" s="173" t="s">
        <v>38</v>
      </c>
      <c r="E74" s="173" t="s">
        <v>29</v>
      </c>
      <c r="F74" s="185" t="s">
        <v>60</v>
      </c>
      <c r="G74" s="173" t="s">
        <v>33</v>
      </c>
      <c r="H74" s="173">
        <v>1</v>
      </c>
      <c r="I74" s="191">
        <f t="shared" ref="I74:I75" si="7">B74</f>
        <v>0.25</v>
      </c>
      <c r="J74" s="173" t="s">
        <v>31</v>
      </c>
      <c r="K74" s="173" t="s">
        <v>31</v>
      </c>
      <c r="L74" s="173" t="s">
        <v>31</v>
      </c>
      <c r="M74" s="173" t="s">
        <v>31</v>
      </c>
      <c r="N74" s="173"/>
      <c r="O74" s="274"/>
      <c r="P74" s="275"/>
    </row>
    <row r="75" spans="1:16" s="17" customFormat="1" ht="15.75">
      <c r="A75" s="83" t="s">
        <v>914</v>
      </c>
      <c r="B75" s="184">
        <v>0.25</v>
      </c>
      <c r="C75" s="173" t="s">
        <v>37</v>
      </c>
      <c r="D75" s="173" t="s">
        <v>38</v>
      </c>
      <c r="E75" s="173" t="s">
        <v>29</v>
      </c>
      <c r="F75" s="185" t="s">
        <v>60</v>
      </c>
      <c r="G75" s="173" t="s">
        <v>33</v>
      </c>
      <c r="H75" s="173">
        <v>1</v>
      </c>
      <c r="I75" s="191">
        <f t="shared" si="7"/>
        <v>0.25</v>
      </c>
      <c r="J75" s="173" t="s">
        <v>31</v>
      </c>
      <c r="K75" s="173" t="s">
        <v>31</v>
      </c>
      <c r="L75" s="173" t="s">
        <v>31</v>
      </c>
      <c r="M75" s="173" t="s">
        <v>31</v>
      </c>
      <c r="N75" s="173"/>
      <c r="O75" s="274"/>
      <c r="P75" s="275"/>
    </row>
    <row r="76" spans="1:16" s="273" customFormat="1" ht="15.75">
      <c r="A76" s="209" t="s">
        <v>5</v>
      </c>
      <c r="B76" s="210" t="s">
        <v>1559</v>
      </c>
      <c r="C76" s="211"/>
      <c r="D76" s="188"/>
      <c r="E76" s="188"/>
      <c r="F76" s="188"/>
      <c r="G76" s="188"/>
      <c r="H76" s="188"/>
      <c r="I76" s="188"/>
      <c r="J76" s="188"/>
      <c r="K76" s="188"/>
      <c r="L76" s="188"/>
      <c r="M76" s="188"/>
      <c r="N76" s="188"/>
    </row>
    <row r="77" spans="1:16" s="17" customFormat="1" ht="15.75">
      <c r="A77" s="177" t="s">
        <v>7</v>
      </c>
      <c r="B77" s="173" t="s">
        <v>566</v>
      </c>
      <c r="C77" s="176"/>
      <c r="D77" s="173"/>
      <c r="E77" s="173"/>
      <c r="F77" s="173"/>
      <c r="G77" s="173"/>
      <c r="H77" s="173"/>
      <c r="I77" s="173"/>
      <c r="J77" s="173"/>
      <c r="K77" s="173"/>
      <c r="L77" s="173"/>
      <c r="M77" s="173"/>
      <c r="N77" s="173"/>
    </row>
    <row r="78" spans="1:16" s="17" customFormat="1" ht="15.75">
      <c r="A78" s="276" t="s">
        <v>9</v>
      </c>
      <c r="B78" s="173" t="s">
        <v>1560</v>
      </c>
      <c r="C78" s="176"/>
      <c r="D78" s="173"/>
      <c r="E78" s="173"/>
      <c r="F78" s="173"/>
      <c r="G78" s="173"/>
      <c r="H78" s="173"/>
      <c r="I78" s="173"/>
      <c r="J78" s="173"/>
      <c r="K78" s="173"/>
      <c r="L78" s="173"/>
      <c r="M78" s="173"/>
      <c r="N78" s="173"/>
    </row>
    <row r="79" spans="1:16" s="17" customFormat="1" ht="15.75" customHeight="1">
      <c r="A79" s="177" t="s">
        <v>11</v>
      </c>
      <c r="B79" s="179" t="s">
        <v>913</v>
      </c>
      <c r="C79" s="173"/>
      <c r="D79" s="173"/>
      <c r="E79" s="173"/>
      <c r="F79" s="173"/>
      <c r="G79" s="173"/>
      <c r="H79" s="173"/>
      <c r="I79" s="173"/>
      <c r="J79" s="173"/>
      <c r="K79" s="173"/>
      <c r="L79" s="173"/>
      <c r="M79" s="173"/>
      <c r="N79" s="173"/>
    </row>
    <row r="80" spans="1:16" s="17" customFormat="1" ht="15.75">
      <c r="A80" s="177" t="s">
        <v>13</v>
      </c>
      <c r="B80" s="173" t="s">
        <v>14</v>
      </c>
      <c r="C80" s="173"/>
      <c r="D80" s="173"/>
      <c r="E80" s="173"/>
      <c r="F80" s="173"/>
      <c r="G80" s="173"/>
      <c r="H80" s="173"/>
      <c r="I80" s="173"/>
      <c r="J80" s="173"/>
      <c r="K80" s="173"/>
      <c r="L80" s="173"/>
      <c r="M80" s="173"/>
      <c r="N80" s="173"/>
    </row>
    <row r="81" spans="1:19" s="17" customFormat="1" ht="15.75">
      <c r="A81" s="177" t="s">
        <v>15</v>
      </c>
      <c r="B81" s="303">
        <f>B86</f>
        <v>1.03</v>
      </c>
      <c r="C81" s="173"/>
      <c r="D81" s="173"/>
      <c r="E81" s="173"/>
      <c r="F81" s="173"/>
      <c r="G81" s="173"/>
      <c r="H81" s="173"/>
      <c r="I81" s="173"/>
      <c r="J81" s="173"/>
      <c r="K81" s="173"/>
      <c r="L81" s="173"/>
      <c r="M81" s="173"/>
      <c r="N81" s="173"/>
    </row>
    <row r="82" spans="1:19" s="17" customFormat="1" ht="15.75">
      <c r="A82" s="177" t="s">
        <v>16</v>
      </c>
      <c r="B82" s="173" t="s">
        <v>17</v>
      </c>
      <c r="C82" s="173"/>
      <c r="D82" s="173"/>
      <c r="E82" s="173"/>
      <c r="F82" s="173"/>
      <c r="G82" s="173"/>
      <c r="H82" s="173"/>
      <c r="I82" s="173"/>
      <c r="J82" s="173"/>
      <c r="K82" s="173"/>
      <c r="L82" s="173"/>
      <c r="M82" s="173"/>
      <c r="N82" s="173"/>
    </row>
    <row r="83" spans="1:19" s="17" customFormat="1" ht="15.75">
      <c r="A83" s="177" t="s">
        <v>18</v>
      </c>
      <c r="B83" s="173" t="s">
        <v>37</v>
      </c>
      <c r="C83" s="173"/>
      <c r="D83" s="173"/>
      <c r="E83" s="173"/>
      <c r="F83" s="173"/>
      <c r="G83" s="173"/>
      <c r="H83" s="173"/>
      <c r="I83" s="173"/>
      <c r="J83" s="173"/>
      <c r="K83" s="173"/>
      <c r="L83" s="173"/>
      <c r="M83" s="173"/>
      <c r="N83" s="173"/>
      <c r="S83" s="278"/>
    </row>
    <row r="84" spans="1:19" s="17" customFormat="1" ht="15.75">
      <c r="A84" s="174" t="s">
        <v>19</v>
      </c>
      <c r="B84" s="173"/>
      <c r="C84" s="173"/>
      <c r="D84" s="173"/>
      <c r="E84" s="173"/>
      <c r="F84" s="173"/>
      <c r="G84" s="173"/>
      <c r="H84" s="173"/>
      <c r="I84" s="173"/>
      <c r="J84" s="173"/>
      <c r="K84" s="173"/>
      <c r="L84" s="173"/>
      <c r="M84" s="173"/>
      <c r="N84" s="173"/>
    </row>
    <row r="85" spans="1:19" s="17" customFormat="1" ht="15.75">
      <c r="A85" s="175" t="s">
        <v>20</v>
      </c>
      <c r="B85" s="175" t="s">
        <v>21</v>
      </c>
      <c r="C85" s="175" t="s">
        <v>18</v>
      </c>
      <c r="D85" s="175" t="s">
        <v>22</v>
      </c>
      <c r="E85" s="175" t="s">
        <v>7</v>
      </c>
      <c r="F85" s="175" t="s">
        <v>13</v>
      </c>
      <c r="G85" s="175" t="s">
        <v>16</v>
      </c>
      <c r="H85" s="175" t="s">
        <v>23</v>
      </c>
      <c r="I85" s="175" t="s">
        <v>24</v>
      </c>
      <c r="J85" s="175" t="s">
        <v>25</v>
      </c>
      <c r="K85" s="175" t="s">
        <v>26</v>
      </c>
      <c r="L85" s="175" t="s">
        <v>27</v>
      </c>
      <c r="M85" s="175" t="s">
        <v>28</v>
      </c>
      <c r="N85" s="175" t="s">
        <v>11</v>
      </c>
    </row>
    <row r="86" spans="1:19" s="17" customFormat="1" ht="15.75">
      <c r="A86" s="173" t="s">
        <v>1559</v>
      </c>
      <c r="B86" s="191">
        <v>1.03</v>
      </c>
      <c r="C86" s="173" t="s">
        <v>37</v>
      </c>
      <c r="D86" s="258" t="s">
        <v>2</v>
      </c>
      <c r="E86" s="173" t="s">
        <v>29</v>
      </c>
      <c r="F86" s="173" t="s">
        <v>14</v>
      </c>
      <c r="G86" s="173" t="s">
        <v>917</v>
      </c>
      <c r="H86" s="173">
        <v>1</v>
      </c>
      <c r="I86" s="191">
        <f>B86</f>
        <v>1.03</v>
      </c>
      <c r="J86" s="173" t="s">
        <v>31</v>
      </c>
      <c r="K86" s="173" t="s">
        <v>31</v>
      </c>
      <c r="L86" s="173" t="s">
        <v>31</v>
      </c>
      <c r="M86" s="173" t="s">
        <v>31</v>
      </c>
      <c r="N86" s="173"/>
      <c r="O86" s="274"/>
      <c r="P86" s="275"/>
    </row>
    <row r="87" spans="1:19" s="17" customFormat="1" ht="15.75">
      <c r="A87" s="232" t="s">
        <v>918</v>
      </c>
      <c r="B87" s="191">
        <v>1.03</v>
      </c>
      <c r="C87" s="173" t="s">
        <v>37</v>
      </c>
      <c r="D87" s="173" t="s">
        <v>38</v>
      </c>
      <c r="E87" s="173" t="s">
        <v>29</v>
      </c>
      <c r="F87" s="185" t="s">
        <v>60</v>
      </c>
      <c r="G87" s="173" t="s">
        <v>33</v>
      </c>
      <c r="H87" s="173">
        <v>1</v>
      </c>
      <c r="I87" s="191">
        <f t="shared" ref="I87:I89" si="8">B87</f>
        <v>1.03</v>
      </c>
      <c r="J87" s="173" t="s">
        <v>31</v>
      </c>
      <c r="K87" s="173" t="s">
        <v>31</v>
      </c>
      <c r="L87" s="173" t="s">
        <v>31</v>
      </c>
      <c r="M87" s="173" t="s">
        <v>31</v>
      </c>
      <c r="N87" s="173"/>
      <c r="O87" s="274"/>
      <c r="P87" s="275"/>
    </row>
    <row r="88" spans="1:19" s="17" customFormat="1" ht="15.75">
      <c r="A88" s="232" t="s">
        <v>919</v>
      </c>
      <c r="B88" s="191">
        <v>1.03</v>
      </c>
      <c r="C88" s="173" t="s">
        <v>37</v>
      </c>
      <c r="D88" s="173" t="s">
        <v>38</v>
      </c>
      <c r="E88" s="173" t="s">
        <v>29</v>
      </c>
      <c r="F88" s="185" t="s">
        <v>60</v>
      </c>
      <c r="G88" s="173" t="s">
        <v>33</v>
      </c>
      <c r="H88" s="173">
        <v>1</v>
      </c>
      <c r="I88" s="191">
        <f t="shared" si="8"/>
        <v>1.03</v>
      </c>
      <c r="J88" s="173" t="s">
        <v>31</v>
      </c>
      <c r="K88" s="173" t="s">
        <v>31</v>
      </c>
      <c r="L88" s="173" t="s">
        <v>31</v>
      </c>
      <c r="M88" s="173" t="s">
        <v>31</v>
      </c>
      <c r="N88" s="173"/>
      <c r="O88" s="274"/>
      <c r="P88" s="275"/>
    </row>
    <row r="89" spans="1:19" s="17" customFormat="1" ht="15.75">
      <c r="A89" s="232" t="s">
        <v>920</v>
      </c>
      <c r="B89" s="191">
        <v>1.03</v>
      </c>
      <c r="C89" s="173" t="s">
        <v>37</v>
      </c>
      <c r="D89" s="173" t="s">
        <v>38</v>
      </c>
      <c r="E89" s="173" t="s">
        <v>29</v>
      </c>
      <c r="F89" s="185" t="s">
        <v>35</v>
      </c>
      <c r="G89" s="173" t="s">
        <v>33</v>
      </c>
      <c r="H89" s="173">
        <v>1</v>
      </c>
      <c r="I89" s="191">
        <f t="shared" si="8"/>
        <v>1.03</v>
      </c>
      <c r="J89" s="173" t="s">
        <v>31</v>
      </c>
      <c r="K89" s="173" t="s">
        <v>31</v>
      </c>
      <c r="L89" s="173" t="s">
        <v>31</v>
      </c>
      <c r="M89" s="173" t="s">
        <v>31</v>
      </c>
      <c r="N89" s="173"/>
      <c r="O89" s="274"/>
      <c r="P89" s="275"/>
    </row>
    <row r="90" spans="1:19" s="17" customFormat="1" ht="15.75">
      <c r="A90" s="209" t="s">
        <v>5</v>
      </c>
      <c r="B90" s="210" t="s">
        <v>1545</v>
      </c>
      <c r="C90" s="211"/>
      <c r="D90" s="188"/>
      <c r="E90" s="188"/>
      <c r="F90" s="188"/>
      <c r="G90" s="188"/>
      <c r="H90" s="188"/>
      <c r="I90" s="188"/>
      <c r="J90" s="188"/>
      <c r="K90" s="188"/>
      <c r="L90" s="188"/>
      <c r="M90" s="188"/>
      <c r="N90" s="173"/>
    </row>
    <row r="91" spans="1:19" s="17" customFormat="1" ht="15.75">
      <c r="A91" s="177" t="s">
        <v>7</v>
      </c>
      <c r="B91" s="173" t="s">
        <v>566</v>
      </c>
      <c r="C91" s="176"/>
      <c r="D91" s="173"/>
      <c r="E91" s="173"/>
      <c r="F91" s="173"/>
      <c r="G91" s="173"/>
      <c r="H91" s="173"/>
      <c r="I91" s="173"/>
      <c r="J91" s="173"/>
      <c r="K91" s="173"/>
      <c r="L91" s="173"/>
      <c r="M91" s="173"/>
      <c r="N91" s="173"/>
    </row>
    <row r="92" spans="1:19" s="17" customFormat="1" ht="15.75">
      <c r="A92" s="177" t="s">
        <v>9</v>
      </c>
      <c r="B92" s="178" t="s">
        <v>1561</v>
      </c>
      <c r="C92" s="176"/>
      <c r="D92" s="173"/>
      <c r="E92" s="173"/>
      <c r="F92" s="173"/>
      <c r="G92" s="173"/>
      <c r="H92" s="173"/>
      <c r="I92" s="173"/>
      <c r="J92" s="173"/>
      <c r="K92" s="173"/>
      <c r="L92" s="173"/>
      <c r="M92" s="173"/>
      <c r="N92" s="173"/>
    </row>
    <row r="93" spans="1:19" s="17" customFormat="1" ht="15.75">
      <c r="A93" s="177" t="s">
        <v>11</v>
      </c>
      <c r="B93" s="179" t="s">
        <v>906</v>
      </c>
      <c r="C93" s="173"/>
      <c r="D93" s="173"/>
      <c r="E93" s="173"/>
      <c r="F93" s="173"/>
      <c r="G93" s="173"/>
      <c r="H93" s="173"/>
      <c r="I93" s="173"/>
      <c r="J93" s="173"/>
      <c r="K93" s="173"/>
      <c r="L93" s="173"/>
      <c r="M93" s="173"/>
      <c r="N93" s="173"/>
    </row>
    <row r="94" spans="1:19" s="17" customFormat="1" ht="15.75">
      <c r="A94" s="177" t="s">
        <v>13</v>
      </c>
      <c r="B94" s="185" t="s">
        <v>14</v>
      </c>
      <c r="C94" s="173"/>
      <c r="D94" s="173"/>
      <c r="E94" s="173"/>
      <c r="F94" s="173"/>
      <c r="G94" s="173"/>
      <c r="H94" s="173"/>
      <c r="I94" s="173"/>
      <c r="J94" s="173"/>
      <c r="K94" s="173"/>
      <c r="L94" s="173"/>
      <c r="M94" s="173"/>
      <c r="N94" s="173"/>
    </row>
    <row r="95" spans="1:19" s="17" customFormat="1" ht="15.75">
      <c r="A95" s="177" t="s">
        <v>15</v>
      </c>
      <c r="B95" s="173">
        <f>B100</f>
        <v>1.03</v>
      </c>
      <c r="C95" s="173"/>
      <c r="D95" s="173"/>
      <c r="E95" s="173"/>
      <c r="F95" s="173"/>
      <c r="G95" s="173"/>
      <c r="H95" s="173"/>
      <c r="I95" s="173"/>
      <c r="J95" s="173"/>
      <c r="K95" s="173"/>
      <c r="L95" s="173"/>
      <c r="M95" s="173"/>
      <c r="N95" s="173"/>
    </row>
    <row r="96" spans="1:19" s="17" customFormat="1" ht="15.75">
      <c r="A96" s="177" t="s">
        <v>16</v>
      </c>
      <c r="B96" s="173" t="s">
        <v>17</v>
      </c>
      <c r="C96" s="173"/>
      <c r="D96" s="173"/>
      <c r="E96" s="173"/>
      <c r="F96" s="173"/>
      <c r="G96" s="173"/>
      <c r="H96" s="173"/>
      <c r="I96" s="173"/>
      <c r="J96" s="173"/>
      <c r="K96" s="173"/>
      <c r="L96" s="173"/>
      <c r="M96" s="173"/>
      <c r="N96" s="173"/>
    </row>
    <row r="97" spans="1:14" s="17" customFormat="1" ht="15.75">
      <c r="A97" s="177" t="s">
        <v>18</v>
      </c>
      <c r="B97" s="173" t="s">
        <v>37</v>
      </c>
      <c r="C97" s="173"/>
      <c r="D97" s="173"/>
      <c r="E97" s="173"/>
      <c r="F97" s="173"/>
      <c r="G97" s="173"/>
      <c r="H97" s="173"/>
      <c r="I97" s="173"/>
      <c r="J97" s="173"/>
      <c r="K97" s="173"/>
      <c r="L97" s="173"/>
      <c r="M97" s="173"/>
      <c r="N97" s="173"/>
    </row>
    <row r="98" spans="1:14" s="17" customFormat="1" ht="15.75">
      <c r="A98" s="174" t="s">
        <v>19</v>
      </c>
      <c r="B98" s="173"/>
      <c r="C98" s="173"/>
      <c r="D98" s="173"/>
      <c r="E98" s="173"/>
      <c r="F98" s="173"/>
      <c r="G98" s="173"/>
      <c r="H98" s="173"/>
      <c r="I98" s="173"/>
      <c r="J98" s="173"/>
      <c r="K98" s="173"/>
      <c r="L98" s="173"/>
      <c r="M98" s="173"/>
      <c r="N98" s="173"/>
    </row>
    <row r="99" spans="1:14" s="17" customFormat="1" ht="15.75">
      <c r="A99" s="174" t="s">
        <v>20</v>
      </c>
      <c r="B99" s="175" t="s">
        <v>21</v>
      </c>
      <c r="C99" s="175" t="s">
        <v>18</v>
      </c>
      <c r="D99" s="175" t="s">
        <v>22</v>
      </c>
      <c r="E99" s="175" t="s">
        <v>7</v>
      </c>
      <c r="F99" s="175" t="s">
        <v>13</v>
      </c>
      <c r="G99" s="175" t="s">
        <v>16</v>
      </c>
      <c r="H99" s="175" t="s">
        <v>23</v>
      </c>
      <c r="I99" s="175" t="s">
        <v>24</v>
      </c>
      <c r="J99" s="175" t="s">
        <v>25</v>
      </c>
      <c r="K99" s="175" t="s">
        <v>26</v>
      </c>
      <c r="L99" s="175" t="s">
        <v>27</v>
      </c>
      <c r="M99" s="175" t="s">
        <v>28</v>
      </c>
      <c r="N99" s="175" t="s">
        <v>11</v>
      </c>
    </row>
    <row r="100" spans="1:14" s="17" customFormat="1" ht="15.75">
      <c r="A100" s="210" t="s">
        <v>1545</v>
      </c>
      <c r="B100" s="379">
        <f>B101</f>
        <v>1.03</v>
      </c>
      <c r="C100" s="173" t="s">
        <v>37</v>
      </c>
      <c r="D100" s="173" t="s">
        <v>2</v>
      </c>
      <c r="E100" s="173" t="s">
        <v>29</v>
      </c>
      <c r="F100" s="185" t="s">
        <v>14</v>
      </c>
      <c r="G100" s="173" t="s">
        <v>30</v>
      </c>
      <c r="H100" s="173">
        <v>1</v>
      </c>
      <c r="I100" s="173">
        <f>B100</f>
        <v>1.03</v>
      </c>
      <c r="J100" s="173" t="s">
        <v>31</v>
      </c>
      <c r="K100" s="173" t="s">
        <v>31</v>
      </c>
      <c r="L100" s="173" t="s">
        <v>31</v>
      </c>
      <c r="M100" s="173" t="s">
        <v>31</v>
      </c>
      <c r="N100" s="173"/>
    </row>
    <row r="101" spans="1:14" s="17" customFormat="1" ht="15.75">
      <c r="A101" s="271" t="s">
        <v>1559</v>
      </c>
      <c r="B101" s="379">
        <f>B86</f>
        <v>1.03</v>
      </c>
      <c r="C101" s="173" t="s">
        <v>37</v>
      </c>
      <c r="D101" s="173" t="s">
        <v>2</v>
      </c>
      <c r="E101" s="173" t="s">
        <v>29</v>
      </c>
      <c r="F101" s="185" t="s">
        <v>14</v>
      </c>
      <c r="G101" s="173" t="s">
        <v>33</v>
      </c>
      <c r="H101" s="173">
        <v>1</v>
      </c>
      <c r="I101" s="173">
        <f>B101</f>
        <v>1.03</v>
      </c>
      <c r="J101" s="173" t="s">
        <v>31</v>
      </c>
      <c r="K101" s="173" t="s">
        <v>31</v>
      </c>
      <c r="L101" s="173" t="s">
        <v>31</v>
      </c>
      <c r="M101" s="173" t="s">
        <v>31</v>
      </c>
      <c r="N101" s="173"/>
    </row>
    <row r="102" spans="1:14" s="17" customFormat="1" ht="15.75">
      <c r="A102" s="279" t="s">
        <v>924</v>
      </c>
      <c r="B102" s="173">
        <v>1.2E-2</v>
      </c>
      <c r="C102" s="173" t="s">
        <v>37</v>
      </c>
      <c r="D102" s="173" t="s">
        <v>38</v>
      </c>
      <c r="E102" s="173" t="s">
        <v>29</v>
      </c>
      <c r="F102" s="185" t="s">
        <v>86</v>
      </c>
      <c r="G102" s="173" t="s">
        <v>33</v>
      </c>
      <c r="H102" s="173">
        <v>1</v>
      </c>
      <c r="I102" s="173">
        <f t="shared" ref="I102:I104" si="9">B102</f>
        <v>1.2E-2</v>
      </c>
      <c r="J102" s="173" t="s">
        <v>31</v>
      </c>
      <c r="K102" s="173" t="s">
        <v>31</v>
      </c>
      <c r="L102" s="173" t="s">
        <v>31</v>
      </c>
      <c r="M102" s="173" t="s">
        <v>31</v>
      </c>
      <c r="N102" s="173"/>
    </row>
    <row r="103" spans="1:14" s="17" customFormat="1" ht="15.75">
      <c r="A103" s="279" t="s">
        <v>925</v>
      </c>
      <c r="B103" s="173">
        <v>0.28000000000000003</v>
      </c>
      <c r="C103" s="173" t="s">
        <v>206</v>
      </c>
      <c r="D103" s="173" t="s">
        <v>38</v>
      </c>
      <c r="E103" s="173" t="s">
        <v>29</v>
      </c>
      <c r="F103" s="185" t="s">
        <v>60</v>
      </c>
      <c r="G103" s="173" t="s">
        <v>33</v>
      </c>
      <c r="H103" s="173">
        <v>1</v>
      </c>
      <c r="I103" s="173">
        <f t="shared" si="9"/>
        <v>0.28000000000000003</v>
      </c>
      <c r="J103" s="173" t="s">
        <v>31</v>
      </c>
      <c r="K103" s="173" t="s">
        <v>31</v>
      </c>
      <c r="L103" s="173" t="s">
        <v>31</v>
      </c>
      <c r="M103" s="173" t="s">
        <v>31</v>
      </c>
      <c r="N103" s="173"/>
    </row>
    <row r="104" spans="1:14" s="17" customFormat="1" ht="15.75">
      <c r="A104" s="279" t="s">
        <v>926</v>
      </c>
      <c r="B104" s="173">
        <v>1.2E-2</v>
      </c>
      <c r="C104" s="173" t="s">
        <v>37</v>
      </c>
      <c r="D104" s="173" t="s">
        <v>38</v>
      </c>
      <c r="E104" s="173" t="s">
        <v>29</v>
      </c>
      <c r="F104" s="185" t="s">
        <v>60</v>
      </c>
      <c r="G104" s="173" t="s">
        <v>33</v>
      </c>
      <c r="H104" s="173">
        <v>1</v>
      </c>
      <c r="I104" s="173">
        <f t="shared" si="9"/>
        <v>1.2E-2</v>
      </c>
      <c r="J104" s="173" t="s">
        <v>31</v>
      </c>
      <c r="K104" s="173" t="s">
        <v>31</v>
      </c>
      <c r="L104" s="173" t="s">
        <v>31</v>
      </c>
      <c r="M104" s="173" t="s">
        <v>31</v>
      </c>
      <c r="N104" s="173"/>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5373-1607-433A-B25F-6F63A9A8CCEC}">
  <dimension ref="A1:P16"/>
  <sheetViews>
    <sheetView zoomScale="85" zoomScaleNormal="85" workbookViewId="0">
      <selection activeCell="B17" sqref="B17"/>
    </sheetView>
  </sheetViews>
  <sheetFormatPr defaultRowHeight="15"/>
  <cols>
    <col min="1" max="1" width="57.28515625" bestFit="1" customWidth="1"/>
    <col min="5" max="5" width="13.42578125" bestFit="1" customWidth="1"/>
    <col min="6" max="6" width="39.140625" bestFit="1" customWidth="1"/>
  </cols>
  <sheetData>
    <row r="1" spans="1:16" s="31" customFormat="1">
      <c r="A1" s="31" t="s">
        <v>0</v>
      </c>
      <c r="B1" s="31">
        <v>14</v>
      </c>
    </row>
    <row r="2" spans="1:16" s="42" customFormat="1" ht="15.75">
      <c r="A2" s="392" t="s">
        <v>5</v>
      </c>
      <c r="B2" s="392" t="s">
        <v>72</v>
      </c>
      <c r="C2" s="392"/>
      <c r="D2" s="120"/>
      <c r="E2" s="393"/>
      <c r="F2" s="393"/>
      <c r="G2" s="393"/>
      <c r="H2" s="393"/>
      <c r="I2" s="393"/>
      <c r="J2" s="393"/>
      <c r="K2" s="393"/>
      <c r="L2" s="393"/>
      <c r="M2" s="393"/>
      <c r="N2" s="393"/>
      <c r="O2" s="393"/>
      <c r="P2" s="393"/>
    </row>
    <row r="3" spans="1:16">
      <c r="A3" s="30" t="s">
        <v>7</v>
      </c>
      <c r="B3" s="30" t="s">
        <v>74</v>
      </c>
      <c r="C3" s="30"/>
      <c r="D3" s="30"/>
      <c r="E3" s="30"/>
      <c r="F3" s="30"/>
      <c r="G3" s="30"/>
      <c r="H3" s="30"/>
      <c r="I3" s="30"/>
      <c r="J3" s="30"/>
      <c r="K3" s="30"/>
      <c r="L3" s="30"/>
      <c r="M3" s="30"/>
      <c r="N3" s="30"/>
      <c r="O3" s="30"/>
      <c r="P3" s="30"/>
    </row>
    <row r="4" spans="1:16">
      <c r="A4" s="30" t="s">
        <v>9</v>
      </c>
      <c r="B4" s="394" t="s">
        <v>150</v>
      </c>
      <c r="C4" s="30"/>
      <c r="D4" s="30"/>
      <c r="E4" s="30"/>
      <c r="F4" s="30"/>
      <c r="G4" s="30"/>
      <c r="H4" s="30"/>
      <c r="I4" s="30"/>
      <c r="J4" s="30"/>
      <c r="K4" s="30"/>
      <c r="L4" s="30"/>
      <c r="M4" s="30"/>
      <c r="N4" s="30"/>
      <c r="O4" s="30"/>
      <c r="P4" s="30"/>
    </row>
    <row r="5" spans="1:16">
      <c r="A5" s="30" t="s">
        <v>11</v>
      </c>
      <c r="B5" s="30" t="s">
        <v>151</v>
      </c>
      <c r="C5" s="30"/>
      <c r="D5" s="30"/>
      <c r="E5" s="30"/>
      <c r="F5" s="30"/>
      <c r="G5" s="30"/>
      <c r="H5" s="30"/>
      <c r="I5" s="30"/>
      <c r="J5" s="30"/>
      <c r="K5" s="30"/>
      <c r="L5" s="30"/>
      <c r="M5" s="30"/>
      <c r="N5" s="30"/>
      <c r="O5" s="30"/>
      <c r="P5" s="30"/>
    </row>
    <row r="6" spans="1:16">
      <c r="A6" s="30" t="s">
        <v>13</v>
      </c>
      <c r="B6" s="30" t="s">
        <v>60</v>
      </c>
      <c r="C6" s="30"/>
      <c r="D6" s="30"/>
      <c r="E6" s="30"/>
      <c r="F6" s="30"/>
      <c r="G6" s="30"/>
      <c r="H6" s="30"/>
      <c r="I6" s="30"/>
      <c r="J6" s="30"/>
      <c r="K6" s="30"/>
      <c r="L6" s="30"/>
      <c r="M6" s="30"/>
      <c r="N6" s="30"/>
      <c r="O6" s="30"/>
      <c r="P6" s="30"/>
    </row>
    <row r="7" spans="1:16">
      <c r="A7" s="30" t="s">
        <v>15</v>
      </c>
      <c r="B7" s="30">
        <v>1</v>
      </c>
      <c r="C7" s="30"/>
      <c r="D7" s="30"/>
      <c r="E7" s="30"/>
      <c r="F7" s="30"/>
      <c r="G7" s="30"/>
      <c r="H7" s="30"/>
      <c r="I7" s="30"/>
      <c r="J7" s="30"/>
      <c r="K7" s="30"/>
      <c r="L7" s="30"/>
      <c r="M7" s="30"/>
      <c r="N7" s="30"/>
      <c r="O7" s="30"/>
      <c r="P7" s="30"/>
    </row>
    <row r="8" spans="1:16">
      <c r="A8" s="30" t="s">
        <v>16</v>
      </c>
      <c r="B8" s="30" t="s">
        <v>17</v>
      </c>
      <c r="C8" s="30"/>
      <c r="D8" s="30"/>
      <c r="E8" s="30"/>
      <c r="F8" s="30"/>
      <c r="G8" s="30"/>
      <c r="H8" s="30"/>
      <c r="I8" s="30"/>
      <c r="J8" s="30"/>
      <c r="K8" s="30"/>
      <c r="L8" s="30"/>
      <c r="M8" s="30"/>
      <c r="N8" s="30"/>
      <c r="O8" s="30"/>
      <c r="P8" s="30"/>
    </row>
    <row r="9" spans="1:16" ht="15.75">
      <c r="A9" s="30" t="s">
        <v>18</v>
      </c>
      <c r="B9" s="274" t="s">
        <v>18</v>
      </c>
      <c r="C9" s="30"/>
      <c r="D9" s="30"/>
      <c r="E9" s="30" t="s">
        <v>77</v>
      </c>
      <c r="F9" s="30"/>
      <c r="G9" s="30"/>
      <c r="H9" s="30"/>
      <c r="I9" s="30"/>
      <c r="J9" s="30"/>
      <c r="K9" s="30"/>
      <c r="L9" s="30"/>
      <c r="M9" s="30"/>
      <c r="N9" s="30"/>
      <c r="O9" s="30"/>
      <c r="P9" s="30"/>
    </row>
    <row r="10" spans="1:16" ht="15.75">
      <c r="A10" s="395" t="s">
        <v>19</v>
      </c>
      <c r="B10" s="30"/>
      <c r="C10" s="30"/>
      <c r="D10" s="30"/>
      <c r="E10" s="30"/>
      <c r="F10" s="30"/>
      <c r="G10" s="30"/>
      <c r="H10" s="30"/>
      <c r="I10" s="30"/>
      <c r="J10" s="30"/>
      <c r="K10" s="30"/>
      <c r="L10" s="30"/>
      <c r="M10" s="30"/>
      <c r="N10" s="30"/>
      <c r="O10" s="30"/>
      <c r="P10" s="30"/>
    </row>
    <row r="11" spans="1:16" ht="15.75">
      <c r="A11" s="395" t="s">
        <v>20</v>
      </c>
      <c r="B11" s="395" t="s">
        <v>21</v>
      </c>
      <c r="C11" s="395" t="s">
        <v>78</v>
      </c>
      <c r="D11" s="395" t="s">
        <v>18</v>
      </c>
      <c r="E11" s="395" t="s">
        <v>22</v>
      </c>
      <c r="F11" s="395" t="s">
        <v>7</v>
      </c>
      <c r="G11" s="395" t="s">
        <v>13</v>
      </c>
      <c r="H11" s="395" t="s">
        <v>16</v>
      </c>
      <c r="I11" s="395" t="s">
        <v>23</v>
      </c>
      <c r="J11" s="395" t="s">
        <v>24</v>
      </c>
      <c r="K11" s="395" t="s">
        <v>25</v>
      </c>
      <c r="L11" s="395" t="s">
        <v>26</v>
      </c>
      <c r="M11" s="395" t="s">
        <v>27</v>
      </c>
      <c r="N11" s="395" t="s">
        <v>28</v>
      </c>
      <c r="O11" s="395" t="s">
        <v>11</v>
      </c>
      <c r="P11" s="395" t="s">
        <v>79</v>
      </c>
    </row>
    <row r="12" spans="1:16" ht="15.75">
      <c r="A12" s="274" t="str">
        <f>B2</f>
        <v>Decommissioning of aircraft, Gt-bat, Medium-Term</v>
      </c>
      <c r="B12" s="274">
        <v>1</v>
      </c>
      <c r="C12" s="274"/>
      <c r="D12" s="274" t="s">
        <v>18</v>
      </c>
      <c r="E12" s="30" t="s">
        <v>2</v>
      </c>
      <c r="F12" s="30" t="s">
        <v>74</v>
      </c>
      <c r="G12" s="274" t="s">
        <v>60</v>
      </c>
      <c r="H12" s="30" t="s">
        <v>30</v>
      </c>
      <c r="I12" s="30">
        <v>0</v>
      </c>
      <c r="J12" s="274" t="s">
        <v>31</v>
      </c>
      <c r="K12" s="274" t="s">
        <v>31</v>
      </c>
      <c r="L12" s="274" t="s">
        <v>31</v>
      </c>
      <c r="M12" s="274" t="s">
        <v>31</v>
      </c>
      <c r="N12" s="274" t="s">
        <v>31</v>
      </c>
      <c r="O12" s="274"/>
      <c r="P12" s="30"/>
    </row>
    <row r="13" spans="1:16">
      <c r="A13" t="str">
        <f>'Power elec EoL LCI'!A67</f>
        <v>treatment of power electronics, EoL power electronics, GT-bat, Medium-Term</v>
      </c>
      <c r="B13">
        <f>'Power elec EoL LCI'!B67</f>
        <v>1</v>
      </c>
      <c r="D13" t="str">
        <f>'Power elec EoL LCI'!D67</f>
        <v>unit</v>
      </c>
      <c r="E13" t="str">
        <f>'Power elec EoL LCI'!E67</f>
        <v>GENESIS_2040_GT-bat_NDC</v>
      </c>
      <c r="F13" t="str">
        <f>'Power elec EoL LCI'!F67</f>
        <v>EoL power electronics, GT-bat, Medium-Term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LCI'!A100</f>
        <v>treatment of motors and drives, Gt-bat, Medium-Term</v>
      </c>
      <c r="B14">
        <f>'motors and drives EoL LCI'!B100</f>
        <v>1</v>
      </c>
      <c r="D14" t="str">
        <f>'motors and drives EoL LCI'!D100</f>
        <v>unit</v>
      </c>
      <c r="E14" t="str">
        <f>'motors and drives EoL LCI'!E100</f>
        <v>GENESIS_2040_GT-bat_NDC</v>
      </c>
      <c r="F14" t="str">
        <f>'motors and drives EoL LCI'!F100</f>
        <v>motors and drives, GT-bat, Medium-Term</v>
      </c>
      <c r="G14" t="str">
        <f>'motors and drives EoL LCI'!G100</f>
        <v>GLO</v>
      </c>
      <c r="H14" t="s">
        <v>33</v>
      </c>
      <c r="I14">
        <f>'motors and drives EoL LCI'!I100</f>
        <v>0</v>
      </c>
      <c r="J14" t="str">
        <f>'motors and drives EoL LCI'!J100</f>
        <v>(Unknown)</v>
      </c>
      <c r="K14" t="str">
        <f>'motors and drives EoL LCI'!K100</f>
        <v>(Unknown)</v>
      </c>
      <c r="L14" t="str">
        <f>'motors and drives EoL LCI'!L100</f>
        <v>(Unknown)</v>
      </c>
      <c r="M14" t="str">
        <f>'motors and drives EoL LCI'!M100</f>
        <v>(Unknown)</v>
      </c>
      <c r="N14" t="str">
        <f>'motors and drives EoL LCI'!N100</f>
        <v>(Unknown)</v>
      </c>
    </row>
    <row r="15" spans="1:16">
      <c r="A15" t="str">
        <f>'powerplant EoL LCI'!A125</f>
        <v>treatment of powerplant, Gt-bat, Medium-Term</v>
      </c>
      <c r="B15">
        <f>'powerplant EoL LCI'!B125</f>
        <v>1</v>
      </c>
      <c r="D15" t="str">
        <f>'powerplant EoL LCI'!D125</f>
        <v>unit</v>
      </c>
      <c r="E15" t="str">
        <f>'powerplant EoL LCI'!E125</f>
        <v>GENESIS_2040_GT-bat_NDC</v>
      </c>
      <c r="F15" t="str">
        <f>'powerplant EoL LCI'!F125</f>
        <v>powerplant EoL, GT-bat, Medium-Term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Gt-bat, Medium-Term</v>
      </c>
      <c r="B16">
        <f>'airframe EoL LCI'!B242</f>
        <v>1</v>
      </c>
      <c r="D16" t="str">
        <f>'airframe EoL LCI'!D242</f>
        <v>unit</v>
      </c>
      <c r="E16" t="str">
        <f>'airframe EoL LCI'!E242</f>
        <v>GENESIS_2040_GT-bat_NDC</v>
      </c>
      <c r="F16" t="str">
        <f>'airframe EoL LCI'!F242</f>
        <v>airframe EoL, GT-bat, Medium-Term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80E0-7366-4CA5-848A-8053341E514A}">
  <sheetPr>
    <tabColor theme="5"/>
  </sheetPr>
  <dimension ref="A1:U47"/>
  <sheetViews>
    <sheetView zoomScale="85" zoomScaleNormal="85" workbookViewId="0">
      <selection activeCell="A36" sqref="A36"/>
    </sheetView>
  </sheetViews>
  <sheetFormatPr defaultRowHeight="12.75"/>
  <cols>
    <col min="1" max="1" width="68.7109375" style="173" bestFit="1" customWidth="1"/>
    <col min="2" max="2" width="13.5703125" style="173" customWidth="1"/>
    <col min="3" max="3" width="9.140625" style="173"/>
    <col min="4" max="4" width="23.42578125" style="173" customWidth="1"/>
    <col min="5" max="6" width="9.140625" style="173"/>
    <col min="7" max="7" width="12.7109375" style="173" customWidth="1"/>
    <col min="8" max="16384" width="9.140625" style="173"/>
  </cols>
  <sheetData>
    <row r="1" spans="1:21">
      <c r="A1" s="173" t="s">
        <v>0</v>
      </c>
      <c r="B1" s="173">
        <v>13</v>
      </c>
    </row>
    <row r="2" spans="1:21" s="188" customFormat="1">
      <c r="A2" s="209" t="s">
        <v>5</v>
      </c>
      <c r="B2" s="210" t="s">
        <v>1544</v>
      </c>
    </row>
    <row r="3" spans="1:21">
      <c r="A3" s="177" t="s">
        <v>7</v>
      </c>
      <c r="B3" s="173" t="s">
        <v>566</v>
      </c>
      <c r="C3" s="176"/>
    </row>
    <row r="4" spans="1:21">
      <c r="A4" s="276" t="s">
        <v>9</v>
      </c>
      <c r="B4" s="173" t="s">
        <v>1562</v>
      </c>
      <c r="C4" s="176"/>
    </row>
    <row r="5" spans="1:21" ht="15.75" customHeight="1">
      <c r="A5" s="177" t="s">
        <v>11</v>
      </c>
      <c r="B5" s="179" t="s">
        <v>913</v>
      </c>
    </row>
    <row r="6" spans="1:21">
      <c r="A6" s="177" t="s">
        <v>13</v>
      </c>
      <c r="B6" s="173" t="s">
        <v>14</v>
      </c>
    </row>
    <row r="7" spans="1:21">
      <c r="A7" s="177" t="s">
        <v>15</v>
      </c>
      <c r="B7" s="265">
        <f>B12</f>
        <v>0.04</v>
      </c>
      <c r="R7" s="175" t="s">
        <v>1023</v>
      </c>
    </row>
    <row r="8" spans="1:21">
      <c r="A8" s="177" t="s">
        <v>16</v>
      </c>
      <c r="B8" s="173" t="s">
        <v>17</v>
      </c>
      <c r="R8" s="173" t="s">
        <v>1024</v>
      </c>
      <c r="S8" s="173">
        <v>8900</v>
      </c>
      <c r="T8" s="173" t="s">
        <v>1025</v>
      </c>
    </row>
    <row r="9" spans="1:21">
      <c r="A9" s="177" t="s">
        <v>18</v>
      </c>
      <c r="B9" s="173" t="s">
        <v>37</v>
      </c>
      <c r="R9" s="173" t="s">
        <v>1026</v>
      </c>
      <c r="S9" s="173">
        <f>5*10^-6</f>
        <v>4.9999999999999996E-6</v>
      </c>
      <c r="T9" s="173" t="s">
        <v>1027</v>
      </c>
    </row>
    <row r="10" spans="1:21">
      <c r="A10" s="174" t="s">
        <v>19</v>
      </c>
      <c r="R10" s="280" t="s">
        <v>1029</v>
      </c>
      <c r="S10" s="281">
        <f>S9*S8</f>
        <v>4.4499999999999998E-2</v>
      </c>
      <c r="T10" s="282" t="s">
        <v>985</v>
      </c>
    </row>
    <row r="11" spans="1:21">
      <c r="A11" s="175"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row>
    <row r="12" spans="1:21">
      <c r="A12" s="173" t="s">
        <v>1544</v>
      </c>
      <c r="B12" s="340">
        <f>B13</f>
        <v>0.04</v>
      </c>
      <c r="C12" s="173" t="s">
        <v>37</v>
      </c>
      <c r="D12" s="258" t="s">
        <v>2</v>
      </c>
      <c r="E12" s="173" t="s">
        <v>29</v>
      </c>
      <c r="F12" s="173" t="s">
        <v>14</v>
      </c>
      <c r="G12" s="173" t="s">
        <v>30</v>
      </c>
      <c r="H12" s="173">
        <v>1</v>
      </c>
      <c r="I12" s="265">
        <f>B12</f>
        <v>0.04</v>
      </c>
      <c r="J12" s="173" t="s">
        <v>31</v>
      </c>
      <c r="K12" s="173" t="s">
        <v>31</v>
      </c>
      <c r="L12" s="173" t="s">
        <v>31</v>
      </c>
      <c r="M12" s="173" t="s">
        <v>31</v>
      </c>
      <c r="O12" s="173" t="s">
        <v>1410</v>
      </c>
      <c r="P12" s="309" t="s">
        <v>329</v>
      </c>
      <c r="R12" s="173" t="s">
        <v>1032</v>
      </c>
      <c r="U12" s="260"/>
    </row>
    <row r="13" spans="1:21">
      <c r="A13" s="173" t="s">
        <v>1563</v>
      </c>
      <c r="B13" s="340">
        <f>B28</f>
        <v>0.04</v>
      </c>
      <c r="C13" s="173" t="s">
        <v>206</v>
      </c>
      <c r="D13" s="258" t="s">
        <v>2</v>
      </c>
      <c r="E13" s="173" t="s">
        <v>29</v>
      </c>
      <c r="F13" s="173" t="s">
        <v>14</v>
      </c>
      <c r="G13" s="173" t="s">
        <v>33</v>
      </c>
      <c r="H13" s="173">
        <v>1</v>
      </c>
      <c r="I13" s="265">
        <f t="shared" ref="I13:I14" si="0">B13</f>
        <v>0.04</v>
      </c>
      <c r="J13" s="173">
        <v>7.2284161474004766E-2</v>
      </c>
      <c r="K13" s="173" t="s">
        <v>31</v>
      </c>
      <c r="L13" s="173" t="s">
        <v>31</v>
      </c>
      <c r="M13" s="173" t="s">
        <v>31</v>
      </c>
      <c r="O13" s="242" t="s">
        <v>1031</v>
      </c>
      <c r="P13" s="341">
        <f>B13*100</f>
        <v>4</v>
      </c>
      <c r="R13" s="284">
        <v>0.38</v>
      </c>
      <c r="S13" s="285" t="s">
        <v>945</v>
      </c>
      <c r="T13" s="284">
        <f>R13*S10</f>
        <v>1.6909999999999998E-2</v>
      </c>
      <c r="U13" s="285" t="s">
        <v>337</v>
      </c>
    </row>
    <row r="14" spans="1:21">
      <c r="A14" s="271" t="s">
        <v>1556</v>
      </c>
      <c r="B14" s="270">
        <f>T13</f>
        <v>1.6909999999999998E-2</v>
      </c>
      <c r="C14" s="173" t="s">
        <v>37</v>
      </c>
      <c r="D14" s="258" t="s">
        <v>2</v>
      </c>
      <c r="E14" s="173" t="s">
        <v>29</v>
      </c>
      <c r="F14" s="185" t="s">
        <v>14</v>
      </c>
      <c r="G14" s="173" t="s">
        <v>33</v>
      </c>
      <c r="H14" s="173">
        <v>1</v>
      </c>
      <c r="I14" s="265">
        <f t="shared" si="0"/>
        <v>1.6909999999999998E-2</v>
      </c>
      <c r="J14" s="173">
        <v>7.2284161474004766E-2</v>
      </c>
      <c r="K14" s="173" t="s">
        <v>31</v>
      </c>
      <c r="L14" s="173" t="s">
        <v>31</v>
      </c>
      <c r="M14" s="173" t="s">
        <v>31</v>
      </c>
      <c r="O14" s="286"/>
      <c r="P14" s="287"/>
    </row>
    <row r="15" spans="1:21" ht="15">
      <c r="A15" s="177" t="s">
        <v>933</v>
      </c>
      <c r="B15" s="173">
        <f>Q15</f>
        <v>3</v>
      </c>
      <c r="C15" s="173" t="s">
        <v>37</v>
      </c>
      <c r="D15" s="173" t="s">
        <v>38</v>
      </c>
      <c r="E15" s="173" t="s">
        <v>29</v>
      </c>
      <c r="F15" s="185" t="s">
        <v>39</v>
      </c>
      <c r="G15" s="173" t="s">
        <v>33</v>
      </c>
      <c r="H15" s="173">
        <v>2</v>
      </c>
      <c r="I15" s="173">
        <f t="shared" ref="I15" si="1">LN(B15)</f>
        <v>1.0986122886681098</v>
      </c>
      <c r="J15" s="173">
        <v>7.2284161474004766E-2</v>
      </c>
      <c r="K15" s="173" t="s">
        <v>31</v>
      </c>
      <c r="L15" s="173" t="s">
        <v>31</v>
      </c>
      <c r="M15" s="173" t="s">
        <v>31</v>
      </c>
      <c r="O15" s="242" t="s">
        <v>337</v>
      </c>
      <c r="P15" s="296">
        <v>3</v>
      </c>
      <c r="Q15" s="173">
        <f>P15</f>
        <v>3</v>
      </c>
    </row>
    <row r="16" spans="1:21" ht="15">
      <c r="A16" s="232" t="s">
        <v>1021</v>
      </c>
      <c r="B16" s="173">
        <f t="shared" ref="B16:B17" si="2">Q16</f>
        <v>2.0000000000000001E-4</v>
      </c>
      <c r="C16" s="173" t="s">
        <v>37</v>
      </c>
      <c r="D16" s="173" t="s">
        <v>38</v>
      </c>
      <c r="E16" s="173" t="s">
        <v>29</v>
      </c>
      <c r="F16" s="185" t="s">
        <v>60</v>
      </c>
      <c r="G16" s="173" t="s">
        <v>33</v>
      </c>
      <c r="H16" s="173">
        <v>2</v>
      </c>
      <c r="I16" s="173">
        <f>LN(B16)</f>
        <v>-8.5171931914162382</v>
      </c>
      <c r="J16" s="173">
        <v>7.2284161474004766E-2</v>
      </c>
      <c r="K16" s="173" t="s">
        <v>31</v>
      </c>
      <c r="L16" s="173" t="s">
        <v>31</v>
      </c>
      <c r="M16" s="173" t="s">
        <v>31</v>
      </c>
      <c r="O16" s="266" t="s">
        <v>952</v>
      </c>
      <c r="P16" s="365">
        <v>0.2</v>
      </c>
      <c r="Q16" s="173">
        <f>0.001*P16</f>
        <v>2.0000000000000001E-4</v>
      </c>
    </row>
    <row r="17" spans="1:20" ht="15">
      <c r="A17" s="232" t="s">
        <v>489</v>
      </c>
      <c r="B17" s="173">
        <f t="shared" si="2"/>
        <v>3.0000000000000001E-3</v>
      </c>
      <c r="C17" s="173" t="s">
        <v>50</v>
      </c>
      <c r="D17" s="173" t="s">
        <v>38</v>
      </c>
      <c r="E17" s="173" t="s">
        <v>29</v>
      </c>
      <c r="F17" s="185" t="s">
        <v>39</v>
      </c>
      <c r="G17" s="173" t="s">
        <v>33</v>
      </c>
      <c r="H17" s="173">
        <v>2</v>
      </c>
      <c r="I17" s="173">
        <f t="shared" ref="I17" si="3">LN(B17)</f>
        <v>-5.8091429903140277</v>
      </c>
      <c r="J17" s="173">
        <v>7.2284161474004766E-2</v>
      </c>
      <c r="K17" s="173" t="s">
        <v>31</v>
      </c>
      <c r="L17" s="173" t="s">
        <v>31</v>
      </c>
      <c r="M17" s="173" t="s">
        <v>31</v>
      </c>
      <c r="O17" s="268" t="s">
        <v>1009</v>
      </c>
      <c r="P17" s="306">
        <v>3</v>
      </c>
      <c r="Q17" s="173">
        <f>0.001*P17</f>
        <v>3.0000000000000001E-3</v>
      </c>
    </row>
    <row r="18" spans="1:20" s="188" customFormat="1">
      <c r="A18" s="209" t="s">
        <v>5</v>
      </c>
      <c r="B18" s="210" t="s">
        <v>1563</v>
      </c>
    </row>
    <row r="19" spans="1:20">
      <c r="A19" s="177" t="s">
        <v>7</v>
      </c>
      <c r="B19" s="173" t="s">
        <v>566</v>
      </c>
      <c r="C19" s="176"/>
    </row>
    <row r="20" spans="1:20">
      <c r="A20" s="276" t="s">
        <v>9</v>
      </c>
      <c r="B20" s="173" t="s">
        <v>1564</v>
      </c>
      <c r="C20" s="176"/>
    </row>
    <row r="21" spans="1:20" ht="15.75" customHeight="1">
      <c r="A21" s="177" t="s">
        <v>11</v>
      </c>
      <c r="B21" s="179" t="s">
        <v>913</v>
      </c>
    </row>
    <row r="22" spans="1:20">
      <c r="A22" s="177" t="s">
        <v>13</v>
      </c>
      <c r="B22" s="173" t="s">
        <v>14</v>
      </c>
    </row>
    <row r="23" spans="1:20">
      <c r="A23" s="177" t="s">
        <v>15</v>
      </c>
      <c r="B23" s="265">
        <f>B28</f>
        <v>0.04</v>
      </c>
    </row>
    <row r="24" spans="1:20">
      <c r="A24" s="177" t="s">
        <v>16</v>
      </c>
      <c r="B24" s="173" t="s">
        <v>17</v>
      </c>
    </row>
    <row r="25" spans="1:20">
      <c r="A25" s="177" t="s">
        <v>18</v>
      </c>
      <c r="B25" s="173" t="s">
        <v>206</v>
      </c>
    </row>
    <row r="26" spans="1:20">
      <c r="A26" s="174" t="s">
        <v>19</v>
      </c>
    </row>
    <row r="27" spans="1:20">
      <c r="A27" s="175" t="s">
        <v>20</v>
      </c>
      <c r="B27" s="175" t="s">
        <v>21</v>
      </c>
      <c r="C27" s="175" t="s">
        <v>18</v>
      </c>
      <c r="D27" s="175" t="s">
        <v>22</v>
      </c>
      <c r="E27" s="175" t="s">
        <v>7</v>
      </c>
      <c r="F27" s="175" t="s">
        <v>13</v>
      </c>
      <c r="G27" s="175" t="s">
        <v>16</v>
      </c>
      <c r="H27" s="175" t="s">
        <v>23</v>
      </c>
      <c r="I27" s="175" t="s">
        <v>24</v>
      </c>
      <c r="J27" s="175" t="s">
        <v>25</v>
      </c>
      <c r="K27" s="175" t="s">
        <v>26</v>
      </c>
      <c r="L27" s="175" t="s">
        <v>27</v>
      </c>
      <c r="M27" s="175" t="s">
        <v>28</v>
      </c>
      <c r="N27" s="175" t="s">
        <v>11</v>
      </c>
      <c r="T27" s="265"/>
    </row>
    <row r="28" spans="1:20">
      <c r="A28" s="173" t="s">
        <v>1563</v>
      </c>
      <c r="B28" s="265">
        <v>0.04</v>
      </c>
      <c r="C28" s="173" t="s">
        <v>206</v>
      </c>
      <c r="D28" s="258" t="s">
        <v>2</v>
      </c>
      <c r="E28" s="173" t="s">
        <v>29</v>
      </c>
      <c r="F28" s="173" t="s">
        <v>14</v>
      </c>
      <c r="G28" s="173" t="s">
        <v>30</v>
      </c>
      <c r="H28" s="173">
        <v>1</v>
      </c>
      <c r="I28" s="265">
        <f t="shared" ref="I28:I29" si="4">B28</f>
        <v>0.04</v>
      </c>
      <c r="J28" s="173">
        <v>7.2284161474004766E-2</v>
      </c>
      <c r="K28" s="173" t="s">
        <v>31</v>
      </c>
      <c r="L28" s="173" t="s">
        <v>31</v>
      </c>
      <c r="M28" s="173" t="s">
        <v>31</v>
      </c>
      <c r="O28" s="242" t="s">
        <v>1031</v>
      </c>
      <c r="P28" s="264">
        <f>B28*100</f>
        <v>4</v>
      </c>
    </row>
    <row r="29" spans="1:20">
      <c r="A29" s="173" t="s">
        <v>1565</v>
      </c>
      <c r="B29" s="265">
        <v>0.04</v>
      </c>
      <c r="C29" s="173" t="s">
        <v>206</v>
      </c>
      <c r="D29" s="258" t="s">
        <v>2</v>
      </c>
      <c r="E29" s="173" t="s">
        <v>29</v>
      </c>
      <c r="F29" s="173" t="s">
        <v>14</v>
      </c>
      <c r="G29" s="173" t="s">
        <v>33</v>
      </c>
      <c r="H29" s="173">
        <v>1</v>
      </c>
      <c r="I29" s="265">
        <f t="shared" si="4"/>
        <v>0.04</v>
      </c>
      <c r="J29" s="173">
        <v>7.2284161474004766E-2</v>
      </c>
      <c r="K29" s="173" t="s">
        <v>31</v>
      </c>
      <c r="L29" s="173" t="s">
        <v>31</v>
      </c>
      <c r="M29" s="173" t="s">
        <v>31</v>
      </c>
    </row>
    <row r="30" spans="1:20" ht="15">
      <c r="A30" s="177" t="s">
        <v>168</v>
      </c>
      <c r="B30" s="184">
        <f>P30</f>
        <v>0.18</v>
      </c>
      <c r="C30" s="173" t="s">
        <v>41</v>
      </c>
      <c r="D30" s="173" t="s">
        <v>38</v>
      </c>
      <c r="E30" s="173" t="s">
        <v>29</v>
      </c>
      <c r="F30" s="185" t="s">
        <v>35</v>
      </c>
      <c r="G30" s="173" t="s">
        <v>33</v>
      </c>
      <c r="H30" s="173">
        <v>2</v>
      </c>
      <c r="I30" s="173">
        <f t="shared" ref="I30:I31" si="5">LN(B30)</f>
        <v>-1.7147984280919266</v>
      </c>
      <c r="J30" s="173">
        <v>7.2284161474004766E-2</v>
      </c>
      <c r="K30" s="173" t="s">
        <v>31</v>
      </c>
      <c r="L30" s="173" t="s">
        <v>31</v>
      </c>
      <c r="M30" s="173" t="s">
        <v>31</v>
      </c>
      <c r="O30" s="242" t="s">
        <v>332</v>
      </c>
      <c r="P30" s="296">
        <v>0.18</v>
      </c>
    </row>
    <row r="31" spans="1:20" ht="15">
      <c r="A31" s="232" t="s">
        <v>1017</v>
      </c>
      <c r="B31" s="173">
        <f>R31</f>
        <v>4.0000000000000001E-3</v>
      </c>
      <c r="C31" s="265" t="s">
        <v>37</v>
      </c>
      <c r="D31" s="173" t="s">
        <v>38</v>
      </c>
      <c r="E31" s="173" t="s">
        <v>29</v>
      </c>
      <c r="F31" s="173" t="s">
        <v>60</v>
      </c>
      <c r="G31" s="173" t="s">
        <v>33</v>
      </c>
      <c r="H31" s="173">
        <v>2</v>
      </c>
      <c r="I31" s="173">
        <f t="shared" si="5"/>
        <v>-5.521460917862246</v>
      </c>
      <c r="J31" s="173">
        <v>7.2284161474004766E-2</v>
      </c>
      <c r="K31" s="173" t="s">
        <v>31</v>
      </c>
      <c r="L31" s="173" t="s">
        <v>31</v>
      </c>
      <c r="M31" s="173" t="s">
        <v>31</v>
      </c>
      <c r="O31" s="242" t="s">
        <v>947</v>
      </c>
      <c r="P31" s="296">
        <v>4</v>
      </c>
      <c r="Q31" s="173" t="s">
        <v>337</v>
      </c>
      <c r="R31" s="173">
        <f>P31*0.001</f>
        <v>4.0000000000000001E-3</v>
      </c>
    </row>
    <row r="32" spans="1:20" ht="15">
      <c r="A32" s="83" t="s">
        <v>1018</v>
      </c>
      <c r="B32" s="173">
        <f t="shared" ref="B32:B33" si="6">R32</f>
        <v>8.0000000000000002E-3</v>
      </c>
      <c r="C32" s="173" t="s">
        <v>37</v>
      </c>
      <c r="D32" s="173" t="s">
        <v>38</v>
      </c>
      <c r="E32" s="173" t="s">
        <v>29</v>
      </c>
      <c r="F32" s="185" t="s">
        <v>35</v>
      </c>
      <c r="G32" s="173" t="s">
        <v>33</v>
      </c>
      <c r="H32" s="173">
        <v>2</v>
      </c>
      <c r="I32" s="173">
        <f>LN(B32)</f>
        <v>-4.8283137373023015</v>
      </c>
      <c r="J32" s="173">
        <v>7.2284161474004766E-2</v>
      </c>
      <c r="K32" s="173" t="s">
        <v>31</v>
      </c>
      <c r="L32" s="173" t="s">
        <v>31</v>
      </c>
      <c r="M32" s="173" t="s">
        <v>31</v>
      </c>
      <c r="O32" s="242" t="s">
        <v>947</v>
      </c>
      <c r="P32" s="296">
        <v>8</v>
      </c>
      <c r="Q32" s="173" t="s">
        <v>337</v>
      </c>
      <c r="R32" s="173">
        <f>P32*0.001</f>
        <v>8.0000000000000002E-3</v>
      </c>
    </row>
    <row r="33" spans="1:20" ht="15">
      <c r="A33" s="177" t="s">
        <v>933</v>
      </c>
      <c r="B33" s="173">
        <f t="shared" si="6"/>
        <v>6.8</v>
      </c>
      <c r="C33" s="173" t="s">
        <v>37</v>
      </c>
      <c r="D33" s="173" t="s">
        <v>38</v>
      </c>
      <c r="E33" s="173" t="s">
        <v>29</v>
      </c>
      <c r="F33" s="185" t="s">
        <v>39</v>
      </c>
      <c r="G33" s="173" t="s">
        <v>33</v>
      </c>
      <c r="H33" s="173">
        <v>2</v>
      </c>
      <c r="I33" s="173">
        <f t="shared" ref="I33:I34" si="7">LN(B33)</f>
        <v>1.9169226121820611</v>
      </c>
      <c r="J33" s="173">
        <v>7.2284161474004766E-2</v>
      </c>
      <c r="K33" s="173" t="s">
        <v>31</v>
      </c>
      <c r="L33" s="173" t="s">
        <v>31</v>
      </c>
      <c r="M33" s="173" t="s">
        <v>31</v>
      </c>
      <c r="O33" s="242" t="s">
        <v>337</v>
      </c>
      <c r="P33" s="296">
        <v>6.8</v>
      </c>
      <c r="Q33" s="173" t="s">
        <v>337</v>
      </c>
      <c r="R33" s="173">
        <f>P33</f>
        <v>6.8</v>
      </c>
    </row>
    <row r="34" spans="1:20" ht="15">
      <c r="A34" s="232" t="s">
        <v>489</v>
      </c>
      <c r="B34" s="173">
        <f>R34</f>
        <v>6.7999999999999996E-3</v>
      </c>
      <c r="C34" s="173" t="s">
        <v>50</v>
      </c>
      <c r="D34" s="173" t="s">
        <v>38</v>
      </c>
      <c r="E34" s="173" t="s">
        <v>29</v>
      </c>
      <c r="F34" s="185" t="s">
        <v>39</v>
      </c>
      <c r="G34" s="173" t="s">
        <v>33</v>
      </c>
      <c r="H34" s="173">
        <v>2</v>
      </c>
      <c r="I34" s="173">
        <f t="shared" si="7"/>
        <v>-4.9908326668000758</v>
      </c>
      <c r="J34" s="173">
        <v>7.2284161474004766E-2</v>
      </c>
      <c r="K34" s="173" t="s">
        <v>31</v>
      </c>
      <c r="L34" s="173" t="s">
        <v>31</v>
      </c>
      <c r="M34" s="173" t="s">
        <v>31</v>
      </c>
      <c r="O34" s="268" t="s">
        <v>1009</v>
      </c>
      <c r="P34" s="306">
        <v>6.8</v>
      </c>
      <c r="Q34" s="173" t="s">
        <v>335</v>
      </c>
      <c r="R34" s="173">
        <f>0.001*P34</f>
        <v>6.7999999999999996E-3</v>
      </c>
    </row>
    <row r="35" spans="1:20" s="188" customFormat="1">
      <c r="A35" s="209" t="s">
        <v>5</v>
      </c>
      <c r="B35" s="210" t="s">
        <v>1565</v>
      </c>
    </row>
    <row r="36" spans="1:20">
      <c r="A36" s="177" t="s">
        <v>7</v>
      </c>
      <c r="B36" s="173" t="s">
        <v>566</v>
      </c>
      <c r="C36" s="176"/>
    </row>
    <row r="37" spans="1:20">
      <c r="A37" s="276" t="s">
        <v>9</v>
      </c>
      <c r="B37" s="173" t="s">
        <v>1566</v>
      </c>
      <c r="C37" s="176"/>
    </row>
    <row r="38" spans="1:20" ht="15.75" customHeight="1">
      <c r="A38" s="177" t="s">
        <v>11</v>
      </c>
      <c r="B38" s="179" t="s">
        <v>913</v>
      </c>
    </row>
    <row r="39" spans="1:20">
      <c r="A39" s="177" t="s">
        <v>13</v>
      </c>
      <c r="B39" s="173" t="s">
        <v>14</v>
      </c>
    </row>
    <row r="40" spans="1:20">
      <c r="A40" s="177" t="s">
        <v>15</v>
      </c>
      <c r="B40" s="265">
        <f>B45</f>
        <v>0.04</v>
      </c>
    </row>
    <row r="41" spans="1:20">
      <c r="A41" s="177" t="s">
        <v>16</v>
      </c>
      <c r="B41" s="173" t="s">
        <v>17</v>
      </c>
    </row>
    <row r="42" spans="1:20">
      <c r="A42" s="177" t="s">
        <v>18</v>
      </c>
      <c r="B42" s="173" t="s">
        <v>206</v>
      </c>
    </row>
    <row r="43" spans="1:20">
      <c r="A43" s="174" t="s">
        <v>19</v>
      </c>
    </row>
    <row r="44" spans="1:20">
      <c r="A44" s="175" t="s">
        <v>20</v>
      </c>
      <c r="B44" s="175" t="s">
        <v>21</v>
      </c>
      <c r="C44" s="175" t="s">
        <v>18</v>
      </c>
      <c r="D44" s="175" t="s">
        <v>22</v>
      </c>
      <c r="E44" s="175" t="s">
        <v>7</v>
      </c>
      <c r="F44" s="175" t="s">
        <v>13</v>
      </c>
      <c r="G44" s="175" t="s">
        <v>16</v>
      </c>
      <c r="H44" s="175" t="s">
        <v>23</v>
      </c>
      <c r="I44" s="175" t="s">
        <v>24</v>
      </c>
      <c r="J44" s="175" t="s">
        <v>25</v>
      </c>
      <c r="K44" s="175" t="s">
        <v>26</v>
      </c>
      <c r="L44" s="175" t="s">
        <v>27</v>
      </c>
      <c r="M44" s="175" t="s">
        <v>28</v>
      </c>
      <c r="N44" s="175" t="s">
        <v>11</v>
      </c>
      <c r="T44" s="265"/>
    </row>
    <row r="45" spans="1:20">
      <c r="A45" s="173" t="s">
        <v>1565</v>
      </c>
      <c r="B45" s="265">
        <f>B29</f>
        <v>0.04</v>
      </c>
      <c r="C45" s="173" t="s">
        <v>206</v>
      </c>
      <c r="D45" s="258" t="s">
        <v>2</v>
      </c>
      <c r="E45" s="173" t="s">
        <v>29</v>
      </c>
      <c r="F45" s="173" t="s">
        <v>14</v>
      </c>
      <c r="G45" s="173" t="s">
        <v>30</v>
      </c>
      <c r="H45" s="173">
        <v>1</v>
      </c>
      <c r="I45" s="265">
        <f t="shared" ref="I45:I47" si="8">B45</f>
        <v>0.04</v>
      </c>
      <c r="J45" s="173" t="s">
        <v>31</v>
      </c>
      <c r="K45" s="173" t="s">
        <v>31</v>
      </c>
      <c r="L45" s="173" t="s">
        <v>31</v>
      </c>
      <c r="M45" s="173" t="s">
        <v>31</v>
      </c>
      <c r="Q45" s="173" t="s">
        <v>1410</v>
      </c>
    </row>
    <row r="46" spans="1:20">
      <c r="A46" s="232" t="s">
        <v>1037</v>
      </c>
      <c r="B46" s="173">
        <v>0.5</v>
      </c>
      <c r="C46" s="173" t="s">
        <v>37</v>
      </c>
      <c r="D46" s="173" t="s">
        <v>38</v>
      </c>
      <c r="E46" s="173" t="s">
        <v>29</v>
      </c>
      <c r="F46" s="173" t="s">
        <v>86</v>
      </c>
      <c r="G46" s="173" t="s">
        <v>33</v>
      </c>
      <c r="H46" s="173">
        <v>1</v>
      </c>
      <c r="I46" s="265">
        <f t="shared" si="8"/>
        <v>0.5</v>
      </c>
      <c r="J46" s="173" t="s">
        <v>31</v>
      </c>
      <c r="K46" s="173" t="s">
        <v>31</v>
      </c>
      <c r="L46" s="173" t="s">
        <v>31</v>
      </c>
      <c r="M46" s="173" t="s">
        <v>31</v>
      </c>
    </row>
    <row r="47" spans="1:20">
      <c r="A47" s="232" t="s">
        <v>1038</v>
      </c>
      <c r="B47" s="173">
        <v>0.5</v>
      </c>
      <c r="C47" s="173" t="s">
        <v>37</v>
      </c>
      <c r="D47" s="173" t="s">
        <v>38</v>
      </c>
      <c r="E47" s="173" t="s">
        <v>29</v>
      </c>
      <c r="F47" s="173" t="s">
        <v>60</v>
      </c>
      <c r="G47" s="173" t="s">
        <v>33</v>
      </c>
      <c r="H47" s="173">
        <v>1</v>
      </c>
      <c r="I47" s="265">
        <f t="shared" si="8"/>
        <v>0.5</v>
      </c>
      <c r="J47" s="173" t="s">
        <v>31</v>
      </c>
      <c r="K47" s="173" t="s">
        <v>31</v>
      </c>
      <c r="L47" s="173" t="s">
        <v>31</v>
      </c>
      <c r="M47" s="173" t="s">
        <v>31</v>
      </c>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C5CBF-A453-476C-A4A0-B1E552A24C81}">
  <sheetPr>
    <tabColor theme="5"/>
  </sheetPr>
  <dimension ref="A1:Y57"/>
  <sheetViews>
    <sheetView topLeftCell="A21" zoomScaleNormal="10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71"/>
      <c r="S1" s="272"/>
    </row>
    <row r="2" spans="1:21" s="188" customFormat="1">
      <c r="A2" s="209" t="s">
        <v>5</v>
      </c>
      <c r="B2" s="210" t="s">
        <v>1546</v>
      </c>
      <c r="C2" s="210"/>
      <c r="R2" s="290"/>
      <c r="S2" s="291"/>
    </row>
    <row r="3" spans="1:21">
      <c r="A3" s="177" t="s">
        <v>7</v>
      </c>
      <c r="B3" s="173" t="s">
        <v>566</v>
      </c>
      <c r="D3" s="176"/>
      <c r="R3" s="271"/>
      <c r="S3" s="272"/>
    </row>
    <row r="4" spans="1:21">
      <c r="A4" s="276" t="s">
        <v>9</v>
      </c>
      <c r="B4" s="173" t="s">
        <v>1567</v>
      </c>
      <c r="D4" s="176"/>
    </row>
    <row r="5" spans="1:21" ht="15.75" customHeight="1">
      <c r="A5" s="177" t="s">
        <v>11</v>
      </c>
      <c r="B5" s="179" t="s">
        <v>913</v>
      </c>
      <c r="C5" s="179"/>
    </row>
    <row r="6" spans="1:21">
      <c r="A6" s="177" t="s">
        <v>13</v>
      </c>
      <c r="B6" s="173" t="s">
        <v>14</v>
      </c>
    </row>
    <row r="7" spans="1:21">
      <c r="A7" s="177" t="s">
        <v>15</v>
      </c>
      <c r="B7" s="191">
        <f>B12</f>
        <v>3.15</v>
      </c>
      <c r="C7" s="191"/>
    </row>
    <row r="8" spans="1:21">
      <c r="A8" s="177" t="s">
        <v>16</v>
      </c>
      <c r="B8" s="173" t="s">
        <v>17</v>
      </c>
    </row>
    <row r="9" spans="1:21">
      <c r="A9" s="177" t="s">
        <v>18</v>
      </c>
      <c r="B9" s="173" t="str">
        <f>D12</f>
        <v>kilogram</v>
      </c>
    </row>
    <row r="10" spans="1:21">
      <c r="A10" s="174" t="s">
        <v>19</v>
      </c>
    </row>
    <row r="11" spans="1:21">
      <c r="A11" s="175" t="s">
        <v>20</v>
      </c>
      <c r="B11" s="175" t="s">
        <v>21</v>
      </c>
      <c r="C11" s="221" t="s">
        <v>78</v>
      </c>
      <c r="D11" s="175" t="s">
        <v>18</v>
      </c>
      <c r="E11" s="175" t="s">
        <v>22</v>
      </c>
      <c r="F11" s="175" t="s">
        <v>7</v>
      </c>
      <c r="G11" s="175" t="s">
        <v>13</v>
      </c>
      <c r="H11" s="175" t="s">
        <v>16</v>
      </c>
      <c r="I11" s="175" t="s">
        <v>23</v>
      </c>
      <c r="J11" s="175" t="s">
        <v>24</v>
      </c>
      <c r="K11" s="175" t="s">
        <v>25</v>
      </c>
      <c r="L11" s="175" t="s">
        <v>26</v>
      </c>
      <c r="M11" s="175" t="s">
        <v>27</v>
      </c>
      <c r="N11" s="175" t="s">
        <v>28</v>
      </c>
      <c r="O11" s="175" t="s">
        <v>11</v>
      </c>
      <c r="U11" s="265"/>
    </row>
    <row r="12" spans="1:21">
      <c r="A12" s="173" t="s">
        <v>1546</v>
      </c>
      <c r="B12" s="191">
        <f>B43</f>
        <v>3.15</v>
      </c>
      <c r="D12" s="173" t="s">
        <v>37</v>
      </c>
      <c r="E12" s="258" t="s">
        <v>2</v>
      </c>
      <c r="F12" s="173" t="s">
        <v>29</v>
      </c>
      <c r="G12" s="173" t="s">
        <v>14</v>
      </c>
      <c r="H12" s="173" t="s">
        <v>30</v>
      </c>
      <c r="I12" s="173">
        <v>1</v>
      </c>
      <c r="J12" s="265">
        <f>B12</f>
        <v>3.15</v>
      </c>
      <c r="K12" s="173" t="s">
        <v>31</v>
      </c>
      <c r="L12" s="173" t="s">
        <v>31</v>
      </c>
      <c r="M12" s="173" t="s">
        <v>31</v>
      </c>
      <c r="N12" s="173" t="s">
        <v>31</v>
      </c>
      <c r="P12" s="271"/>
      <c r="Q12" s="272"/>
    </row>
    <row r="13" spans="1:21">
      <c r="A13" s="173" t="s">
        <v>1568</v>
      </c>
      <c r="B13" s="173">
        <v>1</v>
      </c>
      <c r="D13" s="173" t="s">
        <v>18</v>
      </c>
      <c r="E13" s="258" t="s">
        <v>2</v>
      </c>
      <c r="F13" s="173" t="s">
        <v>29</v>
      </c>
      <c r="G13" s="173" t="s">
        <v>14</v>
      </c>
      <c r="H13" s="173" t="s">
        <v>33</v>
      </c>
      <c r="I13" s="173">
        <v>1</v>
      </c>
      <c r="J13" s="265">
        <f>B13</f>
        <v>1</v>
      </c>
      <c r="K13" s="173" t="s">
        <v>31</v>
      </c>
      <c r="L13" s="173" t="s">
        <v>31</v>
      </c>
      <c r="M13" s="173" t="s">
        <v>31</v>
      </c>
      <c r="N13" s="173" t="s">
        <v>31</v>
      </c>
    </row>
    <row r="14" spans="1:21">
      <c r="A14" s="177" t="s">
        <v>168</v>
      </c>
      <c r="B14" s="184">
        <f>Q14</f>
        <v>0.25</v>
      </c>
      <c r="C14" s="184"/>
      <c r="D14" s="173" t="s">
        <v>41</v>
      </c>
      <c r="E14" s="173" t="s">
        <v>38</v>
      </c>
      <c r="F14" s="173" t="s">
        <v>29</v>
      </c>
      <c r="G14" s="185" t="s">
        <v>35</v>
      </c>
      <c r="H14" s="173" t="s">
        <v>33</v>
      </c>
      <c r="I14" s="173">
        <v>2</v>
      </c>
      <c r="J14" s="173">
        <f t="shared" ref="J14:J18" si="0">LN(B14)</f>
        <v>-1.3862943611198906</v>
      </c>
      <c r="K14" s="343">
        <v>9.6046863561492793E-2</v>
      </c>
      <c r="L14" s="173" t="s">
        <v>31</v>
      </c>
      <c r="M14" s="173" t="s">
        <v>31</v>
      </c>
      <c r="N14" s="173" t="s">
        <v>31</v>
      </c>
      <c r="P14" s="242" t="s">
        <v>332</v>
      </c>
      <c r="Q14" s="264">
        <v>0.25</v>
      </c>
    </row>
    <row r="15" spans="1:21">
      <c r="A15" s="177" t="s">
        <v>168</v>
      </c>
      <c r="B15" s="184">
        <f>Q15</f>
        <v>0.5</v>
      </c>
      <c r="C15" s="184"/>
      <c r="D15" s="173" t="s">
        <v>41</v>
      </c>
      <c r="E15" s="173" t="s">
        <v>38</v>
      </c>
      <c r="F15" s="173" t="s">
        <v>29</v>
      </c>
      <c r="G15" s="185" t="s">
        <v>60</v>
      </c>
      <c r="H15" s="173" t="s">
        <v>33</v>
      </c>
      <c r="I15" s="173">
        <v>2</v>
      </c>
      <c r="J15" s="173">
        <f t="shared" si="0"/>
        <v>-0.69314718055994529</v>
      </c>
      <c r="K15" s="343">
        <v>9.6046863561492793E-2</v>
      </c>
      <c r="L15" s="173" t="s">
        <v>31</v>
      </c>
      <c r="M15" s="173" t="s">
        <v>31</v>
      </c>
      <c r="N15" s="173" t="s">
        <v>31</v>
      </c>
      <c r="P15" s="242" t="s">
        <v>332</v>
      </c>
      <c r="Q15" s="264">
        <v>0.5</v>
      </c>
    </row>
    <row r="16" spans="1:21">
      <c r="A16" s="232" t="s">
        <v>1042</v>
      </c>
      <c r="B16" s="173">
        <f>S16</f>
        <v>6.5000000000000002E-2</v>
      </c>
      <c r="D16" s="173" t="s">
        <v>37</v>
      </c>
      <c r="E16" s="173" t="s">
        <v>38</v>
      </c>
      <c r="F16" s="173" t="s">
        <v>29</v>
      </c>
      <c r="G16" s="173" t="s">
        <v>35</v>
      </c>
      <c r="H16" s="173" t="s">
        <v>33</v>
      </c>
      <c r="I16" s="173">
        <v>2</v>
      </c>
      <c r="J16" s="173">
        <f t="shared" si="0"/>
        <v>-2.7333680090865</v>
      </c>
      <c r="K16" s="343">
        <v>9.6046863561492793E-2</v>
      </c>
      <c r="P16" s="242" t="s">
        <v>947</v>
      </c>
      <c r="Q16" s="264">
        <v>65</v>
      </c>
      <c r="R16" s="242" t="s">
        <v>337</v>
      </c>
      <c r="S16" s="264">
        <f>0.001*Q16</f>
        <v>6.5000000000000002E-2</v>
      </c>
    </row>
    <row r="17" spans="1:21">
      <c r="A17" s="232" t="s">
        <v>1043</v>
      </c>
      <c r="B17" s="173">
        <f>Q17</f>
        <v>1.2</v>
      </c>
      <c r="D17" s="173" t="s">
        <v>37</v>
      </c>
      <c r="E17" s="173" t="s">
        <v>38</v>
      </c>
      <c r="F17" s="173" t="s">
        <v>29</v>
      </c>
      <c r="G17" s="185" t="s">
        <v>39</v>
      </c>
      <c r="H17" s="173" t="s">
        <v>33</v>
      </c>
      <c r="I17" s="173">
        <v>2</v>
      </c>
      <c r="J17" s="173">
        <f t="shared" si="0"/>
        <v>0.18232155679395459</v>
      </c>
      <c r="K17" s="343">
        <v>9.6046863561492793E-2</v>
      </c>
      <c r="P17" s="242" t="s">
        <v>337</v>
      </c>
      <c r="Q17" s="264">
        <v>1.2</v>
      </c>
    </row>
    <row r="18" spans="1:21">
      <c r="A18" s="232" t="s">
        <v>1238</v>
      </c>
      <c r="B18" s="173">
        <f>S18</f>
        <v>6.5000000000000002E-2</v>
      </c>
      <c r="D18" s="173" t="s">
        <v>37</v>
      </c>
      <c r="E18" s="173" t="s">
        <v>38</v>
      </c>
      <c r="F18" s="173" t="s">
        <v>29</v>
      </c>
      <c r="G18" s="185" t="s">
        <v>39</v>
      </c>
      <c r="H18" s="173" t="s">
        <v>33</v>
      </c>
      <c r="I18" s="173">
        <v>2</v>
      </c>
      <c r="J18" s="173">
        <f t="shared" si="0"/>
        <v>-2.7333680090865</v>
      </c>
      <c r="K18" s="343">
        <v>9.6046863561492793E-2</v>
      </c>
      <c r="P18" s="242" t="s">
        <v>947</v>
      </c>
      <c r="Q18" s="269">
        <v>65</v>
      </c>
      <c r="R18" s="242" t="s">
        <v>337</v>
      </c>
      <c r="S18" s="264">
        <f>0.001*Q18</f>
        <v>6.5000000000000002E-2</v>
      </c>
    </row>
    <row r="19" spans="1:21" s="188" customFormat="1">
      <c r="A19" s="209" t="s">
        <v>5</v>
      </c>
      <c r="B19" s="210" t="str">
        <f>A29</f>
        <v>production of machined casing, mass scaled activities, motor traction drive inverter DCAC, GT-bat, Medium-Term</v>
      </c>
      <c r="C19" s="210"/>
    </row>
    <row r="20" spans="1:21">
      <c r="A20" s="177" t="s">
        <v>7</v>
      </c>
      <c r="B20" s="173" t="s">
        <v>566</v>
      </c>
      <c r="D20" s="176"/>
    </row>
    <row r="21" spans="1:21">
      <c r="A21" s="276" t="s">
        <v>9</v>
      </c>
      <c r="B21" s="173" t="s">
        <v>1569</v>
      </c>
      <c r="D21" s="176"/>
    </row>
    <row r="22" spans="1:21" ht="15.75" customHeight="1">
      <c r="A22" s="177" t="s">
        <v>11</v>
      </c>
      <c r="B22" s="179" t="s">
        <v>913</v>
      </c>
      <c r="C22" s="179"/>
    </row>
    <row r="23" spans="1:21">
      <c r="A23" s="177" t="s">
        <v>13</v>
      </c>
      <c r="B23" s="173" t="s">
        <v>14</v>
      </c>
    </row>
    <row r="24" spans="1:21">
      <c r="A24" s="177" t="s">
        <v>15</v>
      </c>
      <c r="B24" s="191">
        <v>1</v>
      </c>
      <c r="C24" s="191"/>
    </row>
    <row r="25" spans="1:21">
      <c r="A25" s="177" t="s">
        <v>16</v>
      </c>
      <c r="B25" s="173" t="s">
        <v>17</v>
      </c>
    </row>
    <row r="26" spans="1:21">
      <c r="A26" s="177" t="s">
        <v>18</v>
      </c>
      <c r="B26" s="173" t="s">
        <v>18</v>
      </c>
    </row>
    <row r="27" spans="1:21">
      <c r="A27" s="174" t="s">
        <v>19</v>
      </c>
    </row>
    <row r="28" spans="1:21">
      <c r="A28" s="175" t="s">
        <v>20</v>
      </c>
      <c r="B28" s="175" t="s">
        <v>21</v>
      </c>
      <c r="C28" s="221" t="s">
        <v>78</v>
      </c>
      <c r="D28" s="175" t="s">
        <v>18</v>
      </c>
      <c r="E28" s="175" t="s">
        <v>22</v>
      </c>
      <c r="F28" s="175" t="s">
        <v>7</v>
      </c>
      <c r="G28" s="175" t="s">
        <v>13</v>
      </c>
      <c r="H28" s="175" t="s">
        <v>16</v>
      </c>
      <c r="I28" s="175" t="s">
        <v>23</v>
      </c>
      <c r="J28" s="175" t="s">
        <v>24</v>
      </c>
      <c r="K28" s="175" t="s">
        <v>25</v>
      </c>
      <c r="L28" s="175" t="s">
        <v>26</v>
      </c>
      <c r="M28" s="175" t="s">
        <v>27</v>
      </c>
      <c r="N28" s="175" t="s">
        <v>28</v>
      </c>
      <c r="O28" s="175" t="s">
        <v>11</v>
      </c>
      <c r="U28" s="265"/>
    </row>
    <row r="29" spans="1:21">
      <c r="A29" s="173" t="s">
        <v>1568</v>
      </c>
      <c r="B29" s="173">
        <v>1</v>
      </c>
      <c r="D29" s="173" t="s">
        <v>18</v>
      </c>
      <c r="E29" s="258" t="s">
        <v>2</v>
      </c>
      <c r="F29" s="173" t="s">
        <v>29</v>
      </c>
      <c r="G29" s="173" t="s">
        <v>14</v>
      </c>
      <c r="H29" s="173" t="s">
        <v>30</v>
      </c>
      <c r="I29" s="173">
        <v>1</v>
      </c>
      <c r="J29" s="265">
        <f>B29</f>
        <v>1</v>
      </c>
      <c r="K29" s="173" t="s">
        <v>31</v>
      </c>
      <c r="L29" s="173" t="s">
        <v>31</v>
      </c>
      <c r="M29" s="173" t="s">
        <v>31</v>
      </c>
      <c r="N29" s="173" t="s">
        <v>31</v>
      </c>
    </row>
    <row r="30" spans="1:21">
      <c r="A30" s="173" t="s">
        <v>1570</v>
      </c>
      <c r="B30" s="173">
        <f>Q30</f>
        <v>3.15</v>
      </c>
      <c r="D30" s="173" t="s">
        <v>37</v>
      </c>
      <c r="E30" s="258" t="s">
        <v>2</v>
      </c>
      <c r="F30" s="173" t="s">
        <v>29</v>
      </c>
      <c r="G30" s="173" t="s">
        <v>14</v>
      </c>
      <c r="H30" s="173" t="s">
        <v>33</v>
      </c>
      <c r="I30" s="173">
        <v>2</v>
      </c>
      <c r="J30" s="173">
        <f>LN(B30)</f>
        <v>1.1474024528375417</v>
      </c>
      <c r="K30" s="173">
        <v>0.10307764064044142</v>
      </c>
      <c r="L30" s="173" t="s">
        <v>31</v>
      </c>
      <c r="M30" s="173" t="s">
        <v>31</v>
      </c>
      <c r="N30" s="173" t="s">
        <v>31</v>
      </c>
      <c r="Q30" s="341">
        <v>3.15</v>
      </c>
    </row>
    <row r="31" spans="1:21" ht="15">
      <c r="A31" s="177" t="s">
        <v>168</v>
      </c>
      <c r="B31" s="184">
        <f>Q31</f>
        <v>0.18</v>
      </c>
      <c r="C31" s="184"/>
      <c r="D31" s="173" t="s">
        <v>41</v>
      </c>
      <c r="E31" s="173" t="s">
        <v>38</v>
      </c>
      <c r="F31" s="173" t="s">
        <v>29</v>
      </c>
      <c r="G31" s="185" t="s">
        <v>60</v>
      </c>
      <c r="H31" s="173" t="s">
        <v>33</v>
      </c>
      <c r="I31" s="173">
        <v>2</v>
      </c>
      <c r="J31" s="173">
        <f t="shared" ref="J31:J37" si="1">LN(B31)</f>
        <v>-1.7147984280919266</v>
      </c>
      <c r="K31" s="173">
        <v>9.6046863561492793E-2</v>
      </c>
      <c r="L31" s="173" t="s">
        <v>31</v>
      </c>
      <c r="M31" s="173" t="s">
        <v>31</v>
      </c>
      <c r="N31" s="173" t="s">
        <v>31</v>
      </c>
      <c r="P31" s="242" t="s">
        <v>332</v>
      </c>
      <c r="Q31" s="296">
        <v>0.18</v>
      </c>
    </row>
    <row r="32" spans="1:21" ht="15">
      <c r="A32" s="232" t="s">
        <v>1042</v>
      </c>
      <c r="B32" s="173">
        <f>S32</f>
        <v>4.2000000000000003E-2</v>
      </c>
      <c r="D32" s="173" t="s">
        <v>37</v>
      </c>
      <c r="E32" s="173" t="s">
        <v>38</v>
      </c>
      <c r="F32" s="173" t="s">
        <v>29</v>
      </c>
      <c r="G32" s="173" t="s">
        <v>35</v>
      </c>
      <c r="H32" s="173" t="s">
        <v>33</v>
      </c>
      <c r="I32" s="173">
        <v>2</v>
      </c>
      <c r="J32" s="173">
        <f t="shared" si="1"/>
        <v>-3.1700856606987688</v>
      </c>
      <c r="K32" s="173">
        <v>9.6046863561492793E-2</v>
      </c>
      <c r="L32" s="173" t="s">
        <v>31</v>
      </c>
      <c r="M32" s="173" t="s">
        <v>31</v>
      </c>
      <c r="N32" s="173" t="s">
        <v>31</v>
      </c>
      <c r="P32" s="242" t="s">
        <v>947</v>
      </c>
      <c r="Q32" s="296">
        <v>42</v>
      </c>
      <c r="R32" s="242" t="s">
        <v>337</v>
      </c>
      <c r="S32" s="264">
        <f>0.001*Q32</f>
        <v>4.2000000000000003E-2</v>
      </c>
    </row>
    <row r="33" spans="1:21" ht="15">
      <c r="A33" s="232" t="s">
        <v>1043</v>
      </c>
      <c r="B33" s="173">
        <f>Q33</f>
        <v>0.78</v>
      </c>
      <c r="D33" s="173" t="s">
        <v>37</v>
      </c>
      <c r="E33" s="173" t="s">
        <v>38</v>
      </c>
      <c r="F33" s="173" t="s">
        <v>29</v>
      </c>
      <c r="G33" s="185" t="s">
        <v>39</v>
      </c>
      <c r="H33" s="173" t="s">
        <v>33</v>
      </c>
      <c r="I33" s="173">
        <v>2</v>
      </c>
      <c r="J33" s="173">
        <f t="shared" si="1"/>
        <v>-0.24846135929849961</v>
      </c>
      <c r="K33" s="173">
        <v>9.6046863561492793E-2</v>
      </c>
      <c r="L33" s="173" t="s">
        <v>31</v>
      </c>
      <c r="M33" s="173" t="s">
        <v>31</v>
      </c>
      <c r="N33" s="173" t="s">
        <v>31</v>
      </c>
      <c r="P33" s="242" t="s">
        <v>337</v>
      </c>
      <c r="Q33" s="296">
        <v>0.78</v>
      </c>
    </row>
    <row r="34" spans="1:21">
      <c r="A34" s="292" t="s">
        <v>94</v>
      </c>
      <c r="B34" s="173">
        <f>S35</f>
        <v>0.159</v>
      </c>
      <c r="C34" s="271" t="s">
        <v>95</v>
      </c>
      <c r="D34" s="173" t="s">
        <v>37</v>
      </c>
      <c r="E34" s="173" t="s">
        <v>38</v>
      </c>
      <c r="F34" s="173" t="s">
        <v>29</v>
      </c>
      <c r="G34" s="185" t="s">
        <v>35</v>
      </c>
      <c r="H34" s="173" t="s">
        <v>33</v>
      </c>
      <c r="I34" s="173">
        <v>2</v>
      </c>
      <c r="J34" s="173">
        <f t="shared" si="1"/>
        <v>-1.8388510767619055</v>
      </c>
      <c r="K34" s="173">
        <v>9.6046863561492793E-2</v>
      </c>
      <c r="L34" s="173" t="s">
        <v>31</v>
      </c>
      <c r="M34" s="173" t="s">
        <v>31</v>
      </c>
      <c r="N34" s="173" t="s">
        <v>31</v>
      </c>
      <c r="P34" s="242"/>
      <c r="Q34" s="264">
        <v>159</v>
      </c>
    </row>
    <row r="35" spans="1:21">
      <c r="A35" s="271" t="s">
        <v>93</v>
      </c>
      <c r="B35" s="173">
        <f>S35</f>
        <v>0.159</v>
      </c>
      <c r="D35" s="173" t="s">
        <v>37</v>
      </c>
      <c r="E35" s="173" t="s">
        <v>38</v>
      </c>
      <c r="F35" s="173" t="s">
        <v>29</v>
      </c>
      <c r="G35" s="173" t="s">
        <v>35</v>
      </c>
      <c r="H35" s="173" t="s">
        <v>33</v>
      </c>
      <c r="I35" s="173">
        <v>2</v>
      </c>
      <c r="J35" s="173">
        <f t="shared" si="1"/>
        <v>-1.8388510767619055</v>
      </c>
      <c r="K35" s="173">
        <v>9.6046863561492793E-2</v>
      </c>
      <c r="L35" s="173" t="s">
        <v>31</v>
      </c>
      <c r="M35" s="173" t="s">
        <v>31</v>
      </c>
      <c r="N35" s="173" t="s">
        <v>31</v>
      </c>
      <c r="P35" s="268" t="s">
        <v>947</v>
      </c>
      <c r="Q35" s="264">
        <v>159</v>
      </c>
      <c r="R35" s="242" t="s">
        <v>337</v>
      </c>
      <c r="S35" s="264">
        <f>0.001*Q35</f>
        <v>0.159</v>
      </c>
    </row>
    <row r="36" spans="1:21">
      <c r="A36" s="232" t="s">
        <v>1047</v>
      </c>
      <c r="B36" s="173">
        <f t="shared" ref="B36" si="2">S36</f>
        <v>0.159</v>
      </c>
      <c r="D36" s="173" t="s">
        <v>37</v>
      </c>
      <c r="E36" s="173" t="s">
        <v>38</v>
      </c>
      <c r="F36" s="173" t="s">
        <v>29</v>
      </c>
      <c r="G36" s="173" t="s">
        <v>60</v>
      </c>
      <c r="H36" s="173" t="s">
        <v>98</v>
      </c>
      <c r="I36" s="173">
        <v>2</v>
      </c>
      <c r="J36" s="173">
        <f t="shared" si="1"/>
        <v>-1.8388510767619055</v>
      </c>
      <c r="K36" s="173">
        <v>9.6046863561492793E-2</v>
      </c>
      <c r="L36" s="173" t="s">
        <v>31</v>
      </c>
      <c r="M36" s="173" t="s">
        <v>31</v>
      </c>
      <c r="N36" s="173" t="s">
        <v>31</v>
      </c>
      <c r="P36" s="268" t="s">
        <v>947</v>
      </c>
      <c r="Q36" s="264">
        <v>159</v>
      </c>
      <c r="R36" s="242" t="s">
        <v>337</v>
      </c>
      <c r="S36" s="264">
        <f t="shared" ref="S36:S37" si="3">0.001*Q36</f>
        <v>0.159</v>
      </c>
    </row>
    <row r="37" spans="1:21">
      <c r="A37" s="232" t="s">
        <v>1238</v>
      </c>
      <c r="B37" s="173">
        <f>S37</f>
        <v>4.2000000000000003E-2</v>
      </c>
      <c r="D37" s="173" t="s">
        <v>37</v>
      </c>
      <c r="E37" s="173" t="s">
        <v>38</v>
      </c>
      <c r="F37" s="173" t="s">
        <v>29</v>
      </c>
      <c r="G37" s="185" t="s">
        <v>39</v>
      </c>
      <c r="H37" s="173" t="s">
        <v>33</v>
      </c>
      <c r="I37" s="173">
        <v>2</v>
      </c>
      <c r="J37" s="173">
        <f t="shared" si="1"/>
        <v>-3.1700856606987688</v>
      </c>
      <c r="K37" s="173">
        <v>9.6046863561492793E-2</v>
      </c>
      <c r="L37" s="173" t="s">
        <v>31</v>
      </c>
      <c r="M37" s="173" t="s">
        <v>31</v>
      </c>
      <c r="N37" s="173" t="s">
        <v>31</v>
      </c>
      <c r="P37" s="268" t="s">
        <v>947</v>
      </c>
      <c r="Q37" s="269">
        <v>42</v>
      </c>
      <c r="R37" s="242" t="s">
        <v>337</v>
      </c>
      <c r="S37" s="264">
        <f t="shared" si="3"/>
        <v>4.2000000000000003E-2</v>
      </c>
    </row>
    <row r="38" spans="1:21" s="188" customFormat="1">
      <c r="A38" s="209" t="s">
        <v>5</v>
      </c>
      <c r="B38" s="210" t="s">
        <v>1570</v>
      </c>
      <c r="C38" s="210"/>
    </row>
    <row r="39" spans="1:21">
      <c r="A39" s="177" t="s">
        <v>7</v>
      </c>
      <c r="B39" s="173" t="s">
        <v>566</v>
      </c>
      <c r="D39" s="176"/>
    </row>
    <row r="40" spans="1:21">
      <c r="A40" s="276" t="s">
        <v>9</v>
      </c>
      <c r="B40" s="173" t="s">
        <v>1571</v>
      </c>
      <c r="D40" s="176"/>
    </row>
    <row r="41" spans="1:21" ht="15.75" customHeight="1">
      <c r="A41" s="177" t="s">
        <v>11</v>
      </c>
      <c r="B41" s="179" t="s">
        <v>913</v>
      </c>
      <c r="C41" s="179"/>
    </row>
    <row r="42" spans="1:21">
      <c r="A42" s="177" t="s">
        <v>13</v>
      </c>
      <c r="B42" s="173" t="s">
        <v>14</v>
      </c>
    </row>
    <row r="43" spans="1:21">
      <c r="A43" s="177" t="s">
        <v>15</v>
      </c>
      <c r="B43" s="191">
        <f>B48</f>
        <v>3.15</v>
      </c>
      <c r="C43" s="191"/>
    </row>
    <row r="44" spans="1:21">
      <c r="A44" s="177" t="s">
        <v>16</v>
      </c>
      <c r="B44" s="173" t="s">
        <v>17</v>
      </c>
    </row>
    <row r="45" spans="1:21">
      <c r="A45" s="177" t="s">
        <v>18</v>
      </c>
      <c r="B45" s="173" t="s">
        <v>37</v>
      </c>
    </row>
    <row r="46" spans="1:21">
      <c r="A46" s="174" t="s">
        <v>19</v>
      </c>
    </row>
    <row r="47" spans="1:21">
      <c r="A47" s="175" t="s">
        <v>20</v>
      </c>
      <c r="B47" s="175" t="s">
        <v>21</v>
      </c>
      <c r="C47" s="221" t="s">
        <v>78</v>
      </c>
      <c r="D47" s="175" t="s">
        <v>18</v>
      </c>
      <c r="E47" s="175" t="s">
        <v>22</v>
      </c>
      <c r="F47" s="175" t="s">
        <v>7</v>
      </c>
      <c r="G47" s="175" t="s">
        <v>13</v>
      </c>
      <c r="H47" s="175" t="s">
        <v>16</v>
      </c>
      <c r="I47" s="175" t="s">
        <v>23</v>
      </c>
      <c r="J47" s="175" t="s">
        <v>24</v>
      </c>
      <c r="K47" s="175" t="s">
        <v>25</v>
      </c>
      <c r="L47" s="175" t="s">
        <v>26</v>
      </c>
      <c r="M47" s="175" t="s">
        <v>27</v>
      </c>
      <c r="N47" s="175" t="s">
        <v>28</v>
      </c>
      <c r="O47" s="175" t="s">
        <v>11</v>
      </c>
      <c r="U47" s="265"/>
    </row>
    <row r="48" spans="1:21">
      <c r="A48" s="173" t="s">
        <v>1570</v>
      </c>
      <c r="B48" s="173">
        <f>Q48</f>
        <v>3.15</v>
      </c>
      <c r="D48" s="173" t="s">
        <v>37</v>
      </c>
      <c r="E48" s="258" t="s">
        <v>2</v>
      </c>
      <c r="F48" s="173" t="s">
        <v>29</v>
      </c>
      <c r="G48" s="173" t="s">
        <v>14</v>
      </c>
      <c r="H48" s="173" t="s">
        <v>30</v>
      </c>
      <c r="I48" s="173">
        <v>2</v>
      </c>
      <c r="J48" s="173">
        <f>LN(B48)</f>
        <v>1.1474024528375417</v>
      </c>
      <c r="K48" s="173">
        <v>0.10307764064044142</v>
      </c>
      <c r="L48" s="173" t="s">
        <v>31</v>
      </c>
      <c r="M48" s="173" t="s">
        <v>31</v>
      </c>
      <c r="N48" s="173" t="s">
        <v>31</v>
      </c>
      <c r="Q48" s="344">
        <v>3.15</v>
      </c>
    </row>
    <row r="49" spans="1:25">
      <c r="A49" s="232" t="s">
        <v>1047</v>
      </c>
      <c r="B49" s="173">
        <f>Q49</f>
        <v>3.34</v>
      </c>
      <c r="D49" s="173" t="s">
        <v>37</v>
      </c>
      <c r="E49" s="173" t="s">
        <v>38</v>
      </c>
      <c r="F49" s="173" t="s">
        <v>29</v>
      </c>
      <c r="G49" s="173" t="s">
        <v>60</v>
      </c>
      <c r="H49" s="173" t="s">
        <v>33</v>
      </c>
      <c r="I49" s="173">
        <v>2</v>
      </c>
      <c r="J49" s="173">
        <f t="shared" ref="J49:J57" si="4">LN(B49)</f>
        <v>1.205970806988609</v>
      </c>
      <c r="K49" s="173">
        <v>4.9999999999998969E-3</v>
      </c>
      <c r="L49" s="173" t="s">
        <v>31</v>
      </c>
      <c r="M49" s="173" t="s">
        <v>31</v>
      </c>
      <c r="N49" s="173" t="s">
        <v>31</v>
      </c>
      <c r="P49" s="242" t="s">
        <v>337</v>
      </c>
      <c r="Q49" s="264">
        <v>3.34</v>
      </c>
    </row>
    <row r="50" spans="1:25">
      <c r="A50" s="293" t="s">
        <v>170</v>
      </c>
      <c r="B50" s="173">
        <f>S50</f>
        <v>0.88772845953002621</v>
      </c>
      <c r="D50" s="173" t="s">
        <v>50</v>
      </c>
      <c r="E50" s="173" t="s">
        <v>38</v>
      </c>
      <c r="F50" s="173" t="s">
        <v>29</v>
      </c>
      <c r="G50" s="173" t="s">
        <v>333</v>
      </c>
      <c r="H50" s="173" t="s">
        <v>33</v>
      </c>
      <c r="I50" s="173">
        <v>2</v>
      </c>
      <c r="J50" s="173">
        <f t="shared" si="4"/>
        <v>-0.11908937157043879</v>
      </c>
      <c r="K50" s="173">
        <v>4.9999999999998969E-3</v>
      </c>
      <c r="L50" s="173" t="s">
        <v>31</v>
      </c>
      <c r="M50" s="173" t="s">
        <v>31</v>
      </c>
      <c r="N50" s="173" t="s">
        <v>31</v>
      </c>
      <c r="P50" s="242" t="s">
        <v>331</v>
      </c>
      <c r="Q50" s="264">
        <v>34</v>
      </c>
      <c r="R50" s="173" t="s">
        <v>335</v>
      </c>
      <c r="S50" s="173">
        <f>Q50/38.3</f>
        <v>0.88772845953002621</v>
      </c>
      <c r="T50" s="345"/>
      <c r="U50" s="346"/>
      <c r="V50" s="346"/>
      <c r="W50" s="346"/>
      <c r="X50" s="346"/>
      <c r="Y50" s="346"/>
    </row>
    <row r="51" spans="1:25">
      <c r="A51" s="177" t="s">
        <v>168</v>
      </c>
      <c r="B51" s="184">
        <f>Q51</f>
        <v>8.19</v>
      </c>
      <c r="C51" s="184"/>
      <c r="D51" s="173" t="s">
        <v>41</v>
      </c>
      <c r="E51" s="173" t="s">
        <v>38</v>
      </c>
      <c r="F51" s="173" t="s">
        <v>29</v>
      </c>
      <c r="G51" s="185" t="s">
        <v>60</v>
      </c>
      <c r="H51" s="173" t="s">
        <v>33</v>
      </c>
      <c r="I51" s="173">
        <v>2</v>
      </c>
      <c r="J51" s="173">
        <f t="shared" si="4"/>
        <v>2.102913897864978</v>
      </c>
      <c r="K51" s="173">
        <v>4.9999999999998969E-3</v>
      </c>
      <c r="L51" s="173" t="s">
        <v>31</v>
      </c>
      <c r="M51" s="173" t="s">
        <v>31</v>
      </c>
      <c r="N51" s="173" t="s">
        <v>31</v>
      </c>
      <c r="P51" s="242" t="s">
        <v>332</v>
      </c>
      <c r="Q51" s="264">
        <v>8.19</v>
      </c>
    </row>
    <row r="52" spans="1:25">
      <c r="A52" s="232" t="s">
        <v>1049</v>
      </c>
      <c r="B52" s="173">
        <f>S52</f>
        <v>6.3E-2</v>
      </c>
      <c r="D52" s="173" t="s">
        <v>37</v>
      </c>
      <c r="E52" s="173" t="s">
        <v>38</v>
      </c>
      <c r="F52" s="173" t="s">
        <v>29</v>
      </c>
      <c r="G52" s="173" t="s">
        <v>35</v>
      </c>
      <c r="H52" s="173" t="s">
        <v>33</v>
      </c>
      <c r="I52" s="173">
        <v>2</v>
      </c>
      <c r="J52" s="173">
        <f t="shared" si="4"/>
        <v>-2.7646205525906042</v>
      </c>
      <c r="K52" s="173">
        <v>0.10049875621120885</v>
      </c>
      <c r="L52" s="173" t="s">
        <v>31</v>
      </c>
      <c r="M52" s="173" t="s">
        <v>31</v>
      </c>
      <c r="N52" s="173" t="s">
        <v>31</v>
      </c>
      <c r="P52" s="242" t="s">
        <v>947</v>
      </c>
      <c r="Q52" s="264">
        <v>63</v>
      </c>
      <c r="R52" s="242" t="s">
        <v>337</v>
      </c>
      <c r="S52" s="264">
        <f t="shared" ref="S52:S54" si="5">0.001*Q52</f>
        <v>6.3E-2</v>
      </c>
    </row>
    <row r="53" spans="1:25">
      <c r="A53" s="232" t="s">
        <v>1050</v>
      </c>
      <c r="B53" s="173">
        <f>S53</f>
        <v>1.3000000000000002E-3</v>
      </c>
      <c r="D53" s="173" t="s">
        <v>37</v>
      </c>
      <c r="E53" s="173" t="s">
        <v>43</v>
      </c>
      <c r="F53" s="173" t="s">
        <v>44</v>
      </c>
      <c r="G53" s="173" t="s">
        <v>29</v>
      </c>
      <c r="H53" s="173" t="s">
        <v>45</v>
      </c>
      <c r="I53" s="173">
        <v>2</v>
      </c>
      <c r="J53" s="173">
        <f t="shared" si="4"/>
        <v>-6.6453910145146455</v>
      </c>
      <c r="K53" s="173">
        <v>4.9999999999998969E-3</v>
      </c>
      <c r="L53" s="173" t="s">
        <v>31</v>
      </c>
      <c r="M53" s="173" t="s">
        <v>31</v>
      </c>
      <c r="N53" s="173" t="s">
        <v>31</v>
      </c>
      <c r="P53" s="266" t="s">
        <v>947</v>
      </c>
      <c r="Q53" s="295">
        <v>1.3</v>
      </c>
      <c r="R53" s="242" t="s">
        <v>337</v>
      </c>
      <c r="S53" s="264">
        <f t="shared" si="5"/>
        <v>1.3000000000000002E-3</v>
      </c>
    </row>
    <row r="54" spans="1:25">
      <c r="A54" s="177" t="s">
        <v>941</v>
      </c>
      <c r="B54" s="173">
        <f>S54</f>
        <v>3.2000000000000002E-3</v>
      </c>
      <c r="D54" s="173" t="s">
        <v>37</v>
      </c>
      <c r="E54" s="173" t="s">
        <v>43</v>
      </c>
      <c r="F54" s="173" t="s">
        <v>44</v>
      </c>
      <c r="G54" s="185" t="s">
        <v>29</v>
      </c>
      <c r="H54" s="173" t="s">
        <v>45</v>
      </c>
      <c r="I54" s="173">
        <v>2</v>
      </c>
      <c r="J54" s="173">
        <f t="shared" si="4"/>
        <v>-5.7446044691764557</v>
      </c>
      <c r="K54" s="173">
        <v>8.9582364335844641E-2</v>
      </c>
      <c r="L54" s="173" t="s">
        <v>31</v>
      </c>
      <c r="M54" s="173" t="s">
        <v>31</v>
      </c>
      <c r="N54" s="173" t="s">
        <v>31</v>
      </c>
      <c r="P54" s="266" t="s">
        <v>947</v>
      </c>
      <c r="Q54" s="295">
        <v>3.2</v>
      </c>
      <c r="R54" s="242" t="s">
        <v>337</v>
      </c>
      <c r="S54" s="264">
        <f t="shared" si="5"/>
        <v>3.2000000000000002E-3</v>
      </c>
    </row>
    <row r="55" spans="1:25">
      <c r="A55" s="292" t="s">
        <v>94</v>
      </c>
      <c r="B55" s="173">
        <f>Q56</f>
        <v>0.19</v>
      </c>
      <c r="C55" s="271" t="s">
        <v>95</v>
      </c>
      <c r="D55" s="173" t="s">
        <v>37</v>
      </c>
      <c r="E55" s="173" t="s">
        <v>38</v>
      </c>
      <c r="F55" s="173" t="s">
        <v>29</v>
      </c>
      <c r="G55" s="185" t="s">
        <v>35</v>
      </c>
      <c r="H55" s="173" t="s">
        <v>33</v>
      </c>
      <c r="I55" s="173">
        <v>2</v>
      </c>
      <c r="J55" s="173">
        <f t="shared" si="4"/>
        <v>-1.6607312068216509</v>
      </c>
      <c r="K55" s="173">
        <v>9.6046863561492793E-2</v>
      </c>
      <c r="L55" s="173" t="s">
        <v>31</v>
      </c>
      <c r="M55" s="173" t="s">
        <v>31</v>
      </c>
      <c r="N55" s="173" t="s">
        <v>31</v>
      </c>
      <c r="P55" s="266"/>
      <c r="Q55" s="295">
        <v>0.19</v>
      </c>
      <c r="R55" s="286"/>
      <c r="S55" s="287"/>
    </row>
    <row r="56" spans="1:25">
      <c r="A56" s="271" t="s">
        <v>93</v>
      </c>
      <c r="B56" s="173">
        <f>Q56</f>
        <v>0.19</v>
      </c>
      <c r="D56" s="173" t="s">
        <v>37</v>
      </c>
      <c r="E56" s="173" t="s">
        <v>38</v>
      </c>
      <c r="F56" s="173" t="s">
        <v>29</v>
      </c>
      <c r="G56" s="173" t="s">
        <v>35</v>
      </c>
      <c r="H56" s="173" t="s">
        <v>33</v>
      </c>
      <c r="I56" s="173">
        <v>2</v>
      </c>
      <c r="J56" s="173">
        <f t="shared" si="4"/>
        <v>-1.6607312068216509</v>
      </c>
      <c r="K56" s="173">
        <v>4.9999999999998969E-3</v>
      </c>
      <c r="L56" s="173" t="s">
        <v>31</v>
      </c>
      <c r="M56" s="173" t="s">
        <v>31</v>
      </c>
      <c r="N56" s="173" t="s">
        <v>31</v>
      </c>
      <c r="P56" s="268" t="s">
        <v>337</v>
      </c>
      <c r="Q56" s="295">
        <v>0.19</v>
      </c>
    </row>
    <row r="57" spans="1:25">
      <c r="A57" s="232" t="s">
        <v>1047</v>
      </c>
      <c r="B57" s="173">
        <f>Q56</f>
        <v>0.19</v>
      </c>
      <c r="D57" s="173" t="s">
        <v>37</v>
      </c>
      <c r="E57" s="173" t="s">
        <v>38</v>
      </c>
      <c r="F57" s="173" t="s">
        <v>29</v>
      </c>
      <c r="G57" s="173" t="s">
        <v>60</v>
      </c>
      <c r="H57" s="173" t="s">
        <v>98</v>
      </c>
      <c r="I57" s="173">
        <v>2</v>
      </c>
      <c r="J57" s="173">
        <f t="shared" si="4"/>
        <v>-1.6607312068216509</v>
      </c>
      <c r="K57" s="173">
        <v>4.9999999999998969E-3</v>
      </c>
      <c r="L57" s="173" t="s">
        <v>31</v>
      </c>
      <c r="M57" s="173" t="s">
        <v>31</v>
      </c>
      <c r="N57" s="173" t="s">
        <v>31</v>
      </c>
      <c r="Q57" s="295">
        <v>0.19</v>
      </c>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04D5-B991-4B50-B192-E29753F4EB0B}">
  <sheetPr>
    <tabColor theme="5"/>
  </sheetPr>
  <dimension ref="A1:U363"/>
  <sheetViews>
    <sheetView zoomScaleNormal="100" workbookViewId="0">
      <selection activeCell="E21" sqref="E21"/>
    </sheetView>
  </sheetViews>
  <sheetFormatPr defaultRowHeight="1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5</v>
      </c>
      <c r="B2" s="210" t="s">
        <v>1542</v>
      </c>
      <c r="C2" s="211"/>
      <c r="D2" s="188"/>
      <c r="E2" s="188"/>
      <c r="F2" s="188"/>
      <c r="G2" s="188"/>
      <c r="H2" s="188"/>
      <c r="I2" s="188"/>
      <c r="J2" s="188"/>
      <c r="K2" s="188"/>
      <c r="L2" s="188"/>
      <c r="M2" s="188"/>
      <c r="N2" s="173"/>
      <c r="O2" s="173"/>
      <c r="P2" s="173"/>
      <c r="Q2" s="173"/>
      <c r="R2" s="173"/>
      <c r="S2" s="173"/>
      <c r="T2" s="173"/>
      <c r="U2" s="173"/>
    </row>
    <row r="3" spans="1:21">
      <c r="A3" s="177" t="s">
        <v>7</v>
      </c>
      <c r="B3" s="173" t="s">
        <v>566</v>
      </c>
      <c r="C3" s="176"/>
      <c r="D3" s="173"/>
      <c r="E3" s="173"/>
      <c r="F3" s="173"/>
      <c r="G3" s="173"/>
      <c r="H3" s="173"/>
      <c r="I3" s="173"/>
      <c r="J3" s="173"/>
      <c r="K3" s="173"/>
      <c r="L3" s="173"/>
      <c r="M3" s="173"/>
      <c r="N3" s="173"/>
      <c r="O3" s="173"/>
      <c r="P3" s="173"/>
      <c r="Q3" s="173"/>
      <c r="R3" s="173"/>
      <c r="S3" s="173"/>
      <c r="T3" s="173"/>
      <c r="U3" s="173"/>
    </row>
    <row r="4" spans="1:21">
      <c r="A4" s="177" t="s">
        <v>9</v>
      </c>
      <c r="B4" s="173" t="s">
        <v>1572</v>
      </c>
      <c r="C4" s="176"/>
      <c r="D4" s="173"/>
      <c r="E4" s="173"/>
      <c r="F4" s="173"/>
      <c r="G4" s="173"/>
      <c r="H4" s="173"/>
      <c r="I4" s="173"/>
      <c r="J4" s="173"/>
      <c r="K4" s="173"/>
      <c r="L4" s="173"/>
      <c r="M4" s="173"/>
      <c r="N4" s="173"/>
      <c r="O4" s="173"/>
      <c r="P4" s="173"/>
      <c r="Q4" s="173"/>
      <c r="R4" s="173"/>
      <c r="S4" s="173"/>
      <c r="T4" s="173"/>
      <c r="U4" s="173"/>
    </row>
    <row r="5" spans="1:21" ht="16.5" customHeight="1">
      <c r="A5" s="177" t="s">
        <v>11</v>
      </c>
      <c r="B5" s="179" t="s">
        <v>913</v>
      </c>
      <c r="C5" s="173"/>
      <c r="D5" s="173"/>
      <c r="E5" s="173"/>
      <c r="F5" s="173"/>
      <c r="G5" s="173"/>
      <c r="H5" s="173"/>
      <c r="I5" s="173"/>
      <c r="J5" s="173"/>
      <c r="K5" s="173"/>
      <c r="L5" s="173"/>
      <c r="M5" s="173"/>
      <c r="N5" s="173"/>
      <c r="O5" s="173"/>
      <c r="P5" s="173"/>
      <c r="Q5" s="173"/>
      <c r="R5" s="173"/>
      <c r="S5" s="173"/>
      <c r="T5" s="173"/>
      <c r="U5" s="173"/>
    </row>
    <row r="6" spans="1:21">
      <c r="A6" s="177" t="s">
        <v>13</v>
      </c>
      <c r="B6" s="173" t="s">
        <v>14</v>
      </c>
      <c r="C6" s="173"/>
      <c r="D6" s="173"/>
      <c r="E6" s="173"/>
      <c r="F6" s="173"/>
      <c r="G6" s="173"/>
      <c r="H6" s="173"/>
      <c r="I6" s="173"/>
      <c r="J6" s="173"/>
      <c r="K6" s="173"/>
      <c r="L6" s="173"/>
      <c r="M6" s="173"/>
      <c r="N6" s="173"/>
      <c r="O6" s="173"/>
      <c r="P6" s="173"/>
      <c r="Q6" s="173"/>
      <c r="R6" s="173"/>
      <c r="S6" s="173"/>
      <c r="T6" s="173"/>
      <c r="U6" s="173"/>
    </row>
    <row r="7" spans="1:21">
      <c r="A7" s="177" t="s">
        <v>15</v>
      </c>
      <c r="B7" s="173">
        <f>B12</f>
        <v>0.9</v>
      </c>
      <c r="C7" s="173"/>
      <c r="D7" s="173"/>
      <c r="E7" s="173"/>
      <c r="F7" s="173"/>
      <c r="G7" s="173"/>
      <c r="H7" s="173"/>
      <c r="I7" s="173"/>
      <c r="J7" s="173"/>
      <c r="K7" s="173"/>
      <c r="L7" s="173"/>
      <c r="M7" s="173"/>
      <c r="N7" s="173"/>
      <c r="O7" s="173" t="s">
        <v>1417</v>
      </c>
      <c r="P7" s="173"/>
      <c r="Q7" s="173"/>
      <c r="R7" s="173"/>
      <c r="S7" s="173"/>
      <c r="T7" s="173"/>
      <c r="U7" s="173"/>
    </row>
    <row r="8" spans="1:21">
      <c r="A8" s="177" t="s">
        <v>16</v>
      </c>
      <c r="B8" s="173" t="s">
        <v>17</v>
      </c>
      <c r="C8" s="173"/>
      <c r="D8" s="173"/>
      <c r="E8" s="173"/>
      <c r="F8" s="173"/>
      <c r="G8" s="173"/>
      <c r="H8" s="173"/>
      <c r="I8" s="173"/>
      <c r="J8" s="173"/>
      <c r="K8" s="173"/>
      <c r="L8" s="173"/>
      <c r="M8" s="173"/>
      <c r="N8" s="173"/>
      <c r="O8" s="173"/>
      <c r="P8" s="173"/>
      <c r="Q8" s="173"/>
      <c r="R8" s="173"/>
      <c r="S8" s="173"/>
      <c r="T8" s="173"/>
      <c r="U8" s="173"/>
    </row>
    <row r="9" spans="1:21">
      <c r="A9" s="177" t="s">
        <v>18</v>
      </c>
      <c r="B9" s="173" t="s">
        <v>37</v>
      </c>
      <c r="C9" s="173"/>
      <c r="D9" s="173"/>
      <c r="E9" s="173"/>
      <c r="F9" s="173"/>
      <c r="G9" s="173"/>
      <c r="H9" s="173"/>
      <c r="I9" s="173"/>
      <c r="J9" s="173"/>
      <c r="K9" s="173"/>
      <c r="L9" s="173"/>
      <c r="M9" s="173"/>
      <c r="N9" s="173"/>
      <c r="O9" s="173"/>
      <c r="P9" s="173"/>
      <c r="Q9" s="173"/>
      <c r="R9" s="173"/>
      <c r="S9" s="173"/>
      <c r="T9" s="173"/>
      <c r="U9" s="173"/>
    </row>
    <row r="10" spans="1:21">
      <c r="A10" s="174" t="s">
        <v>19</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173"/>
      <c r="S11" s="173"/>
      <c r="T11" s="173"/>
      <c r="U11" s="173"/>
    </row>
    <row r="12" spans="1:21">
      <c r="A12" s="177" t="s">
        <v>1542</v>
      </c>
      <c r="B12" s="173">
        <f>'2D. MOTOR DRIVE INVERTER'!B16</f>
        <v>0.9</v>
      </c>
      <c r="C12" s="173" t="s">
        <v>37</v>
      </c>
      <c r="D12" s="258" t="s">
        <v>2</v>
      </c>
      <c r="E12" s="173" t="s">
        <v>29</v>
      </c>
      <c r="F12" s="185" t="s">
        <v>14</v>
      </c>
      <c r="G12" s="173" t="s">
        <v>30</v>
      </c>
      <c r="H12" s="173">
        <v>1</v>
      </c>
      <c r="I12" s="173">
        <v>2.8722813232690055E-2</v>
      </c>
      <c r="J12" s="173" t="s">
        <v>31</v>
      </c>
      <c r="K12" s="173" t="s">
        <v>31</v>
      </c>
      <c r="L12" s="173" t="s">
        <v>31</v>
      </c>
      <c r="M12" s="173" t="s">
        <v>31</v>
      </c>
      <c r="N12" s="173"/>
      <c r="O12" s="173"/>
      <c r="P12" s="173"/>
      <c r="Q12" s="173"/>
      <c r="R12" s="173"/>
      <c r="S12" s="173"/>
      <c r="T12" s="173"/>
      <c r="U12" s="173"/>
    </row>
    <row r="13" spans="1:21">
      <c r="A13" s="173" t="s">
        <v>1573</v>
      </c>
      <c r="B13" s="173">
        <v>1</v>
      </c>
      <c r="C13" s="173" t="s">
        <v>18</v>
      </c>
      <c r="D13" s="258" t="s">
        <v>2</v>
      </c>
      <c r="E13" s="173" t="s">
        <v>29</v>
      </c>
      <c r="F13" s="185" t="s">
        <v>14</v>
      </c>
      <c r="G13" s="173" t="s">
        <v>33</v>
      </c>
      <c r="H13" s="173">
        <v>1</v>
      </c>
      <c r="I13" s="265">
        <f>B13</f>
        <v>1</v>
      </c>
      <c r="J13" s="173" t="s">
        <v>31</v>
      </c>
      <c r="K13" s="173" t="s">
        <v>31</v>
      </c>
      <c r="L13" s="173" t="s">
        <v>31</v>
      </c>
      <c r="M13" s="173" t="s">
        <v>31</v>
      </c>
      <c r="N13" s="173"/>
      <c r="O13" s="173"/>
      <c r="P13" s="173"/>
      <c r="Q13" s="173"/>
      <c r="R13" s="173"/>
      <c r="S13" s="173"/>
      <c r="T13" s="173"/>
      <c r="U13" s="173"/>
    </row>
    <row r="14" spans="1:21">
      <c r="A14" s="173" t="s">
        <v>1574</v>
      </c>
      <c r="B14" s="173">
        <v>1</v>
      </c>
      <c r="C14" s="173" t="s">
        <v>18</v>
      </c>
      <c r="D14" s="258" t="s">
        <v>2</v>
      </c>
      <c r="E14" s="173" t="s">
        <v>29</v>
      </c>
      <c r="F14" s="185" t="s">
        <v>14</v>
      </c>
      <c r="G14" s="173" t="s">
        <v>33</v>
      </c>
      <c r="H14" s="173">
        <v>1</v>
      </c>
      <c r="I14" s="265">
        <f>B14</f>
        <v>1</v>
      </c>
      <c r="J14" s="173" t="s">
        <v>31</v>
      </c>
      <c r="K14" s="173" t="s">
        <v>31</v>
      </c>
      <c r="L14" s="173" t="s">
        <v>31</v>
      </c>
      <c r="M14" s="173" t="s">
        <v>31</v>
      </c>
      <c r="N14" s="173"/>
      <c r="O14" s="173"/>
      <c r="P14" s="173"/>
      <c r="Q14" s="173"/>
      <c r="R14" s="173"/>
      <c r="S14" s="173"/>
      <c r="T14" s="173"/>
      <c r="U14" s="173"/>
    </row>
    <row r="15" spans="1:21">
      <c r="A15" s="232" t="s">
        <v>533</v>
      </c>
      <c r="B15" s="231">
        <f>R15</f>
        <v>8.7000000000000001E-5</v>
      </c>
      <c r="C15" s="173" t="s">
        <v>37</v>
      </c>
      <c r="D15" s="173" t="s">
        <v>38</v>
      </c>
      <c r="E15" s="173" t="s">
        <v>29</v>
      </c>
      <c r="F15" s="185" t="s">
        <v>35</v>
      </c>
      <c r="G15" s="173" t="s">
        <v>33</v>
      </c>
      <c r="H15" s="173">
        <v>2</v>
      </c>
      <c r="I15" s="173">
        <f>LN(B15)</f>
        <v>-9.3496024393096899</v>
      </c>
      <c r="J15" s="173">
        <v>2.8722813232690055E-2</v>
      </c>
      <c r="K15" s="173" t="s">
        <v>31</v>
      </c>
      <c r="L15" s="173" t="s">
        <v>31</v>
      </c>
      <c r="M15" s="173" t="s">
        <v>31</v>
      </c>
      <c r="N15" s="173"/>
      <c r="O15" s="222" t="s">
        <v>947</v>
      </c>
      <c r="P15" s="311">
        <v>8.6999999999999994E-2</v>
      </c>
      <c r="Q15" s="173" t="s">
        <v>337</v>
      </c>
      <c r="R15" s="231">
        <f>P15*0.001</f>
        <v>8.7000000000000001E-5</v>
      </c>
      <c r="S15" s="173"/>
      <c r="T15" s="173"/>
      <c r="U15" s="173"/>
    </row>
    <row r="16" spans="1:21">
      <c r="A16" s="209" t="s">
        <v>5</v>
      </c>
      <c r="B16" s="210" t="s">
        <v>1574</v>
      </c>
      <c r="C16" s="211"/>
      <c r="D16" s="188"/>
      <c r="E16" s="188"/>
      <c r="F16" s="188"/>
      <c r="G16" s="188"/>
      <c r="H16" s="188"/>
      <c r="I16" s="188"/>
      <c r="J16" s="188"/>
      <c r="K16" s="188"/>
      <c r="L16" s="188"/>
      <c r="M16" s="188"/>
      <c r="N16" s="173"/>
      <c r="O16" s="173"/>
      <c r="P16" s="173"/>
      <c r="Q16" s="173"/>
      <c r="R16" s="173"/>
      <c r="S16" s="173"/>
      <c r="T16" s="173"/>
      <c r="U16" s="173"/>
    </row>
    <row r="17" spans="1:21">
      <c r="A17" s="177" t="s">
        <v>7</v>
      </c>
      <c r="B17" s="173" t="s">
        <v>566</v>
      </c>
      <c r="C17" s="176"/>
      <c r="D17" s="173"/>
      <c r="E17" s="173"/>
      <c r="F17" s="173"/>
      <c r="G17" s="173"/>
      <c r="H17" s="173"/>
      <c r="I17" s="173"/>
      <c r="J17" s="173"/>
      <c r="K17" s="173"/>
      <c r="L17" s="173"/>
      <c r="M17" s="173"/>
      <c r="N17" s="173"/>
      <c r="O17" s="173"/>
      <c r="P17" s="173"/>
      <c r="Q17" s="173"/>
      <c r="R17" s="173"/>
      <c r="S17" s="173"/>
      <c r="T17" s="173"/>
      <c r="U17" s="173"/>
    </row>
    <row r="18" spans="1:21">
      <c r="A18" s="177" t="s">
        <v>9</v>
      </c>
      <c r="B18" s="173" t="s">
        <v>1575</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11</v>
      </c>
      <c r="B19" s="179" t="s">
        <v>913</v>
      </c>
      <c r="C19" s="173"/>
      <c r="D19" s="173"/>
      <c r="E19" s="173"/>
      <c r="F19" s="173"/>
      <c r="G19" s="173"/>
      <c r="H19" s="173"/>
      <c r="I19" s="173"/>
      <c r="J19" s="173"/>
      <c r="K19" s="173"/>
      <c r="L19" s="173"/>
      <c r="M19" s="173"/>
      <c r="N19" s="173"/>
      <c r="O19" s="173"/>
      <c r="P19" s="173"/>
      <c r="Q19" s="173"/>
      <c r="R19" s="173"/>
      <c r="S19" s="173"/>
      <c r="T19" s="173"/>
      <c r="U19" s="173"/>
    </row>
    <row r="20" spans="1:21">
      <c r="A20" s="177" t="s">
        <v>13</v>
      </c>
      <c r="B20" s="173" t="s">
        <v>14</v>
      </c>
      <c r="C20" s="173"/>
      <c r="D20" s="173"/>
      <c r="E20" s="173"/>
      <c r="F20" s="173"/>
      <c r="G20" s="173"/>
      <c r="H20" s="173"/>
      <c r="I20" s="173"/>
      <c r="J20" s="173"/>
      <c r="K20" s="173"/>
      <c r="L20" s="173"/>
      <c r="M20" s="173"/>
      <c r="N20" s="173"/>
      <c r="O20" s="173"/>
      <c r="P20" s="173"/>
      <c r="Q20" s="173"/>
      <c r="R20" s="173"/>
      <c r="S20" s="173"/>
      <c r="T20" s="173"/>
      <c r="U20" s="173"/>
    </row>
    <row r="21" spans="1:21">
      <c r="A21" s="177" t="s">
        <v>15</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16</v>
      </c>
      <c r="B22" s="173" t="s">
        <v>17</v>
      </c>
      <c r="C22" s="173"/>
      <c r="D22" s="173"/>
      <c r="E22" s="173"/>
      <c r="F22" s="173"/>
      <c r="G22" s="173"/>
      <c r="H22" s="173"/>
      <c r="I22" s="173"/>
      <c r="J22" s="173"/>
      <c r="K22" s="173"/>
      <c r="L22" s="173"/>
      <c r="M22" s="173"/>
      <c r="N22" s="173"/>
      <c r="O22" s="173"/>
      <c r="P22" s="173"/>
      <c r="Q22" s="173"/>
      <c r="R22" s="173"/>
      <c r="S22" s="173"/>
      <c r="T22" s="173"/>
      <c r="U22" s="173"/>
    </row>
    <row r="23" spans="1:21">
      <c r="A23" s="177" t="s">
        <v>18</v>
      </c>
      <c r="B23" s="173" t="s">
        <v>18</v>
      </c>
      <c r="C23" s="173"/>
      <c r="D23" s="173"/>
      <c r="E23" s="173"/>
      <c r="F23" s="173"/>
      <c r="G23" s="173"/>
      <c r="H23" s="173"/>
      <c r="I23" s="173"/>
      <c r="J23" s="173"/>
      <c r="K23" s="173"/>
      <c r="L23" s="173"/>
      <c r="M23" s="173"/>
      <c r="N23" s="173"/>
      <c r="O23" s="173"/>
      <c r="P23" s="173"/>
      <c r="Q23" s="173"/>
      <c r="R23" s="173"/>
      <c r="S23" s="173"/>
      <c r="T23" s="173"/>
      <c r="U23" s="173"/>
    </row>
    <row r="24" spans="1:21">
      <c r="A24" s="174" t="s">
        <v>19</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20</v>
      </c>
      <c r="B25" s="175" t="s">
        <v>21</v>
      </c>
      <c r="C25" s="175" t="s">
        <v>18</v>
      </c>
      <c r="D25" s="175" t="s">
        <v>22</v>
      </c>
      <c r="E25" s="175" t="s">
        <v>7</v>
      </c>
      <c r="F25" s="175" t="s">
        <v>13</v>
      </c>
      <c r="G25" s="175" t="s">
        <v>16</v>
      </c>
      <c r="H25" s="175" t="s">
        <v>23</v>
      </c>
      <c r="I25" s="175" t="s">
        <v>24</v>
      </c>
      <c r="J25" s="175" t="s">
        <v>25</v>
      </c>
      <c r="K25" s="175" t="s">
        <v>26</v>
      </c>
      <c r="L25" s="175" t="s">
        <v>27</v>
      </c>
      <c r="M25" s="175" t="s">
        <v>28</v>
      </c>
      <c r="N25" s="175" t="s">
        <v>11</v>
      </c>
      <c r="O25" s="173"/>
      <c r="P25" s="173"/>
      <c r="Q25" s="173"/>
      <c r="R25" s="173"/>
      <c r="S25" s="173"/>
      <c r="T25" s="173"/>
      <c r="U25" s="173"/>
    </row>
    <row r="26" spans="1:21">
      <c r="A26" s="173" t="s">
        <v>1574</v>
      </c>
      <c r="B26" s="173">
        <v>1</v>
      </c>
      <c r="C26" s="173" t="s">
        <v>18</v>
      </c>
      <c r="D26" s="258" t="s">
        <v>2</v>
      </c>
      <c r="E26" s="173" t="s">
        <v>29</v>
      </c>
      <c r="F26" s="185" t="s">
        <v>14</v>
      </c>
      <c r="G26" s="173" t="s">
        <v>30</v>
      </c>
      <c r="H26" s="173">
        <v>1</v>
      </c>
      <c r="I26" s="265">
        <f>B26</f>
        <v>1</v>
      </c>
      <c r="J26" s="173" t="s">
        <v>31</v>
      </c>
      <c r="K26" s="173" t="s">
        <v>31</v>
      </c>
      <c r="L26" s="173" t="s">
        <v>31</v>
      </c>
      <c r="M26" s="173" t="s">
        <v>31</v>
      </c>
      <c r="N26" s="173"/>
      <c r="O26" s="173"/>
      <c r="P26" s="173"/>
      <c r="Q26" s="173"/>
      <c r="R26" s="173"/>
      <c r="S26" s="173"/>
      <c r="T26" s="173"/>
      <c r="U26" s="173"/>
    </row>
    <row r="27" spans="1:21">
      <c r="A27" s="232" t="s">
        <v>1056</v>
      </c>
      <c r="B27" s="173">
        <f>P27</f>
        <v>0.17</v>
      </c>
      <c r="C27" s="173" t="s">
        <v>37</v>
      </c>
      <c r="D27" s="173" t="s">
        <v>38</v>
      </c>
      <c r="E27" s="173" t="s">
        <v>29</v>
      </c>
      <c r="F27" s="173" t="s">
        <v>60</v>
      </c>
      <c r="G27" s="173" t="s">
        <v>33</v>
      </c>
      <c r="H27" s="173">
        <v>1</v>
      </c>
      <c r="I27" s="265">
        <f>B27</f>
        <v>0.17</v>
      </c>
      <c r="J27" s="173" t="s">
        <v>31</v>
      </c>
      <c r="K27" s="173" t="s">
        <v>31</v>
      </c>
      <c r="L27" s="173" t="s">
        <v>31</v>
      </c>
      <c r="M27" s="173" t="s">
        <v>31</v>
      </c>
      <c r="N27" s="173"/>
      <c r="O27" s="173" t="s">
        <v>337</v>
      </c>
      <c r="P27" s="173">
        <v>0.17</v>
      </c>
      <c r="Q27" s="173"/>
      <c r="R27" s="173"/>
      <c r="S27" s="173"/>
      <c r="T27" s="173"/>
      <c r="U27" s="173"/>
    </row>
    <row r="28" spans="1:21">
      <c r="A28" s="232" t="s">
        <v>1057</v>
      </c>
      <c r="B28" s="173">
        <f>R28</f>
        <v>0.112</v>
      </c>
      <c r="C28" s="173" t="s">
        <v>37</v>
      </c>
      <c r="D28" s="173" t="s">
        <v>38</v>
      </c>
      <c r="E28" s="173" t="s">
        <v>29</v>
      </c>
      <c r="F28" s="173" t="s">
        <v>60</v>
      </c>
      <c r="G28" s="173" t="s">
        <v>33</v>
      </c>
      <c r="H28" s="173">
        <v>2</v>
      </c>
      <c r="I28" s="173">
        <f>LN(B28)</f>
        <v>-2.1892564076870427</v>
      </c>
      <c r="J28" s="173">
        <v>3.7749172176353707E-2</v>
      </c>
      <c r="K28" s="173" t="s">
        <v>31</v>
      </c>
      <c r="L28" s="173" t="s">
        <v>31</v>
      </c>
      <c r="M28" s="173" t="s">
        <v>31</v>
      </c>
      <c r="N28" s="173"/>
      <c r="O28" s="242" t="s">
        <v>947</v>
      </c>
      <c r="P28" s="296">
        <v>112</v>
      </c>
      <c r="Q28" s="173" t="s">
        <v>337</v>
      </c>
      <c r="R28" s="173">
        <f>P28*0.001</f>
        <v>0.112</v>
      </c>
      <c r="S28" s="173"/>
      <c r="T28" s="173"/>
      <c r="U28" s="173"/>
    </row>
    <row r="29" spans="1:21">
      <c r="A29" s="232" t="s">
        <v>1058</v>
      </c>
      <c r="B29" s="173">
        <f>R29</f>
        <v>6.7000000000000002E-3</v>
      </c>
      <c r="C29" s="173" t="s">
        <v>37</v>
      </c>
      <c r="D29" s="173" t="s">
        <v>38</v>
      </c>
      <c r="E29" s="173" t="s">
        <v>29</v>
      </c>
      <c r="F29" s="173" t="s">
        <v>60</v>
      </c>
      <c r="G29" s="173" t="s">
        <v>33</v>
      </c>
      <c r="H29" s="173">
        <v>2</v>
      </c>
      <c r="I29" s="173">
        <f>LN(B29)</f>
        <v>-5.005647752585217</v>
      </c>
      <c r="J29" s="173">
        <v>3.7749172176353707E-2</v>
      </c>
      <c r="K29" s="173" t="s">
        <v>31</v>
      </c>
      <c r="L29" s="173" t="s">
        <v>31</v>
      </c>
      <c r="M29" s="173" t="s">
        <v>31</v>
      </c>
      <c r="N29" s="173"/>
      <c r="O29" s="242" t="s">
        <v>947</v>
      </c>
      <c r="P29" s="296">
        <v>6.7</v>
      </c>
      <c r="Q29" s="173" t="s">
        <v>337</v>
      </c>
      <c r="R29" s="173">
        <f t="shared" ref="R29:R30" si="0">P29*0.001</f>
        <v>6.7000000000000002E-3</v>
      </c>
      <c r="S29" s="173"/>
      <c r="T29" s="173"/>
      <c r="U29" s="173"/>
    </row>
    <row r="30" spans="1:21">
      <c r="A30" s="232" t="s">
        <v>1059</v>
      </c>
      <c r="B30" s="173">
        <f>R30</f>
        <v>5.1000000000000004E-2</v>
      </c>
      <c r="C30" s="173" t="s">
        <v>37</v>
      </c>
      <c r="D30" s="173" t="s">
        <v>38</v>
      </c>
      <c r="E30" s="173" t="s">
        <v>29</v>
      </c>
      <c r="F30" s="173" t="s">
        <v>60</v>
      </c>
      <c r="G30" s="173" t="s">
        <v>33</v>
      </c>
      <c r="H30" s="173">
        <v>2</v>
      </c>
      <c r="I30" s="173">
        <f>LN(B30)</f>
        <v>-2.9759296462578111</v>
      </c>
      <c r="J30" s="173">
        <v>3.7749172176353707E-2</v>
      </c>
      <c r="K30" s="173" t="s">
        <v>31</v>
      </c>
      <c r="L30" s="173" t="s">
        <v>31</v>
      </c>
      <c r="M30" s="173" t="s">
        <v>31</v>
      </c>
      <c r="N30" s="173"/>
      <c r="O30" s="242" t="s">
        <v>947</v>
      </c>
      <c r="P30" s="296">
        <v>51</v>
      </c>
      <c r="Q30" s="173" t="s">
        <v>337</v>
      </c>
      <c r="R30" s="173">
        <f t="shared" si="0"/>
        <v>5.1000000000000004E-2</v>
      </c>
      <c r="S30" s="173"/>
      <c r="T30" s="173"/>
      <c r="U30" s="173"/>
    </row>
    <row r="31" spans="1:21">
      <c r="A31" s="209" t="s">
        <v>5</v>
      </c>
      <c r="B31" s="210" t="s">
        <v>1573</v>
      </c>
      <c r="C31" s="211"/>
      <c r="D31" s="188"/>
      <c r="E31" s="188"/>
      <c r="F31" s="188"/>
      <c r="G31" s="188"/>
      <c r="H31" s="188"/>
      <c r="I31" s="188"/>
      <c r="J31" s="188"/>
      <c r="K31" s="188"/>
      <c r="L31" s="188"/>
      <c r="M31" s="188"/>
      <c r="N31" s="173"/>
      <c r="O31" s="173"/>
      <c r="P31" s="173"/>
      <c r="Q31" s="173"/>
      <c r="R31" s="173"/>
      <c r="S31" s="173"/>
      <c r="T31" s="173"/>
      <c r="U31" s="173"/>
    </row>
    <row r="32" spans="1:21">
      <c r="A32" s="177" t="s">
        <v>7</v>
      </c>
      <c r="B32" s="173" t="s">
        <v>566</v>
      </c>
      <c r="C32" s="176"/>
      <c r="D32" s="173"/>
      <c r="E32" s="173"/>
      <c r="F32" s="173"/>
      <c r="G32" s="173"/>
      <c r="H32" s="173"/>
      <c r="I32" s="173"/>
      <c r="J32" s="173"/>
      <c r="K32" s="173"/>
      <c r="L32" s="173"/>
      <c r="M32" s="173"/>
      <c r="N32" s="173"/>
      <c r="O32" s="173"/>
      <c r="P32" s="173"/>
      <c r="Q32" s="173"/>
      <c r="R32" s="173"/>
      <c r="S32" s="173"/>
      <c r="T32" s="173"/>
      <c r="U32" s="173"/>
    </row>
    <row r="33" spans="1:21">
      <c r="A33" s="177" t="s">
        <v>9</v>
      </c>
      <c r="B33" s="173" t="s">
        <v>1576</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11</v>
      </c>
      <c r="B34" s="179" t="s">
        <v>913</v>
      </c>
      <c r="C34" s="173"/>
      <c r="D34" s="173"/>
      <c r="E34" s="173"/>
      <c r="F34" s="173"/>
      <c r="G34" s="173"/>
      <c r="H34" s="173"/>
      <c r="I34" s="173"/>
      <c r="J34" s="173"/>
      <c r="K34" s="173"/>
      <c r="L34" s="173"/>
      <c r="M34" s="173"/>
      <c r="N34" s="173"/>
      <c r="O34" s="173"/>
      <c r="P34" s="173"/>
      <c r="Q34" s="173"/>
      <c r="R34" s="173"/>
      <c r="S34" s="173"/>
      <c r="T34" s="173"/>
      <c r="U34" s="173"/>
    </row>
    <row r="35" spans="1:21">
      <c r="A35" s="177" t="s">
        <v>13</v>
      </c>
      <c r="B35" s="173" t="s">
        <v>14</v>
      </c>
      <c r="C35" s="173"/>
      <c r="D35" s="173"/>
      <c r="E35" s="173"/>
      <c r="F35" s="173"/>
      <c r="G35" s="173"/>
      <c r="H35" s="173"/>
      <c r="I35" s="173"/>
      <c r="J35" s="173"/>
      <c r="K35" s="173"/>
      <c r="L35" s="173"/>
      <c r="M35" s="173"/>
      <c r="N35" s="173"/>
      <c r="O35" s="173"/>
      <c r="P35" s="173"/>
      <c r="Q35" s="173"/>
      <c r="R35" s="173"/>
      <c r="S35" s="173"/>
      <c r="T35" s="173"/>
      <c r="U35" s="173"/>
    </row>
    <row r="36" spans="1:21">
      <c r="A36" s="177" t="s">
        <v>15</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16</v>
      </c>
      <c r="B37" s="173" t="s">
        <v>17</v>
      </c>
      <c r="C37" s="173"/>
      <c r="D37" s="173"/>
      <c r="E37" s="173"/>
      <c r="F37" s="173"/>
      <c r="G37" s="173"/>
      <c r="H37" s="173"/>
      <c r="I37" s="173"/>
      <c r="J37" s="173"/>
      <c r="K37" s="173"/>
      <c r="L37" s="173"/>
      <c r="M37" s="173"/>
      <c r="N37" s="173"/>
      <c r="O37" s="173"/>
      <c r="P37" s="173"/>
      <c r="Q37" s="173"/>
      <c r="R37" s="173"/>
      <c r="S37" s="173"/>
      <c r="T37" s="173"/>
      <c r="U37" s="173"/>
    </row>
    <row r="38" spans="1:21">
      <c r="A38" s="177" t="s">
        <v>18</v>
      </c>
      <c r="B38" s="173" t="s">
        <v>18</v>
      </c>
      <c r="C38" s="173"/>
      <c r="D38" s="173"/>
      <c r="E38" s="173"/>
      <c r="F38" s="173"/>
      <c r="G38" s="173"/>
      <c r="H38" s="173"/>
      <c r="I38" s="173"/>
      <c r="J38" s="173"/>
      <c r="K38" s="173"/>
      <c r="L38" s="173"/>
      <c r="M38" s="173"/>
      <c r="N38" s="173"/>
      <c r="O38" s="173"/>
      <c r="P38" s="173"/>
      <c r="Q38" s="173"/>
      <c r="R38" s="173"/>
      <c r="S38" s="173"/>
      <c r="T38" s="173"/>
      <c r="U38" s="173"/>
    </row>
    <row r="39" spans="1:21">
      <c r="A39" s="174" t="s">
        <v>19</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20</v>
      </c>
      <c r="B40" s="175" t="s">
        <v>21</v>
      </c>
      <c r="C40" s="175" t="s">
        <v>18</v>
      </c>
      <c r="D40" s="175" t="s">
        <v>22</v>
      </c>
      <c r="E40" s="175" t="s">
        <v>7</v>
      </c>
      <c r="F40" s="175" t="s">
        <v>13</v>
      </c>
      <c r="G40" s="175" t="s">
        <v>16</v>
      </c>
      <c r="H40" s="175" t="s">
        <v>23</v>
      </c>
      <c r="I40" s="175" t="s">
        <v>24</v>
      </c>
      <c r="J40" s="175" t="s">
        <v>25</v>
      </c>
      <c r="K40" s="175" t="s">
        <v>26</v>
      </c>
      <c r="L40" s="175" t="s">
        <v>27</v>
      </c>
      <c r="M40" s="175" t="s">
        <v>28</v>
      </c>
      <c r="N40" s="175" t="s">
        <v>11</v>
      </c>
      <c r="O40" s="173"/>
      <c r="P40" s="173"/>
      <c r="Q40" s="173"/>
      <c r="R40" s="173"/>
      <c r="S40" s="173"/>
      <c r="T40" s="173"/>
      <c r="U40" s="173"/>
    </row>
    <row r="41" spans="1:21">
      <c r="A41" s="173" t="s">
        <v>1573</v>
      </c>
      <c r="B41" s="173">
        <v>1</v>
      </c>
      <c r="C41" s="173" t="s">
        <v>18</v>
      </c>
      <c r="D41" s="258" t="s">
        <v>2</v>
      </c>
      <c r="E41" s="173" t="s">
        <v>29</v>
      </c>
      <c r="F41" s="185" t="s">
        <v>14</v>
      </c>
      <c r="G41" s="173" t="s">
        <v>30</v>
      </c>
      <c r="H41" s="173">
        <v>1</v>
      </c>
      <c r="I41" s="265">
        <f>B41</f>
        <v>1</v>
      </c>
      <c r="J41" s="173" t="s">
        <v>31</v>
      </c>
      <c r="K41" s="173" t="s">
        <v>31</v>
      </c>
      <c r="L41" s="173" t="s">
        <v>31</v>
      </c>
      <c r="M41" s="173" t="s">
        <v>31</v>
      </c>
      <c r="N41" s="173"/>
      <c r="O41" s="173"/>
      <c r="P41" s="173"/>
      <c r="Q41" s="173"/>
      <c r="R41" s="173"/>
      <c r="S41" s="173"/>
      <c r="T41" s="173"/>
      <c r="U41" s="173"/>
    </row>
    <row r="42" spans="1:21">
      <c r="A42" s="232" t="s">
        <v>1577</v>
      </c>
      <c r="B42" s="173">
        <f>B55</f>
        <v>0.06</v>
      </c>
      <c r="C42" s="173" t="s">
        <v>37</v>
      </c>
      <c r="D42" s="258" t="s">
        <v>2</v>
      </c>
      <c r="E42" s="173" t="s">
        <v>29</v>
      </c>
      <c r="F42" s="185" t="s">
        <v>14</v>
      </c>
      <c r="G42" s="173" t="s">
        <v>33</v>
      </c>
      <c r="H42" s="173">
        <v>1</v>
      </c>
      <c r="I42" s="265">
        <f>B42</f>
        <v>0.06</v>
      </c>
      <c r="J42" s="173" t="s">
        <v>31</v>
      </c>
      <c r="K42" s="173" t="s">
        <v>31</v>
      </c>
      <c r="L42" s="173" t="s">
        <v>31</v>
      </c>
      <c r="M42" s="173" t="s">
        <v>31</v>
      </c>
      <c r="N42" s="173"/>
      <c r="O42" s="271"/>
      <c r="P42" s="272"/>
      <c r="Q42" s="173"/>
      <c r="R42" s="173"/>
      <c r="S42" s="173"/>
      <c r="T42" s="173"/>
      <c r="U42" s="173"/>
    </row>
    <row r="43" spans="1:21">
      <c r="A43" s="232" t="s">
        <v>1578</v>
      </c>
      <c r="B43" s="173">
        <v>1</v>
      </c>
      <c r="C43" s="173" t="s">
        <v>18</v>
      </c>
      <c r="D43" s="258" t="s">
        <v>2</v>
      </c>
      <c r="E43" s="173" t="s">
        <v>29</v>
      </c>
      <c r="F43" s="185" t="s">
        <v>14</v>
      </c>
      <c r="G43" s="173" t="s">
        <v>33</v>
      </c>
      <c r="H43" s="173">
        <v>1</v>
      </c>
      <c r="I43" s="265">
        <f>B43</f>
        <v>1</v>
      </c>
      <c r="J43" s="173" t="s">
        <v>31</v>
      </c>
      <c r="K43" s="173" t="s">
        <v>31</v>
      </c>
      <c r="L43" s="173" t="s">
        <v>31</v>
      </c>
      <c r="M43" s="173" t="s">
        <v>31</v>
      </c>
      <c r="N43" s="173"/>
      <c r="O43" s="173"/>
      <c r="P43" s="173"/>
      <c r="Q43" s="173"/>
      <c r="R43" s="173"/>
      <c r="S43" s="173"/>
      <c r="T43" s="173"/>
      <c r="U43" s="173"/>
    </row>
    <row r="44" spans="1:21">
      <c r="A44" s="177" t="s">
        <v>168</v>
      </c>
      <c r="B44" s="191">
        <f>R44</f>
        <v>0.03</v>
      </c>
      <c r="C44" s="173" t="s">
        <v>41</v>
      </c>
      <c r="D44" s="173" t="s">
        <v>38</v>
      </c>
      <c r="E44" s="173" t="s">
        <v>29</v>
      </c>
      <c r="F44" s="185" t="s">
        <v>35</v>
      </c>
      <c r="G44" s="173" t="s">
        <v>33</v>
      </c>
      <c r="H44" s="173">
        <v>2</v>
      </c>
      <c r="I44" s="173">
        <f t="shared" ref="I44" si="1">LN(B44)</f>
        <v>-3.5065578973199818</v>
      </c>
      <c r="J44" s="173">
        <v>7.2284161474004766E-2</v>
      </c>
      <c r="K44" s="173" t="s">
        <v>31</v>
      </c>
      <c r="L44" s="173" t="s">
        <v>31</v>
      </c>
      <c r="M44" s="173" t="s">
        <v>31</v>
      </c>
      <c r="N44" s="173"/>
      <c r="O44" s="222" t="s">
        <v>332</v>
      </c>
      <c r="P44" s="233">
        <v>0.03</v>
      </c>
      <c r="Q44" s="173" t="s">
        <v>332</v>
      </c>
      <c r="R44" s="191">
        <f>P44</f>
        <v>0.03</v>
      </c>
      <c r="S44" s="173"/>
      <c r="T44" s="173"/>
      <c r="U44" s="173"/>
    </row>
    <row r="45" spans="1:21">
      <c r="A45" s="209" t="s">
        <v>5</v>
      </c>
      <c r="B45" s="210" t="s">
        <v>1577</v>
      </c>
      <c r="C45" s="211"/>
      <c r="D45" s="188"/>
      <c r="E45" s="188"/>
      <c r="F45" s="188"/>
      <c r="G45" s="188"/>
      <c r="H45" s="188"/>
      <c r="I45" s="188"/>
      <c r="J45" s="188"/>
      <c r="K45" s="188"/>
      <c r="L45" s="188"/>
      <c r="M45" s="188"/>
      <c r="N45" s="173"/>
      <c r="O45" s="173"/>
      <c r="P45" s="173"/>
      <c r="Q45" s="173"/>
      <c r="R45" s="173"/>
      <c r="S45" s="173"/>
      <c r="T45" s="173"/>
      <c r="U45" s="173"/>
    </row>
    <row r="46" spans="1:21">
      <c r="A46" s="177" t="s">
        <v>7</v>
      </c>
      <c r="B46" s="173" t="s">
        <v>566</v>
      </c>
      <c r="C46" s="176"/>
      <c r="D46" s="173"/>
      <c r="E46" s="173"/>
      <c r="F46" s="173"/>
      <c r="G46" s="173"/>
      <c r="H46" s="173"/>
      <c r="I46" s="173"/>
      <c r="J46" s="173"/>
      <c r="K46" s="173"/>
      <c r="L46" s="173"/>
      <c r="M46" s="173"/>
      <c r="N46" s="173"/>
      <c r="O46" s="173"/>
      <c r="P46" s="173"/>
      <c r="Q46" s="173"/>
      <c r="R46" s="173"/>
      <c r="S46" s="173"/>
      <c r="T46" s="173"/>
      <c r="U46" s="173"/>
    </row>
    <row r="47" spans="1:21">
      <c r="A47" s="177" t="s">
        <v>9</v>
      </c>
      <c r="B47" s="173" t="s">
        <v>1579</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11</v>
      </c>
      <c r="B48" s="179" t="s">
        <v>913</v>
      </c>
      <c r="C48" s="173"/>
      <c r="D48" s="173"/>
      <c r="E48" s="173"/>
      <c r="F48" s="173"/>
      <c r="G48" s="173"/>
      <c r="H48" s="173"/>
      <c r="I48" s="173"/>
      <c r="J48" s="173"/>
      <c r="K48" s="173"/>
      <c r="L48" s="173"/>
      <c r="M48" s="173"/>
      <c r="N48" s="173"/>
      <c r="O48" s="173"/>
      <c r="P48" s="173"/>
      <c r="Q48" s="173"/>
      <c r="R48" s="173"/>
      <c r="S48" s="173"/>
      <c r="T48" s="173"/>
      <c r="U48" s="173"/>
    </row>
    <row r="49" spans="1:21">
      <c r="A49" s="177" t="s">
        <v>13</v>
      </c>
      <c r="B49" s="173" t="s">
        <v>14</v>
      </c>
      <c r="C49" s="173"/>
      <c r="D49" s="173"/>
      <c r="E49" s="173"/>
      <c r="F49" s="173"/>
      <c r="G49" s="173"/>
      <c r="H49" s="173"/>
      <c r="I49" s="173"/>
      <c r="J49" s="173"/>
      <c r="K49" s="173"/>
      <c r="L49" s="173"/>
      <c r="M49" s="173"/>
      <c r="N49" s="173"/>
      <c r="O49" s="173"/>
      <c r="P49" s="173"/>
      <c r="Q49" s="173"/>
      <c r="R49" s="173"/>
      <c r="S49" s="173"/>
      <c r="T49" s="173"/>
      <c r="U49" s="173"/>
    </row>
    <row r="50" spans="1:21">
      <c r="A50" s="177" t="s">
        <v>15</v>
      </c>
      <c r="B50" s="173">
        <f>B55</f>
        <v>0.06</v>
      </c>
      <c r="C50" s="173"/>
      <c r="D50" s="173"/>
      <c r="E50" s="173"/>
      <c r="F50" s="173"/>
      <c r="G50" s="173"/>
      <c r="H50" s="173"/>
      <c r="I50" s="173"/>
      <c r="J50" s="173"/>
      <c r="K50" s="173"/>
      <c r="L50" s="173"/>
      <c r="M50" s="173"/>
      <c r="N50" s="173"/>
      <c r="O50" s="173"/>
      <c r="P50" s="173"/>
      <c r="Q50" s="173"/>
      <c r="R50" s="173"/>
      <c r="S50" s="173"/>
      <c r="T50" s="173"/>
      <c r="U50" s="173"/>
    </row>
    <row r="51" spans="1:21">
      <c r="A51" s="177" t="s">
        <v>16</v>
      </c>
      <c r="B51" s="173" t="s">
        <v>17</v>
      </c>
      <c r="C51" s="173"/>
      <c r="D51" s="173"/>
      <c r="E51" s="173"/>
      <c r="F51" s="173"/>
      <c r="G51" s="173"/>
      <c r="H51" s="173"/>
      <c r="I51" s="173"/>
      <c r="J51" s="173"/>
      <c r="K51" s="173"/>
      <c r="L51" s="173"/>
      <c r="M51" s="173"/>
      <c r="N51" s="173"/>
      <c r="O51" s="173"/>
      <c r="P51" s="173"/>
      <c r="Q51" s="173"/>
      <c r="R51" s="173"/>
      <c r="S51" s="173"/>
      <c r="T51" s="173"/>
      <c r="U51" s="173"/>
    </row>
    <row r="52" spans="1:21">
      <c r="A52" s="177" t="s">
        <v>18</v>
      </c>
      <c r="B52" s="173" t="s">
        <v>37</v>
      </c>
      <c r="C52" s="173"/>
      <c r="D52" s="173"/>
      <c r="E52" s="173"/>
      <c r="F52" s="173"/>
      <c r="G52" s="173"/>
      <c r="H52" s="173"/>
      <c r="I52" s="173"/>
      <c r="J52" s="173"/>
      <c r="K52" s="173"/>
      <c r="L52" s="173"/>
      <c r="M52" s="173"/>
      <c r="N52" s="173"/>
      <c r="O52" s="173"/>
      <c r="P52" s="173"/>
      <c r="Q52" s="173"/>
      <c r="R52" s="173"/>
      <c r="S52" s="173"/>
      <c r="T52" s="173"/>
      <c r="U52" s="173"/>
    </row>
    <row r="53" spans="1:21">
      <c r="A53" s="174" t="s">
        <v>19</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20</v>
      </c>
      <c r="B54" s="175" t="s">
        <v>21</v>
      </c>
      <c r="C54" s="175" t="s">
        <v>18</v>
      </c>
      <c r="D54" s="175" t="s">
        <v>22</v>
      </c>
      <c r="E54" s="175" t="s">
        <v>7</v>
      </c>
      <c r="F54" s="175" t="s">
        <v>13</v>
      </c>
      <c r="G54" s="175" t="s">
        <v>16</v>
      </c>
      <c r="H54" s="175" t="s">
        <v>23</v>
      </c>
      <c r="I54" s="175" t="s">
        <v>24</v>
      </c>
      <c r="J54" s="175" t="s">
        <v>25</v>
      </c>
      <c r="K54" s="175" t="s">
        <v>26</v>
      </c>
      <c r="L54" s="175" t="s">
        <v>27</v>
      </c>
      <c r="M54" s="175" t="s">
        <v>28</v>
      </c>
      <c r="N54" s="175" t="s">
        <v>11</v>
      </c>
      <c r="O54" s="173"/>
      <c r="P54" s="173"/>
      <c r="Q54" s="173"/>
      <c r="R54" s="173"/>
      <c r="S54" s="173"/>
      <c r="T54" s="173"/>
      <c r="U54" s="173"/>
    </row>
    <row r="55" spans="1:21">
      <c r="A55" s="232" t="s">
        <v>1577</v>
      </c>
      <c r="B55" s="173">
        <f>P55</f>
        <v>0.06</v>
      </c>
      <c r="C55" s="173" t="s">
        <v>37</v>
      </c>
      <c r="D55" s="258" t="s">
        <v>2</v>
      </c>
      <c r="E55" s="173" t="s">
        <v>29</v>
      </c>
      <c r="F55" s="185" t="s">
        <v>14</v>
      </c>
      <c r="G55" s="173" t="s">
        <v>30</v>
      </c>
      <c r="H55" s="173">
        <v>1</v>
      </c>
      <c r="I55" s="265">
        <f>B55</f>
        <v>0.06</v>
      </c>
      <c r="J55" s="173" t="s">
        <v>31</v>
      </c>
      <c r="K55" s="173" t="s">
        <v>31</v>
      </c>
      <c r="L55" s="173" t="s">
        <v>31</v>
      </c>
      <c r="M55" s="173" t="s">
        <v>31</v>
      </c>
      <c r="N55" s="173"/>
      <c r="O55" s="367" t="s">
        <v>337</v>
      </c>
      <c r="P55" s="344">
        <v>0.06</v>
      </c>
      <c r="Q55" s="173" t="s">
        <v>337</v>
      </c>
      <c r="R55" s="173">
        <f>P55</f>
        <v>0.06</v>
      </c>
      <c r="S55" s="173"/>
      <c r="T55" s="173"/>
      <c r="U55" s="173"/>
    </row>
    <row r="56" spans="1:21">
      <c r="A56" s="232" t="s">
        <v>533</v>
      </c>
      <c r="B56" s="231">
        <f>R56</f>
        <v>0.06</v>
      </c>
      <c r="C56" s="173" t="s">
        <v>37</v>
      </c>
      <c r="D56" s="173" t="s">
        <v>38</v>
      </c>
      <c r="E56" s="173" t="s">
        <v>29</v>
      </c>
      <c r="F56" s="185" t="s">
        <v>35</v>
      </c>
      <c r="G56" s="173" t="s">
        <v>33</v>
      </c>
      <c r="H56" s="173">
        <v>2</v>
      </c>
      <c r="I56" s="173">
        <f>LN(B56)</f>
        <v>-2.8134107167600364</v>
      </c>
      <c r="J56" s="173">
        <v>2.8722813232690055E-2</v>
      </c>
      <c r="K56" s="173" t="s">
        <v>31</v>
      </c>
      <c r="L56" s="173" t="s">
        <v>31</v>
      </c>
      <c r="M56" s="173" t="s">
        <v>31</v>
      </c>
      <c r="N56" s="173"/>
      <c r="O56" s="369" t="s">
        <v>337</v>
      </c>
      <c r="P56" s="264">
        <v>0.06</v>
      </c>
      <c r="Q56" s="173" t="s">
        <v>337</v>
      </c>
      <c r="R56" s="231">
        <f>P56</f>
        <v>0.06</v>
      </c>
      <c r="S56" s="173"/>
      <c r="T56" s="173"/>
      <c r="U56" s="173"/>
    </row>
    <row r="57" spans="1:21">
      <c r="A57" s="177" t="s">
        <v>168</v>
      </c>
      <c r="B57" s="184">
        <f>R57</f>
        <v>1.7999999999999999E-2</v>
      </c>
      <c r="C57" s="173" t="s">
        <v>41</v>
      </c>
      <c r="D57" s="173" t="s">
        <v>38</v>
      </c>
      <c r="E57" s="173" t="s">
        <v>29</v>
      </c>
      <c r="F57" s="185" t="s">
        <v>35</v>
      </c>
      <c r="G57" s="173" t="s">
        <v>33</v>
      </c>
      <c r="H57" s="173">
        <v>2</v>
      </c>
      <c r="I57" s="173">
        <f t="shared" ref="I57" si="2">LN(B57)</f>
        <v>-4.0173835210859723</v>
      </c>
      <c r="J57" s="173">
        <v>7.2284161474004766E-2</v>
      </c>
      <c r="K57" s="173" t="s">
        <v>31</v>
      </c>
      <c r="L57" s="173" t="s">
        <v>31</v>
      </c>
      <c r="M57" s="173" t="s">
        <v>31</v>
      </c>
      <c r="N57" s="173"/>
      <c r="O57" s="222" t="s">
        <v>332</v>
      </c>
      <c r="P57" s="264">
        <v>1.7999999999999999E-2</v>
      </c>
      <c r="Q57" s="173" t="s">
        <v>332</v>
      </c>
      <c r="R57" s="184">
        <f>P57</f>
        <v>1.7999999999999999E-2</v>
      </c>
      <c r="S57" s="173"/>
      <c r="T57" s="173"/>
      <c r="U57" s="173"/>
    </row>
    <row r="58" spans="1:21">
      <c r="A58" s="209" t="s">
        <v>5</v>
      </c>
      <c r="B58" s="323" t="s">
        <v>1578</v>
      </c>
      <c r="C58" s="211"/>
      <c r="D58" s="188"/>
      <c r="E58" s="188"/>
      <c r="F58" s="188"/>
      <c r="G58" s="188"/>
      <c r="H58" s="188"/>
      <c r="I58" s="188"/>
      <c r="J58" s="188"/>
      <c r="K58" s="188"/>
      <c r="L58" s="188"/>
      <c r="M58" s="188"/>
      <c r="N58" s="173"/>
      <c r="O58" s="173"/>
      <c r="P58" s="173"/>
      <c r="Q58" s="173"/>
      <c r="R58" s="173"/>
      <c r="S58" s="173"/>
      <c r="T58" s="173"/>
      <c r="U58" s="173"/>
    </row>
    <row r="59" spans="1:21">
      <c r="A59" s="177" t="s">
        <v>7</v>
      </c>
      <c r="B59" s="173" t="s">
        <v>566</v>
      </c>
      <c r="C59" s="176"/>
      <c r="D59" s="173"/>
      <c r="E59" s="173"/>
      <c r="F59" s="173"/>
      <c r="G59" s="173"/>
      <c r="H59" s="173"/>
      <c r="I59" s="173"/>
      <c r="J59" s="173"/>
      <c r="K59" s="173"/>
      <c r="L59" s="173"/>
      <c r="M59" s="173"/>
      <c r="N59" s="173"/>
      <c r="O59" s="173"/>
      <c r="P59" s="173"/>
      <c r="Q59" s="173"/>
      <c r="R59" s="173"/>
      <c r="S59" s="173"/>
      <c r="T59" s="173"/>
      <c r="U59" s="173"/>
    </row>
    <row r="60" spans="1:21">
      <c r="A60" s="276" t="s">
        <v>9</v>
      </c>
      <c r="B60" s="173" t="s">
        <v>1580</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11</v>
      </c>
      <c r="B61" s="179" t="s">
        <v>913</v>
      </c>
      <c r="C61" s="173"/>
      <c r="D61" s="173"/>
      <c r="E61" s="173"/>
      <c r="F61" s="173"/>
      <c r="G61" s="173"/>
      <c r="H61" s="173"/>
      <c r="I61" s="173"/>
      <c r="J61" s="173"/>
      <c r="K61" s="173"/>
      <c r="L61" s="173"/>
      <c r="M61" s="173"/>
      <c r="N61" s="173"/>
      <c r="O61" s="173"/>
      <c r="P61" s="173"/>
      <c r="Q61" s="173"/>
      <c r="R61" s="173"/>
      <c r="S61" s="173"/>
      <c r="T61" s="173"/>
      <c r="U61" s="173"/>
    </row>
    <row r="62" spans="1:21">
      <c r="A62" s="177" t="s">
        <v>13</v>
      </c>
      <c r="B62" s="173" t="s">
        <v>14</v>
      </c>
      <c r="C62" s="173"/>
      <c r="D62" s="173"/>
      <c r="E62" s="173"/>
      <c r="F62" s="173"/>
      <c r="G62" s="173"/>
      <c r="H62" s="173"/>
      <c r="I62" s="173"/>
      <c r="J62" s="173"/>
      <c r="K62" s="173"/>
      <c r="L62" s="173"/>
      <c r="M62" s="173"/>
      <c r="N62" s="173"/>
      <c r="O62" s="173"/>
      <c r="P62" s="173"/>
      <c r="Q62" s="173"/>
      <c r="R62" s="173"/>
      <c r="S62" s="173"/>
      <c r="T62" s="173"/>
      <c r="U62" s="173"/>
    </row>
    <row r="63" spans="1:21">
      <c r="A63" s="177" t="s">
        <v>15</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16</v>
      </c>
      <c r="B64" s="173" t="s">
        <v>17</v>
      </c>
      <c r="C64" s="173"/>
      <c r="D64" s="173"/>
      <c r="E64" s="173"/>
      <c r="F64" s="173"/>
      <c r="G64" s="173"/>
      <c r="H64" s="173"/>
      <c r="I64" s="173"/>
      <c r="J64" s="173"/>
      <c r="K64" s="173"/>
      <c r="L64" s="173"/>
      <c r="M64" s="173"/>
      <c r="N64" s="173"/>
      <c r="O64" s="173"/>
      <c r="P64" s="173"/>
      <c r="Q64" s="173"/>
      <c r="R64" s="173"/>
      <c r="S64" s="173"/>
      <c r="T64" s="173"/>
      <c r="U64" s="173"/>
    </row>
    <row r="65" spans="1:21">
      <c r="A65" s="177" t="s">
        <v>18</v>
      </c>
      <c r="B65" s="173" t="s">
        <v>18</v>
      </c>
      <c r="C65" s="173"/>
      <c r="D65" s="173"/>
      <c r="E65" s="173"/>
      <c r="F65" s="173"/>
      <c r="G65" s="173"/>
      <c r="H65" s="173"/>
      <c r="I65" s="173"/>
      <c r="J65" s="173"/>
      <c r="K65" s="173"/>
      <c r="L65" s="173"/>
      <c r="M65" s="173"/>
      <c r="N65" s="173"/>
      <c r="O65" s="173"/>
      <c r="P65" s="173"/>
      <c r="Q65" s="173"/>
      <c r="R65" s="173"/>
      <c r="S65" s="173"/>
      <c r="T65" s="173"/>
      <c r="U65" s="173"/>
    </row>
    <row r="66" spans="1:21">
      <c r="A66" s="174" t="s">
        <v>19</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20</v>
      </c>
      <c r="B67" s="175" t="s">
        <v>21</v>
      </c>
      <c r="C67" s="175" t="s">
        <v>18</v>
      </c>
      <c r="D67" s="175" t="s">
        <v>22</v>
      </c>
      <c r="E67" s="175" t="s">
        <v>7</v>
      </c>
      <c r="F67" s="175" t="s">
        <v>13</v>
      </c>
      <c r="G67" s="175" t="s">
        <v>16</v>
      </c>
      <c r="H67" s="175" t="s">
        <v>23</v>
      </c>
      <c r="I67" s="175" t="s">
        <v>24</v>
      </c>
      <c r="J67" s="175" t="s">
        <v>25</v>
      </c>
      <c r="K67" s="175" t="s">
        <v>26</v>
      </c>
      <c r="L67" s="175" t="s">
        <v>27</v>
      </c>
      <c r="M67" s="175" t="s">
        <v>28</v>
      </c>
      <c r="N67" s="175" t="s">
        <v>11</v>
      </c>
      <c r="O67" s="173"/>
      <c r="P67" s="173"/>
      <c r="Q67" s="173"/>
      <c r="R67" s="173"/>
      <c r="S67" s="173"/>
      <c r="T67" s="173"/>
      <c r="U67" s="173"/>
    </row>
    <row r="68" spans="1:21">
      <c r="A68" s="232" t="s">
        <v>1578</v>
      </c>
      <c r="B68" s="173">
        <v>1</v>
      </c>
      <c r="C68" s="173" t="s">
        <v>18</v>
      </c>
      <c r="D68" s="258" t="s">
        <v>2</v>
      </c>
      <c r="E68" s="173" t="s">
        <v>29</v>
      </c>
      <c r="F68" s="185" t="s">
        <v>14</v>
      </c>
      <c r="G68" s="173" t="s">
        <v>30</v>
      </c>
      <c r="H68" s="173">
        <v>1</v>
      </c>
      <c r="I68" s="265">
        <f>B68</f>
        <v>1</v>
      </c>
      <c r="J68" s="173" t="s">
        <v>31</v>
      </c>
      <c r="K68" s="173" t="s">
        <v>31</v>
      </c>
      <c r="L68" s="173" t="s">
        <v>31</v>
      </c>
      <c r="M68" s="173" t="s">
        <v>31</v>
      </c>
      <c r="N68" s="173"/>
      <c r="O68" s="173"/>
      <c r="P68" s="173"/>
      <c r="Q68" s="173"/>
      <c r="R68" s="173"/>
      <c r="S68" s="173"/>
      <c r="T68" s="173"/>
      <c r="U68" s="173"/>
    </row>
    <row r="69" spans="1:21">
      <c r="A69" s="232" t="s">
        <v>1581</v>
      </c>
      <c r="B69" s="231">
        <f>B77</f>
        <v>0.03</v>
      </c>
      <c r="C69" s="173" t="s">
        <v>37</v>
      </c>
      <c r="D69" s="258" t="s">
        <v>2</v>
      </c>
      <c r="E69" s="173" t="s">
        <v>29</v>
      </c>
      <c r="F69" s="185" t="s">
        <v>14</v>
      </c>
      <c r="G69" s="173" t="s">
        <v>33</v>
      </c>
      <c r="H69" s="173">
        <v>1</v>
      </c>
      <c r="I69" s="265">
        <f>B69</f>
        <v>0.03</v>
      </c>
      <c r="J69" s="173" t="s">
        <v>31</v>
      </c>
      <c r="K69" s="173" t="s">
        <v>31</v>
      </c>
      <c r="L69" s="173" t="s">
        <v>31</v>
      </c>
      <c r="M69" s="173" t="s">
        <v>31</v>
      </c>
      <c r="N69" s="173"/>
      <c r="O69" s="222"/>
      <c r="P69" s="234"/>
      <c r="Q69" s="173" t="s">
        <v>337</v>
      </c>
      <c r="R69" s="231">
        <v>0.01</v>
      </c>
      <c r="S69" s="173"/>
      <c r="T69" s="173"/>
      <c r="U69" s="173"/>
    </row>
    <row r="70" spans="1:21">
      <c r="A70" s="232" t="s">
        <v>1582</v>
      </c>
      <c r="B70" s="184">
        <v>1</v>
      </c>
      <c r="C70" s="173" t="s">
        <v>18</v>
      </c>
      <c r="D70" s="258" t="s">
        <v>2</v>
      </c>
      <c r="E70" s="173" t="s">
        <v>29</v>
      </c>
      <c r="F70" s="185" t="s">
        <v>14</v>
      </c>
      <c r="G70" s="173" t="s">
        <v>33</v>
      </c>
      <c r="H70" s="173">
        <v>1</v>
      </c>
      <c r="I70" s="265">
        <f>B70</f>
        <v>1</v>
      </c>
      <c r="J70" s="173" t="s">
        <v>31</v>
      </c>
      <c r="K70" s="173" t="s">
        <v>31</v>
      </c>
      <c r="L70" s="173" t="s">
        <v>31</v>
      </c>
      <c r="M70" s="173" t="s">
        <v>31</v>
      </c>
      <c r="N70" s="173"/>
      <c r="O70" s="222"/>
      <c r="P70" s="297"/>
      <c r="Q70" s="173"/>
      <c r="R70" s="184"/>
      <c r="S70" s="173"/>
      <c r="T70" s="173"/>
      <c r="U70" s="173"/>
    </row>
    <row r="71" spans="1:21">
      <c r="A71" s="177" t="s">
        <v>168</v>
      </c>
      <c r="B71" s="184">
        <f>R71</f>
        <v>0.21</v>
      </c>
      <c r="C71" s="173" t="s">
        <v>41</v>
      </c>
      <c r="D71" s="173" t="s">
        <v>38</v>
      </c>
      <c r="E71" s="173" t="s">
        <v>29</v>
      </c>
      <c r="F71" s="185" t="s">
        <v>35</v>
      </c>
      <c r="G71" s="173" t="s">
        <v>33</v>
      </c>
      <c r="H71" s="173">
        <v>2</v>
      </c>
      <c r="I71" s="173">
        <f t="shared" ref="I71" si="3">LN(B71)</f>
        <v>-1.5606477482646683</v>
      </c>
      <c r="J71" s="173">
        <v>7.2284161474004766E-2</v>
      </c>
      <c r="K71" s="173" t="s">
        <v>31</v>
      </c>
      <c r="L71" s="173" t="s">
        <v>31</v>
      </c>
      <c r="M71" s="173" t="s">
        <v>31</v>
      </c>
      <c r="N71" s="173"/>
      <c r="O71" s="222" t="s">
        <v>332</v>
      </c>
      <c r="P71" s="297">
        <v>0.21</v>
      </c>
      <c r="Q71" s="173" t="s">
        <v>332</v>
      </c>
      <c r="R71" s="184">
        <f>P71</f>
        <v>0.21</v>
      </c>
      <c r="S71" s="173"/>
      <c r="T71" s="173"/>
      <c r="U71" s="173"/>
    </row>
    <row r="72" spans="1:21">
      <c r="A72" s="209" t="s">
        <v>5</v>
      </c>
      <c r="B72" s="323" t="s">
        <v>1581</v>
      </c>
      <c r="C72" s="211"/>
      <c r="D72" s="188"/>
      <c r="E72" s="188"/>
      <c r="F72" s="188"/>
      <c r="G72" s="188"/>
      <c r="H72" s="188"/>
      <c r="I72" s="188"/>
      <c r="J72" s="188"/>
      <c r="K72" s="188"/>
      <c r="L72" s="188"/>
      <c r="M72" s="188"/>
      <c r="N72" s="173"/>
      <c r="O72" s="173"/>
      <c r="P72" s="173"/>
      <c r="Q72" s="173"/>
      <c r="R72" s="173"/>
      <c r="S72" s="173"/>
      <c r="T72" s="173"/>
      <c r="U72" s="173"/>
    </row>
    <row r="73" spans="1:21">
      <c r="A73" s="177" t="s">
        <v>7</v>
      </c>
      <c r="B73" s="173" t="s">
        <v>566</v>
      </c>
      <c r="C73" s="176"/>
      <c r="D73" s="173"/>
      <c r="E73" s="173"/>
      <c r="F73" s="173"/>
      <c r="G73" s="173"/>
      <c r="H73" s="173"/>
      <c r="I73" s="173"/>
      <c r="J73" s="173"/>
      <c r="K73" s="173"/>
      <c r="L73" s="173"/>
      <c r="M73" s="173"/>
      <c r="N73" s="173"/>
      <c r="O73" s="173"/>
      <c r="P73" s="173"/>
      <c r="Q73" s="173"/>
      <c r="R73" s="173"/>
      <c r="S73" s="173"/>
      <c r="T73" s="173"/>
      <c r="U73" s="173"/>
    </row>
    <row r="74" spans="1:21">
      <c r="A74" s="276" t="s">
        <v>9</v>
      </c>
      <c r="B74" s="173" t="s">
        <v>1583</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11</v>
      </c>
      <c r="B75" s="179" t="s">
        <v>913</v>
      </c>
      <c r="C75" s="173"/>
      <c r="D75" s="173"/>
      <c r="E75" s="173"/>
      <c r="F75" s="173"/>
      <c r="G75" s="173"/>
      <c r="H75" s="173"/>
      <c r="I75" s="173"/>
      <c r="J75" s="173"/>
      <c r="K75" s="173"/>
      <c r="L75" s="173"/>
      <c r="M75" s="173"/>
      <c r="N75" s="173"/>
      <c r="O75" s="173"/>
      <c r="P75" s="173"/>
      <c r="Q75" s="173"/>
      <c r="R75" s="173"/>
      <c r="S75" s="173"/>
      <c r="T75" s="173"/>
      <c r="U75" s="173"/>
    </row>
    <row r="76" spans="1:21">
      <c r="A76" s="177" t="s">
        <v>13</v>
      </c>
      <c r="B76" s="173" t="s">
        <v>14</v>
      </c>
      <c r="C76" s="173"/>
      <c r="D76" s="173"/>
      <c r="E76" s="173"/>
      <c r="F76" s="173"/>
      <c r="G76" s="173"/>
      <c r="H76" s="173"/>
      <c r="I76" s="173"/>
      <c r="J76" s="173"/>
      <c r="K76" s="173"/>
      <c r="L76" s="173"/>
      <c r="M76" s="173"/>
      <c r="N76" s="173"/>
      <c r="O76" s="173"/>
      <c r="P76" s="173"/>
      <c r="Q76" s="173"/>
      <c r="R76" s="173"/>
      <c r="S76" s="173"/>
      <c r="T76" s="173"/>
      <c r="U76" s="173"/>
    </row>
    <row r="77" spans="1:21">
      <c r="A77" s="177" t="s">
        <v>15</v>
      </c>
      <c r="B77" s="191">
        <f>B82</f>
        <v>0.03</v>
      </c>
      <c r="C77" s="173"/>
      <c r="D77" s="173"/>
      <c r="E77" s="173"/>
      <c r="F77" s="173"/>
      <c r="G77" s="173"/>
      <c r="H77" s="173"/>
      <c r="I77" s="173"/>
      <c r="J77" s="173"/>
      <c r="K77" s="173"/>
      <c r="L77" s="173"/>
      <c r="M77" s="173"/>
      <c r="N77" s="173"/>
      <c r="O77" s="173"/>
      <c r="P77" s="173"/>
      <c r="Q77" s="173"/>
      <c r="R77" s="173"/>
      <c r="S77" s="173"/>
      <c r="T77" s="173"/>
      <c r="U77" s="173"/>
    </row>
    <row r="78" spans="1:21">
      <c r="A78" s="177" t="s">
        <v>16</v>
      </c>
      <c r="B78" s="173" t="s">
        <v>17</v>
      </c>
      <c r="C78" s="173"/>
      <c r="D78" s="173"/>
      <c r="E78" s="173"/>
      <c r="F78" s="173"/>
      <c r="G78" s="173"/>
      <c r="H78" s="173"/>
      <c r="I78" s="173"/>
      <c r="J78" s="173"/>
      <c r="K78" s="173"/>
      <c r="L78" s="173"/>
      <c r="M78" s="173"/>
      <c r="N78" s="173"/>
      <c r="O78" s="173"/>
      <c r="P78" s="173"/>
      <c r="Q78" s="173"/>
      <c r="R78" s="173"/>
      <c r="S78" s="173"/>
      <c r="T78" s="173"/>
      <c r="U78" s="173"/>
    </row>
    <row r="79" spans="1:21">
      <c r="A79" s="177" t="s">
        <v>18</v>
      </c>
      <c r="B79" s="173" t="s">
        <v>37</v>
      </c>
      <c r="C79" s="173"/>
      <c r="D79" s="173"/>
      <c r="E79" s="173"/>
      <c r="F79" s="173"/>
      <c r="G79" s="173"/>
      <c r="H79" s="173"/>
      <c r="I79" s="173"/>
      <c r="J79" s="173"/>
      <c r="K79" s="173"/>
      <c r="L79" s="173"/>
      <c r="M79" s="173"/>
      <c r="N79" s="173"/>
      <c r="O79" s="173"/>
      <c r="P79" s="173"/>
      <c r="Q79" s="173"/>
      <c r="R79" s="173"/>
      <c r="S79" s="173"/>
      <c r="T79" s="173"/>
      <c r="U79" s="173"/>
    </row>
    <row r="80" spans="1:21">
      <c r="A80" s="174" t="s">
        <v>19</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20</v>
      </c>
      <c r="B81" s="175" t="s">
        <v>21</v>
      </c>
      <c r="C81" s="175" t="s">
        <v>18</v>
      </c>
      <c r="D81" s="175" t="s">
        <v>22</v>
      </c>
      <c r="E81" s="175" t="s">
        <v>7</v>
      </c>
      <c r="F81" s="175" t="s">
        <v>13</v>
      </c>
      <c r="G81" s="175" t="s">
        <v>16</v>
      </c>
      <c r="H81" s="175" t="s">
        <v>23</v>
      </c>
      <c r="I81" s="175" t="s">
        <v>24</v>
      </c>
      <c r="J81" s="175" t="s">
        <v>25</v>
      </c>
      <c r="K81" s="175" t="s">
        <v>26</v>
      </c>
      <c r="L81" s="175" t="s">
        <v>27</v>
      </c>
      <c r="M81" s="175" t="s">
        <v>28</v>
      </c>
      <c r="N81" s="175" t="s">
        <v>11</v>
      </c>
      <c r="O81" s="173"/>
      <c r="P81" s="173"/>
      <c r="Q81" s="173"/>
      <c r="R81" s="173"/>
      <c r="S81" s="173"/>
      <c r="T81" s="173"/>
      <c r="U81" s="173"/>
    </row>
    <row r="82" spans="1:21">
      <c r="A82" s="232" t="s">
        <v>1581</v>
      </c>
      <c r="B82" s="173">
        <v>0.03</v>
      </c>
      <c r="C82" s="173" t="s">
        <v>37</v>
      </c>
      <c r="D82" s="258" t="s">
        <v>2</v>
      </c>
      <c r="E82" s="173" t="s">
        <v>29</v>
      </c>
      <c r="F82" s="185" t="s">
        <v>14</v>
      </c>
      <c r="G82" s="173" t="s">
        <v>30</v>
      </c>
      <c r="H82" s="173">
        <v>1</v>
      </c>
      <c r="I82" s="265">
        <f>B82</f>
        <v>0.03</v>
      </c>
      <c r="J82" s="173" t="s">
        <v>31</v>
      </c>
      <c r="K82" s="173" t="s">
        <v>31</v>
      </c>
      <c r="L82" s="173" t="s">
        <v>31</v>
      </c>
      <c r="M82" s="173" t="s">
        <v>31</v>
      </c>
      <c r="N82" s="173"/>
      <c r="O82" s="222"/>
      <c r="P82" s="234"/>
      <c r="Q82" s="173" t="s">
        <v>337</v>
      </c>
      <c r="R82" s="231">
        <v>0.01</v>
      </c>
      <c r="S82" s="173"/>
      <c r="T82" s="173"/>
      <c r="U82" s="173"/>
    </row>
    <row r="83" spans="1:21">
      <c r="A83" s="232" t="s">
        <v>918</v>
      </c>
      <c r="B83" s="173">
        <v>0.03</v>
      </c>
      <c r="C83" s="173" t="s">
        <v>37</v>
      </c>
      <c r="D83" s="173" t="s">
        <v>38</v>
      </c>
      <c r="E83" s="173" t="s">
        <v>29</v>
      </c>
      <c r="F83" s="185" t="s">
        <v>60</v>
      </c>
      <c r="G83" s="173" t="s">
        <v>33</v>
      </c>
      <c r="H83" s="173">
        <v>1</v>
      </c>
      <c r="I83" s="265">
        <f>B83</f>
        <v>0.03</v>
      </c>
      <c r="J83" s="173" t="s">
        <v>31</v>
      </c>
      <c r="K83" s="173" t="s">
        <v>31</v>
      </c>
      <c r="L83" s="173" t="s">
        <v>31</v>
      </c>
      <c r="M83" s="173" t="s">
        <v>31</v>
      </c>
      <c r="N83" s="173"/>
      <c r="O83" s="222"/>
      <c r="P83" s="297"/>
      <c r="Q83" s="173"/>
      <c r="R83" s="184"/>
      <c r="S83" s="173"/>
      <c r="T83" s="173"/>
      <c r="U83" s="173"/>
    </row>
    <row r="84" spans="1:21">
      <c r="A84" s="232" t="s">
        <v>146</v>
      </c>
      <c r="B84" s="173">
        <v>0.03</v>
      </c>
      <c r="C84" s="173" t="s">
        <v>37</v>
      </c>
      <c r="D84" s="173" t="s">
        <v>38</v>
      </c>
      <c r="E84" s="173" t="s">
        <v>29</v>
      </c>
      <c r="F84" s="173" t="s">
        <v>60</v>
      </c>
      <c r="G84" s="173" t="s">
        <v>33</v>
      </c>
      <c r="H84" s="173">
        <v>1</v>
      </c>
      <c r="I84" s="265">
        <f>B84</f>
        <v>0.03</v>
      </c>
      <c r="J84" s="173" t="s">
        <v>31</v>
      </c>
      <c r="K84" s="173" t="s">
        <v>31</v>
      </c>
      <c r="L84" s="173" t="s">
        <v>31</v>
      </c>
      <c r="M84" s="173" t="s">
        <v>31</v>
      </c>
      <c r="N84" s="173"/>
      <c r="O84" s="173"/>
      <c r="P84" s="173"/>
      <c r="Q84" s="173"/>
      <c r="R84" s="173"/>
      <c r="S84" s="173"/>
      <c r="T84" s="173"/>
      <c r="U84" s="173"/>
    </row>
    <row r="85" spans="1:21" s="42" customFormat="1">
      <c r="A85" s="209" t="s">
        <v>5</v>
      </c>
      <c r="B85" s="323" t="s">
        <v>1582</v>
      </c>
      <c r="C85" s="211"/>
      <c r="D85" s="188"/>
      <c r="E85" s="188"/>
      <c r="F85" s="188"/>
      <c r="G85" s="188"/>
      <c r="H85" s="188"/>
      <c r="I85" s="188"/>
      <c r="J85" s="188"/>
      <c r="K85" s="188"/>
      <c r="L85" s="188"/>
      <c r="M85" s="188"/>
      <c r="N85" s="188"/>
      <c r="O85" s="188"/>
      <c r="P85" s="188"/>
      <c r="Q85" s="188"/>
      <c r="R85" s="188"/>
      <c r="S85" s="188"/>
      <c r="T85" s="188"/>
      <c r="U85" s="188"/>
    </row>
    <row r="86" spans="1:21">
      <c r="A86" s="177" t="s">
        <v>7</v>
      </c>
      <c r="B86" s="173" t="s">
        <v>566</v>
      </c>
      <c r="C86" s="176"/>
      <c r="D86" s="173"/>
      <c r="E86" s="173"/>
      <c r="F86" s="173"/>
      <c r="G86" s="173"/>
      <c r="H86" s="173"/>
      <c r="I86" s="173"/>
      <c r="J86" s="173"/>
      <c r="K86" s="173"/>
      <c r="L86" s="173"/>
      <c r="M86" s="173"/>
      <c r="N86" s="173"/>
      <c r="O86" s="173"/>
      <c r="P86" s="173"/>
      <c r="Q86" s="173"/>
      <c r="R86" s="173"/>
      <c r="S86" s="173"/>
      <c r="T86" s="173"/>
      <c r="U86" s="173"/>
    </row>
    <row r="87" spans="1:21">
      <c r="A87" s="276" t="s">
        <v>9</v>
      </c>
      <c r="B87" s="173" t="s">
        <v>1584</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11</v>
      </c>
      <c r="B88" s="179" t="s">
        <v>913</v>
      </c>
      <c r="C88" s="173"/>
      <c r="D88" s="173"/>
      <c r="E88" s="173"/>
      <c r="F88" s="173"/>
      <c r="G88" s="173"/>
      <c r="H88" s="173"/>
      <c r="I88" s="173"/>
      <c r="J88" s="173"/>
      <c r="K88" s="173"/>
      <c r="L88" s="173"/>
      <c r="M88" s="173"/>
      <c r="N88" s="173"/>
      <c r="O88" s="173"/>
      <c r="P88" s="173"/>
      <c r="Q88" s="173"/>
      <c r="R88" s="173"/>
      <c r="S88" s="173"/>
      <c r="T88" s="173"/>
      <c r="U88" s="173"/>
    </row>
    <row r="89" spans="1:21">
      <c r="A89" s="177" t="s">
        <v>13</v>
      </c>
      <c r="B89" s="173" t="s">
        <v>14</v>
      </c>
      <c r="C89" s="173"/>
      <c r="D89" s="173"/>
      <c r="E89" s="173"/>
      <c r="F89" s="173"/>
      <c r="G89" s="173"/>
      <c r="H89" s="173"/>
      <c r="I89" s="173"/>
      <c r="J89" s="173"/>
      <c r="K89" s="173"/>
      <c r="L89" s="173"/>
      <c r="M89" s="173"/>
      <c r="N89" s="173"/>
      <c r="O89" s="173"/>
      <c r="P89" s="173"/>
      <c r="Q89" s="173"/>
      <c r="R89" s="173"/>
      <c r="S89" s="173"/>
      <c r="T89" s="173"/>
      <c r="U89" s="173"/>
    </row>
    <row r="90" spans="1:21">
      <c r="A90" s="177" t="s">
        <v>15</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16</v>
      </c>
      <c r="B91" s="173" t="s">
        <v>17</v>
      </c>
      <c r="C91" s="173"/>
      <c r="D91" s="173"/>
      <c r="E91" s="173"/>
      <c r="F91" s="173"/>
      <c r="G91" s="173"/>
      <c r="H91" s="173"/>
      <c r="I91" s="173"/>
      <c r="J91" s="173"/>
      <c r="K91" s="173"/>
      <c r="L91" s="173"/>
      <c r="M91" s="173"/>
      <c r="N91" s="173"/>
      <c r="O91" s="173"/>
      <c r="P91" s="173"/>
      <c r="Q91" s="173"/>
      <c r="R91" s="173"/>
      <c r="S91" s="173"/>
      <c r="T91" s="173"/>
      <c r="U91" s="173"/>
    </row>
    <row r="92" spans="1:21">
      <c r="A92" s="177" t="s">
        <v>18</v>
      </c>
      <c r="B92" s="173" t="s">
        <v>18</v>
      </c>
      <c r="C92" s="173"/>
      <c r="D92" s="173"/>
      <c r="E92" s="173"/>
      <c r="F92" s="173"/>
      <c r="G92" s="173"/>
      <c r="H92" s="173"/>
      <c r="I92" s="173"/>
      <c r="J92" s="173"/>
      <c r="K92" s="173"/>
      <c r="L92" s="173"/>
      <c r="M92" s="173"/>
      <c r="N92" s="173"/>
      <c r="O92" s="173"/>
      <c r="P92" s="173"/>
      <c r="Q92" s="173"/>
      <c r="R92" s="173"/>
      <c r="S92" s="173"/>
      <c r="T92" s="173"/>
      <c r="U92" s="173"/>
    </row>
    <row r="93" spans="1:21">
      <c r="A93" s="174" t="s">
        <v>19</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20</v>
      </c>
      <c r="B94" s="175" t="s">
        <v>21</v>
      </c>
      <c r="C94" s="175" t="s">
        <v>18</v>
      </c>
      <c r="D94" s="175" t="s">
        <v>22</v>
      </c>
      <c r="E94" s="175" t="s">
        <v>7</v>
      </c>
      <c r="F94" s="175" t="s">
        <v>13</v>
      </c>
      <c r="G94" s="175" t="s">
        <v>16</v>
      </c>
      <c r="H94" s="175" t="s">
        <v>23</v>
      </c>
      <c r="I94" s="175" t="s">
        <v>24</v>
      </c>
      <c r="J94" s="175" t="s">
        <v>25</v>
      </c>
      <c r="K94" s="175" t="s">
        <v>26</v>
      </c>
      <c r="L94" s="175" t="s">
        <v>27</v>
      </c>
      <c r="M94" s="175" t="s">
        <v>28</v>
      </c>
      <c r="N94" s="175" t="s">
        <v>11</v>
      </c>
      <c r="O94" s="173"/>
      <c r="P94" s="173"/>
      <c r="Q94" s="173"/>
      <c r="R94" s="173"/>
      <c r="S94" s="173"/>
      <c r="T94" s="173"/>
      <c r="U94" s="173"/>
    </row>
    <row r="95" spans="1:21">
      <c r="A95" s="232" t="s">
        <v>1582</v>
      </c>
      <c r="B95" s="184">
        <v>1</v>
      </c>
      <c r="C95" s="173" t="s">
        <v>18</v>
      </c>
      <c r="D95" s="258" t="s">
        <v>2</v>
      </c>
      <c r="E95" s="173" t="s">
        <v>29</v>
      </c>
      <c r="F95" s="185" t="s">
        <v>14</v>
      </c>
      <c r="G95" s="173" t="s">
        <v>30</v>
      </c>
      <c r="H95" s="173">
        <v>1</v>
      </c>
      <c r="I95" s="265">
        <f>B95</f>
        <v>1</v>
      </c>
      <c r="J95" s="173" t="s">
        <v>31</v>
      </c>
      <c r="K95" s="173" t="s">
        <v>31</v>
      </c>
      <c r="L95" s="173" t="s">
        <v>31</v>
      </c>
      <c r="M95" s="173" t="s">
        <v>31</v>
      </c>
      <c r="N95" s="173"/>
      <c r="O95" s="222"/>
      <c r="P95" s="297"/>
      <c r="Q95" s="173"/>
      <c r="R95" s="184"/>
      <c r="S95" s="173"/>
      <c r="T95" s="173"/>
      <c r="U95" s="173"/>
    </row>
    <row r="96" spans="1:21">
      <c r="A96" s="232" t="s">
        <v>1585</v>
      </c>
      <c r="B96" s="173">
        <v>1</v>
      </c>
      <c r="C96" s="173" t="s">
        <v>18</v>
      </c>
      <c r="D96" s="258" t="s">
        <v>2</v>
      </c>
      <c r="E96" s="173" t="s">
        <v>29</v>
      </c>
      <c r="F96" s="185" t="s">
        <v>14</v>
      </c>
      <c r="G96" s="173" t="s">
        <v>33</v>
      </c>
      <c r="H96" s="173">
        <v>1</v>
      </c>
      <c r="I96" s="265">
        <f>B96</f>
        <v>1</v>
      </c>
      <c r="J96" s="173" t="s">
        <v>31</v>
      </c>
      <c r="K96" s="173" t="s">
        <v>31</v>
      </c>
      <c r="L96" s="173" t="s">
        <v>31</v>
      </c>
      <c r="M96" s="173" t="s">
        <v>31</v>
      </c>
      <c r="N96" s="173"/>
      <c r="O96" s="222"/>
      <c r="P96" s="297"/>
      <c r="Q96" s="173"/>
      <c r="R96" s="173"/>
      <c r="S96" s="173"/>
      <c r="T96" s="173"/>
      <c r="U96" s="173"/>
    </row>
    <row r="97" spans="1:21">
      <c r="A97" s="177" t="s">
        <v>168</v>
      </c>
      <c r="B97" s="184">
        <f>R97</f>
        <v>0.05</v>
      </c>
      <c r="C97" s="173" t="s">
        <v>41</v>
      </c>
      <c r="D97" s="173" t="s">
        <v>38</v>
      </c>
      <c r="E97" s="173" t="s">
        <v>29</v>
      </c>
      <c r="F97" s="185" t="s">
        <v>35</v>
      </c>
      <c r="G97" s="173" t="s">
        <v>33</v>
      </c>
      <c r="H97" s="173">
        <v>2</v>
      </c>
      <c r="I97" s="173">
        <f t="shared" ref="I97" si="4">LN(B97)</f>
        <v>-2.9957322735539909</v>
      </c>
      <c r="J97" s="173">
        <v>7.2284161474004766E-2</v>
      </c>
      <c r="K97" s="173" t="s">
        <v>31</v>
      </c>
      <c r="L97" s="173" t="s">
        <v>31</v>
      </c>
      <c r="M97" s="173" t="s">
        <v>31</v>
      </c>
      <c r="N97" s="173"/>
      <c r="O97" s="222" t="s">
        <v>332</v>
      </c>
      <c r="P97" s="297">
        <v>0.05</v>
      </c>
      <c r="Q97" s="173" t="s">
        <v>332</v>
      </c>
      <c r="R97" s="184">
        <f>P97</f>
        <v>0.05</v>
      </c>
      <c r="S97" s="173"/>
      <c r="T97" s="173"/>
      <c r="U97" s="173"/>
    </row>
    <row r="98" spans="1:21" s="42" customFormat="1">
      <c r="A98" s="209" t="s">
        <v>5</v>
      </c>
      <c r="B98" s="323" t="s">
        <v>1585</v>
      </c>
      <c r="C98" s="211"/>
      <c r="D98" s="188"/>
      <c r="E98" s="188"/>
      <c r="F98" s="188"/>
      <c r="G98" s="188"/>
      <c r="H98" s="188"/>
      <c r="I98" s="188"/>
      <c r="J98" s="188"/>
      <c r="K98" s="188"/>
      <c r="L98" s="188"/>
      <c r="M98" s="188"/>
      <c r="N98" s="188"/>
      <c r="O98" s="188"/>
      <c r="P98" s="188"/>
      <c r="Q98" s="188"/>
      <c r="R98" s="188"/>
      <c r="S98" s="188"/>
      <c r="T98" s="188"/>
      <c r="U98" s="188"/>
    </row>
    <row r="99" spans="1:21">
      <c r="A99" s="177" t="s">
        <v>7</v>
      </c>
      <c r="B99" s="173" t="s">
        <v>566</v>
      </c>
      <c r="C99" s="176"/>
      <c r="D99" s="173"/>
      <c r="E99" s="173"/>
      <c r="F99" s="173"/>
      <c r="G99" s="173"/>
      <c r="H99" s="173"/>
      <c r="I99" s="173"/>
      <c r="J99" s="173"/>
      <c r="K99" s="173"/>
      <c r="L99" s="173"/>
      <c r="M99" s="173"/>
      <c r="N99" s="173"/>
      <c r="O99" s="173"/>
      <c r="P99" s="173"/>
      <c r="Q99" s="173"/>
      <c r="R99" s="173"/>
      <c r="S99" s="173"/>
      <c r="T99" s="173"/>
      <c r="U99" s="173"/>
    </row>
    <row r="100" spans="1:21">
      <c r="A100" s="276" t="s">
        <v>9</v>
      </c>
      <c r="B100" s="173" t="s">
        <v>1586</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11</v>
      </c>
      <c r="B101" s="179" t="s">
        <v>913</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13</v>
      </c>
      <c r="B102" s="173" t="s">
        <v>14</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15</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16</v>
      </c>
      <c r="B104" s="173" t="s">
        <v>17</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18</v>
      </c>
      <c r="B105" s="173" t="s">
        <v>18</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19</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20</v>
      </c>
      <c r="B107" s="175" t="s">
        <v>21</v>
      </c>
      <c r="C107" s="175" t="s">
        <v>18</v>
      </c>
      <c r="D107" s="175" t="s">
        <v>22</v>
      </c>
      <c r="E107" s="175" t="s">
        <v>7</v>
      </c>
      <c r="F107" s="175" t="s">
        <v>13</v>
      </c>
      <c r="G107" s="175" t="s">
        <v>16</v>
      </c>
      <c r="H107" s="175" t="s">
        <v>23</v>
      </c>
      <c r="I107" s="175" t="s">
        <v>24</v>
      </c>
      <c r="J107" s="175" t="s">
        <v>25</v>
      </c>
      <c r="K107" s="175" t="s">
        <v>26</v>
      </c>
      <c r="L107" s="175" t="s">
        <v>27</v>
      </c>
      <c r="M107" s="175" t="s">
        <v>28</v>
      </c>
      <c r="N107" s="175" t="s">
        <v>11</v>
      </c>
      <c r="O107" s="173"/>
      <c r="P107" s="173"/>
      <c r="Q107" s="173"/>
      <c r="R107" s="173"/>
      <c r="S107" s="173"/>
      <c r="T107" s="173"/>
      <c r="U107" s="173"/>
    </row>
    <row r="108" spans="1:21">
      <c r="A108" s="232" t="s">
        <v>1585</v>
      </c>
      <c r="B108" s="173">
        <v>1</v>
      </c>
      <c r="C108" s="173" t="s">
        <v>18</v>
      </c>
      <c r="D108" s="173" t="s">
        <v>2</v>
      </c>
      <c r="E108" s="173" t="s">
        <v>29</v>
      </c>
      <c r="F108" s="185" t="s">
        <v>14</v>
      </c>
      <c r="G108" s="173" t="s">
        <v>30</v>
      </c>
      <c r="H108" s="173">
        <v>1</v>
      </c>
      <c r="I108" s="265">
        <f>B108</f>
        <v>1</v>
      </c>
      <c r="J108" s="173" t="s">
        <v>31</v>
      </c>
      <c r="K108" s="173" t="s">
        <v>31</v>
      </c>
      <c r="L108" s="173" t="s">
        <v>31</v>
      </c>
      <c r="M108" s="173" t="s">
        <v>31</v>
      </c>
      <c r="N108" s="173"/>
      <c r="O108" s="173"/>
      <c r="P108" s="347"/>
      <c r="Q108" s="214" t="s">
        <v>1587</v>
      </c>
      <c r="R108" s="173"/>
      <c r="S108" s="173"/>
      <c r="T108" s="173"/>
      <c r="U108" s="173"/>
    </row>
    <row r="109" spans="1:21">
      <c r="A109" s="177" t="s">
        <v>1588</v>
      </c>
      <c r="B109" s="298">
        <f>B133</f>
        <v>0.02</v>
      </c>
      <c r="C109" s="173" t="s">
        <v>206</v>
      </c>
      <c r="D109" s="173" t="s">
        <v>2</v>
      </c>
      <c r="E109" s="173" t="s">
        <v>29</v>
      </c>
      <c r="F109" s="185" t="s">
        <v>14</v>
      </c>
      <c r="G109" s="173" t="s">
        <v>33</v>
      </c>
      <c r="H109" s="173">
        <v>1</v>
      </c>
      <c r="I109" s="265">
        <f>B109</f>
        <v>0.02</v>
      </c>
      <c r="J109" s="173" t="s">
        <v>31</v>
      </c>
      <c r="K109" s="173" t="s">
        <v>31</v>
      </c>
      <c r="L109" s="173" t="s">
        <v>31</v>
      </c>
      <c r="M109" s="173" t="s">
        <v>31</v>
      </c>
      <c r="N109" s="173"/>
      <c r="O109" s="259"/>
      <c r="P109" s="260"/>
      <c r="Q109" s="173">
        <f>'2D. Reusable'!T36</f>
        <v>0.2</v>
      </c>
      <c r="R109" s="173" t="s">
        <v>1304</v>
      </c>
      <c r="S109" s="173"/>
      <c r="T109" s="173"/>
      <c r="U109" s="173"/>
    </row>
    <row r="110" spans="1:21">
      <c r="A110" s="173" t="s">
        <v>1543</v>
      </c>
      <c r="B110" s="231">
        <f>R110</f>
        <v>6.0000000000000001E-3</v>
      </c>
      <c r="C110" s="178" t="s">
        <v>206</v>
      </c>
      <c r="D110" s="173" t="s">
        <v>2</v>
      </c>
      <c r="E110" s="173" t="s">
        <v>29</v>
      </c>
      <c r="F110" s="185" t="s">
        <v>14</v>
      </c>
      <c r="G110" s="173" t="s">
        <v>33</v>
      </c>
      <c r="H110" s="173">
        <v>1</v>
      </c>
      <c r="I110" s="265">
        <f>B110</f>
        <v>6.0000000000000001E-3</v>
      </c>
      <c r="J110" s="173" t="s">
        <v>31</v>
      </c>
      <c r="K110" s="173" t="s">
        <v>31</v>
      </c>
      <c r="L110" s="173" t="s">
        <v>31</v>
      </c>
      <c r="M110" s="173" t="s">
        <v>31</v>
      </c>
      <c r="N110" s="173"/>
      <c r="O110" s="299" t="s">
        <v>947</v>
      </c>
      <c r="P110" s="300">
        <v>30</v>
      </c>
      <c r="R110" s="231">
        <f>P110*0.001*Q109</f>
        <v>6.0000000000000001E-3</v>
      </c>
      <c r="S110" s="173"/>
      <c r="T110" s="173"/>
      <c r="U110" s="173"/>
    </row>
    <row r="111" spans="1:21">
      <c r="A111" s="173" t="s">
        <v>1589</v>
      </c>
      <c r="B111" s="173">
        <v>1</v>
      </c>
      <c r="C111" s="173" t="s">
        <v>18</v>
      </c>
      <c r="D111" s="173" t="s">
        <v>2</v>
      </c>
      <c r="E111" s="173" t="s">
        <v>29</v>
      </c>
      <c r="F111" s="185" t="s">
        <v>14</v>
      </c>
      <c r="G111" s="173" t="s">
        <v>33</v>
      </c>
      <c r="H111" s="173">
        <v>1</v>
      </c>
      <c r="I111" s="265">
        <f>B111</f>
        <v>1</v>
      </c>
      <c r="J111" s="173" t="s">
        <v>31</v>
      </c>
      <c r="K111" s="173" t="s">
        <v>31</v>
      </c>
      <c r="L111" s="173" t="s">
        <v>31</v>
      </c>
      <c r="M111" s="173" t="s">
        <v>31</v>
      </c>
      <c r="N111" s="173"/>
      <c r="O111" s="259"/>
      <c r="P111" s="260"/>
      <c r="Q111" s="173"/>
      <c r="R111" s="173"/>
      <c r="S111" s="173"/>
      <c r="T111" s="173"/>
      <c r="U111" s="173"/>
    </row>
    <row r="112" spans="1:21">
      <c r="A112" s="232" t="s">
        <v>533</v>
      </c>
      <c r="B112" s="231">
        <f>R112</f>
        <v>8.7000000000000001E-5</v>
      </c>
      <c r="C112" s="173" t="s">
        <v>37</v>
      </c>
      <c r="D112" s="173" t="s">
        <v>38</v>
      </c>
      <c r="E112" s="173" t="s">
        <v>29</v>
      </c>
      <c r="F112" s="185" t="s">
        <v>35</v>
      </c>
      <c r="G112" s="173" t="s">
        <v>33</v>
      </c>
      <c r="H112" s="173">
        <v>2</v>
      </c>
      <c r="I112" s="173">
        <f>LN(B112)</f>
        <v>-9.3496024393096899</v>
      </c>
      <c r="J112" s="173">
        <v>2.8722813232690055E-2</v>
      </c>
      <c r="K112" s="173" t="s">
        <v>31</v>
      </c>
      <c r="L112" s="173" t="s">
        <v>31</v>
      </c>
      <c r="M112" s="173" t="s">
        <v>31</v>
      </c>
      <c r="N112" s="173"/>
      <c r="O112" s="299" t="s">
        <v>947</v>
      </c>
      <c r="P112" s="302">
        <v>8.6999999999999994E-2</v>
      </c>
      <c r="Q112" s="173" t="s">
        <v>337</v>
      </c>
      <c r="R112" s="231">
        <f>P112*10^-3</f>
        <v>8.7000000000000001E-5</v>
      </c>
      <c r="S112" s="173"/>
      <c r="T112" s="173"/>
      <c r="U112" s="173"/>
    </row>
    <row r="113" spans="1:21" s="42" customFormat="1">
      <c r="A113" s="209" t="s">
        <v>5</v>
      </c>
      <c r="B113" s="210" t="s">
        <v>1589</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7</v>
      </c>
      <c r="B114" s="173" t="s">
        <v>566</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9</v>
      </c>
      <c r="B115" s="173" t="s">
        <v>1590</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11</v>
      </c>
      <c r="B116" s="179" t="s">
        <v>913</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13</v>
      </c>
      <c r="B117" s="173" t="s">
        <v>14</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15</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16</v>
      </c>
      <c r="B119" s="173" t="s">
        <v>17</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18</v>
      </c>
      <c r="B120" s="173" t="s">
        <v>18</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19</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20</v>
      </c>
      <c r="B122" s="175" t="s">
        <v>21</v>
      </c>
      <c r="C122" s="175" t="s">
        <v>18</v>
      </c>
      <c r="D122" s="175" t="s">
        <v>22</v>
      </c>
      <c r="E122" s="175" t="s">
        <v>7</v>
      </c>
      <c r="F122" s="175" t="s">
        <v>13</v>
      </c>
      <c r="G122" s="175" t="s">
        <v>16</v>
      </c>
      <c r="H122" s="175" t="s">
        <v>23</v>
      </c>
      <c r="I122" s="175" t="s">
        <v>24</v>
      </c>
      <c r="J122" s="175" t="s">
        <v>25</v>
      </c>
      <c r="K122" s="175" t="s">
        <v>26</v>
      </c>
      <c r="L122" s="175" t="s">
        <v>27</v>
      </c>
      <c r="M122" s="175" t="s">
        <v>28</v>
      </c>
      <c r="N122" s="175" t="s">
        <v>11</v>
      </c>
      <c r="O122" s="173"/>
      <c r="P122" s="173"/>
      <c r="Q122" s="173"/>
      <c r="R122" s="173"/>
      <c r="S122" s="173"/>
      <c r="T122" s="173"/>
      <c r="U122" s="173"/>
    </row>
    <row r="123" spans="1:21">
      <c r="A123" s="173" t="s">
        <v>1589</v>
      </c>
      <c r="B123" s="173">
        <v>1</v>
      </c>
      <c r="C123" s="173" t="s">
        <v>18</v>
      </c>
      <c r="D123" s="258" t="s">
        <v>2</v>
      </c>
      <c r="E123" s="173" t="s">
        <v>29</v>
      </c>
      <c r="F123" s="185" t="s">
        <v>14</v>
      </c>
      <c r="G123" s="173" t="s">
        <v>30</v>
      </c>
      <c r="H123" s="173">
        <v>1</v>
      </c>
      <c r="I123" s="265">
        <f>B123</f>
        <v>1</v>
      </c>
      <c r="J123" s="173" t="s">
        <v>31</v>
      </c>
      <c r="K123" s="173" t="s">
        <v>31</v>
      </c>
      <c r="L123" s="173" t="s">
        <v>31</v>
      </c>
      <c r="M123" s="173" t="s">
        <v>31</v>
      </c>
      <c r="N123" s="173"/>
      <c r="O123" s="173"/>
      <c r="P123" s="173"/>
      <c r="Q123" s="173"/>
      <c r="R123" s="173"/>
      <c r="S123" s="173"/>
      <c r="T123" s="173"/>
      <c r="U123" s="173"/>
    </row>
    <row r="124" spans="1:21">
      <c r="A124" s="232" t="s">
        <v>1056</v>
      </c>
      <c r="B124" s="173">
        <f>R124</f>
        <v>0.17</v>
      </c>
      <c r="C124" s="173" t="s">
        <v>37</v>
      </c>
      <c r="D124" s="173" t="s">
        <v>38</v>
      </c>
      <c r="E124" s="173" t="s">
        <v>29</v>
      </c>
      <c r="F124" s="173" t="s">
        <v>60</v>
      </c>
      <c r="G124" s="173" t="s">
        <v>33</v>
      </c>
      <c r="H124" s="173">
        <v>1</v>
      </c>
      <c r="I124" s="265">
        <f>B124</f>
        <v>0.17</v>
      </c>
      <c r="J124" s="173" t="s">
        <v>31</v>
      </c>
      <c r="K124" s="173" t="s">
        <v>31</v>
      </c>
      <c r="L124" s="173" t="s">
        <v>31</v>
      </c>
      <c r="M124" s="173" t="s">
        <v>31</v>
      </c>
      <c r="N124" s="173"/>
      <c r="O124" s="173"/>
      <c r="P124" s="173">
        <v>0.17</v>
      </c>
      <c r="Q124" s="173" t="s">
        <v>337</v>
      </c>
      <c r="R124" s="173">
        <f>P124</f>
        <v>0.17</v>
      </c>
      <c r="S124" s="173"/>
      <c r="T124" s="173"/>
      <c r="U124" s="173"/>
    </row>
    <row r="125" spans="1:21">
      <c r="A125" s="232" t="s">
        <v>1057</v>
      </c>
      <c r="B125" s="173">
        <f t="shared" ref="B125:B127" si="5">R125</f>
        <v>0.112</v>
      </c>
      <c r="C125" s="173" t="s">
        <v>37</v>
      </c>
      <c r="D125" s="173" t="s">
        <v>38</v>
      </c>
      <c r="E125" s="173" t="s">
        <v>29</v>
      </c>
      <c r="F125" s="173" t="s">
        <v>60</v>
      </c>
      <c r="G125" s="173" t="s">
        <v>33</v>
      </c>
      <c r="H125" s="173">
        <v>2</v>
      </c>
      <c r="I125" s="173">
        <f>LN(B125)</f>
        <v>-2.1892564076870427</v>
      </c>
      <c r="J125" s="173">
        <v>3.7749172176353707E-2</v>
      </c>
      <c r="K125" s="173" t="s">
        <v>31</v>
      </c>
      <c r="L125" s="173" t="s">
        <v>31</v>
      </c>
      <c r="M125" s="173" t="s">
        <v>31</v>
      </c>
      <c r="N125" s="173"/>
      <c r="O125" s="242" t="s">
        <v>947</v>
      </c>
      <c r="P125" s="296">
        <v>112</v>
      </c>
      <c r="Q125" s="173" t="s">
        <v>337</v>
      </c>
      <c r="R125" s="173">
        <f>P125*0.001</f>
        <v>0.112</v>
      </c>
      <c r="S125" s="173"/>
      <c r="T125" s="173"/>
      <c r="U125" s="173"/>
    </row>
    <row r="126" spans="1:21">
      <c r="A126" s="232" t="s">
        <v>1058</v>
      </c>
      <c r="B126" s="173">
        <f t="shared" si="5"/>
        <v>6.7000000000000002E-3</v>
      </c>
      <c r="C126" s="173" t="s">
        <v>37</v>
      </c>
      <c r="D126" s="173" t="s">
        <v>38</v>
      </c>
      <c r="E126" s="173" t="s">
        <v>29</v>
      </c>
      <c r="F126" s="173" t="s">
        <v>60</v>
      </c>
      <c r="G126" s="173" t="s">
        <v>33</v>
      </c>
      <c r="H126" s="173">
        <v>2</v>
      </c>
      <c r="I126" s="173">
        <f>LN(B126)</f>
        <v>-5.005647752585217</v>
      </c>
      <c r="J126" s="173">
        <v>3.7749172176353707E-2</v>
      </c>
      <c r="K126" s="173" t="s">
        <v>31</v>
      </c>
      <c r="L126" s="173" t="s">
        <v>31</v>
      </c>
      <c r="M126" s="173" t="s">
        <v>31</v>
      </c>
      <c r="N126" s="173"/>
      <c r="O126" s="242" t="s">
        <v>947</v>
      </c>
      <c r="P126" s="296">
        <v>6.7</v>
      </c>
      <c r="Q126" s="173" t="s">
        <v>337</v>
      </c>
      <c r="R126" s="173">
        <f t="shared" ref="R126:R127" si="6">P126*0.001</f>
        <v>6.7000000000000002E-3</v>
      </c>
      <c r="S126" s="173"/>
      <c r="T126" s="173"/>
      <c r="U126" s="173"/>
    </row>
    <row r="127" spans="1:21">
      <c r="A127" s="232" t="s">
        <v>1059</v>
      </c>
      <c r="B127" s="173">
        <f t="shared" si="5"/>
        <v>5.1000000000000004E-2</v>
      </c>
      <c r="C127" s="173" t="s">
        <v>37</v>
      </c>
      <c r="D127" s="173" t="s">
        <v>38</v>
      </c>
      <c r="E127" s="173" t="s">
        <v>29</v>
      </c>
      <c r="F127" s="173" t="s">
        <v>60</v>
      </c>
      <c r="G127" s="173" t="s">
        <v>33</v>
      </c>
      <c r="H127" s="173">
        <v>2</v>
      </c>
      <c r="I127" s="173">
        <f>LN(B127)</f>
        <v>-2.9759296462578111</v>
      </c>
      <c r="J127" s="173">
        <v>3.7749172176353707E-2</v>
      </c>
      <c r="K127" s="173" t="s">
        <v>31</v>
      </c>
      <c r="L127" s="173" t="s">
        <v>31</v>
      </c>
      <c r="M127" s="173" t="s">
        <v>31</v>
      </c>
      <c r="N127" s="173"/>
      <c r="O127" s="242" t="s">
        <v>947</v>
      </c>
      <c r="P127" s="296">
        <v>51</v>
      </c>
      <c r="Q127" s="173" t="s">
        <v>337</v>
      </c>
      <c r="R127" s="173">
        <f t="shared" si="6"/>
        <v>5.1000000000000004E-2</v>
      </c>
      <c r="S127" s="173"/>
      <c r="T127" s="173"/>
      <c r="U127" s="173"/>
    </row>
    <row r="128" spans="1:21" s="42" customFormat="1">
      <c r="A128" s="209" t="s">
        <v>5</v>
      </c>
      <c r="B128" s="323" t="s">
        <v>1588</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7</v>
      </c>
      <c r="B129" s="173" t="s">
        <v>566</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9</v>
      </c>
      <c r="B130" s="173" t="s">
        <v>1591</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11</v>
      </c>
      <c r="B131" s="179" t="s">
        <v>913</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13</v>
      </c>
      <c r="B132" s="173" t="s">
        <v>14</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15</v>
      </c>
      <c r="B133" s="277">
        <f>B138</f>
        <v>0.02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16</v>
      </c>
      <c r="B134" s="173" t="s">
        <v>17</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18</v>
      </c>
      <c r="B135" s="173" t="s">
        <v>206</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19</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20</v>
      </c>
      <c r="B137" s="175" t="s">
        <v>21</v>
      </c>
      <c r="C137" s="175" t="s">
        <v>18</v>
      </c>
      <c r="D137" s="175" t="s">
        <v>22</v>
      </c>
      <c r="E137" s="175" t="s">
        <v>7</v>
      </c>
      <c r="F137" s="175" t="s">
        <v>13</v>
      </c>
      <c r="G137" s="175" t="s">
        <v>16</v>
      </c>
      <c r="H137" s="175" t="s">
        <v>23</v>
      </c>
      <c r="I137" s="175" t="s">
        <v>24</v>
      </c>
      <c r="J137" s="175" t="s">
        <v>25</v>
      </c>
      <c r="K137" s="175" t="s">
        <v>26</v>
      </c>
      <c r="L137" s="175" t="s">
        <v>27</v>
      </c>
      <c r="M137" s="175" t="s">
        <v>28</v>
      </c>
      <c r="N137" s="175" t="s">
        <v>11</v>
      </c>
      <c r="O137" s="173"/>
      <c r="P137" s="173"/>
      <c r="Q137" s="173"/>
      <c r="R137" s="173"/>
      <c r="S137" s="173"/>
      <c r="T137" s="173"/>
      <c r="U137" s="173"/>
    </row>
    <row r="138" spans="1:21">
      <c r="A138" s="173" t="s">
        <v>1588</v>
      </c>
      <c r="B138" s="303">
        <f>P138</f>
        <v>0.02</v>
      </c>
      <c r="C138" s="173" t="s">
        <v>206</v>
      </c>
      <c r="D138" s="258" t="s">
        <v>2</v>
      </c>
      <c r="E138" s="173" t="s">
        <v>29</v>
      </c>
      <c r="F138" s="185" t="s">
        <v>14</v>
      </c>
      <c r="G138" s="173" t="s">
        <v>30</v>
      </c>
      <c r="H138" s="173">
        <v>1</v>
      </c>
      <c r="I138" s="265">
        <f>B138</f>
        <v>0.02</v>
      </c>
      <c r="J138" s="173" t="s">
        <v>31</v>
      </c>
      <c r="K138" s="173" t="s">
        <v>31</v>
      </c>
      <c r="L138" s="173" t="s">
        <v>31</v>
      </c>
      <c r="M138" s="173" t="s">
        <v>31</v>
      </c>
      <c r="N138" s="173"/>
      <c r="O138" s="259"/>
      <c r="P138" s="348">
        <f>B152</f>
        <v>0.02</v>
      </c>
      <c r="Q138" s="184"/>
      <c r="R138" s="173"/>
      <c r="S138" s="173"/>
      <c r="T138" s="173"/>
      <c r="U138" s="173"/>
    </row>
    <row r="139" spans="1:21">
      <c r="A139" s="271" t="s">
        <v>1592</v>
      </c>
      <c r="B139" s="303">
        <f>P139</f>
        <v>0.02</v>
      </c>
      <c r="C139" s="173" t="s">
        <v>206</v>
      </c>
      <c r="D139" s="258" t="s">
        <v>2</v>
      </c>
      <c r="E139" s="173" t="s">
        <v>29</v>
      </c>
      <c r="F139" s="185" t="s">
        <v>14</v>
      </c>
      <c r="G139" s="173" t="s">
        <v>33</v>
      </c>
      <c r="H139" s="173">
        <v>1</v>
      </c>
      <c r="I139" s="265">
        <f>B139</f>
        <v>0.02</v>
      </c>
      <c r="J139" s="173" t="s">
        <v>31</v>
      </c>
      <c r="K139" s="173" t="s">
        <v>31</v>
      </c>
      <c r="L139" s="173" t="s">
        <v>31</v>
      </c>
      <c r="M139" s="173" t="s">
        <v>31</v>
      </c>
      <c r="N139" s="173"/>
      <c r="O139" s="173"/>
      <c r="P139" s="348">
        <f>B152</f>
        <v>0.02</v>
      </c>
      <c r="Q139" s="173"/>
      <c r="R139" s="173"/>
      <c r="S139" s="173"/>
      <c r="T139" s="173"/>
      <c r="U139" s="173"/>
    </row>
    <row r="140" spans="1:21">
      <c r="A140" s="232" t="s">
        <v>1077</v>
      </c>
      <c r="B140" s="173">
        <f>R140</f>
        <v>1.8000000000000002E-3</v>
      </c>
      <c r="C140" s="173" t="s">
        <v>37</v>
      </c>
      <c r="D140" s="173" t="s">
        <v>38</v>
      </c>
      <c r="E140" s="173" t="s">
        <v>29</v>
      </c>
      <c r="F140" s="173" t="s">
        <v>35</v>
      </c>
      <c r="G140" s="173" t="s">
        <v>33</v>
      </c>
      <c r="H140" s="173">
        <v>2</v>
      </c>
      <c r="I140" s="173">
        <f>LN(B140)</f>
        <v>-6.3199686140800182</v>
      </c>
      <c r="J140" s="173">
        <v>0.20928449536456342</v>
      </c>
      <c r="K140" s="173" t="s">
        <v>31</v>
      </c>
      <c r="L140" s="173" t="s">
        <v>31</v>
      </c>
      <c r="M140" s="173" t="s">
        <v>31</v>
      </c>
      <c r="N140" s="173"/>
      <c r="O140" s="242" t="s">
        <v>947</v>
      </c>
      <c r="P140" s="296">
        <v>1.8</v>
      </c>
      <c r="Q140" s="173" t="s">
        <v>337</v>
      </c>
      <c r="R140" s="173">
        <f>0.001*P140</f>
        <v>1.8000000000000002E-3</v>
      </c>
      <c r="S140" s="173"/>
      <c r="T140" s="173"/>
      <c r="U140" s="173"/>
    </row>
    <row r="141" spans="1:21">
      <c r="A141" s="232" t="s">
        <v>1078</v>
      </c>
      <c r="B141" s="173">
        <f>R141</f>
        <v>1.8000000000000002E-3</v>
      </c>
      <c r="C141" s="173" t="s">
        <v>37</v>
      </c>
      <c r="D141" s="173" t="s">
        <v>38</v>
      </c>
      <c r="E141" s="173" t="s">
        <v>29</v>
      </c>
      <c r="F141" s="173" t="s">
        <v>35</v>
      </c>
      <c r="G141" s="173" t="s">
        <v>33</v>
      </c>
      <c r="H141" s="173">
        <v>2</v>
      </c>
      <c r="I141" s="173">
        <f>LN(B141)</f>
        <v>-6.3199686140800182</v>
      </c>
      <c r="J141" s="173">
        <v>0.20928449536456342</v>
      </c>
      <c r="K141" s="173" t="s">
        <v>31</v>
      </c>
      <c r="L141" s="173" t="s">
        <v>31</v>
      </c>
      <c r="M141" s="173" t="s">
        <v>31</v>
      </c>
      <c r="N141" s="173"/>
      <c r="O141" s="242" t="s">
        <v>947</v>
      </c>
      <c r="P141" s="296">
        <v>1.8</v>
      </c>
      <c r="Q141" s="173" t="s">
        <v>337</v>
      </c>
      <c r="R141" s="173">
        <f>0.001*P141</f>
        <v>1.8000000000000002E-3</v>
      </c>
      <c r="S141" s="173"/>
      <c r="T141" s="173"/>
      <c r="U141" s="173"/>
    </row>
    <row r="142" spans="1:21" s="42" customFormat="1">
      <c r="A142" s="209" t="s">
        <v>5</v>
      </c>
      <c r="B142" s="304" t="s">
        <v>1592</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7</v>
      </c>
      <c r="B143" s="173" t="s">
        <v>566</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9</v>
      </c>
      <c r="B144" s="173" t="s">
        <v>1593</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11</v>
      </c>
      <c r="B145" s="179" t="s">
        <v>913</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13</v>
      </c>
      <c r="B146" s="173" t="s">
        <v>14</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15</v>
      </c>
      <c r="B147" s="277">
        <f>B152</f>
        <v>0.02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16</v>
      </c>
      <c r="B148" s="173" t="s">
        <v>17</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18</v>
      </c>
      <c r="B149" s="173" t="s">
        <v>206</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19</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20</v>
      </c>
      <c r="B151" s="175" t="s">
        <v>21</v>
      </c>
      <c r="C151" s="175" t="s">
        <v>18</v>
      </c>
      <c r="D151" s="175" t="s">
        <v>22</v>
      </c>
      <c r="E151" s="175" t="s">
        <v>7</v>
      </c>
      <c r="F151" s="175" t="s">
        <v>13</v>
      </c>
      <c r="G151" s="175" t="s">
        <v>16</v>
      </c>
      <c r="H151" s="175" t="s">
        <v>23</v>
      </c>
      <c r="I151" s="175" t="s">
        <v>24</v>
      </c>
      <c r="J151" s="175" t="s">
        <v>25</v>
      </c>
      <c r="K151" s="175" t="s">
        <v>26</v>
      </c>
      <c r="L151" s="175" t="s">
        <v>27</v>
      </c>
      <c r="M151" s="175" t="s">
        <v>28</v>
      </c>
      <c r="N151" s="175" t="s">
        <v>11</v>
      </c>
      <c r="O151" s="173"/>
      <c r="P151" s="173"/>
      <c r="Q151" s="173"/>
      <c r="R151" s="173"/>
      <c r="S151" s="173"/>
      <c r="T151" s="173"/>
      <c r="U151" s="173"/>
    </row>
    <row r="152" spans="1:21">
      <c r="A152" s="271" t="s">
        <v>1592</v>
      </c>
      <c r="B152" s="380">
        <f>B154</f>
        <v>0.02</v>
      </c>
      <c r="C152" s="173" t="s">
        <v>206</v>
      </c>
      <c r="D152" s="258" t="s">
        <v>2</v>
      </c>
      <c r="E152" s="173" t="s">
        <v>29</v>
      </c>
      <c r="F152" s="185" t="s">
        <v>14</v>
      </c>
      <c r="G152" s="173" t="s">
        <v>30</v>
      </c>
      <c r="H152" s="173">
        <v>1</v>
      </c>
      <c r="I152" s="265">
        <f>B152</f>
        <v>0.02</v>
      </c>
      <c r="J152" s="173" t="s">
        <v>31</v>
      </c>
      <c r="K152" s="173" t="s">
        <v>31</v>
      </c>
      <c r="L152" s="173" t="s">
        <v>31</v>
      </c>
      <c r="M152" s="173" t="s">
        <v>31</v>
      </c>
      <c r="N152" s="173"/>
      <c r="O152" s="350" t="s">
        <v>945</v>
      </c>
      <c r="P152" s="380"/>
      <c r="Q152" s="173"/>
      <c r="R152" s="173"/>
      <c r="S152" s="173"/>
      <c r="T152" s="173"/>
      <c r="U152" s="173"/>
    </row>
    <row r="153" spans="1:21">
      <c r="A153" s="173" t="s">
        <v>1594</v>
      </c>
      <c r="B153" s="380">
        <f>B233</f>
        <v>6.0000000000000001E-3</v>
      </c>
      <c r="C153" s="173" t="s">
        <v>206</v>
      </c>
      <c r="D153" s="258" t="s">
        <v>2</v>
      </c>
      <c r="E153" s="173" t="s">
        <v>29</v>
      </c>
      <c r="F153" s="185" t="s">
        <v>14</v>
      </c>
      <c r="G153" s="173" t="s">
        <v>33</v>
      </c>
      <c r="H153" s="173">
        <v>1</v>
      </c>
      <c r="I153" s="265">
        <f>B153</f>
        <v>6.0000000000000001E-3</v>
      </c>
      <c r="J153" s="173" t="s">
        <v>31</v>
      </c>
      <c r="K153" s="173" t="s">
        <v>31</v>
      </c>
      <c r="L153" s="173" t="s">
        <v>31</v>
      </c>
      <c r="M153" s="173" t="s">
        <v>31</v>
      </c>
      <c r="N153" s="173"/>
      <c r="O153" s="350" t="s">
        <v>963</v>
      </c>
      <c r="P153" s="381"/>
      <c r="Q153" s="173"/>
      <c r="R153" s="173"/>
      <c r="S153" s="173"/>
      <c r="T153" s="173"/>
      <c r="U153" s="173"/>
    </row>
    <row r="154" spans="1:21">
      <c r="A154" s="173" t="s">
        <v>1595</v>
      </c>
      <c r="B154" s="380">
        <f>B162</f>
        <v>0.02</v>
      </c>
      <c r="C154" s="173" t="s">
        <v>206</v>
      </c>
      <c r="D154" s="258" t="s">
        <v>2</v>
      </c>
      <c r="E154" s="173" t="s">
        <v>29</v>
      </c>
      <c r="F154" s="185" t="s">
        <v>14</v>
      </c>
      <c r="G154" s="173" t="s">
        <v>33</v>
      </c>
      <c r="H154" s="173">
        <v>1</v>
      </c>
      <c r="I154" s="265">
        <f>B154</f>
        <v>0.02</v>
      </c>
      <c r="J154" s="173" t="s">
        <v>31</v>
      </c>
      <c r="K154" s="173" t="s">
        <v>31</v>
      </c>
      <c r="L154" s="173" t="s">
        <v>31</v>
      </c>
      <c r="M154" s="173" t="s">
        <v>31</v>
      </c>
      <c r="N154" s="173"/>
      <c r="O154" s="241" t="s">
        <v>963</v>
      </c>
      <c r="P154" s="382"/>
      <c r="Q154" s="173"/>
      <c r="R154" s="173"/>
      <c r="S154" s="173"/>
      <c r="T154" s="173"/>
      <c r="U154" s="173"/>
    </row>
    <row r="155" spans="1:21">
      <c r="A155" s="177" t="s">
        <v>168</v>
      </c>
      <c r="B155" s="303">
        <f t="shared" ref="B155:B156" si="7">P155</f>
        <v>0.47</v>
      </c>
      <c r="C155" s="173" t="s">
        <v>41</v>
      </c>
      <c r="D155" s="173" t="s">
        <v>38</v>
      </c>
      <c r="E155" s="173" t="s">
        <v>29</v>
      </c>
      <c r="F155" s="185" t="s">
        <v>35</v>
      </c>
      <c r="G155" s="173" t="s">
        <v>33</v>
      </c>
      <c r="H155" s="173">
        <v>2</v>
      </c>
      <c r="I155" s="173">
        <f t="shared" ref="I155:I156" si="8">LN(B155)</f>
        <v>-0.75502258427803282</v>
      </c>
      <c r="J155" s="173">
        <v>9.7082439194738052E-2</v>
      </c>
      <c r="K155" s="173" t="s">
        <v>31</v>
      </c>
      <c r="L155" s="173" t="s">
        <v>31</v>
      </c>
      <c r="M155" s="173" t="s">
        <v>31</v>
      </c>
      <c r="N155" s="173"/>
      <c r="O155" s="242" t="s">
        <v>332</v>
      </c>
      <c r="P155" s="296">
        <v>0.47</v>
      </c>
      <c r="Q155" s="173" t="s">
        <v>332</v>
      </c>
      <c r="R155" s="184">
        <f>P155</f>
        <v>0.47</v>
      </c>
      <c r="S155" s="173"/>
      <c r="T155" s="173"/>
      <c r="U155" s="173"/>
    </row>
    <row r="156" spans="1:21">
      <c r="A156" s="177" t="s">
        <v>934</v>
      </c>
      <c r="B156" s="303">
        <f t="shared" si="7"/>
        <v>1.2</v>
      </c>
      <c r="C156" s="173" t="s">
        <v>37</v>
      </c>
      <c r="D156" s="173" t="s">
        <v>38</v>
      </c>
      <c r="E156" s="173" t="s">
        <v>29</v>
      </c>
      <c r="F156" s="185" t="s">
        <v>35</v>
      </c>
      <c r="G156" s="173" t="s">
        <v>33</v>
      </c>
      <c r="H156" s="173">
        <v>2</v>
      </c>
      <c r="I156" s="173">
        <f t="shared" si="8"/>
        <v>0.18232155679395459</v>
      </c>
      <c r="J156" s="173">
        <v>9.7082439194738052E-2</v>
      </c>
      <c r="K156" s="173" t="s">
        <v>31</v>
      </c>
      <c r="L156" s="173" t="s">
        <v>31</v>
      </c>
      <c r="M156" s="173" t="s">
        <v>31</v>
      </c>
      <c r="N156" s="173"/>
      <c r="O156" s="242" t="s">
        <v>337</v>
      </c>
      <c r="P156" s="296">
        <v>1.2</v>
      </c>
      <c r="Q156" s="173"/>
      <c r="R156" s="173"/>
      <c r="S156" s="173"/>
      <c r="T156" s="173"/>
      <c r="U156" s="173"/>
    </row>
    <row r="157" spans="1:21" s="42" customFormat="1">
      <c r="A157" s="209" t="s">
        <v>5</v>
      </c>
      <c r="B157" s="210" t="s">
        <v>1595</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7</v>
      </c>
      <c r="B158" s="173" t="s">
        <v>566</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9</v>
      </c>
      <c r="B159" s="173" t="s">
        <v>1596</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11</v>
      </c>
      <c r="B160" s="179" t="s">
        <v>913</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13</v>
      </c>
      <c r="B161" s="173" t="s">
        <v>14</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15</v>
      </c>
      <c r="B162" s="358">
        <f>B167</f>
        <v>0.02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16</v>
      </c>
      <c r="B163" s="173" t="s">
        <v>17</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18</v>
      </c>
      <c r="B164" s="173" t="s">
        <v>206</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19</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20</v>
      </c>
      <c r="B166" s="175" t="s">
        <v>21</v>
      </c>
      <c r="C166" s="175" t="s">
        <v>18</v>
      </c>
      <c r="D166" s="175" t="s">
        <v>22</v>
      </c>
      <c r="E166" s="175" t="s">
        <v>7</v>
      </c>
      <c r="F166" s="175" t="s">
        <v>13</v>
      </c>
      <c r="G166" s="175" t="s">
        <v>16</v>
      </c>
      <c r="H166" s="175" t="s">
        <v>23</v>
      </c>
      <c r="I166" s="175" t="s">
        <v>24</v>
      </c>
      <c r="J166" s="175" t="s">
        <v>25</v>
      </c>
      <c r="K166" s="175" t="s">
        <v>26</v>
      </c>
      <c r="L166" s="175" t="s">
        <v>27</v>
      </c>
      <c r="M166" s="175" t="s">
        <v>28</v>
      </c>
      <c r="N166" s="175" t="s">
        <v>11</v>
      </c>
      <c r="O166" s="173"/>
      <c r="P166" s="173"/>
      <c r="Q166" s="173"/>
      <c r="R166" s="173"/>
      <c r="S166" s="173"/>
      <c r="T166" s="173"/>
      <c r="U166" s="173"/>
    </row>
    <row r="167" spans="1:21">
      <c r="A167" s="173" t="s">
        <v>1595</v>
      </c>
      <c r="B167" s="265">
        <f>P167</f>
        <v>0.02</v>
      </c>
      <c r="C167" s="173" t="s">
        <v>206</v>
      </c>
      <c r="D167" s="258" t="s">
        <v>2</v>
      </c>
      <c r="E167" s="173" t="s">
        <v>29</v>
      </c>
      <c r="F167" s="185" t="s">
        <v>14</v>
      </c>
      <c r="G167" s="173" t="s">
        <v>30</v>
      </c>
      <c r="H167" s="173">
        <v>1</v>
      </c>
      <c r="I167" s="265">
        <f>B167</f>
        <v>0.02</v>
      </c>
      <c r="J167" s="173" t="s">
        <v>31</v>
      </c>
      <c r="K167" s="173" t="s">
        <v>31</v>
      </c>
      <c r="L167" s="173" t="s">
        <v>31</v>
      </c>
      <c r="M167" s="173" t="s">
        <v>31</v>
      </c>
      <c r="N167" s="173"/>
      <c r="O167" s="173"/>
      <c r="P167" s="358">
        <f>P184</f>
        <v>0.02</v>
      </c>
      <c r="Q167" s="173"/>
      <c r="R167" s="173"/>
      <c r="S167" s="173"/>
      <c r="T167" s="173"/>
      <c r="U167" s="173"/>
    </row>
    <row r="168" spans="1:21">
      <c r="A168" s="271" t="s">
        <v>1597</v>
      </c>
      <c r="B168" s="265">
        <f>P168</f>
        <v>0.02</v>
      </c>
      <c r="C168" s="173" t="s">
        <v>206</v>
      </c>
      <c r="D168" s="258" t="s">
        <v>2</v>
      </c>
      <c r="E168" s="173" t="s">
        <v>29</v>
      </c>
      <c r="F168" s="185" t="s">
        <v>14</v>
      </c>
      <c r="G168" s="173" t="s">
        <v>33</v>
      </c>
      <c r="H168" s="173">
        <v>1</v>
      </c>
      <c r="I168" s="265">
        <f>B168</f>
        <v>0.02</v>
      </c>
      <c r="J168" s="173" t="s">
        <v>31</v>
      </c>
      <c r="K168" s="173" t="s">
        <v>31</v>
      </c>
      <c r="L168" s="173" t="s">
        <v>31</v>
      </c>
      <c r="M168" s="173" t="s">
        <v>31</v>
      </c>
      <c r="N168" s="173"/>
      <c r="O168" s="173"/>
      <c r="P168" s="358">
        <f>P185</f>
        <v>0.02</v>
      </c>
      <c r="Q168" s="173"/>
      <c r="R168" s="173"/>
      <c r="S168" s="173"/>
      <c r="T168" s="173"/>
      <c r="U168" s="173"/>
    </row>
    <row r="169" spans="1:21">
      <c r="A169" s="177" t="s">
        <v>168</v>
      </c>
      <c r="B169" s="184">
        <f>R169</f>
        <v>0.05</v>
      </c>
      <c r="C169" s="173" t="s">
        <v>41</v>
      </c>
      <c r="D169" s="173" t="s">
        <v>38</v>
      </c>
      <c r="E169" s="173" t="s">
        <v>29</v>
      </c>
      <c r="F169" s="185" t="s">
        <v>35</v>
      </c>
      <c r="G169" s="173" t="s">
        <v>33</v>
      </c>
      <c r="H169" s="173">
        <v>2</v>
      </c>
      <c r="I169" s="173">
        <f t="shared" ref="I169:I173" si="9">LN(B169)</f>
        <v>-2.9957322735539909</v>
      </c>
      <c r="J169" s="173">
        <v>0.20928449536456342</v>
      </c>
      <c r="K169" s="173" t="s">
        <v>31</v>
      </c>
      <c r="L169" s="173" t="s">
        <v>31</v>
      </c>
      <c r="M169" s="173" t="s">
        <v>31</v>
      </c>
      <c r="N169" s="173"/>
      <c r="O169" s="222" t="s">
        <v>332</v>
      </c>
      <c r="P169" s="264">
        <v>0.05</v>
      </c>
      <c r="Q169" s="173" t="s">
        <v>332</v>
      </c>
      <c r="R169" s="184">
        <f>P169</f>
        <v>0.05</v>
      </c>
      <c r="S169" s="173"/>
      <c r="T169" s="173"/>
      <c r="U169" s="173"/>
    </row>
    <row r="170" spans="1:21">
      <c r="A170" s="232" t="s">
        <v>931</v>
      </c>
      <c r="B170" s="173">
        <f>R170</f>
        <v>1.6999999999999999E-3</v>
      </c>
      <c r="C170" s="173" t="s">
        <v>37</v>
      </c>
      <c r="D170" s="173" t="s">
        <v>38</v>
      </c>
      <c r="E170" s="173" t="s">
        <v>29</v>
      </c>
      <c r="F170" s="185" t="s">
        <v>35</v>
      </c>
      <c r="G170" s="173" t="s">
        <v>33</v>
      </c>
      <c r="H170" s="173">
        <v>2</v>
      </c>
      <c r="I170" s="173">
        <f t="shared" si="9"/>
        <v>-6.3771270279199666</v>
      </c>
      <c r="J170" s="173">
        <v>0.20928449536456342</v>
      </c>
      <c r="K170" s="173" t="s">
        <v>31</v>
      </c>
      <c r="L170" s="173" t="s">
        <v>31</v>
      </c>
      <c r="M170" s="173" t="s">
        <v>31</v>
      </c>
      <c r="N170" s="173"/>
      <c r="O170" s="242" t="s">
        <v>947</v>
      </c>
      <c r="P170" s="264">
        <v>1.7</v>
      </c>
      <c r="Q170" s="173" t="s">
        <v>337</v>
      </c>
      <c r="R170" s="173">
        <f>0.001*P170</f>
        <v>1.6999999999999999E-3</v>
      </c>
      <c r="S170" s="173"/>
      <c r="T170" s="173"/>
      <c r="U170" s="173"/>
    </row>
    <row r="171" spans="1:21">
      <c r="A171" s="232" t="s">
        <v>932</v>
      </c>
      <c r="B171" s="173">
        <f>R171</f>
        <v>2.9999999999999997E-4</v>
      </c>
      <c r="C171" s="173" t="s">
        <v>37</v>
      </c>
      <c r="D171" s="173" t="s">
        <v>38</v>
      </c>
      <c r="E171" s="173" t="s">
        <v>29</v>
      </c>
      <c r="F171" s="185" t="s">
        <v>60</v>
      </c>
      <c r="G171" s="173" t="s">
        <v>33</v>
      </c>
      <c r="H171" s="173">
        <v>2</v>
      </c>
      <c r="I171" s="173">
        <f t="shared" si="9"/>
        <v>-8.1117280833080727</v>
      </c>
      <c r="J171" s="173">
        <v>0.20928449536456342</v>
      </c>
      <c r="K171" s="173" t="s">
        <v>31</v>
      </c>
      <c r="L171" s="173" t="s">
        <v>31</v>
      </c>
      <c r="M171" s="173" t="s">
        <v>31</v>
      </c>
      <c r="N171" s="173"/>
      <c r="O171" s="242" t="s">
        <v>947</v>
      </c>
      <c r="P171" s="264">
        <v>0.3</v>
      </c>
      <c r="Q171" s="173" t="s">
        <v>337</v>
      </c>
      <c r="R171" s="173">
        <f t="shared" ref="R171:R173" si="10">0.001*P171</f>
        <v>2.9999999999999997E-4</v>
      </c>
      <c r="S171" s="173"/>
      <c r="T171" s="173"/>
      <c r="U171" s="173"/>
    </row>
    <row r="172" spans="1:21">
      <c r="A172" s="177" t="s">
        <v>933</v>
      </c>
      <c r="B172" s="173">
        <f>R172</f>
        <v>8.0999999999999996E-3</v>
      </c>
      <c r="C172" s="173" t="s">
        <v>37</v>
      </c>
      <c r="D172" s="173" t="s">
        <v>38</v>
      </c>
      <c r="E172" s="173" t="s">
        <v>29</v>
      </c>
      <c r="F172" s="185" t="s">
        <v>39</v>
      </c>
      <c r="G172" s="173" t="s">
        <v>33</v>
      </c>
      <c r="H172" s="173">
        <v>2</v>
      </c>
      <c r="I172" s="173">
        <f t="shared" si="9"/>
        <v>-4.8158912173037436</v>
      </c>
      <c r="J172" s="173">
        <v>0.20928449536456342</v>
      </c>
      <c r="K172" s="173" t="s">
        <v>31</v>
      </c>
      <c r="L172" s="173" t="s">
        <v>31</v>
      </c>
      <c r="M172" s="173" t="s">
        <v>31</v>
      </c>
      <c r="N172" s="173"/>
      <c r="O172" s="242" t="s">
        <v>947</v>
      </c>
      <c r="P172" s="264">
        <v>8.1</v>
      </c>
      <c r="Q172" s="173" t="s">
        <v>337</v>
      </c>
      <c r="R172" s="173">
        <f t="shared" si="10"/>
        <v>8.0999999999999996E-3</v>
      </c>
      <c r="S172" s="173"/>
      <c r="T172" s="173"/>
      <c r="U172" s="173"/>
    </row>
    <row r="173" spans="1:21">
      <c r="A173" s="173" t="s">
        <v>1285</v>
      </c>
      <c r="B173" s="173">
        <f>R173</f>
        <v>1.9E-3</v>
      </c>
      <c r="C173" s="173" t="s">
        <v>37</v>
      </c>
      <c r="D173" s="258" t="s">
        <v>2</v>
      </c>
      <c r="E173" s="173" t="s">
        <v>29</v>
      </c>
      <c r="F173" s="185" t="s">
        <v>39</v>
      </c>
      <c r="G173" s="173" t="s">
        <v>33</v>
      </c>
      <c r="H173" s="173">
        <v>2</v>
      </c>
      <c r="I173" s="173">
        <f t="shared" si="9"/>
        <v>-6.2659013928097425</v>
      </c>
      <c r="J173" s="173">
        <v>0.20928449536456342</v>
      </c>
      <c r="K173" s="173" t="s">
        <v>31</v>
      </c>
      <c r="L173" s="173" t="s">
        <v>31</v>
      </c>
      <c r="M173" s="173" t="s">
        <v>31</v>
      </c>
      <c r="N173" s="173"/>
      <c r="O173" s="305" t="s">
        <v>947</v>
      </c>
      <c r="P173" s="269">
        <v>1.9</v>
      </c>
      <c r="Q173" s="173" t="s">
        <v>337</v>
      </c>
      <c r="R173" s="173">
        <f t="shared" si="10"/>
        <v>1.9E-3</v>
      </c>
      <c r="S173" s="173"/>
      <c r="T173" s="173"/>
      <c r="U173" s="173"/>
    </row>
    <row r="174" spans="1:21" s="42" customFormat="1">
      <c r="A174" s="209" t="s">
        <v>5</v>
      </c>
      <c r="B174" s="210" t="s">
        <v>1597</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7</v>
      </c>
      <c r="B175" s="173" t="s">
        <v>566</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9</v>
      </c>
      <c r="B176" s="173" t="s">
        <v>1598</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11</v>
      </c>
      <c r="B177" s="179" t="s">
        <v>913</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13</v>
      </c>
      <c r="B178" s="173" t="s">
        <v>14</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15</v>
      </c>
      <c r="B179" s="277">
        <f>B184</f>
        <v>0.02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16</v>
      </c>
      <c r="B180" s="173" t="s">
        <v>17</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18</v>
      </c>
      <c r="B181" s="173" t="s">
        <v>206</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19</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20</v>
      </c>
      <c r="B183" s="175" t="s">
        <v>21</v>
      </c>
      <c r="C183" s="175" t="s">
        <v>18</v>
      </c>
      <c r="D183" s="175" t="s">
        <v>22</v>
      </c>
      <c r="E183" s="175" t="s">
        <v>7</v>
      </c>
      <c r="F183" s="175" t="s">
        <v>13</v>
      </c>
      <c r="G183" s="175" t="s">
        <v>16</v>
      </c>
      <c r="H183" s="175" t="s">
        <v>23</v>
      </c>
      <c r="I183" s="175" t="s">
        <v>24</v>
      </c>
      <c r="J183" s="175" t="s">
        <v>25</v>
      </c>
      <c r="K183" s="175" t="s">
        <v>26</v>
      </c>
      <c r="L183" s="175" t="s">
        <v>27</v>
      </c>
      <c r="M183" s="175" t="s">
        <v>28</v>
      </c>
      <c r="N183" s="175" t="s">
        <v>11</v>
      </c>
      <c r="O183" s="173"/>
      <c r="P183" s="173"/>
      <c r="Q183" s="173"/>
      <c r="R183" s="173"/>
      <c r="S183" s="173"/>
      <c r="T183" s="173"/>
      <c r="U183" s="173"/>
    </row>
    <row r="184" spans="1:21">
      <c r="A184" s="271" t="s">
        <v>1597</v>
      </c>
      <c r="B184" s="265">
        <f>P184</f>
        <v>0.02</v>
      </c>
      <c r="C184" s="173" t="s">
        <v>206</v>
      </c>
      <c r="D184" s="258" t="s">
        <v>2</v>
      </c>
      <c r="E184" s="173" t="s">
        <v>29</v>
      </c>
      <c r="F184" s="185" t="s">
        <v>14</v>
      </c>
      <c r="G184" s="173" t="s">
        <v>30</v>
      </c>
      <c r="H184" s="173">
        <v>1</v>
      </c>
      <c r="I184" s="265">
        <f>B184</f>
        <v>0.02</v>
      </c>
      <c r="J184" s="173" t="s">
        <v>31</v>
      </c>
      <c r="K184" s="173" t="s">
        <v>31</v>
      </c>
      <c r="L184" s="173" t="s">
        <v>31</v>
      </c>
      <c r="M184" s="173" t="s">
        <v>31</v>
      </c>
      <c r="N184" s="173"/>
      <c r="O184" s="173"/>
      <c r="P184" s="358">
        <v>0.02</v>
      </c>
      <c r="Q184" s="173"/>
      <c r="R184" s="173"/>
      <c r="S184" s="173"/>
      <c r="T184" s="173"/>
      <c r="U184" s="173"/>
    </row>
    <row r="185" spans="1:21">
      <c r="A185" s="173" t="s">
        <v>1599</v>
      </c>
      <c r="B185" s="265">
        <f>P185</f>
        <v>0.02</v>
      </c>
      <c r="C185" s="173" t="s">
        <v>206</v>
      </c>
      <c r="D185" s="258" t="s">
        <v>2</v>
      </c>
      <c r="E185" s="173" t="s">
        <v>29</v>
      </c>
      <c r="F185" s="185" t="s">
        <v>14</v>
      </c>
      <c r="G185" s="173" t="s">
        <v>33</v>
      </c>
      <c r="H185" s="173">
        <v>1</v>
      </c>
      <c r="I185" s="265">
        <f>B185</f>
        <v>0.02</v>
      </c>
      <c r="J185" s="173" t="s">
        <v>31</v>
      </c>
      <c r="K185" s="173" t="s">
        <v>31</v>
      </c>
      <c r="L185" s="173" t="s">
        <v>31</v>
      </c>
      <c r="M185" s="173" t="s">
        <v>31</v>
      </c>
      <c r="N185" s="173"/>
      <c r="O185" s="173"/>
      <c r="P185" s="358">
        <v>0.02</v>
      </c>
      <c r="Q185" s="173"/>
      <c r="R185" s="173"/>
      <c r="S185" s="173"/>
      <c r="T185" s="173"/>
      <c r="U185" s="173"/>
    </row>
    <row r="186" spans="1:21">
      <c r="A186" s="177" t="s">
        <v>168</v>
      </c>
      <c r="B186" s="184">
        <f>P186</f>
        <v>1.1499999999999999</v>
      </c>
      <c r="C186" s="173" t="s">
        <v>41</v>
      </c>
      <c r="D186" s="173" t="s">
        <v>38</v>
      </c>
      <c r="E186" s="173" t="s">
        <v>29</v>
      </c>
      <c r="F186" s="185" t="s">
        <v>35</v>
      </c>
      <c r="G186" s="173" t="s">
        <v>33</v>
      </c>
      <c r="H186" s="173">
        <v>2</v>
      </c>
      <c r="I186" s="173">
        <f t="shared" ref="I186:I187" si="11">LN(B186)</f>
        <v>0.13976194237515863</v>
      </c>
      <c r="J186" s="173">
        <v>0.20928449536456342</v>
      </c>
      <c r="K186" s="173" t="s">
        <v>31</v>
      </c>
      <c r="L186" s="173" t="s">
        <v>31</v>
      </c>
      <c r="M186" s="173" t="s">
        <v>31</v>
      </c>
      <c r="N186" s="173"/>
      <c r="O186" s="242" t="s">
        <v>332</v>
      </c>
      <c r="P186" s="264">
        <f>0.79+0.36</f>
        <v>1.1499999999999999</v>
      </c>
      <c r="Q186" s="173"/>
      <c r="R186" s="173"/>
      <c r="S186" s="173"/>
      <c r="T186" s="173"/>
      <c r="U186" s="173"/>
    </row>
    <row r="187" spans="1:21">
      <c r="A187" s="177" t="s">
        <v>933</v>
      </c>
      <c r="B187" s="173">
        <f>R187</f>
        <v>2.3E-3</v>
      </c>
      <c r="C187" s="173" t="s">
        <v>37</v>
      </c>
      <c r="D187" s="173" t="s">
        <v>38</v>
      </c>
      <c r="E187" s="173" t="s">
        <v>29</v>
      </c>
      <c r="F187" s="185" t="s">
        <v>39</v>
      </c>
      <c r="G187" s="173" t="s">
        <v>33</v>
      </c>
      <c r="H187" s="173">
        <v>2</v>
      </c>
      <c r="I187" s="173">
        <f t="shared" si="11"/>
        <v>-6.074846156047033</v>
      </c>
      <c r="J187" s="173">
        <v>0.20928449536456342</v>
      </c>
      <c r="K187" s="173" t="s">
        <v>31</v>
      </c>
      <c r="L187" s="173" t="s">
        <v>31</v>
      </c>
      <c r="M187" s="173" t="s">
        <v>31</v>
      </c>
      <c r="N187" s="173"/>
      <c r="O187" s="242" t="s">
        <v>947</v>
      </c>
      <c r="P187" s="296">
        <v>2.2999999999999998</v>
      </c>
      <c r="Q187" s="173" t="s">
        <v>337</v>
      </c>
      <c r="R187" s="173">
        <f>P187*0.001</f>
        <v>2.3E-3</v>
      </c>
      <c r="S187" s="173"/>
      <c r="T187" s="173"/>
      <c r="U187" s="173"/>
    </row>
    <row r="188" spans="1:21">
      <c r="A188" s="232" t="s">
        <v>1078</v>
      </c>
      <c r="B188" s="173">
        <f>R188</f>
        <v>2.8E-3</v>
      </c>
      <c r="C188" s="173" t="s">
        <v>37</v>
      </c>
      <c r="D188" s="173" t="s">
        <v>38</v>
      </c>
      <c r="E188" s="173" t="s">
        <v>29</v>
      </c>
      <c r="F188" s="173" t="s">
        <v>35</v>
      </c>
      <c r="G188" s="173" t="s">
        <v>33</v>
      </c>
      <c r="H188" s="173">
        <v>2</v>
      </c>
      <c r="I188" s="173">
        <f>LN(B188)</f>
        <v>-5.8781358618009785</v>
      </c>
      <c r="J188" s="173">
        <v>0.20928449536456342</v>
      </c>
      <c r="K188" s="173" t="s">
        <v>31</v>
      </c>
      <c r="L188" s="173" t="s">
        <v>31</v>
      </c>
      <c r="M188" s="173" t="s">
        <v>31</v>
      </c>
      <c r="N188" s="173"/>
      <c r="O188" s="242" t="s">
        <v>947</v>
      </c>
      <c r="P188" s="296">
        <v>2.8</v>
      </c>
      <c r="Q188" s="173" t="s">
        <v>337</v>
      </c>
      <c r="R188" s="173">
        <f>P188*0.001</f>
        <v>2.8E-3</v>
      </c>
      <c r="S188" s="173"/>
      <c r="T188" s="173"/>
      <c r="U188" s="173"/>
    </row>
    <row r="189" spans="1:21">
      <c r="A189" s="173" t="s">
        <v>1285</v>
      </c>
      <c r="B189" s="173">
        <f>R189</f>
        <v>2.8E-3</v>
      </c>
      <c r="C189" s="173" t="s">
        <v>37</v>
      </c>
      <c r="D189" s="258" t="s">
        <v>2</v>
      </c>
      <c r="E189" s="173" t="s">
        <v>29</v>
      </c>
      <c r="F189" s="185" t="s">
        <v>39</v>
      </c>
      <c r="G189" s="173" t="s">
        <v>33</v>
      </c>
      <c r="H189" s="173">
        <v>2</v>
      </c>
      <c r="I189" s="173">
        <f t="shared" ref="I189" si="12">LN(B189)</f>
        <v>-5.8781358618009785</v>
      </c>
      <c r="J189" s="173">
        <v>0.20928449536456342</v>
      </c>
      <c r="K189" s="173" t="s">
        <v>31</v>
      </c>
      <c r="L189" s="173" t="s">
        <v>31</v>
      </c>
      <c r="M189" s="173" t="s">
        <v>31</v>
      </c>
      <c r="N189" s="173"/>
      <c r="O189" s="305" t="s">
        <v>947</v>
      </c>
      <c r="P189" s="306">
        <v>2.8</v>
      </c>
      <c r="Q189" s="173" t="s">
        <v>337</v>
      </c>
      <c r="R189" s="173">
        <f t="shared" ref="R189" si="13">0.001*P189</f>
        <v>2.8E-3</v>
      </c>
      <c r="S189" s="173"/>
      <c r="T189" s="173"/>
      <c r="U189" s="173"/>
    </row>
    <row r="190" spans="1:21" s="42" customFormat="1">
      <c r="A190" s="209" t="s">
        <v>5</v>
      </c>
      <c r="B190" s="210" t="s">
        <v>1599</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7</v>
      </c>
      <c r="B191" s="173" t="s">
        <v>566</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9</v>
      </c>
      <c r="B192" s="173" t="s">
        <v>1600</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11</v>
      </c>
      <c r="B193" s="179" t="s">
        <v>913</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13</v>
      </c>
      <c r="B194" s="173" t="s">
        <v>14</v>
      </c>
      <c r="C194" s="173"/>
      <c r="D194" s="173"/>
      <c r="E194" s="173"/>
      <c r="F194" s="173"/>
      <c r="G194" s="173"/>
      <c r="H194" s="173"/>
      <c r="I194" s="173"/>
      <c r="J194" s="173"/>
      <c r="K194" s="173"/>
      <c r="L194" s="173"/>
      <c r="M194" s="173"/>
      <c r="N194" s="173"/>
      <c r="O194" s="173"/>
      <c r="P194" s="173"/>
      <c r="Q194" s="175" t="s">
        <v>1023</v>
      </c>
      <c r="R194" s="173"/>
      <c r="S194" s="173"/>
      <c r="T194" s="173"/>
      <c r="U194" s="173"/>
    </row>
    <row r="195" spans="1:21">
      <c r="A195" s="177" t="s">
        <v>15</v>
      </c>
      <c r="B195" s="277">
        <f>B200</f>
        <v>0.34</v>
      </c>
      <c r="C195" s="173"/>
      <c r="D195" s="173"/>
      <c r="E195" s="173"/>
      <c r="F195" s="173"/>
      <c r="G195" s="173"/>
      <c r="H195" s="173"/>
      <c r="I195" s="173"/>
      <c r="J195" s="173"/>
      <c r="K195" s="173"/>
      <c r="L195" s="173"/>
      <c r="M195" s="173"/>
      <c r="N195" s="173"/>
      <c r="O195" s="173"/>
      <c r="P195" s="173"/>
      <c r="Q195" s="173" t="s">
        <v>1024</v>
      </c>
      <c r="R195" s="173">
        <v>8900</v>
      </c>
      <c r="S195" s="173" t="s">
        <v>1025</v>
      </c>
      <c r="T195" s="173"/>
      <c r="U195" s="173"/>
    </row>
    <row r="196" spans="1:21">
      <c r="A196" s="177" t="s">
        <v>16</v>
      </c>
      <c r="B196" s="173" t="s">
        <v>17</v>
      </c>
      <c r="C196" s="173"/>
      <c r="D196" s="173"/>
      <c r="E196" s="173"/>
      <c r="F196" s="173"/>
      <c r="G196" s="173"/>
      <c r="H196" s="173"/>
      <c r="I196" s="173"/>
      <c r="J196" s="173"/>
      <c r="K196" s="173"/>
      <c r="L196" s="173"/>
      <c r="M196" s="173"/>
      <c r="N196" s="173"/>
      <c r="O196" s="173"/>
      <c r="P196" s="173"/>
      <c r="Q196" s="173" t="s">
        <v>1026</v>
      </c>
      <c r="R196" s="173">
        <f>5*10^-6</f>
        <v>4.9999999999999996E-6</v>
      </c>
      <c r="S196" s="173" t="s">
        <v>1027</v>
      </c>
      <c r="T196" s="173"/>
      <c r="U196" s="173"/>
    </row>
    <row r="197" spans="1:21">
      <c r="A197" s="177" t="s">
        <v>18</v>
      </c>
      <c r="B197" s="173" t="s">
        <v>206</v>
      </c>
      <c r="C197" s="173"/>
      <c r="D197" s="173"/>
      <c r="E197" s="173"/>
      <c r="F197" s="173"/>
      <c r="G197" s="173"/>
      <c r="H197" s="173"/>
      <c r="I197" s="173"/>
      <c r="J197" s="173"/>
      <c r="K197" s="173"/>
      <c r="L197" s="173"/>
      <c r="M197" s="173"/>
      <c r="N197" s="173"/>
      <c r="O197" s="173"/>
      <c r="P197" s="173"/>
      <c r="Q197" s="280" t="s">
        <v>1029</v>
      </c>
      <c r="R197" s="281">
        <f>R196*R195</f>
        <v>4.4499999999999998E-2</v>
      </c>
      <c r="S197" s="282" t="s">
        <v>985</v>
      </c>
      <c r="T197" s="173"/>
      <c r="U197" s="173"/>
    </row>
    <row r="198" spans="1:21">
      <c r="A198" s="174" t="s">
        <v>19</v>
      </c>
      <c r="B198" s="173"/>
      <c r="C198" s="173"/>
      <c r="D198" s="173"/>
      <c r="E198" s="173"/>
      <c r="F198" s="173"/>
      <c r="G198" s="173"/>
      <c r="H198" s="173"/>
      <c r="I198" s="173"/>
      <c r="J198" s="173"/>
      <c r="K198" s="173"/>
      <c r="L198" s="173"/>
      <c r="M198" s="173"/>
      <c r="N198" s="173"/>
      <c r="O198" s="173"/>
      <c r="P198" s="173"/>
      <c r="Q198" s="173"/>
      <c r="R198" s="173"/>
      <c r="S198" s="173"/>
      <c r="T198" s="173"/>
      <c r="U198" s="173"/>
    </row>
    <row r="199" spans="1:21">
      <c r="A199" s="175" t="s">
        <v>20</v>
      </c>
      <c r="B199" s="175" t="s">
        <v>21</v>
      </c>
      <c r="C199" s="175" t="s">
        <v>18</v>
      </c>
      <c r="D199" s="175" t="s">
        <v>22</v>
      </c>
      <c r="E199" s="175" t="s">
        <v>7</v>
      </c>
      <c r="F199" s="175" t="s">
        <v>13</v>
      </c>
      <c r="G199" s="175" t="s">
        <v>16</v>
      </c>
      <c r="H199" s="175" t="s">
        <v>23</v>
      </c>
      <c r="I199" s="175" t="s">
        <v>24</v>
      </c>
      <c r="J199" s="175" t="s">
        <v>25</v>
      </c>
      <c r="K199" s="175" t="s">
        <v>26</v>
      </c>
      <c r="L199" s="175" t="s">
        <v>27</v>
      </c>
      <c r="M199" s="175" t="s">
        <v>28</v>
      </c>
      <c r="N199" s="175" t="s">
        <v>11</v>
      </c>
      <c r="O199" s="173"/>
      <c r="P199" s="173"/>
      <c r="Q199" s="173" t="s">
        <v>1032</v>
      </c>
      <c r="R199" s="173"/>
      <c r="S199" s="173"/>
      <c r="T199" s="260"/>
      <c r="U199" s="173"/>
    </row>
    <row r="200" spans="1:21">
      <c r="A200" s="173" t="s">
        <v>1599</v>
      </c>
      <c r="B200" s="370">
        <v>0.34</v>
      </c>
      <c r="C200" s="173" t="s">
        <v>206</v>
      </c>
      <c r="D200" s="258" t="s">
        <v>2</v>
      </c>
      <c r="E200" s="173" t="s">
        <v>29</v>
      </c>
      <c r="F200" s="173" t="s">
        <v>14</v>
      </c>
      <c r="G200" s="173" t="s">
        <v>30</v>
      </c>
      <c r="H200" s="173">
        <v>1</v>
      </c>
      <c r="I200" s="265">
        <f>B200</f>
        <v>0.34</v>
      </c>
      <c r="J200" s="173" t="s">
        <v>31</v>
      </c>
      <c r="K200" s="173" t="s">
        <v>31</v>
      </c>
      <c r="L200" s="173" t="s">
        <v>31</v>
      </c>
      <c r="M200" s="173" t="s">
        <v>31</v>
      </c>
      <c r="N200" s="173"/>
      <c r="O200" s="271"/>
      <c r="P200" s="272"/>
      <c r="Q200" s="284">
        <v>0.38</v>
      </c>
      <c r="R200" s="285" t="s">
        <v>945</v>
      </c>
      <c r="S200" s="284">
        <f>Q200*R197</f>
        <v>1.6909999999999998E-2</v>
      </c>
      <c r="T200" s="285" t="s">
        <v>337</v>
      </c>
      <c r="U200" s="173"/>
    </row>
    <row r="201" spans="1:21">
      <c r="A201" s="173" t="s">
        <v>1601</v>
      </c>
      <c r="B201" s="370">
        <v>0.34</v>
      </c>
      <c r="C201" s="173" t="s">
        <v>206</v>
      </c>
      <c r="D201" s="258" t="s">
        <v>2</v>
      </c>
      <c r="E201" s="173" t="s">
        <v>29</v>
      </c>
      <c r="F201" s="173" t="s">
        <v>14</v>
      </c>
      <c r="G201" s="173" t="s">
        <v>33</v>
      </c>
      <c r="H201" s="173">
        <v>1</v>
      </c>
      <c r="I201" s="265">
        <f>B201</f>
        <v>0.34</v>
      </c>
      <c r="J201" s="173">
        <v>7.2284161474004766E-2</v>
      </c>
      <c r="K201" s="173" t="s">
        <v>31</v>
      </c>
      <c r="L201" s="173" t="s">
        <v>31</v>
      </c>
      <c r="M201" s="173" t="s">
        <v>31</v>
      </c>
      <c r="N201" s="173"/>
      <c r="O201" s="271"/>
      <c r="P201" s="272"/>
      <c r="Q201" s="173"/>
      <c r="R201" s="173"/>
      <c r="S201" s="173"/>
      <c r="T201" s="173"/>
      <c r="U201" s="173"/>
    </row>
    <row r="202" spans="1:21">
      <c r="A202" s="271" t="s">
        <v>1556</v>
      </c>
      <c r="B202" s="270">
        <f>S200</f>
        <v>1.6909999999999998E-2</v>
      </c>
      <c r="C202" s="173" t="s">
        <v>37</v>
      </c>
      <c r="D202" s="258" t="s">
        <v>2</v>
      </c>
      <c r="E202" s="173" t="s">
        <v>29</v>
      </c>
      <c r="F202" s="185" t="s">
        <v>14</v>
      </c>
      <c r="G202" s="173" t="s">
        <v>33</v>
      </c>
      <c r="H202" s="173">
        <v>1</v>
      </c>
      <c r="I202" s="265">
        <f>B202</f>
        <v>1.6909999999999998E-2</v>
      </c>
      <c r="J202" s="173">
        <v>7.2284161474004766E-2</v>
      </c>
      <c r="K202" s="173" t="s">
        <v>31</v>
      </c>
      <c r="L202" s="173" t="s">
        <v>31</v>
      </c>
      <c r="M202" s="173" t="s">
        <v>31</v>
      </c>
      <c r="N202" s="173"/>
      <c r="O202" s="271"/>
      <c r="P202" s="272"/>
      <c r="Q202" s="173"/>
      <c r="R202" s="173"/>
      <c r="S202" s="173"/>
      <c r="T202" s="173"/>
      <c r="U202" s="173"/>
    </row>
    <row r="203" spans="1:21">
      <c r="A203" s="177" t="s">
        <v>933</v>
      </c>
      <c r="B203" s="173">
        <f>P203</f>
        <v>3</v>
      </c>
      <c r="C203" s="173" t="s">
        <v>37</v>
      </c>
      <c r="D203" s="173" t="s">
        <v>38</v>
      </c>
      <c r="E203" s="173" t="s">
        <v>29</v>
      </c>
      <c r="F203" s="185" t="s">
        <v>39</v>
      </c>
      <c r="G203" s="173" t="s">
        <v>33</v>
      </c>
      <c r="H203" s="173">
        <v>2</v>
      </c>
      <c r="I203" s="173">
        <f t="shared" ref="I203" si="14">LN(B203)</f>
        <v>1.0986122886681098</v>
      </c>
      <c r="J203" s="173">
        <v>7.2284161474004766E-2</v>
      </c>
      <c r="K203" s="173" t="s">
        <v>31</v>
      </c>
      <c r="L203" s="173" t="s">
        <v>31</v>
      </c>
      <c r="M203" s="173" t="s">
        <v>31</v>
      </c>
      <c r="N203" s="173"/>
      <c r="O203" s="356" t="s">
        <v>337</v>
      </c>
      <c r="P203" s="296">
        <v>3</v>
      </c>
      <c r="Q203" s="173"/>
      <c r="R203" s="173"/>
      <c r="S203" s="173"/>
      <c r="T203" s="173"/>
      <c r="U203" s="173"/>
    </row>
    <row r="204" spans="1:21">
      <c r="A204" s="232" t="s">
        <v>1021</v>
      </c>
      <c r="B204" s="310">
        <f>R204</f>
        <v>1.9999999999999999E-7</v>
      </c>
      <c r="C204" s="173" t="s">
        <v>37</v>
      </c>
      <c r="D204" s="173" t="s">
        <v>38</v>
      </c>
      <c r="E204" s="173" t="s">
        <v>29</v>
      </c>
      <c r="F204" s="185" t="s">
        <v>60</v>
      </c>
      <c r="G204" s="173" t="s">
        <v>33</v>
      </c>
      <c r="H204" s="173">
        <v>2</v>
      </c>
      <c r="I204" s="173">
        <f>LN(B204)</f>
        <v>-15.424948470398375</v>
      </c>
      <c r="J204" s="173">
        <v>7.2284161474004766E-2</v>
      </c>
      <c r="K204" s="173" t="s">
        <v>31</v>
      </c>
      <c r="L204" s="173" t="s">
        <v>31</v>
      </c>
      <c r="M204" s="173" t="s">
        <v>31</v>
      </c>
      <c r="N204" s="173"/>
      <c r="O204" s="266" t="s">
        <v>952</v>
      </c>
      <c r="P204" s="365">
        <v>0.2</v>
      </c>
      <c r="Q204" s="173" t="s">
        <v>337</v>
      </c>
      <c r="R204" s="173">
        <f>0.000001*P204</f>
        <v>1.9999999999999999E-7</v>
      </c>
      <c r="S204" s="173"/>
      <c r="T204" s="173"/>
      <c r="U204" s="173"/>
    </row>
    <row r="205" spans="1:21">
      <c r="A205" s="232" t="s">
        <v>489</v>
      </c>
      <c r="B205" s="310">
        <f>R205</f>
        <v>3.0000000000000001E-3</v>
      </c>
      <c r="C205" s="173" t="s">
        <v>50</v>
      </c>
      <c r="D205" s="173" t="s">
        <v>38</v>
      </c>
      <c r="E205" s="173" t="s">
        <v>29</v>
      </c>
      <c r="F205" s="185" t="s">
        <v>39</v>
      </c>
      <c r="G205" s="173" t="s">
        <v>33</v>
      </c>
      <c r="H205" s="173">
        <v>2</v>
      </c>
      <c r="I205" s="173">
        <f t="shared" ref="I205" si="15">LN(B205)</f>
        <v>-5.8091429903140277</v>
      </c>
      <c r="J205" s="173">
        <v>7.2284161474004766E-2</v>
      </c>
      <c r="K205" s="173" t="s">
        <v>31</v>
      </c>
      <c r="L205" s="173" t="s">
        <v>31</v>
      </c>
      <c r="M205" s="173" t="s">
        <v>31</v>
      </c>
      <c r="N205" s="173"/>
      <c r="O205" s="268" t="s">
        <v>1009</v>
      </c>
      <c r="P205" s="306">
        <v>3</v>
      </c>
      <c r="Q205" s="173" t="s">
        <v>335</v>
      </c>
      <c r="R205" s="173">
        <f>0.001*P205</f>
        <v>3.0000000000000001E-3</v>
      </c>
      <c r="S205" s="173"/>
      <c r="T205" s="173"/>
      <c r="U205" s="173"/>
    </row>
    <row r="206" spans="1:21" s="42" customFormat="1">
      <c r="A206" s="209" t="s">
        <v>5</v>
      </c>
      <c r="B206" s="210" t="s">
        <v>1601</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7</v>
      </c>
      <c r="B207" s="173" t="s">
        <v>566</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9</v>
      </c>
      <c r="B208" s="173" t="s">
        <v>1602</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11</v>
      </c>
      <c r="B209" s="179" t="s">
        <v>913</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13</v>
      </c>
      <c r="B210" s="173" t="s">
        <v>14</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15</v>
      </c>
      <c r="B211" s="277">
        <f>B216</f>
        <v>0.34</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16</v>
      </c>
      <c r="B212" s="173" t="s">
        <v>17</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18</v>
      </c>
      <c r="B213" s="173" t="s">
        <v>206</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19</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20</v>
      </c>
      <c r="B215" s="175" t="s">
        <v>21</v>
      </c>
      <c r="C215" s="175" t="s">
        <v>18</v>
      </c>
      <c r="D215" s="175" t="s">
        <v>22</v>
      </c>
      <c r="E215" s="175" t="s">
        <v>7</v>
      </c>
      <c r="F215" s="175" t="s">
        <v>13</v>
      </c>
      <c r="G215" s="175" t="s">
        <v>16</v>
      </c>
      <c r="H215" s="175" t="s">
        <v>23</v>
      </c>
      <c r="I215" s="175" t="s">
        <v>24</v>
      </c>
      <c r="J215" s="175" t="s">
        <v>25</v>
      </c>
      <c r="K215" s="175" t="s">
        <v>26</v>
      </c>
      <c r="L215" s="175" t="s">
        <v>27</v>
      </c>
      <c r="M215" s="175" t="s">
        <v>28</v>
      </c>
      <c r="N215" s="175" t="s">
        <v>11</v>
      </c>
      <c r="O215" s="173"/>
      <c r="P215" s="173"/>
      <c r="Q215" s="173"/>
      <c r="R215" s="173"/>
      <c r="S215" s="173"/>
      <c r="T215" s="173"/>
      <c r="U215" s="173"/>
    </row>
    <row r="216" spans="1:21">
      <c r="A216" s="173" t="s">
        <v>1601</v>
      </c>
      <c r="B216" s="265">
        <f>P216</f>
        <v>0.34</v>
      </c>
      <c r="C216" s="173" t="s">
        <v>206</v>
      </c>
      <c r="D216" s="258" t="s">
        <v>2</v>
      </c>
      <c r="E216" s="173" t="s">
        <v>29</v>
      </c>
      <c r="F216" s="173" t="s">
        <v>14</v>
      </c>
      <c r="G216" s="173" t="s">
        <v>30</v>
      </c>
      <c r="H216" s="173">
        <v>1</v>
      </c>
      <c r="I216" s="265">
        <f>B216</f>
        <v>0.34</v>
      </c>
      <c r="J216" s="173" t="s">
        <v>31</v>
      </c>
      <c r="K216" s="173" t="s">
        <v>31</v>
      </c>
      <c r="L216" s="173" t="s">
        <v>31</v>
      </c>
      <c r="M216" s="173" t="s">
        <v>31</v>
      </c>
      <c r="N216" s="173"/>
      <c r="O216" s="242" t="s">
        <v>945</v>
      </c>
      <c r="P216" s="314">
        <v>0.34</v>
      </c>
      <c r="Q216" s="173"/>
      <c r="R216" s="173"/>
      <c r="S216" s="173"/>
      <c r="T216" s="173"/>
      <c r="U216" s="173"/>
    </row>
    <row r="217" spans="1:21">
      <c r="A217" s="173" t="s">
        <v>1559</v>
      </c>
      <c r="B217" s="265">
        <f>'2D. Reusable'!B81</f>
        <v>1.03</v>
      </c>
      <c r="C217" s="173" t="s">
        <v>37</v>
      </c>
      <c r="D217" s="258" t="s">
        <v>2</v>
      </c>
      <c r="E217" s="173" t="s">
        <v>29</v>
      </c>
      <c r="F217" s="173" t="s">
        <v>14</v>
      </c>
      <c r="G217" s="173" t="s">
        <v>33</v>
      </c>
      <c r="H217" s="173">
        <v>1</v>
      </c>
      <c r="I217" s="265">
        <f>B217</f>
        <v>1.03</v>
      </c>
      <c r="J217" s="173" t="s">
        <v>31</v>
      </c>
      <c r="K217" s="173" t="s">
        <v>31</v>
      </c>
      <c r="L217" s="173" t="s">
        <v>31</v>
      </c>
      <c r="M217" s="173" t="s">
        <v>31</v>
      </c>
      <c r="N217" s="173"/>
      <c r="O217" s="286"/>
      <c r="P217" s="314">
        <v>0.34</v>
      </c>
      <c r="Q217" s="173" t="s">
        <v>1448</v>
      </c>
      <c r="R217" s="173"/>
      <c r="S217" s="173"/>
      <c r="T217" s="173"/>
      <c r="U217" s="173"/>
    </row>
    <row r="218" spans="1:21">
      <c r="A218" s="177" t="s">
        <v>168</v>
      </c>
      <c r="B218" s="184">
        <f>P218</f>
        <v>0.27</v>
      </c>
      <c r="C218" s="173" t="s">
        <v>41</v>
      </c>
      <c r="D218" s="173" t="s">
        <v>38</v>
      </c>
      <c r="E218" s="173" t="s">
        <v>29</v>
      </c>
      <c r="F218" s="185" t="s">
        <v>35</v>
      </c>
      <c r="G218" s="173" t="s">
        <v>33</v>
      </c>
      <c r="H218" s="173">
        <v>2</v>
      </c>
      <c r="I218" s="173">
        <f t="shared" ref="I218:I219" si="16">LN(B218)</f>
        <v>-1.3093333199837622</v>
      </c>
      <c r="J218" s="173">
        <v>7.2284161474004766E-2</v>
      </c>
      <c r="K218" s="173" t="s">
        <v>31</v>
      </c>
      <c r="L218" s="173" t="s">
        <v>31</v>
      </c>
      <c r="M218" s="173" t="s">
        <v>31</v>
      </c>
      <c r="N218" s="173"/>
      <c r="O218" s="242" t="s">
        <v>332</v>
      </c>
      <c r="P218" s="296">
        <v>0.27</v>
      </c>
      <c r="Q218" s="173"/>
      <c r="R218" s="173"/>
      <c r="S218" s="173"/>
      <c r="T218" s="173"/>
      <c r="U218" s="173"/>
    </row>
    <row r="219" spans="1:21">
      <c r="A219" s="232" t="s">
        <v>1017</v>
      </c>
      <c r="B219" s="173">
        <f>R219</f>
        <v>6.0000000000000001E-3</v>
      </c>
      <c r="C219" s="265" t="s">
        <v>37</v>
      </c>
      <c r="D219" s="173" t="s">
        <v>38</v>
      </c>
      <c r="E219" s="173" t="s">
        <v>29</v>
      </c>
      <c r="F219" s="173" t="s">
        <v>60</v>
      </c>
      <c r="G219" s="173" t="s">
        <v>33</v>
      </c>
      <c r="H219" s="173">
        <v>2</v>
      </c>
      <c r="I219" s="173">
        <f t="shared" si="16"/>
        <v>-5.1159958097540823</v>
      </c>
      <c r="J219" s="173">
        <v>7.2284161474004766E-2</v>
      </c>
      <c r="K219" s="173" t="s">
        <v>31</v>
      </c>
      <c r="L219" s="173" t="s">
        <v>31</v>
      </c>
      <c r="M219" s="173" t="s">
        <v>31</v>
      </c>
      <c r="N219" s="173"/>
      <c r="O219" s="242" t="s">
        <v>947</v>
      </c>
      <c r="P219" s="296">
        <v>6</v>
      </c>
      <c r="Q219" s="173" t="s">
        <v>337</v>
      </c>
      <c r="R219" s="173">
        <f>P219*0.001</f>
        <v>6.0000000000000001E-3</v>
      </c>
      <c r="S219" s="173"/>
      <c r="T219" s="173"/>
      <c r="U219" s="173"/>
    </row>
    <row r="220" spans="1:21">
      <c r="A220" s="83" t="s">
        <v>1018</v>
      </c>
      <c r="B220" s="173">
        <f t="shared" ref="B220:B221" si="17">R220</f>
        <v>1.0999999999999999E-2</v>
      </c>
      <c r="C220" s="173" t="s">
        <v>37</v>
      </c>
      <c r="D220" s="173" t="s">
        <v>38</v>
      </c>
      <c r="E220" s="173" t="s">
        <v>29</v>
      </c>
      <c r="F220" s="185" t="s">
        <v>35</v>
      </c>
      <c r="G220" s="173" t="s">
        <v>33</v>
      </c>
      <c r="H220" s="173">
        <v>2</v>
      </c>
      <c r="I220" s="173">
        <f>LN(B220)</f>
        <v>-4.5098600061837661</v>
      </c>
      <c r="J220" s="173">
        <v>7.2284161474004766E-2</v>
      </c>
      <c r="K220" s="173" t="s">
        <v>31</v>
      </c>
      <c r="L220" s="173" t="s">
        <v>31</v>
      </c>
      <c r="M220" s="173" t="s">
        <v>31</v>
      </c>
      <c r="N220" s="173"/>
      <c r="O220" s="242" t="s">
        <v>947</v>
      </c>
      <c r="P220" s="296">
        <v>11</v>
      </c>
      <c r="Q220" s="173" t="s">
        <v>337</v>
      </c>
      <c r="R220" s="173">
        <f>P220*0.001</f>
        <v>1.0999999999999999E-2</v>
      </c>
      <c r="S220" s="173"/>
      <c r="T220" s="173"/>
      <c r="U220" s="173"/>
    </row>
    <row r="221" spans="1:21">
      <c r="A221" s="177" t="s">
        <v>933</v>
      </c>
      <c r="B221" s="173">
        <f t="shared" si="17"/>
        <v>10.1</v>
      </c>
      <c r="C221" s="173" t="s">
        <v>37</v>
      </c>
      <c r="D221" s="173" t="s">
        <v>38</v>
      </c>
      <c r="E221" s="173" t="s">
        <v>29</v>
      </c>
      <c r="F221" s="185" t="s">
        <v>39</v>
      </c>
      <c r="G221" s="173" t="s">
        <v>33</v>
      </c>
      <c r="H221" s="173">
        <v>2</v>
      </c>
      <c r="I221" s="173">
        <f t="shared" ref="I221:I222" si="18">LN(B221)</f>
        <v>2.3125354238472138</v>
      </c>
      <c r="J221" s="173">
        <v>7.2284161474004766E-2</v>
      </c>
      <c r="K221" s="173" t="s">
        <v>31</v>
      </c>
      <c r="L221" s="173" t="s">
        <v>31</v>
      </c>
      <c r="M221" s="173" t="s">
        <v>31</v>
      </c>
      <c r="N221" s="173"/>
      <c r="O221" s="242" t="s">
        <v>337</v>
      </c>
      <c r="P221" s="296">
        <v>10.1</v>
      </c>
      <c r="Q221" s="173" t="s">
        <v>337</v>
      </c>
      <c r="R221" s="173">
        <f>P221</f>
        <v>10.1</v>
      </c>
      <c r="S221" s="173"/>
      <c r="T221" s="173"/>
      <c r="U221" s="173"/>
    </row>
    <row r="222" spans="1:21">
      <c r="A222" s="232" t="s">
        <v>489</v>
      </c>
      <c r="B222" s="173">
        <f>R222</f>
        <v>1.01E-2</v>
      </c>
      <c r="C222" s="173" t="s">
        <v>50</v>
      </c>
      <c r="D222" s="173" t="s">
        <v>38</v>
      </c>
      <c r="E222" s="173" t="s">
        <v>29</v>
      </c>
      <c r="F222" s="185" t="s">
        <v>39</v>
      </c>
      <c r="G222" s="173" t="s">
        <v>33</v>
      </c>
      <c r="H222" s="173">
        <v>2</v>
      </c>
      <c r="I222" s="173">
        <f t="shared" si="18"/>
        <v>-4.595219855134923</v>
      </c>
      <c r="J222" s="173">
        <v>7.2284161474004766E-2</v>
      </c>
      <c r="K222" s="173" t="s">
        <v>31</v>
      </c>
      <c r="L222" s="173" t="s">
        <v>31</v>
      </c>
      <c r="M222" s="173" t="s">
        <v>31</v>
      </c>
      <c r="N222" s="173"/>
      <c r="O222" s="268" t="s">
        <v>1009</v>
      </c>
      <c r="P222" s="306">
        <v>10.1</v>
      </c>
      <c r="Q222" s="173" t="s">
        <v>335</v>
      </c>
      <c r="R222" s="173">
        <f>0.001*P222</f>
        <v>1.01E-2</v>
      </c>
      <c r="S222" s="173"/>
      <c r="T222" s="173"/>
      <c r="U222" s="173"/>
    </row>
    <row r="223" spans="1:21" s="42" customFormat="1">
      <c r="A223" s="209" t="s">
        <v>5</v>
      </c>
      <c r="B223" s="304" t="s">
        <v>1594</v>
      </c>
      <c r="C223" s="211"/>
      <c r="D223" s="188"/>
      <c r="E223" s="188"/>
      <c r="F223" s="188"/>
      <c r="G223" s="188"/>
      <c r="H223" s="188"/>
      <c r="I223" s="188"/>
      <c r="J223" s="188"/>
      <c r="K223" s="188"/>
      <c r="L223" s="188"/>
      <c r="M223" s="188"/>
      <c r="N223" s="188"/>
      <c r="O223" s="188"/>
      <c r="P223" s="173"/>
      <c r="Q223" s="188"/>
      <c r="R223" s="188"/>
      <c r="S223" s="188"/>
      <c r="T223" s="188"/>
      <c r="U223" s="188"/>
    </row>
    <row r="224" spans="1:21">
      <c r="A224" s="177" t="s">
        <v>7</v>
      </c>
      <c r="B224" s="173" t="s">
        <v>566</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9</v>
      </c>
      <c r="B225" s="173" t="s">
        <v>1603</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11</v>
      </c>
      <c r="B226" s="179" t="s">
        <v>913</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13</v>
      </c>
      <c r="B227" s="173" t="s">
        <v>14</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15</v>
      </c>
      <c r="B228" s="277">
        <f>B233</f>
        <v>6.0000000000000001E-3</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16</v>
      </c>
      <c r="B229" s="173" t="s">
        <v>17</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18</v>
      </c>
      <c r="B230" s="173" t="s">
        <v>206</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19</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20</v>
      </c>
      <c r="B232" s="175" t="s">
        <v>21</v>
      </c>
      <c r="C232" s="175" t="s">
        <v>18</v>
      </c>
      <c r="D232" s="175" t="s">
        <v>22</v>
      </c>
      <c r="E232" s="175" t="s">
        <v>7</v>
      </c>
      <c r="F232" s="175" t="s">
        <v>13</v>
      </c>
      <c r="G232" s="175" t="s">
        <v>16</v>
      </c>
      <c r="H232" s="175" t="s">
        <v>23</v>
      </c>
      <c r="I232" s="175" t="s">
        <v>24</v>
      </c>
      <c r="J232" s="175" t="s">
        <v>25</v>
      </c>
      <c r="K232" s="175" t="s">
        <v>26</v>
      </c>
      <c r="L232" s="175" t="s">
        <v>27</v>
      </c>
      <c r="M232" s="175" t="s">
        <v>28</v>
      </c>
      <c r="N232" s="175" t="s">
        <v>11</v>
      </c>
      <c r="O232" s="173"/>
      <c r="P232" s="173"/>
      <c r="Q232" s="173"/>
      <c r="R232" s="173"/>
      <c r="S232" s="173"/>
      <c r="T232" s="173"/>
      <c r="U232" s="173"/>
    </row>
    <row r="233" spans="1:21">
      <c r="A233" s="173" t="s">
        <v>1594</v>
      </c>
      <c r="B233" s="383">
        <f>B234</f>
        <v>6.0000000000000001E-3</v>
      </c>
      <c r="C233" s="173" t="s">
        <v>206</v>
      </c>
      <c r="D233" s="258" t="s">
        <v>2</v>
      </c>
      <c r="E233" s="173" t="s">
        <v>29</v>
      </c>
      <c r="F233" s="185" t="s">
        <v>14</v>
      </c>
      <c r="G233" s="173" t="s">
        <v>30</v>
      </c>
      <c r="H233" s="173">
        <v>1</v>
      </c>
      <c r="I233" s="265">
        <f>B233</f>
        <v>6.0000000000000001E-3</v>
      </c>
      <c r="J233" s="173" t="s">
        <v>31</v>
      </c>
      <c r="K233" s="173" t="s">
        <v>31</v>
      </c>
      <c r="L233" s="173" t="s">
        <v>31</v>
      </c>
      <c r="M233" s="173" t="s">
        <v>31</v>
      </c>
      <c r="N233" s="173"/>
      <c r="O233" s="350" t="s">
        <v>963</v>
      </c>
      <c r="P233" s="351"/>
      <c r="Q233" s="173"/>
      <c r="R233" s="173"/>
      <c r="S233" s="173"/>
      <c r="T233" s="173"/>
      <c r="U233" s="173"/>
    </row>
    <row r="234" spans="1:21">
      <c r="A234" s="173" t="s">
        <v>1604</v>
      </c>
      <c r="B234" s="265">
        <f>B254</f>
        <v>6.0000000000000001E-3</v>
      </c>
      <c r="C234" s="173" t="s">
        <v>206</v>
      </c>
      <c r="D234" s="258" t="s">
        <v>2</v>
      </c>
      <c r="E234" s="173" t="s">
        <v>29</v>
      </c>
      <c r="F234" s="185" t="s">
        <v>14</v>
      </c>
      <c r="G234" s="173" t="s">
        <v>33</v>
      </c>
      <c r="H234" s="173">
        <v>1</v>
      </c>
      <c r="I234" s="265">
        <f>B234</f>
        <v>6.0000000000000001E-3</v>
      </c>
      <c r="J234" s="173" t="s">
        <v>31</v>
      </c>
      <c r="K234" s="173" t="s">
        <v>31</v>
      </c>
      <c r="L234" s="173" t="s">
        <v>31</v>
      </c>
      <c r="M234" s="173" t="s">
        <v>31</v>
      </c>
      <c r="N234" s="173"/>
      <c r="O234" s="350" t="s">
        <v>963</v>
      </c>
      <c r="P234" s="351"/>
      <c r="Q234" s="173"/>
      <c r="R234" s="173"/>
      <c r="S234" s="173"/>
      <c r="T234" s="173"/>
      <c r="U234" s="173"/>
    </row>
    <row r="235" spans="1:21">
      <c r="A235" s="173" t="s">
        <v>1605</v>
      </c>
      <c r="B235" s="265">
        <f>B242</f>
        <v>1.0300000000000001E-3</v>
      </c>
      <c r="C235" s="173" t="s">
        <v>206</v>
      </c>
      <c r="D235" s="258" t="s">
        <v>2</v>
      </c>
      <c r="E235" s="173" t="s">
        <v>29</v>
      </c>
      <c r="F235" s="185" t="s">
        <v>14</v>
      </c>
      <c r="G235" s="173" t="s">
        <v>33</v>
      </c>
      <c r="H235" s="173">
        <v>1</v>
      </c>
      <c r="I235" s="265">
        <f>B235</f>
        <v>1.0300000000000001E-3</v>
      </c>
      <c r="J235" s="173" t="s">
        <v>31</v>
      </c>
      <c r="K235" s="173" t="s">
        <v>31</v>
      </c>
      <c r="L235" s="173" t="s">
        <v>31</v>
      </c>
      <c r="M235" s="173" t="s">
        <v>31</v>
      </c>
      <c r="N235" s="173"/>
      <c r="O235" s="241" t="s">
        <v>963</v>
      </c>
      <c r="P235" s="348"/>
      <c r="Q235" s="173"/>
      <c r="R235" s="173"/>
      <c r="S235" s="173"/>
      <c r="T235" s="173"/>
      <c r="U235" s="173"/>
    </row>
    <row r="236" spans="1:21">
      <c r="A236" s="177" t="s">
        <v>168</v>
      </c>
      <c r="B236" s="265">
        <f>P236</f>
        <v>0.14000000000000001</v>
      </c>
      <c r="C236" s="173" t="s">
        <v>41</v>
      </c>
      <c r="D236" s="173" t="s">
        <v>38</v>
      </c>
      <c r="E236" s="173" t="s">
        <v>29</v>
      </c>
      <c r="F236" s="185" t="s">
        <v>35</v>
      </c>
      <c r="G236" s="173" t="s">
        <v>33</v>
      </c>
      <c r="H236" s="173">
        <v>2</v>
      </c>
      <c r="I236" s="173">
        <f t="shared" ref="I236" si="19">LN(B236)</f>
        <v>-1.9661128563728327</v>
      </c>
      <c r="J236" s="173">
        <v>0.20928449536456342</v>
      </c>
      <c r="K236" s="173" t="s">
        <v>31</v>
      </c>
      <c r="L236" s="173" t="s">
        <v>31</v>
      </c>
      <c r="M236" s="173" t="s">
        <v>31</v>
      </c>
      <c r="N236" s="173"/>
      <c r="O236" s="242" t="s">
        <v>332</v>
      </c>
      <c r="P236" s="264">
        <v>0.14000000000000001</v>
      </c>
      <c r="Q236" s="173"/>
      <c r="R236" s="173"/>
      <c r="S236" s="173"/>
      <c r="T236" s="173"/>
      <c r="U236" s="173"/>
    </row>
    <row r="237" spans="1:21" s="42" customFormat="1">
      <c r="A237" s="209" t="s">
        <v>5</v>
      </c>
      <c r="B237" s="304" t="s">
        <v>1605</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7</v>
      </c>
      <c r="B238" s="173" t="s">
        <v>566</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9</v>
      </c>
      <c r="B239" s="173" t="s">
        <v>1606</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11</v>
      </c>
      <c r="B240" s="179" t="s">
        <v>913</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13</v>
      </c>
      <c r="B241" s="173" t="s">
        <v>14</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15</v>
      </c>
      <c r="B242" s="265">
        <f>B247</f>
        <v>1.0300000000000001E-3</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16</v>
      </c>
      <c r="B243" s="173" t="s">
        <v>17</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18</v>
      </c>
      <c r="B244" s="173" t="s">
        <v>206</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19</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20</v>
      </c>
      <c r="B246" s="175" t="s">
        <v>21</v>
      </c>
      <c r="C246" s="175" t="s">
        <v>18</v>
      </c>
      <c r="D246" s="175" t="s">
        <v>22</v>
      </c>
      <c r="E246" s="175" t="s">
        <v>7</v>
      </c>
      <c r="F246" s="175" t="s">
        <v>13</v>
      </c>
      <c r="G246" s="175" t="s">
        <v>16</v>
      </c>
      <c r="H246" s="175" t="s">
        <v>23</v>
      </c>
      <c r="I246" s="175" t="s">
        <v>24</v>
      </c>
      <c r="J246" s="175" t="s">
        <v>25</v>
      </c>
      <c r="K246" s="175" t="s">
        <v>26</v>
      </c>
      <c r="L246" s="175" t="s">
        <v>27</v>
      </c>
      <c r="M246" s="175" t="s">
        <v>28</v>
      </c>
      <c r="N246" s="175" t="s">
        <v>11</v>
      </c>
      <c r="O246" s="173"/>
      <c r="P246" s="173"/>
      <c r="Q246" s="173"/>
      <c r="R246" s="173"/>
      <c r="S246" s="173"/>
      <c r="T246" s="173"/>
      <c r="U246" s="173"/>
    </row>
    <row r="247" spans="1:21">
      <c r="A247" s="173" t="s">
        <v>1605</v>
      </c>
      <c r="B247" s="265">
        <f>S247</f>
        <v>1.0300000000000001E-3</v>
      </c>
      <c r="C247" s="173" t="s">
        <v>206</v>
      </c>
      <c r="D247" s="258" t="s">
        <v>2</v>
      </c>
      <c r="E247" s="173" t="s">
        <v>29</v>
      </c>
      <c r="F247" s="185" t="s">
        <v>14</v>
      </c>
      <c r="G247" s="173" t="s">
        <v>30</v>
      </c>
      <c r="H247" s="173">
        <v>1</v>
      </c>
      <c r="I247" s="265">
        <f>B247</f>
        <v>1.0300000000000001E-3</v>
      </c>
      <c r="J247" s="173" t="s">
        <v>31</v>
      </c>
      <c r="K247" s="173" t="s">
        <v>31</v>
      </c>
      <c r="L247" s="173" t="s">
        <v>31</v>
      </c>
      <c r="M247" s="173" t="s">
        <v>31</v>
      </c>
      <c r="N247" s="173"/>
      <c r="O247" s="173"/>
      <c r="P247" s="242" t="s">
        <v>1094</v>
      </c>
      <c r="Q247" s="264">
        <v>10.3</v>
      </c>
      <c r="R247" s="173" t="s">
        <v>945</v>
      </c>
      <c r="S247" s="173">
        <f>Q247*0.0001</f>
        <v>1.0300000000000001E-3</v>
      </c>
      <c r="T247" s="173"/>
      <c r="U247" s="173"/>
    </row>
    <row r="248" spans="1:21">
      <c r="A248" s="232" t="s">
        <v>1095</v>
      </c>
      <c r="B248" s="265">
        <f>S248</f>
        <v>1.0300000000000001E-3</v>
      </c>
      <c r="C248" s="173" t="s">
        <v>206</v>
      </c>
      <c r="D248" s="173" t="s">
        <v>38</v>
      </c>
      <c r="E248" s="173" t="s">
        <v>29</v>
      </c>
      <c r="F248" s="173" t="s">
        <v>60</v>
      </c>
      <c r="G248" s="173" t="s">
        <v>33</v>
      </c>
      <c r="H248" s="173">
        <v>2</v>
      </c>
      <c r="I248" s="173">
        <f>LN(B248)</f>
        <v>-6.8781964767405928</v>
      </c>
      <c r="J248" s="173">
        <v>3.7749172176353707E-2</v>
      </c>
      <c r="K248" s="173" t="s">
        <v>31</v>
      </c>
      <c r="L248" s="173" t="s">
        <v>31</v>
      </c>
      <c r="M248" s="173" t="s">
        <v>31</v>
      </c>
      <c r="N248" s="173"/>
      <c r="O248" s="173"/>
      <c r="P248" s="241" t="s">
        <v>1094</v>
      </c>
      <c r="Q248" s="314">
        <v>10.3</v>
      </c>
      <c r="R248" s="173" t="s">
        <v>945</v>
      </c>
      <c r="S248" s="173">
        <f>Q248*0.0001</f>
        <v>1.0300000000000001E-3</v>
      </c>
      <c r="T248" s="173"/>
      <c r="U248" s="173"/>
    </row>
    <row r="249" spans="1:21" s="42" customFormat="1">
      <c r="A249" s="209" t="s">
        <v>5</v>
      </c>
      <c r="B249" s="210" t="s">
        <v>1604</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7</v>
      </c>
      <c r="B250" s="173" t="s">
        <v>566</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9</v>
      </c>
      <c r="B251" s="173" t="s">
        <v>1607</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11</v>
      </c>
      <c r="B252" s="179" t="s">
        <v>913</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13</v>
      </c>
      <c r="B253" s="173" t="s">
        <v>14</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15</v>
      </c>
      <c r="B254" s="265">
        <f>B259</f>
        <v>6.0000000000000001E-3</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16</v>
      </c>
      <c r="B255" s="173" t="s">
        <v>17</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18</v>
      </c>
      <c r="B256" s="173" t="s">
        <v>206</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19</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20</v>
      </c>
      <c r="B258" s="175" t="s">
        <v>21</v>
      </c>
      <c r="C258" s="175" t="s">
        <v>18</v>
      </c>
      <c r="D258" s="175" t="s">
        <v>22</v>
      </c>
      <c r="E258" s="175" t="s">
        <v>7</v>
      </c>
      <c r="F258" s="175" t="s">
        <v>13</v>
      </c>
      <c r="G258" s="175" t="s">
        <v>16</v>
      </c>
      <c r="H258" s="175" t="s">
        <v>23</v>
      </c>
      <c r="I258" s="175" t="s">
        <v>24</v>
      </c>
      <c r="J258" s="175" t="s">
        <v>25</v>
      </c>
      <c r="K258" s="175" t="s">
        <v>26</v>
      </c>
      <c r="L258" s="175" t="s">
        <v>27</v>
      </c>
      <c r="M258" s="175" t="s">
        <v>28</v>
      </c>
      <c r="N258" s="175" t="s">
        <v>11</v>
      </c>
      <c r="O258" s="173"/>
      <c r="P258" s="173"/>
      <c r="Q258" s="173"/>
      <c r="R258" s="173"/>
      <c r="S258" s="173"/>
      <c r="T258" s="173"/>
      <c r="U258" s="173"/>
    </row>
    <row r="259" spans="1:21">
      <c r="A259" s="173" t="s">
        <v>1604</v>
      </c>
      <c r="B259" s="265">
        <f>B260</f>
        <v>6.0000000000000001E-3</v>
      </c>
      <c r="C259" s="173" t="s">
        <v>206</v>
      </c>
      <c r="D259" s="258" t="s">
        <v>2</v>
      </c>
      <c r="E259" s="173" t="s">
        <v>29</v>
      </c>
      <c r="F259" s="185" t="s">
        <v>14</v>
      </c>
      <c r="G259" s="173" t="s">
        <v>30</v>
      </c>
      <c r="H259" s="173">
        <v>1</v>
      </c>
      <c r="I259" s="265">
        <f>B259</f>
        <v>6.0000000000000001E-3</v>
      </c>
      <c r="J259" s="173" t="s">
        <v>31</v>
      </c>
      <c r="K259" s="173" t="s">
        <v>31</v>
      </c>
      <c r="L259" s="173" t="s">
        <v>31</v>
      </c>
      <c r="M259" s="173" t="s">
        <v>31</v>
      </c>
      <c r="N259" s="173"/>
      <c r="O259" s="173"/>
      <c r="P259" s="173"/>
      <c r="Q259" s="173"/>
      <c r="R259" s="173"/>
      <c r="S259" s="173"/>
      <c r="T259" s="173"/>
      <c r="U259" s="173"/>
    </row>
    <row r="260" spans="1:21">
      <c r="A260" s="173" t="s">
        <v>1608</v>
      </c>
      <c r="B260" s="265">
        <f>P260</f>
        <v>6.0000000000000001E-3</v>
      </c>
      <c r="C260" s="173" t="s">
        <v>206</v>
      </c>
      <c r="D260" s="258" t="s">
        <v>2</v>
      </c>
      <c r="E260" s="173" t="s">
        <v>29</v>
      </c>
      <c r="F260" s="173" t="s">
        <v>14</v>
      </c>
      <c r="G260" s="173" t="s">
        <v>33</v>
      </c>
      <c r="H260" s="173">
        <v>1</v>
      </c>
      <c r="I260" s="265">
        <f>B260</f>
        <v>6.0000000000000001E-3</v>
      </c>
      <c r="J260" s="173" t="s">
        <v>31</v>
      </c>
      <c r="K260" s="173" t="s">
        <v>31</v>
      </c>
      <c r="L260" s="173" t="s">
        <v>31</v>
      </c>
      <c r="M260" s="173" t="s">
        <v>31</v>
      </c>
      <c r="N260" s="173"/>
      <c r="O260" s="173"/>
      <c r="P260" s="349">
        <f>P277</f>
        <v>6.0000000000000001E-3</v>
      </c>
      <c r="Q260" s="173"/>
      <c r="R260" s="173"/>
      <c r="S260" s="173"/>
      <c r="T260" s="173"/>
      <c r="U260" s="173"/>
    </row>
    <row r="261" spans="1:21">
      <c r="A261" s="177" t="s">
        <v>168</v>
      </c>
      <c r="B261" s="184">
        <f>R261</f>
        <v>0.05</v>
      </c>
      <c r="C261" s="173" t="s">
        <v>41</v>
      </c>
      <c r="D261" s="173" t="s">
        <v>38</v>
      </c>
      <c r="E261" s="173" t="s">
        <v>29</v>
      </c>
      <c r="F261" s="185" t="s">
        <v>35</v>
      </c>
      <c r="G261" s="173" t="s">
        <v>33</v>
      </c>
      <c r="H261" s="173">
        <v>2</v>
      </c>
      <c r="I261" s="173">
        <f t="shared" ref="I261:I265" si="20">LN(B261)</f>
        <v>-2.9957322735539909</v>
      </c>
      <c r="J261" s="173">
        <v>0.20928449536456342</v>
      </c>
      <c r="K261" s="173" t="s">
        <v>31</v>
      </c>
      <c r="L261" s="173" t="s">
        <v>31</v>
      </c>
      <c r="M261" s="173" t="s">
        <v>31</v>
      </c>
      <c r="N261" s="173"/>
      <c r="O261" s="222" t="s">
        <v>332</v>
      </c>
      <c r="P261" s="296">
        <v>0.05</v>
      </c>
      <c r="Q261" s="173" t="s">
        <v>332</v>
      </c>
      <c r="R261" s="184">
        <f>P261</f>
        <v>0.05</v>
      </c>
      <c r="S261" s="173"/>
      <c r="T261" s="173"/>
      <c r="U261" s="173"/>
    </row>
    <row r="262" spans="1:21">
      <c r="A262" s="232" t="s">
        <v>931</v>
      </c>
      <c r="B262" s="173">
        <f>R262</f>
        <v>1.6999999999999999E-3</v>
      </c>
      <c r="C262" s="173" t="s">
        <v>37</v>
      </c>
      <c r="D262" s="173" t="s">
        <v>38</v>
      </c>
      <c r="E262" s="173" t="s">
        <v>29</v>
      </c>
      <c r="F262" s="185" t="s">
        <v>35</v>
      </c>
      <c r="G262" s="173" t="s">
        <v>33</v>
      </c>
      <c r="H262" s="173">
        <v>2</v>
      </c>
      <c r="I262" s="173">
        <f t="shared" si="20"/>
        <v>-6.3771270279199666</v>
      </c>
      <c r="J262" s="173">
        <v>0.20928449536456342</v>
      </c>
      <c r="K262" s="173" t="s">
        <v>31</v>
      </c>
      <c r="L262" s="173" t="s">
        <v>31</v>
      </c>
      <c r="M262" s="173" t="s">
        <v>31</v>
      </c>
      <c r="N262" s="173"/>
      <c r="O262" s="242" t="s">
        <v>947</v>
      </c>
      <c r="P262" s="296">
        <v>1.7</v>
      </c>
      <c r="Q262" s="173" t="s">
        <v>337</v>
      </c>
      <c r="R262" s="173">
        <f>0.001*P262</f>
        <v>1.6999999999999999E-3</v>
      </c>
      <c r="S262" s="173"/>
      <c r="T262" s="173"/>
      <c r="U262" s="173"/>
    </row>
    <row r="263" spans="1:21">
      <c r="A263" s="232" t="s">
        <v>932</v>
      </c>
      <c r="B263" s="173">
        <f>R263</f>
        <v>2.9999999999999997E-4</v>
      </c>
      <c r="C263" s="173" t="s">
        <v>37</v>
      </c>
      <c r="D263" s="173" t="s">
        <v>38</v>
      </c>
      <c r="E263" s="173" t="s">
        <v>29</v>
      </c>
      <c r="F263" s="185" t="s">
        <v>60</v>
      </c>
      <c r="G263" s="173" t="s">
        <v>33</v>
      </c>
      <c r="H263" s="173">
        <v>2</v>
      </c>
      <c r="I263" s="173">
        <f t="shared" si="20"/>
        <v>-8.1117280833080727</v>
      </c>
      <c r="J263" s="173">
        <v>0.20928449536456342</v>
      </c>
      <c r="K263" s="173" t="s">
        <v>31</v>
      </c>
      <c r="L263" s="173" t="s">
        <v>31</v>
      </c>
      <c r="M263" s="173" t="s">
        <v>31</v>
      </c>
      <c r="N263" s="173"/>
      <c r="O263" s="242" t="s">
        <v>947</v>
      </c>
      <c r="P263" s="296">
        <v>0.3</v>
      </c>
      <c r="Q263" s="173" t="s">
        <v>337</v>
      </c>
      <c r="R263" s="173">
        <f>0.001*P263</f>
        <v>2.9999999999999997E-4</v>
      </c>
      <c r="S263" s="173"/>
      <c r="T263" s="173"/>
      <c r="U263" s="173"/>
    </row>
    <row r="264" spans="1:21">
      <c r="A264" s="177" t="s">
        <v>933</v>
      </c>
      <c r="B264" s="173">
        <f>R264</f>
        <v>8.0999999999999996E-3</v>
      </c>
      <c r="C264" s="173" t="s">
        <v>37</v>
      </c>
      <c r="D264" s="173" t="s">
        <v>38</v>
      </c>
      <c r="E264" s="173" t="s">
        <v>29</v>
      </c>
      <c r="F264" s="185" t="s">
        <v>39</v>
      </c>
      <c r="G264" s="173" t="s">
        <v>33</v>
      </c>
      <c r="H264" s="173">
        <v>2</v>
      </c>
      <c r="I264" s="173">
        <f t="shared" si="20"/>
        <v>-4.8158912173037436</v>
      </c>
      <c r="J264" s="173">
        <v>0.20928449536456342</v>
      </c>
      <c r="K264" s="173" t="s">
        <v>31</v>
      </c>
      <c r="L264" s="173" t="s">
        <v>31</v>
      </c>
      <c r="M264" s="173" t="s">
        <v>31</v>
      </c>
      <c r="N264" s="173"/>
      <c r="O264" s="242" t="s">
        <v>947</v>
      </c>
      <c r="P264" s="296">
        <v>8.1</v>
      </c>
      <c r="Q264" s="173" t="s">
        <v>337</v>
      </c>
      <c r="R264" s="173">
        <f>0.001*P264</f>
        <v>8.0999999999999996E-3</v>
      </c>
      <c r="S264" s="173"/>
      <c r="T264" s="173"/>
      <c r="U264" s="173"/>
    </row>
    <row r="265" spans="1:21">
      <c r="A265" s="173" t="s">
        <v>1285</v>
      </c>
      <c r="B265" s="173">
        <f>R265</f>
        <v>1.9E-3</v>
      </c>
      <c r="C265" s="173" t="s">
        <v>37</v>
      </c>
      <c r="D265" s="258" t="s">
        <v>2</v>
      </c>
      <c r="E265" s="173" t="s">
        <v>29</v>
      </c>
      <c r="F265" s="185" t="s">
        <v>39</v>
      </c>
      <c r="G265" s="173" t="s">
        <v>33</v>
      </c>
      <c r="H265" s="173">
        <v>2</v>
      </c>
      <c r="I265" s="173">
        <f t="shared" si="20"/>
        <v>-6.2659013928097425</v>
      </c>
      <c r="J265" s="173">
        <v>0.20928449536456342</v>
      </c>
      <c r="K265" s="173" t="s">
        <v>31</v>
      </c>
      <c r="L265" s="173" t="s">
        <v>31</v>
      </c>
      <c r="M265" s="173" t="s">
        <v>31</v>
      </c>
      <c r="N265" s="173"/>
      <c r="O265" s="305" t="s">
        <v>947</v>
      </c>
      <c r="P265" s="306">
        <v>1.9</v>
      </c>
      <c r="Q265" s="173" t="s">
        <v>337</v>
      </c>
      <c r="R265" s="173">
        <f>0.001*P265</f>
        <v>1.9E-3</v>
      </c>
      <c r="S265" s="173"/>
      <c r="T265" s="173"/>
      <c r="U265" s="173"/>
    </row>
    <row r="266" spans="1:21" s="42" customFormat="1">
      <c r="A266" s="209" t="s">
        <v>5</v>
      </c>
      <c r="B266" s="210" t="s">
        <v>1608</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7</v>
      </c>
      <c r="B267" s="173" t="s">
        <v>566</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9</v>
      </c>
      <c r="B268" s="173" t="s">
        <v>1609</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11</v>
      </c>
      <c r="B269" s="179" t="s">
        <v>913</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13</v>
      </c>
      <c r="B270" s="173" t="s">
        <v>14</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15</v>
      </c>
      <c r="B271" s="265">
        <f>B276</f>
        <v>6.0000000000000001E-3</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16</v>
      </c>
      <c r="B272" s="173" t="s">
        <v>17</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18</v>
      </c>
      <c r="B273" s="173" t="s">
        <v>206</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19</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20</v>
      </c>
      <c r="B275" s="175" t="s">
        <v>21</v>
      </c>
      <c r="C275" s="175" t="s">
        <v>18</v>
      </c>
      <c r="D275" s="175" t="s">
        <v>22</v>
      </c>
      <c r="E275" s="175" t="s">
        <v>7</v>
      </c>
      <c r="F275" s="175" t="s">
        <v>13</v>
      </c>
      <c r="G275" s="175" t="s">
        <v>16</v>
      </c>
      <c r="H275" s="175" t="s">
        <v>23</v>
      </c>
      <c r="I275" s="175" t="s">
        <v>24</v>
      </c>
      <c r="J275" s="175" t="s">
        <v>25</v>
      </c>
      <c r="K275" s="175" t="s">
        <v>26</v>
      </c>
      <c r="L275" s="175" t="s">
        <v>27</v>
      </c>
      <c r="M275" s="175" t="s">
        <v>28</v>
      </c>
      <c r="N275" s="175" t="s">
        <v>11</v>
      </c>
      <c r="O275" s="173"/>
      <c r="P275" s="173"/>
      <c r="Q275" s="173"/>
      <c r="R275" s="173"/>
      <c r="S275" s="173"/>
      <c r="T275" s="173"/>
      <c r="U275" s="173"/>
    </row>
    <row r="276" spans="1:21">
      <c r="A276" s="173" t="s">
        <v>1608</v>
      </c>
      <c r="B276" s="265">
        <f>P277</f>
        <v>6.0000000000000001E-3</v>
      </c>
      <c r="C276" s="173" t="s">
        <v>206</v>
      </c>
      <c r="D276" s="258" t="s">
        <v>2</v>
      </c>
      <c r="E276" s="173" t="s">
        <v>29</v>
      </c>
      <c r="F276" s="173" t="s">
        <v>14</v>
      </c>
      <c r="G276" s="173" t="s">
        <v>30</v>
      </c>
      <c r="H276" s="173">
        <v>1</v>
      </c>
      <c r="I276" s="265">
        <f>B276</f>
        <v>6.0000000000000001E-3</v>
      </c>
      <c r="J276" s="173" t="s">
        <v>31</v>
      </c>
      <c r="K276" s="173" t="s">
        <v>31</v>
      </c>
      <c r="L276" s="173" t="s">
        <v>31</v>
      </c>
      <c r="M276" s="173" t="s">
        <v>31</v>
      </c>
      <c r="N276" s="173"/>
      <c r="O276" s="173"/>
      <c r="P276" s="173"/>
      <c r="Q276" s="173"/>
      <c r="R276" s="173"/>
      <c r="S276" s="173"/>
      <c r="T276" s="173"/>
      <c r="U276" s="173"/>
    </row>
    <row r="277" spans="1:21">
      <c r="A277" s="173" t="s">
        <v>1610</v>
      </c>
      <c r="B277" s="265">
        <f>P277</f>
        <v>6.0000000000000001E-3</v>
      </c>
      <c r="C277" s="173" t="s">
        <v>206</v>
      </c>
      <c r="D277" s="258" t="s">
        <v>2</v>
      </c>
      <c r="E277" s="173" t="s">
        <v>29</v>
      </c>
      <c r="F277" s="173" t="s">
        <v>14</v>
      </c>
      <c r="G277" s="173" t="s">
        <v>33</v>
      </c>
      <c r="H277" s="173">
        <v>1</v>
      </c>
      <c r="I277" s="265">
        <f>B277</f>
        <v>6.0000000000000001E-3</v>
      </c>
      <c r="J277" s="173" t="s">
        <v>31</v>
      </c>
      <c r="K277" s="173" t="s">
        <v>31</v>
      </c>
      <c r="L277" s="173" t="s">
        <v>31</v>
      </c>
      <c r="M277" s="173" t="s">
        <v>31</v>
      </c>
      <c r="N277" s="173"/>
      <c r="O277" s="173"/>
      <c r="P277" s="349">
        <v>6.0000000000000001E-3</v>
      </c>
      <c r="Q277" s="173"/>
      <c r="R277" s="173"/>
      <c r="S277" s="173"/>
      <c r="T277" s="173"/>
      <c r="U277" s="173"/>
    </row>
    <row r="278" spans="1:21">
      <c r="A278" s="177" t="s">
        <v>168</v>
      </c>
      <c r="B278" s="184">
        <f>P278</f>
        <v>1.1499999999999999</v>
      </c>
      <c r="C278" s="173" t="s">
        <v>41</v>
      </c>
      <c r="D278" s="173" t="s">
        <v>38</v>
      </c>
      <c r="E278" s="173" t="s">
        <v>29</v>
      </c>
      <c r="F278" s="185" t="s">
        <v>35</v>
      </c>
      <c r="G278" s="173" t="s">
        <v>33</v>
      </c>
      <c r="H278" s="173">
        <v>2</v>
      </c>
      <c r="I278" s="173">
        <f t="shared" ref="I278:I279" si="21">LN(B278)</f>
        <v>0.13976194237515863</v>
      </c>
      <c r="J278" s="173">
        <v>0.20928449536456342</v>
      </c>
      <c r="K278" s="173" t="s">
        <v>31</v>
      </c>
      <c r="L278" s="173" t="s">
        <v>31</v>
      </c>
      <c r="M278" s="173" t="s">
        <v>31</v>
      </c>
      <c r="N278" s="173"/>
      <c r="O278" s="242" t="s">
        <v>332</v>
      </c>
      <c r="P278" s="264">
        <f>0.36+0.79</f>
        <v>1.1499999999999999</v>
      </c>
      <c r="Q278" s="173"/>
      <c r="R278" s="173"/>
      <c r="S278" s="173"/>
      <c r="T278" s="173"/>
      <c r="U278" s="173"/>
    </row>
    <row r="279" spans="1:21">
      <c r="A279" s="177" t="s">
        <v>933</v>
      </c>
      <c r="B279" s="184">
        <f>R279</f>
        <v>2.3E-3</v>
      </c>
      <c r="C279" s="173" t="s">
        <v>37</v>
      </c>
      <c r="D279" s="173" t="s">
        <v>38</v>
      </c>
      <c r="E279" s="173" t="s">
        <v>29</v>
      </c>
      <c r="F279" s="185" t="s">
        <v>39</v>
      </c>
      <c r="G279" s="173" t="s">
        <v>33</v>
      </c>
      <c r="H279" s="173">
        <v>2</v>
      </c>
      <c r="I279" s="173">
        <f t="shared" si="21"/>
        <v>-6.074846156047033</v>
      </c>
      <c r="J279" s="173">
        <v>0.20928449536456342</v>
      </c>
      <c r="K279" s="173" t="s">
        <v>31</v>
      </c>
      <c r="L279" s="173" t="s">
        <v>31</v>
      </c>
      <c r="M279" s="173" t="s">
        <v>31</v>
      </c>
      <c r="N279" s="173"/>
      <c r="O279" s="242" t="s">
        <v>947</v>
      </c>
      <c r="P279" s="296">
        <v>2.2999999999999998</v>
      </c>
      <c r="Q279" s="173" t="s">
        <v>337</v>
      </c>
      <c r="R279" s="173">
        <f>P279*0.001</f>
        <v>2.3E-3</v>
      </c>
      <c r="S279" s="173"/>
      <c r="T279" s="173"/>
      <c r="U279" s="173"/>
    </row>
    <row r="280" spans="1:21">
      <c r="A280" s="232" t="s">
        <v>1078</v>
      </c>
      <c r="B280" s="184">
        <f>R280</f>
        <v>2.8E-3</v>
      </c>
      <c r="C280" s="173" t="s">
        <v>37</v>
      </c>
      <c r="D280" s="173" t="s">
        <v>38</v>
      </c>
      <c r="E280" s="173" t="s">
        <v>29</v>
      </c>
      <c r="F280" s="173" t="s">
        <v>35</v>
      </c>
      <c r="G280" s="173" t="s">
        <v>33</v>
      </c>
      <c r="H280" s="173">
        <v>2</v>
      </c>
      <c r="I280" s="173">
        <f>LN(B280)</f>
        <v>-5.8781358618009785</v>
      </c>
      <c r="J280" s="173">
        <v>0.20928449536456342</v>
      </c>
      <c r="K280" s="173" t="s">
        <v>31</v>
      </c>
      <c r="L280" s="173" t="s">
        <v>31</v>
      </c>
      <c r="M280" s="173" t="s">
        <v>31</v>
      </c>
      <c r="N280" s="173"/>
      <c r="O280" s="242" t="s">
        <v>947</v>
      </c>
      <c r="P280" s="296">
        <v>2.8</v>
      </c>
      <c r="Q280" s="173" t="s">
        <v>337</v>
      </c>
      <c r="R280" s="173">
        <f>P280*0.001</f>
        <v>2.8E-3</v>
      </c>
      <c r="S280" s="173"/>
      <c r="T280" s="173"/>
      <c r="U280" s="173"/>
    </row>
    <row r="281" spans="1:21">
      <c r="A281" s="173" t="s">
        <v>1285</v>
      </c>
      <c r="B281" s="184">
        <f>R281</f>
        <v>2.8E-3</v>
      </c>
      <c r="C281" s="173" t="s">
        <v>37</v>
      </c>
      <c r="D281" s="258" t="s">
        <v>2</v>
      </c>
      <c r="E281" s="173" t="s">
        <v>29</v>
      </c>
      <c r="F281" s="185" t="s">
        <v>39</v>
      </c>
      <c r="G281" s="173" t="s">
        <v>33</v>
      </c>
      <c r="H281" s="173">
        <v>2</v>
      </c>
      <c r="I281" s="173">
        <f t="shared" ref="I281" si="22">LN(B281)</f>
        <v>-5.8781358618009785</v>
      </c>
      <c r="J281" s="173">
        <v>0.20928449536456342</v>
      </c>
      <c r="K281" s="173" t="s">
        <v>31</v>
      </c>
      <c r="L281" s="173" t="s">
        <v>31</v>
      </c>
      <c r="M281" s="173" t="s">
        <v>31</v>
      </c>
      <c r="N281" s="173"/>
      <c r="O281" s="305" t="s">
        <v>947</v>
      </c>
      <c r="P281" s="306">
        <v>2.8</v>
      </c>
      <c r="Q281" s="173" t="s">
        <v>337</v>
      </c>
      <c r="R281" s="173">
        <f>0.001*P281</f>
        <v>2.8E-3</v>
      </c>
      <c r="S281" s="173"/>
      <c r="T281" s="173"/>
      <c r="U281" s="173"/>
    </row>
    <row r="282" spans="1:21" s="42" customFormat="1">
      <c r="A282" s="209" t="s">
        <v>5</v>
      </c>
      <c r="B282" s="210" t="s">
        <v>1610</v>
      </c>
      <c r="C282" s="188"/>
      <c r="D282" s="188"/>
      <c r="E282" s="188"/>
      <c r="F282" s="188"/>
      <c r="G282" s="188"/>
      <c r="H282" s="188"/>
      <c r="I282" s="188"/>
      <c r="J282" s="188"/>
      <c r="K282" s="188"/>
      <c r="L282" s="188"/>
      <c r="M282" s="188"/>
      <c r="N282" s="188"/>
      <c r="O282" s="188"/>
      <c r="P282" s="291"/>
      <c r="Q282" s="188"/>
      <c r="R282" s="188"/>
      <c r="S282" s="188"/>
      <c r="T282" s="188"/>
      <c r="U282" s="188"/>
    </row>
    <row r="283" spans="1:21">
      <c r="A283" s="177" t="s">
        <v>7</v>
      </c>
      <c r="B283" s="173" t="s">
        <v>566</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9</v>
      </c>
      <c r="B284" s="173" t="s">
        <v>1611</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11</v>
      </c>
      <c r="B285" s="179" t="s">
        <v>913</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13</v>
      </c>
      <c r="B286" s="173" t="s">
        <v>14</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15</v>
      </c>
      <c r="B287" s="265">
        <f>B292</f>
        <v>0.01</v>
      </c>
      <c r="C287" s="173"/>
      <c r="D287" s="173"/>
      <c r="E287" s="173"/>
      <c r="F287" s="173"/>
      <c r="G287" s="173"/>
      <c r="H287" s="173"/>
      <c r="I287" s="173"/>
      <c r="J287" s="173"/>
      <c r="K287" s="173"/>
      <c r="L287" s="173"/>
      <c r="M287" s="173"/>
      <c r="N287" s="173"/>
      <c r="O287" s="173"/>
      <c r="P287" s="173"/>
      <c r="Q287" s="173"/>
      <c r="R287" s="173"/>
      <c r="S287" s="173"/>
      <c r="T287" s="173"/>
      <c r="U287" s="173"/>
    </row>
    <row r="288" spans="1:21">
      <c r="A288" s="177" t="s">
        <v>16</v>
      </c>
      <c r="B288" s="173" t="s">
        <v>17</v>
      </c>
      <c r="C288" s="173"/>
      <c r="D288" s="173"/>
      <c r="E288" s="173"/>
      <c r="F288" s="173"/>
      <c r="G288" s="173"/>
      <c r="H288" s="173"/>
      <c r="I288" s="173"/>
      <c r="J288" s="173"/>
      <c r="K288" s="173"/>
      <c r="L288" s="173"/>
      <c r="M288" s="173"/>
      <c r="N288" s="173"/>
      <c r="O288" s="173"/>
      <c r="P288" s="173"/>
      <c r="Q288" s="173"/>
      <c r="R288" s="175" t="s">
        <v>1023</v>
      </c>
      <c r="S288" s="173"/>
      <c r="T288" s="173"/>
      <c r="U288" s="173"/>
    </row>
    <row r="289" spans="1:21">
      <c r="A289" s="177" t="s">
        <v>18</v>
      </c>
      <c r="B289" s="173" t="s">
        <v>206</v>
      </c>
      <c r="C289" s="173"/>
      <c r="D289" s="173"/>
      <c r="E289" s="173"/>
      <c r="F289" s="173"/>
      <c r="G289" s="173"/>
      <c r="H289" s="173"/>
      <c r="I289" s="173"/>
      <c r="J289" s="173"/>
      <c r="K289" s="173"/>
      <c r="L289" s="173"/>
      <c r="M289" s="173"/>
      <c r="N289" s="173"/>
      <c r="O289" s="173"/>
      <c r="P289" s="173"/>
      <c r="Q289" s="173"/>
      <c r="R289" s="173" t="s">
        <v>1024</v>
      </c>
      <c r="S289" s="173">
        <v>8900</v>
      </c>
      <c r="T289" s="173" t="s">
        <v>1025</v>
      </c>
      <c r="U289" s="173"/>
    </row>
    <row r="290" spans="1:21">
      <c r="A290" s="174" t="s">
        <v>19</v>
      </c>
      <c r="B290" s="173"/>
      <c r="C290" s="173"/>
      <c r="D290" s="173"/>
      <c r="E290" s="173"/>
      <c r="F290" s="173"/>
      <c r="G290" s="173"/>
      <c r="H290" s="173"/>
      <c r="I290" s="173"/>
      <c r="J290" s="173"/>
      <c r="K290" s="173"/>
      <c r="L290" s="173"/>
      <c r="M290" s="173"/>
      <c r="N290" s="173"/>
      <c r="O290" s="173"/>
      <c r="P290" s="173"/>
      <c r="Q290" s="173"/>
      <c r="R290" s="173" t="s">
        <v>1026</v>
      </c>
      <c r="S290" s="173">
        <f>5*10^-6</f>
        <v>4.9999999999999996E-6</v>
      </c>
      <c r="T290" s="173" t="s">
        <v>1027</v>
      </c>
      <c r="U290" s="173"/>
    </row>
    <row r="291" spans="1:21">
      <c r="A291" s="175" t="s">
        <v>20</v>
      </c>
      <c r="B291" s="175" t="s">
        <v>21</v>
      </c>
      <c r="C291" s="175" t="s">
        <v>18</v>
      </c>
      <c r="D291" s="175" t="s">
        <v>22</v>
      </c>
      <c r="E291" s="175" t="s">
        <v>7</v>
      </c>
      <c r="F291" s="175" t="s">
        <v>13</v>
      </c>
      <c r="G291" s="175" t="s">
        <v>16</v>
      </c>
      <c r="H291" s="175" t="s">
        <v>23</v>
      </c>
      <c r="I291" s="175" t="s">
        <v>24</v>
      </c>
      <c r="J291" s="175" t="s">
        <v>25</v>
      </c>
      <c r="K291" s="175" t="s">
        <v>26</v>
      </c>
      <c r="L291" s="175" t="s">
        <v>27</v>
      </c>
      <c r="M291" s="175" t="s">
        <v>28</v>
      </c>
      <c r="N291" s="175" t="s">
        <v>11</v>
      </c>
      <c r="O291" s="173"/>
      <c r="P291" s="173"/>
      <c r="Q291" s="173"/>
      <c r="R291" s="280" t="s">
        <v>1029</v>
      </c>
      <c r="S291" s="281">
        <f>S290*S289</f>
        <v>4.4499999999999998E-2</v>
      </c>
      <c r="T291" s="282" t="s">
        <v>985</v>
      </c>
      <c r="U291" s="173"/>
    </row>
    <row r="292" spans="1:21">
      <c r="A292" s="173" t="s">
        <v>1610</v>
      </c>
      <c r="B292" s="265">
        <v>0.01</v>
      </c>
      <c r="C292" s="173" t="s">
        <v>206</v>
      </c>
      <c r="D292" s="258" t="s">
        <v>2</v>
      </c>
      <c r="E292" s="173" t="s">
        <v>29</v>
      </c>
      <c r="F292" s="173" t="s">
        <v>14</v>
      </c>
      <c r="G292" s="173" t="s">
        <v>30</v>
      </c>
      <c r="H292" s="173">
        <v>1</v>
      </c>
      <c r="I292" s="265">
        <f>B292</f>
        <v>0.01</v>
      </c>
      <c r="J292" s="173" t="s">
        <v>31</v>
      </c>
      <c r="K292" s="173" t="s">
        <v>31</v>
      </c>
      <c r="L292" s="173" t="s">
        <v>31</v>
      </c>
      <c r="M292" s="173" t="s">
        <v>31</v>
      </c>
      <c r="N292" s="173"/>
      <c r="O292" s="242" t="s">
        <v>1031</v>
      </c>
      <c r="P292" s="264">
        <f>B292*100</f>
        <v>1</v>
      </c>
      <c r="Q292" s="173"/>
      <c r="R292" s="173"/>
      <c r="S292" s="173"/>
      <c r="T292" s="173"/>
      <c r="U292" s="173"/>
    </row>
    <row r="293" spans="1:21">
      <c r="A293" s="173" t="s">
        <v>1612</v>
      </c>
      <c r="B293" s="265">
        <v>0.01</v>
      </c>
      <c r="C293" s="173" t="s">
        <v>206</v>
      </c>
      <c r="D293" s="258" t="s">
        <v>2</v>
      </c>
      <c r="E293" s="173" t="s">
        <v>29</v>
      </c>
      <c r="F293" s="173" t="s">
        <v>14</v>
      </c>
      <c r="G293" s="173" t="s">
        <v>33</v>
      </c>
      <c r="H293" s="173">
        <v>1</v>
      </c>
      <c r="I293" s="265">
        <f>B293</f>
        <v>0.01</v>
      </c>
      <c r="J293" s="173">
        <v>7.2284161474004766E-2</v>
      </c>
      <c r="K293" s="173" t="s">
        <v>31</v>
      </c>
      <c r="L293" s="173" t="s">
        <v>31</v>
      </c>
      <c r="M293" s="173" t="s">
        <v>31</v>
      </c>
      <c r="N293" s="173"/>
      <c r="O293" s="242" t="s">
        <v>1031</v>
      </c>
      <c r="P293" s="264">
        <f>B293*100</f>
        <v>1</v>
      </c>
      <c r="Q293" s="173"/>
      <c r="R293" s="173" t="s">
        <v>1032</v>
      </c>
      <c r="S293" s="173"/>
      <c r="T293" s="173"/>
      <c r="U293" s="260"/>
    </row>
    <row r="294" spans="1:21">
      <c r="A294" s="271" t="s">
        <v>1556</v>
      </c>
      <c r="B294" s="270">
        <f>T294</f>
        <v>1.6909999999999998E-2</v>
      </c>
      <c r="C294" s="173" t="s">
        <v>37</v>
      </c>
      <c r="D294" s="258" t="s">
        <v>2</v>
      </c>
      <c r="E294" s="173" t="s">
        <v>29</v>
      </c>
      <c r="F294" s="185" t="s">
        <v>14</v>
      </c>
      <c r="G294" s="173" t="s">
        <v>33</v>
      </c>
      <c r="H294" s="173">
        <v>1</v>
      </c>
      <c r="I294" s="265">
        <f>B294</f>
        <v>1.6909999999999998E-2</v>
      </c>
      <c r="J294" s="173">
        <v>7.2284161474004766E-2</v>
      </c>
      <c r="K294" s="173" t="s">
        <v>31</v>
      </c>
      <c r="L294" s="173" t="s">
        <v>31</v>
      </c>
      <c r="M294" s="173" t="s">
        <v>31</v>
      </c>
      <c r="N294" s="173"/>
      <c r="O294" s="286"/>
      <c r="P294" s="287"/>
      <c r="Q294" s="173"/>
      <c r="R294" s="284">
        <v>0.38</v>
      </c>
      <c r="S294" s="285" t="s">
        <v>945</v>
      </c>
      <c r="T294" s="284">
        <f>R294*S291</f>
        <v>1.6909999999999998E-2</v>
      </c>
      <c r="U294" s="285" t="s">
        <v>337</v>
      </c>
    </row>
    <row r="295" spans="1:21">
      <c r="A295" s="177" t="s">
        <v>933</v>
      </c>
      <c r="B295" s="173">
        <f>P295</f>
        <v>3</v>
      </c>
      <c r="C295" s="173" t="s">
        <v>37</v>
      </c>
      <c r="D295" s="173" t="s">
        <v>38</v>
      </c>
      <c r="E295" s="173" t="s">
        <v>29</v>
      </c>
      <c r="F295" s="185" t="s">
        <v>39</v>
      </c>
      <c r="G295" s="173" t="s">
        <v>33</v>
      </c>
      <c r="H295" s="173">
        <v>2</v>
      </c>
      <c r="I295" s="173">
        <f t="shared" ref="I295" si="23">LN(B295)</f>
        <v>1.0986122886681098</v>
      </c>
      <c r="J295" s="173">
        <v>7.2284161474004766E-2</v>
      </c>
      <c r="K295" s="173" t="s">
        <v>31</v>
      </c>
      <c r="L295" s="173" t="s">
        <v>31</v>
      </c>
      <c r="M295" s="173" t="s">
        <v>31</v>
      </c>
      <c r="N295" s="173"/>
      <c r="O295" s="242" t="s">
        <v>337</v>
      </c>
      <c r="P295" s="296">
        <v>3</v>
      </c>
      <c r="Q295" s="173"/>
      <c r="R295" s="173"/>
      <c r="S295" s="173"/>
      <c r="T295" s="173"/>
      <c r="U295" s="173"/>
    </row>
    <row r="296" spans="1:21">
      <c r="A296" s="232" t="s">
        <v>1021</v>
      </c>
      <c r="B296" s="184">
        <f>R296</f>
        <v>2.0000000000000001E-4</v>
      </c>
      <c r="C296" s="173" t="s">
        <v>37</v>
      </c>
      <c r="D296" s="173" t="s">
        <v>38</v>
      </c>
      <c r="E296" s="173" t="s">
        <v>29</v>
      </c>
      <c r="F296" s="185" t="s">
        <v>60</v>
      </c>
      <c r="G296" s="173" t="s">
        <v>33</v>
      </c>
      <c r="H296" s="173">
        <v>2</v>
      </c>
      <c r="I296" s="173">
        <f>LN(B296)</f>
        <v>-8.5171931914162382</v>
      </c>
      <c r="J296" s="173">
        <v>7.2284161474004766E-2</v>
      </c>
      <c r="K296" s="173" t="s">
        <v>31</v>
      </c>
      <c r="L296" s="173" t="s">
        <v>31</v>
      </c>
      <c r="M296" s="173" t="s">
        <v>31</v>
      </c>
      <c r="N296" s="173"/>
      <c r="O296" s="266" t="s">
        <v>952</v>
      </c>
      <c r="P296" s="365">
        <v>0.2</v>
      </c>
      <c r="Q296" s="242" t="s">
        <v>337</v>
      </c>
      <c r="R296" s="173">
        <f>P296*0.001</f>
        <v>2.0000000000000001E-4</v>
      </c>
      <c r="S296" s="173"/>
      <c r="T296" s="173"/>
      <c r="U296" s="173"/>
    </row>
    <row r="297" spans="1:21">
      <c r="A297" s="232" t="s">
        <v>489</v>
      </c>
      <c r="B297" s="173">
        <f>R297</f>
        <v>3.0000000000000001E-3</v>
      </c>
      <c r="C297" s="173" t="s">
        <v>50</v>
      </c>
      <c r="D297" s="173" t="s">
        <v>38</v>
      </c>
      <c r="E297" s="173" t="s">
        <v>29</v>
      </c>
      <c r="F297" s="185" t="s">
        <v>39</v>
      </c>
      <c r="G297" s="173" t="s">
        <v>33</v>
      </c>
      <c r="H297" s="173">
        <v>2</v>
      </c>
      <c r="I297" s="173">
        <f t="shared" ref="I297" si="24">LN(B297)</f>
        <v>-5.8091429903140277</v>
      </c>
      <c r="J297" s="173">
        <v>7.2284161474004766E-2</v>
      </c>
      <c r="K297" s="173" t="s">
        <v>31</v>
      </c>
      <c r="L297" s="173" t="s">
        <v>31</v>
      </c>
      <c r="M297" s="173" t="s">
        <v>31</v>
      </c>
      <c r="N297" s="173"/>
      <c r="O297" s="268" t="s">
        <v>1009</v>
      </c>
      <c r="P297" s="306">
        <v>3</v>
      </c>
      <c r="Q297" s="173" t="s">
        <v>335</v>
      </c>
      <c r="R297" s="173">
        <f>P297*0.001</f>
        <v>3.0000000000000001E-3</v>
      </c>
      <c r="S297" s="173"/>
      <c r="T297" s="173"/>
      <c r="U297" s="173"/>
    </row>
    <row r="298" spans="1:21" s="42" customFormat="1">
      <c r="A298" s="209" t="s">
        <v>5</v>
      </c>
      <c r="B298" s="210" t="s">
        <v>1612</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7</v>
      </c>
      <c r="B299" s="173" t="s">
        <v>566</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9</v>
      </c>
      <c r="B300" s="173" t="s">
        <v>1613</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11</v>
      </c>
      <c r="B301" s="179" t="s">
        <v>913</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13</v>
      </c>
      <c r="B302" s="173" t="s">
        <v>14</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15</v>
      </c>
      <c r="B303" s="265">
        <f>B308</f>
        <v>6.0000000000000001E-3</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16</v>
      </c>
      <c r="B304" s="173" t="s">
        <v>17</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18</v>
      </c>
      <c r="B305" s="173" t="s">
        <v>206</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19</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20</v>
      </c>
      <c r="B307" s="175" t="s">
        <v>21</v>
      </c>
      <c r="C307" s="175" t="s">
        <v>18</v>
      </c>
      <c r="D307" s="175" t="s">
        <v>22</v>
      </c>
      <c r="E307" s="175" t="s">
        <v>7</v>
      </c>
      <c r="F307" s="175" t="s">
        <v>13</v>
      </c>
      <c r="G307" s="175" t="s">
        <v>16</v>
      </c>
      <c r="H307" s="175" t="s">
        <v>23</v>
      </c>
      <c r="I307" s="175" t="s">
        <v>24</v>
      </c>
      <c r="J307" s="175" t="s">
        <v>25</v>
      </c>
      <c r="K307" s="175" t="s">
        <v>26</v>
      </c>
      <c r="L307" s="175" t="s">
        <v>27</v>
      </c>
      <c r="M307" s="175" t="s">
        <v>28</v>
      </c>
      <c r="N307" s="175" t="s">
        <v>11</v>
      </c>
      <c r="O307" s="173"/>
      <c r="P307" s="173"/>
      <c r="Q307" s="173"/>
      <c r="R307" s="173"/>
      <c r="S307" s="173"/>
      <c r="T307" s="265"/>
      <c r="U307" s="173"/>
    </row>
    <row r="308" spans="1:21">
      <c r="A308" s="173" t="s">
        <v>1612</v>
      </c>
      <c r="B308" s="265">
        <f t="shared" ref="B308:B318" si="25">P308</f>
        <v>6.0000000000000001E-3</v>
      </c>
      <c r="C308" s="173" t="s">
        <v>206</v>
      </c>
      <c r="D308" s="258" t="s">
        <v>2</v>
      </c>
      <c r="E308" s="173" t="s">
        <v>29</v>
      </c>
      <c r="F308" s="173" t="s">
        <v>14</v>
      </c>
      <c r="G308" s="173" t="s">
        <v>30</v>
      </c>
      <c r="H308" s="173">
        <v>1</v>
      </c>
      <c r="I308" s="265">
        <f>B308</f>
        <v>6.0000000000000001E-3</v>
      </c>
      <c r="J308" s="173" t="s">
        <v>31</v>
      </c>
      <c r="K308" s="173" t="s">
        <v>31</v>
      </c>
      <c r="L308" s="173" t="s">
        <v>31</v>
      </c>
      <c r="M308" s="173" t="s">
        <v>31</v>
      </c>
      <c r="N308" s="173"/>
      <c r="O308" s="173"/>
      <c r="P308" s="358">
        <v>6.0000000000000001E-3</v>
      </c>
      <c r="Q308" s="173"/>
      <c r="R308" s="173"/>
      <c r="S308" s="173"/>
      <c r="T308" s="173"/>
      <c r="U308" s="173"/>
    </row>
    <row r="309" spans="1:21">
      <c r="A309" s="173" t="s">
        <v>1614</v>
      </c>
      <c r="B309" s="265">
        <f t="shared" si="25"/>
        <v>6.0000000000000001E-3</v>
      </c>
      <c r="C309" s="173" t="s">
        <v>206</v>
      </c>
      <c r="D309" s="258" t="s">
        <v>2</v>
      </c>
      <c r="E309" s="173" t="s">
        <v>29</v>
      </c>
      <c r="F309" s="173" t="s">
        <v>14</v>
      </c>
      <c r="G309" s="173" t="s">
        <v>33</v>
      </c>
      <c r="H309" s="173">
        <v>1</v>
      </c>
      <c r="I309" s="265">
        <f>B309</f>
        <v>6.0000000000000001E-3</v>
      </c>
      <c r="J309" s="173" t="s">
        <v>31</v>
      </c>
      <c r="K309" s="173" t="s">
        <v>31</v>
      </c>
      <c r="L309" s="173" t="s">
        <v>31</v>
      </c>
      <c r="M309" s="173" t="s">
        <v>31</v>
      </c>
      <c r="N309" s="173"/>
      <c r="O309" s="173"/>
      <c r="P309" s="358">
        <v>6.0000000000000001E-3</v>
      </c>
      <c r="Q309" s="173"/>
      <c r="R309" s="173"/>
      <c r="S309" s="173"/>
      <c r="T309" s="173"/>
      <c r="U309" s="173"/>
    </row>
    <row r="310" spans="1:21">
      <c r="A310" s="177" t="s">
        <v>168</v>
      </c>
      <c r="B310" s="184">
        <f t="shared" si="25"/>
        <v>7.8E-2</v>
      </c>
      <c r="C310" s="173" t="s">
        <v>41</v>
      </c>
      <c r="D310" s="173" t="s">
        <v>38</v>
      </c>
      <c r="E310" s="173" t="s">
        <v>29</v>
      </c>
      <c r="F310" s="185" t="s">
        <v>35</v>
      </c>
      <c r="G310" s="173" t="s">
        <v>33</v>
      </c>
      <c r="H310" s="173">
        <v>2</v>
      </c>
      <c r="I310" s="173">
        <f t="shared" ref="I310" si="26">LN(B310)</f>
        <v>-2.5510464522925451</v>
      </c>
      <c r="J310" s="173">
        <v>0.22500000000000006</v>
      </c>
      <c r="K310" s="173" t="s">
        <v>31</v>
      </c>
      <c r="L310" s="173" t="s">
        <v>31</v>
      </c>
      <c r="M310" s="173" t="s">
        <v>31</v>
      </c>
      <c r="N310" s="173"/>
      <c r="O310" s="242" t="s">
        <v>332</v>
      </c>
      <c r="P310" s="264">
        <v>7.8E-2</v>
      </c>
      <c r="Q310" s="173"/>
      <c r="R310" s="173"/>
      <c r="S310" s="173"/>
      <c r="T310" s="173"/>
      <c r="U310" s="173"/>
    </row>
    <row r="311" spans="1:21">
      <c r="A311" s="232" t="s">
        <v>1077</v>
      </c>
      <c r="B311" s="265">
        <f t="shared" si="25"/>
        <v>3.5999999999999999E-3</v>
      </c>
      <c r="C311" s="173" t="s">
        <v>37</v>
      </c>
      <c r="D311" s="173" t="s">
        <v>38</v>
      </c>
      <c r="E311" s="173" t="s">
        <v>29</v>
      </c>
      <c r="F311" s="173" t="s">
        <v>35</v>
      </c>
      <c r="G311" s="173" t="s">
        <v>33</v>
      </c>
      <c r="H311" s="173">
        <v>2</v>
      </c>
      <c r="I311" s="173">
        <f>LN(B311)</f>
        <v>-5.6268214335200728</v>
      </c>
      <c r="J311" s="173">
        <v>0.22500000000000006</v>
      </c>
      <c r="K311" s="173" t="s">
        <v>31</v>
      </c>
      <c r="L311" s="173" t="s">
        <v>31</v>
      </c>
      <c r="M311" s="173" t="s">
        <v>31</v>
      </c>
      <c r="N311" s="173"/>
      <c r="O311" s="242" t="s">
        <v>337</v>
      </c>
      <c r="P311" s="311">
        <v>3.5999999999999999E-3</v>
      </c>
      <c r="Q311" s="173"/>
      <c r="R311" s="173"/>
      <c r="S311" s="173"/>
      <c r="T311" s="173"/>
      <c r="U311" s="173"/>
    </row>
    <row r="312" spans="1:21">
      <c r="A312" s="173" t="s">
        <v>1104</v>
      </c>
      <c r="B312" s="265">
        <f t="shared" si="25"/>
        <v>7.7999999999999996E-3</v>
      </c>
      <c r="C312" s="173" t="s">
        <v>37</v>
      </c>
      <c r="D312" s="173" t="s">
        <v>38</v>
      </c>
      <c r="E312" s="173" t="s">
        <v>29</v>
      </c>
      <c r="F312" s="173" t="s">
        <v>60</v>
      </c>
      <c r="G312" s="173" t="s">
        <v>33</v>
      </c>
      <c r="H312" s="173">
        <v>2</v>
      </c>
      <c r="I312" s="173">
        <f t="shared" ref="I312:I318" si="27">LN(B312)</f>
        <v>-4.853631545286591</v>
      </c>
      <c r="J312" s="173">
        <v>0.22500000000000006</v>
      </c>
      <c r="K312" s="173" t="s">
        <v>31</v>
      </c>
      <c r="L312" s="173" t="s">
        <v>31</v>
      </c>
      <c r="M312" s="173" t="s">
        <v>31</v>
      </c>
      <c r="N312" s="173"/>
      <c r="O312" s="242" t="s">
        <v>337</v>
      </c>
      <c r="P312" s="311">
        <v>7.7999999999999996E-3</v>
      </c>
      <c r="Q312" s="173"/>
      <c r="R312" s="173"/>
      <c r="S312" s="173"/>
      <c r="T312" s="173"/>
      <c r="U312" s="173"/>
    </row>
    <row r="313" spans="1:21">
      <c r="A313" s="232" t="s">
        <v>1078</v>
      </c>
      <c r="B313" s="265">
        <f t="shared" si="25"/>
        <v>3.5999999999999999E-3</v>
      </c>
      <c r="C313" s="173" t="s">
        <v>37</v>
      </c>
      <c r="D313" s="173" t="s">
        <v>38</v>
      </c>
      <c r="E313" s="173" t="s">
        <v>29</v>
      </c>
      <c r="F313" s="173" t="s">
        <v>35</v>
      </c>
      <c r="G313" s="173" t="s">
        <v>33</v>
      </c>
      <c r="H313" s="173">
        <v>2</v>
      </c>
      <c r="I313" s="173">
        <f t="shared" si="27"/>
        <v>-5.6268214335200728</v>
      </c>
      <c r="J313" s="173">
        <v>0.22500000000000006</v>
      </c>
      <c r="K313" s="173" t="s">
        <v>31</v>
      </c>
      <c r="L313" s="173" t="s">
        <v>31</v>
      </c>
      <c r="M313" s="173" t="s">
        <v>31</v>
      </c>
      <c r="N313" s="173"/>
      <c r="O313" s="242" t="s">
        <v>337</v>
      </c>
      <c r="P313" s="311">
        <v>3.5999999999999999E-3</v>
      </c>
      <c r="Q313" s="173"/>
      <c r="R313" s="173"/>
      <c r="S313" s="173"/>
      <c r="T313" s="173"/>
      <c r="U313" s="173"/>
    </row>
    <row r="314" spans="1:21">
      <c r="A314" s="232" t="s">
        <v>1105</v>
      </c>
      <c r="B314" s="265">
        <f t="shared" si="25"/>
        <v>2.7000000000000001E-3</v>
      </c>
      <c r="C314" s="173" t="s">
        <v>37</v>
      </c>
      <c r="D314" s="173" t="s">
        <v>38</v>
      </c>
      <c r="E314" s="173" t="s">
        <v>29</v>
      </c>
      <c r="F314" s="173" t="s">
        <v>60</v>
      </c>
      <c r="G314" s="173" t="s">
        <v>33</v>
      </c>
      <c r="H314" s="173">
        <v>2</v>
      </c>
      <c r="I314" s="173">
        <f t="shared" si="27"/>
        <v>-5.9145035059718536</v>
      </c>
      <c r="J314" s="173">
        <v>0.22500000000000006</v>
      </c>
      <c r="K314" s="173" t="s">
        <v>31</v>
      </c>
      <c r="L314" s="173" t="s">
        <v>31</v>
      </c>
      <c r="M314" s="173" t="s">
        <v>31</v>
      </c>
      <c r="N314" s="173"/>
      <c r="O314" s="242" t="s">
        <v>337</v>
      </c>
      <c r="P314" s="311">
        <v>2.7000000000000001E-3</v>
      </c>
      <c r="Q314" s="173"/>
      <c r="R314" s="173"/>
      <c r="S314" s="173"/>
      <c r="T314" s="173"/>
      <c r="U314" s="173"/>
    </row>
    <row r="315" spans="1:21">
      <c r="A315" s="232" t="s">
        <v>1106</v>
      </c>
      <c r="B315" s="265">
        <f t="shared" si="25"/>
        <v>7.7999999999999996E-3</v>
      </c>
      <c r="C315" s="173" t="s">
        <v>37</v>
      </c>
      <c r="D315" s="173" t="s">
        <v>38</v>
      </c>
      <c r="E315" s="173" t="s">
        <v>29</v>
      </c>
      <c r="F315" s="173" t="s">
        <v>60</v>
      </c>
      <c r="G315" s="173" t="s">
        <v>33</v>
      </c>
      <c r="H315" s="173">
        <v>2</v>
      </c>
      <c r="I315" s="173">
        <f t="shared" si="27"/>
        <v>-4.853631545286591</v>
      </c>
      <c r="J315" s="173">
        <v>0.22500000000000006</v>
      </c>
      <c r="K315" s="173" t="s">
        <v>31</v>
      </c>
      <c r="L315" s="173" t="s">
        <v>31</v>
      </c>
      <c r="M315" s="173" t="s">
        <v>31</v>
      </c>
      <c r="N315" s="173"/>
      <c r="O315" s="242" t="s">
        <v>337</v>
      </c>
      <c r="P315" s="311">
        <v>7.7999999999999996E-3</v>
      </c>
      <c r="Q315" s="173"/>
      <c r="R315" s="173"/>
      <c r="S315" s="173"/>
      <c r="T315" s="173"/>
      <c r="U315" s="173"/>
    </row>
    <row r="316" spans="1:21">
      <c r="A316" s="177" t="s">
        <v>933</v>
      </c>
      <c r="B316" s="265">
        <f t="shared" si="25"/>
        <v>0.14299999999999999</v>
      </c>
      <c r="C316" s="173" t="s">
        <v>37</v>
      </c>
      <c r="D316" s="173" t="s">
        <v>38</v>
      </c>
      <c r="E316" s="173" t="s">
        <v>29</v>
      </c>
      <c r="F316" s="185" t="s">
        <v>39</v>
      </c>
      <c r="G316" s="173" t="s">
        <v>33</v>
      </c>
      <c r="H316" s="173">
        <v>2</v>
      </c>
      <c r="I316" s="173">
        <f t="shared" si="27"/>
        <v>-1.9449106487222299</v>
      </c>
      <c r="J316" s="173">
        <v>0.22500000000000006</v>
      </c>
      <c r="K316" s="173" t="s">
        <v>31</v>
      </c>
      <c r="L316" s="173" t="s">
        <v>31</v>
      </c>
      <c r="M316" s="173" t="s">
        <v>31</v>
      </c>
      <c r="N316" s="173"/>
      <c r="O316" s="242" t="s">
        <v>337</v>
      </c>
      <c r="P316" s="311">
        <v>0.14299999999999999</v>
      </c>
      <c r="Q316" s="173"/>
      <c r="R316" s="173"/>
      <c r="S316" s="173"/>
      <c r="T316" s="173"/>
      <c r="U316" s="173"/>
    </row>
    <row r="317" spans="1:21">
      <c r="A317" s="232" t="s">
        <v>941</v>
      </c>
      <c r="B317" s="265">
        <f t="shared" si="25"/>
        <v>1.4E-3</v>
      </c>
      <c r="C317" s="173" t="s">
        <v>37</v>
      </c>
      <c r="D317" s="173" t="s">
        <v>43</v>
      </c>
      <c r="E317" s="173" t="s">
        <v>44</v>
      </c>
      <c r="F317" s="173" t="s">
        <v>29</v>
      </c>
      <c r="G317" s="173" t="s">
        <v>45</v>
      </c>
      <c r="H317" s="173">
        <v>2</v>
      </c>
      <c r="I317" s="173">
        <f t="shared" si="27"/>
        <v>-6.5712830423609239</v>
      </c>
      <c r="J317" s="173">
        <v>0.22500000000000006</v>
      </c>
      <c r="K317" s="173" t="s">
        <v>31</v>
      </c>
      <c r="L317" s="173" t="s">
        <v>31</v>
      </c>
      <c r="M317" s="173" t="s">
        <v>31</v>
      </c>
      <c r="N317" s="173"/>
      <c r="O317" s="266" t="s">
        <v>337</v>
      </c>
      <c r="P317" s="267">
        <v>1.4E-3</v>
      </c>
      <c r="Q317" s="173"/>
      <c r="R317" s="173"/>
      <c r="S317" s="173"/>
      <c r="T317" s="173"/>
      <c r="U317" s="173"/>
    </row>
    <row r="318" spans="1:21">
      <c r="A318" s="173" t="s">
        <v>1285</v>
      </c>
      <c r="B318" s="265">
        <f t="shared" si="25"/>
        <v>2.5999999999999999E-2</v>
      </c>
      <c r="C318" s="173" t="s">
        <v>37</v>
      </c>
      <c r="D318" s="258" t="s">
        <v>2</v>
      </c>
      <c r="E318" s="173" t="s">
        <v>29</v>
      </c>
      <c r="F318" s="185" t="s">
        <v>39</v>
      </c>
      <c r="G318" s="173" t="s">
        <v>33</v>
      </c>
      <c r="H318" s="173">
        <v>2</v>
      </c>
      <c r="I318" s="173">
        <f t="shared" si="27"/>
        <v>-3.6496587409606551</v>
      </c>
      <c r="J318" s="173">
        <v>0.22500000000000006</v>
      </c>
      <c r="K318" s="173" t="s">
        <v>31</v>
      </c>
      <c r="L318" s="173" t="s">
        <v>31</v>
      </c>
      <c r="M318" s="173" t="s">
        <v>31</v>
      </c>
      <c r="N318" s="173"/>
      <c r="O318" s="268" t="s">
        <v>337</v>
      </c>
      <c r="P318" s="312">
        <v>2.5999999999999999E-2</v>
      </c>
      <c r="Q318" s="173"/>
      <c r="R318" s="173"/>
      <c r="S318" s="173"/>
      <c r="T318" s="173"/>
      <c r="U318" s="173"/>
    </row>
    <row r="319" spans="1:21" s="42" customFormat="1">
      <c r="A319" s="209" t="s">
        <v>5</v>
      </c>
      <c r="B319" s="210" t="s">
        <v>1614</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7</v>
      </c>
      <c r="B320" s="173" t="s">
        <v>566</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9</v>
      </c>
      <c r="B321" s="173" t="s">
        <v>1615</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11</v>
      </c>
      <c r="B322" s="179" t="s">
        <v>913</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13</v>
      </c>
      <c r="B323" s="173" t="s">
        <v>14</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15</v>
      </c>
      <c r="B324" s="265">
        <f>B329</f>
        <v>6.0000000000000001E-3</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16</v>
      </c>
      <c r="B325" s="173" t="s">
        <v>17</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18</v>
      </c>
      <c r="B326" s="173" t="s">
        <v>206</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19</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20</v>
      </c>
      <c r="B328" s="175" t="s">
        <v>21</v>
      </c>
      <c r="C328" s="175" t="s">
        <v>18</v>
      </c>
      <c r="D328" s="175" t="s">
        <v>22</v>
      </c>
      <c r="E328" s="175" t="s">
        <v>7</v>
      </c>
      <c r="F328" s="175" t="s">
        <v>13</v>
      </c>
      <c r="G328" s="175" t="s">
        <v>16</v>
      </c>
      <c r="H328" s="175" t="s">
        <v>23</v>
      </c>
      <c r="I328" s="175" t="s">
        <v>24</v>
      </c>
      <c r="J328" s="175" t="s">
        <v>25</v>
      </c>
      <c r="K328" s="175" t="s">
        <v>26</v>
      </c>
      <c r="L328" s="175" t="s">
        <v>27</v>
      </c>
      <c r="M328" s="175" t="s">
        <v>28</v>
      </c>
      <c r="N328" s="175" t="s">
        <v>11</v>
      </c>
      <c r="O328" s="173"/>
      <c r="P328" s="173"/>
      <c r="Q328" s="173"/>
      <c r="R328" s="173"/>
      <c r="S328" s="173"/>
      <c r="T328" s="265"/>
      <c r="U328" s="173"/>
    </row>
    <row r="329" spans="1:21">
      <c r="A329" s="173" t="s">
        <v>1614</v>
      </c>
      <c r="B329" s="265">
        <f>P330</f>
        <v>6.0000000000000001E-3</v>
      </c>
      <c r="C329" s="173" t="s">
        <v>206</v>
      </c>
      <c r="D329" s="258" t="s">
        <v>2</v>
      </c>
      <c r="E329" s="173" t="s">
        <v>29</v>
      </c>
      <c r="F329" s="173" t="s">
        <v>14</v>
      </c>
      <c r="G329" s="173" t="s">
        <v>30</v>
      </c>
      <c r="H329" s="173">
        <v>1</v>
      </c>
      <c r="I329" s="265">
        <f>B329</f>
        <v>6.0000000000000001E-3</v>
      </c>
      <c r="J329" s="173" t="s">
        <v>31</v>
      </c>
      <c r="K329" s="173" t="s">
        <v>31</v>
      </c>
      <c r="L329" s="173" t="s">
        <v>31</v>
      </c>
      <c r="M329" s="173" t="s">
        <v>31</v>
      </c>
      <c r="N329" s="173"/>
      <c r="O329" s="173"/>
      <c r="P329" s="173"/>
      <c r="Q329" s="173"/>
      <c r="R329" s="173"/>
      <c r="S329" s="173"/>
      <c r="T329" s="173"/>
      <c r="U329" s="173"/>
    </row>
    <row r="330" spans="1:21">
      <c r="A330" s="271" t="s">
        <v>1616</v>
      </c>
      <c r="B330" s="265">
        <f>P330</f>
        <v>6.0000000000000001E-3</v>
      </c>
      <c r="C330" s="173" t="s">
        <v>206</v>
      </c>
      <c r="D330" s="258" t="s">
        <v>2</v>
      </c>
      <c r="E330" s="173" t="s">
        <v>29</v>
      </c>
      <c r="F330" s="173" t="s">
        <v>14</v>
      </c>
      <c r="G330" s="173" t="s">
        <v>33</v>
      </c>
      <c r="H330" s="173">
        <v>1</v>
      </c>
      <c r="I330" s="265">
        <f>B330</f>
        <v>6.0000000000000001E-3</v>
      </c>
      <c r="J330" s="173">
        <v>2.8722813232690055E-2</v>
      </c>
      <c r="K330" s="173" t="s">
        <v>31</v>
      </c>
      <c r="L330" s="173" t="s">
        <v>31</v>
      </c>
      <c r="M330" s="173" t="s">
        <v>31</v>
      </c>
      <c r="N330" s="173"/>
      <c r="O330" s="236" t="s">
        <v>963</v>
      </c>
      <c r="P330" s="358">
        <v>6.0000000000000001E-3</v>
      </c>
      <c r="Q330" s="173"/>
      <c r="R330" s="173"/>
      <c r="S330" s="173"/>
      <c r="T330" s="173"/>
      <c r="U330" s="173"/>
    </row>
    <row r="331" spans="1:21">
      <c r="A331" s="271" t="s">
        <v>1559</v>
      </c>
      <c r="B331" s="173">
        <f>R331</f>
        <v>6.2E-2</v>
      </c>
      <c r="C331" s="173" t="s">
        <v>337</v>
      </c>
      <c r="D331" s="258" t="s">
        <v>2</v>
      </c>
      <c r="E331" s="173" t="s">
        <v>29</v>
      </c>
      <c r="F331" s="173" t="s">
        <v>14</v>
      </c>
      <c r="G331" s="173" t="s">
        <v>33</v>
      </c>
      <c r="H331" s="173">
        <v>1</v>
      </c>
      <c r="I331" s="265">
        <f>B331</f>
        <v>6.2E-2</v>
      </c>
      <c r="J331" s="173">
        <v>2.8722813232690055E-2</v>
      </c>
      <c r="K331" s="173" t="s">
        <v>31</v>
      </c>
      <c r="L331" s="173" t="s">
        <v>31</v>
      </c>
      <c r="M331" s="173" t="s">
        <v>31</v>
      </c>
      <c r="N331" s="173"/>
      <c r="O331" s="236" t="s">
        <v>947</v>
      </c>
      <c r="P331" s="314">
        <v>62</v>
      </c>
      <c r="Q331" s="173" t="s">
        <v>337</v>
      </c>
      <c r="R331" s="173">
        <f>P331*0.001</f>
        <v>6.2E-2</v>
      </c>
      <c r="S331" s="173"/>
      <c r="T331" s="173"/>
      <c r="U331" s="173"/>
    </row>
    <row r="332" spans="1:21">
      <c r="A332" s="177" t="s">
        <v>168</v>
      </c>
      <c r="B332" s="184">
        <f>P332</f>
        <v>6.0000000000000001E-3</v>
      </c>
      <c r="C332" s="173" t="s">
        <v>41</v>
      </c>
      <c r="D332" s="173" t="s">
        <v>38</v>
      </c>
      <c r="E332" s="173" t="s">
        <v>29</v>
      </c>
      <c r="F332" s="185" t="s">
        <v>35</v>
      </c>
      <c r="G332" s="173" t="s">
        <v>33</v>
      </c>
      <c r="H332" s="173">
        <v>2</v>
      </c>
      <c r="I332" s="173">
        <f t="shared" ref="I332:I334" si="28">LN(B332)</f>
        <v>-5.1159958097540823</v>
      </c>
      <c r="J332" s="173">
        <v>0.20928449536456342</v>
      </c>
      <c r="K332" s="173" t="s">
        <v>31</v>
      </c>
      <c r="L332" s="173" t="s">
        <v>31</v>
      </c>
      <c r="M332" s="173" t="s">
        <v>31</v>
      </c>
      <c r="N332" s="173"/>
      <c r="O332" s="242" t="s">
        <v>332</v>
      </c>
      <c r="P332" s="302">
        <v>6.0000000000000001E-3</v>
      </c>
      <c r="Q332" s="173"/>
      <c r="R332" s="173"/>
      <c r="S332" s="173"/>
      <c r="T332" s="173"/>
      <c r="U332" s="173"/>
    </row>
    <row r="333" spans="1:21">
      <c r="A333" s="177" t="s">
        <v>168</v>
      </c>
      <c r="B333" s="184">
        <f>P333</f>
        <v>0.35</v>
      </c>
      <c r="C333" s="173" t="s">
        <v>41</v>
      </c>
      <c r="D333" s="173" t="s">
        <v>38</v>
      </c>
      <c r="E333" s="173" t="s">
        <v>29</v>
      </c>
      <c r="F333" s="185" t="s">
        <v>35</v>
      </c>
      <c r="G333" s="173" t="s">
        <v>33</v>
      </c>
      <c r="H333" s="173">
        <v>2</v>
      </c>
      <c r="I333" s="173">
        <f t="shared" si="28"/>
        <v>-1.0498221244986778</v>
      </c>
      <c r="J333" s="173">
        <v>0.20928449536456342</v>
      </c>
      <c r="K333" s="173" t="s">
        <v>31</v>
      </c>
      <c r="L333" s="173" t="s">
        <v>31</v>
      </c>
      <c r="M333" s="173" t="s">
        <v>31</v>
      </c>
      <c r="N333" s="173"/>
      <c r="O333" s="242" t="s">
        <v>332</v>
      </c>
      <c r="P333" s="296">
        <v>0.35</v>
      </c>
      <c r="Q333" s="173"/>
      <c r="R333" s="173"/>
      <c r="S333" s="173"/>
      <c r="T333" s="173"/>
      <c r="U333" s="173"/>
    </row>
    <row r="334" spans="1:21">
      <c r="A334" s="177" t="s">
        <v>168</v>
      </c>
      <c r="B334" s="184">
        <f>P334</f>
        <v>0.09</v>
      </c>
      <c r="C334" s="173" t="s">
        <v>41</v>
      </c>
      <c r="D334" s="173" t="s">
        <v>38</v>
      </c>
      <c r="E334" s="173" t="s">
        <v>29</v>
      </c>
      <c r="F334" s="185" t="s">
        <v>35</v>
      </c>
      <c r="G334" s="173" t="s">
        <v>33</v>
      </c>
      <c r="H334" s="173">
        <v>2</v>
      </c>
      <c r="I334" s="173">
        <f t="shared" si="28"/>
        <v>-2.4079456086518722</v>
      </c>
      <c r="J334" s="173">
        <v>9.6436507609929598E-2</v>
      </c>
      <c r="K334" s="173" t="s">
        <v>31</v>
      </c>
      <c r="L334" s="173" t="s">
        <v>31</v>
      </c>
      <c r="M334" s="173" t="s">
        <v>31</v>
      </c>
      <c r="N334" s="173"/>
      <c r="O334" s="242" t="s">
        <v>332</v>
      </c>
      <c r="P334" s="296">
        <v>0.09</v>
      </c>
      <c r="Q334" s="173"/>
      <c r="R334" s="173"/>
      <c r="S334" s="173"/>
      <c r="T334" s="173"/>
      <c r="U334" s="173"/>
    </row>
    <row r="335" spans="1:21">
      <c r="A335" s="232" t="s">
        <v>1077</v>
      </c>
      <c r="B335" s="265">
        <f>R335</f>
        <v>5.0000000000000001E-4</v>
      </c>
      <c r="C335" s="173" t="s">
        <v>37</v>
      </c>
      <c r="D335" s="173" t="s">
        <v>38</v>
      </c>
      <c r="E335" s="173" t="s">
        <v>29</v>
      </c>
      <c r="F335" s="173" t="s">
        <v>35</v>
      </c>
      <c r="G335" s="173" t="s">
        <v>33</v>
      </c>
      <c r="H335" s="173">
        <v>2</v>
      </c>
      <c r="I335" s="173">
        <f>LN(B335)</f>
        <v>-7.6009024595420822</v>
      </c>
      <c r="J335" s="173">
        <v>0.20928449536456342</v>
      </c>
      <c r="K335" s="173" t="s">
        <v>31</v>
      </c>
      <c r="L335" s="173" t="s">
        <v>31</v>
      </c>
      <c r="M335" s="173" t="s">
        <v>31</v>
      </c>
      <c r="N335" s="173"/>
      <c r="O335" s="242" t="s">
        <v>947</v>
      </c>
      <c r="P335" s="296">
        <v>0.5</v>
      </c>
      <c r="Q335" s="173" t="s">
        <v>337</v>
      </c>
      <c r="R335" s="173">
        <f>P335*0.001</f>
        <v>5.0000000000000001E-4</v>
      </c>
      <c r="S335" s="173"/>
      <c r="T335" s="173"/>
      <c r="U335" s="173"/>
    </row>
    <row r="336" spans="1:21">
      <c r="A336" s="177" t="s">
        <v>933</v>
      </c>
      <c r="B336" s="265">
        <f>P336</f>
        <v>5.0000000000000001E-3</v>
      </c>
      <c r="C336" s="173" t="s">
        <v>37</v>
      </c>
      <c r="D336" s="173" t="s">
        <v>38</v>
      </c>
      <c r="E336" s="173" t="s">
        <v>29</v>
      </c>
      <c r="F336" s="185" t="s">
        <v>39</v>
      </c>
      <c r="G336" s="173" t="s">
        <v>33</v>
      </c>
      <c r="H336" s="173">
        <v>2</v>
      </c>
      <c r="I336" s="173">
        <f>LN(B336)</f>
        <v>-5.2983173665480363</v>
      </c>
      <c r="J336" s="173">
        <v>0.20928449536456342</v>
      </c>
      <c r="K336" s="173" t="s">
        <v>31</v>
      </c>
      <c r="L336" s="173" t="s">
        <v>31</v>
      </c>
      <c r="M336" s="173" t="s">
        <v>31</v>
      </c>
      <c r="N336" s="173"/>
      <c r="O336" s="242" t="s">
        <v>337</v>
      </c>
      <c r="P336" s="302">
        <v>5.0000000000000001E-3</v>
      </c>
      <c r="Q336" s="173"/>
      <c r="R336" s="173"/>
      <c r="S336" s="173"/>
      <c r="T336" s="173"/>
      <c r="U336" s="173"/>
    </row>
    <row r="337" spans="1:21">
      <c r="A337" s="232" t="s">
        <v>1109</v>
      </c>
      <c r="B337" s="298">
        <f>R337</f>
        <v>9.0000000000000008E-4</v>
      </c>
      <c r="C337" s="173" t="s">
        <v>37</v>
      </c>
      <c r="D337" s="173" t="s">
        <v>38</v>
      </c>
      <c r="E337" s="173" t="s">
        <v>29</v>
      </c>
      <c r="F337" s="185" t="s">
        <v>86</v>
      </c>
      <c r="G337" s="173" t="s">
        <v>33</v>
      </c>
      <c r="H337" s="173">
        <v>2</v>
      </c>
      <c r="I337" s="173">
        <f>LN(B337)</f>
        <v>-7.0131157946399636</v>
      </c>
      <c r="J337" s="173">
        <v>0.20928449536456342</v>
      </c>
      <c r="K337" s="173" t="s">
        <v>31</v>
      </c>
      <c r="L337" s="173" t="s">
        <v>31</v>
      </c>
      <c r="M337" s="173" t="s">
        <v>31</v>
      </c>
      <c r="N337" s="173"/>
      <c r="O337" s="242" t="s">
        <v>947</v>
      </c>
      <c r="P337" s="296">
        <v>0.9</v>
      </c>
      <c r="Q337" s="173" t="s">
        <v>337</v>
      </c>
      <c r="R337" s="173">
        <f>P337*0.001</f>
        <v>9.0000000000000008E-4</v>
      </c>
      <c r="S337" s="173"/>
      <c r="T337" s="173"/>
      <c r="U337" s="173"/>
    </row>
    <row r="338" spans="1:21">
      <c r="A338" s="232" t="s">
        <v>1078</v>
      </c>
      <c r="B338" s="173">
        <f>R338</f>
        <v>2E-3</v>
      </c>
      <c r="C338" s="173" t="s">
        <v>37</v>
      </c>
      <c r="D338" s="173" t="s">
        <v>38</v>
      </c>
      <c r="E338" s="173" t="s">
        <v>29</v>
      </c>
      <c r="F338" s="173" t="s">
        <v>35</v>
      </c>
      <c r="G338" s="173" t="s">
        <v>33</v>
      </c>
      <c r="H338" s="173">
        <v>2</v>
      </c>
      <c r="I338" s="173">
        <f>LN(B338)</f>
        <v>-6.2146080984221914</v>
      </c>
      <c r="J338" s="173">
        <v>0.20928449536456342</v>
      </c>
      <c r="K338" s="173" t="s">
        <v>31</v>
      </c>
      <c r="L338" s="173" t="s">
        <v>31</v>
      </c>
      <c r="M338" s="173" t="s">
        <v>31</v>
      </c>
      <c r="N338" s="173"/>
      <c r="O338" s="242" t="s">
        <v>947</v>
      </c>
      <c r="P338" s="296">
        <v>2</v>
      </c>
      <c r="Q338" s="173" t="s">
        <v>337</v>
      </c>
      <c r="R338" s="173">
        <f>P338*0.001</f>
        <v>2E-3</v>
      </c>
      <c r="S338" s="173"/>
      <c r="T338" s="173"/>
      <c r="U338" s="173"/>
    </row>
    <row r="339" spans="1:21">
      <c r="A339" s="177" t="s">
        <v>934</v>
      </c>
      <c r="B339" s="173">
        <f>P339</f>
        <v>1</v>
      </c>
      <c r="C339" s="173" t="s">
        <v>37</v>
      </c>
      <c r="D339" s="173" t="s">
        <v>38</v>
      </c>
      <c r="E339" s="173" t="s">
        <v>29</v>
      </c>
      <c r="F339" s="185" t="s">
        <v>35</v>
      </c>
      <c r="G339" s="173" t="s">
        <v>33</v>
      </c>
      <c r="H339" s="173">
        <v>2</v>
      </c>
      <c r="I339" s="173">
        <f t="shared" ref="I339:I340" si="29">LN(B339)</f>
        <v>0</v>
      </c>
      <c r="J339" s="173">
        <v>0.20928449536456342</v>
      </c>
      <c r="K339" s="173" t="s">
        <v>31</v>
      </c>
      <c r="L339" s="173" t="s">
        <v>31</v>
      </c>
      <c r="M339" s="173" t="s">
        <v>31</v>
      </c>
      <c r="N339" s="173"/>
      <c r="O339" s="242" t="s">
        <v>337</v>
      </c>
      <c r="P339" s="296">
        <v>1</v>
      </c>
      <c r="Q339" s="173"/>
      <c r="R339" s="173"/>
      <c r="S339" s="173"/>
      <c r="T339" s="173"/>
      <c r="U339" s="173"/>
    </row>
    <row r="340" spans="1:21">
      <c r="A340" s="173" t="s">
        <v>1285</v>
      </c>
      <c r="B340" s="265">
        <f>P340</f>
        <v>3.0000000000000001E-3</v>
      </c>
      <c r="C340" s="173" t="s">
        <v>37</v>
      </c>
      <c r="D340" s="258" t="s">
        <v>2</v>
      </c>
      <c r="E340" s="173" t="s">
        <v>29</v>
      </c>
      <c r="F340" s="185" t="s">
        <v>39</v>
      </c>
      <c r="G340" s="173" t="s">
        <v>33</v>
      </c>
      <c r="H340" s="173">
        <v>2</v>
      </c>
      <c r="I340" s="173">
        <f t="shared" si="29"/>
        <v>-5.8091429903140277</v>
      </c>
      <c r="J340" s="173">
        <v>0.20928449536456342</v>
      </c>
      <c r="K340" s="173" t="s">
        <v>31</v>
      </c>
      <c r="L340" s="173" t="s">
        <v>31</v>
      </c>
      <c r="M340" s="173" t="s">
        <v>31</v>
      </c>
      <c r="N340" s="173"/>
      <c r="O340" s="268" t="s">
        <v>337</v>
      </c>
      <c r="P340" s="315">
        <v>3.0000000000000001E-3</v>
      </c>
      <c r="Q340" s="173"/>
      <c r="R340" s="173"/>
      <c r="S340" s="173"/>
      <c r="T340" s="173"/>
      <c r="U340" s="173"/>
    </row>
    <row r="341" spans="1:21" s="42" customFormat="1">
      <c r="A341" s="209" t="s">
        <v>5</v>
      </c>
      <c r="B341" s="210" t="s">
        <v>1616</v>
      </c>
      <c r="C341" s="188"/>
      <c r="D341" s="188"/>
      <c r="E341" s="188"/>
      <c r="F341" s="188"/>
      <c r="G341" s="188"/>
      <c r="H341" s="188"/>
      <c r="I341" s="188"/>
      <c r="J341" s="188"/>
      <c r="K341" s="188"/>
      <c r="L341" s="188"/>
      <c r="M341" s="188"/>
      <c r="N341" s="188"/>
      <c r="O341" s="188"/>
      <c r="P341" s="348"/>
      <c r="Q341" s="188"/>
      <c r="R341" s="188"/>
      <c r="S341" s="188"/>
      <c r="T341" s="188"/>
      <c r="U341" s="188"/>
    </row>
    <row r="342" spans="1:21">
      <c r="A342" s="177" t="s">
        <v>7</v>
      </c>
      <c r="B342" s="173" t="s">
        <v>566</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9</v>
      </c>
      <c r="B343" s="173" t="s">
        <v>1617</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11</v>
      </c>
      <c r="B344" s="179" t="s">
        <v>913</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13</v>
      </c>
      <c r="B345" s="173" t="s">
        <v>14</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15</v>
      </c>
      <c r="B346" s="265">
        <f>B351</f>
        <v>6.0000000000000001E-3</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16</v>
      </c>
      <c r="B347" s="173" t="s">
        <v>17</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18</v>
      </c>
      <c r="B348" s="173" t="s">
        <v>206</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19</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20</v>
      </c>
      <c r="B350" s="175" t="s">
        <v>21</v>
      </c>
      <c r="C350" s="175" t="s">
        <v>18</v>
      </c>
      <c r="D350" s="175" t="s">
        <v>22</v>
      </c>
      <c r="E350" s="175" t="s">
        <v>7</v>
      </c>
      <c r="F350" s="175" t="s">
        <v>13</v>
      </c>
      <c r="G350" s="175" t="s">
        <v>16</v>
      </c>
      <c r="H350" s="175" t="s">
        <v>23</v>
      </c>
      <c r="I350" s="175" t="s">
        <v>24</v>
      </c>
      <c r="J350" s="175" t="s">
        <v>25</v>
      </c>
      <c r="K350" s="175" t="s">
        <v>26</v>
      </c>
      <c r="L350" s="175" t="s">
        <v>27</v>
      </c>
      <c r="M350" s="175" t="s">
        <v>28</v>
      </c>
      <c r="N350" s="175" t="s">
        <v>11</v>
      </c>
      <c r="O350" s="173"/>
      <c r="P350" s="173"/>
      <c r="Q350" s="173"/>
      <c r="R350" s="173"/>
      <c r="S350" s="173"/>
      <c r="T350" s="265"/>
      <c r="U350" s="173"/>
    </row>
    <row r="351" spans="1:21">
      <c r="A351" s="271" t="s">
        <v>1616</v>
      </c>
      <c r="B351" s="265">
        <f>P351</f>
        <v>6.0000000000000001E-3</v>
      </c>
      <c r="C351" s="173" t="s">
        <v>206</v>
      </c>
      <c r="D351" s="258" t="s">
        <v>2</v>
      </c>
      <c r="E351" s="173" t="s">
        <v>29</v>
      </c>
      <c r="F351" s="173" t="s">
        <v>14</v>
      </c>
      <c r="G351" s="173" t="s">
        <v>30</v>
      </c>
      <c r="H351" s="173">
        <v>1</v>
      </c>
      <c r="I351" s="265">
        <f>B351</f>
        <v>6.0000000000000001E-3</v>
      </c>
      <c r="J351" s="173" t="s">
        <v>31</v>
      </c>
      <c r="K351" s="173" t="s">
        <v>31</v>
      </c>
      <c r="L351" s="173" t="s">
        <v>31</v>
      </c>
      <c r="M351" s="173" t="s">
        <v>31</v>
      </c>
      <c r="N351" s="173"/>
      <c r="O351" s="236" t="s">
        <v>963</v>
      </c>
      <c r="P351" s="358">
        <v>6.0000000000000001E-3</v>
      </c>
      <c r="Q351" s="173"/>
      <c r="R351" s="173"/>
      <c r="S351" s="173"/>
      <c r="T351" s="173"/>
      <c r="U351" s="173"/>
    </row>
    <row r="352" spans="1:21">
      <c r="A352" s="232" t="s">
        <v>995</v>
      </c>
      <c r="B352" s="173">
        <f>P352</f>
        <v>0.01</v>
      </c>
      <c r="C352" s="173" t="s">
        <v>37</v>
      </c>
      <c r="D352" s="173" t="s">
        <v>38</v>
      </c>
      <c r="E352" s="173" t="s">
        <v>29</v>
      </c>
      <c r="F352" s="173" t="s">
        <v>86</v>
      </c>
      <c r="G352" s="173" t="s">
        <v>33</v>
      </c>
      <c r="H352" s="173">
        <v>2</v>
      </c>
      <c r="I352" s="173">
        <f t="shared" ref="I352:I362" si="30">LN(B352)</f>
        <v>-4.6051701859880909</v>
      </c>
      <c r="J352" s="343">
        <v>0.22516660498395411</v>
      </c>
      <c r="K352" s="173" t="s">
        <v>31</v>
      </c>
      <c r="L352" s="173" t="s">
        <v>31</v>
      </c>
      <c r="M352" s="173" t="s">
        <v>31</v>
      </c>
      <c r="N352" s="173"/>
      <c r="O352" s="242" t="s">
        <v>337</v>
      </c>
      <c r="P352" s="264">
        <v>0.01</v>
      </c>
      <c r="Q352" s="173"/>
      <c r="R352" s="173"/>
      <c r="S352" s="173"/>
      <c r="T352" s="173"/>
      <c r="U352" s="173"/>
    </row>
    <row r="353" spans="1:21">
      <c r="A353" s="177" t="s">
        <v>168</v>
      </c>
      <c r="B353" s="184">
        <f>P353</f>
        <v>0.13</v>
      </c>
      <c r="C353" s="173" t="s">
        <v>41</v>
      </c>
      <c r="D353" s="173" t="s">
        <v>38</v>
      </c>
      <c r="E353" s="173" t="s">
        <v>29</v>
      </c>
      <c r="F353" s="185" t="s">
        <v>35</v>
      </c>
      <c r="G353" s="173" t="s">
        <v>33</v>
      </c>
      <c r="H353" s="173">
        <v>2</v>
      </c>
      <c r="I353" s="173">
        <f t="shared" si="30"/>
        <v>-2.0402208285265546</v>
      </c>
      <c r="J353" s="343">
        <v>0.22516660498395411</v>
      </c>
      <c r="K353" s="173" t="s">
        <v>31</v>
      </c>
      <c r="L353" s="173" t="s">
        <v>31</v>
      </c>
      <c r="M353" s="173" t="s">
        <v>31</v>
      </c>
      <c r="N353" s="173"/>
      <c r="O353" s="242" t="s">
        <v>332</v>
      </c>
      <c r="P353" s="264">
        <v>0.13</v>
      </c>
      <c r="Q353" s="173"/>
      <c r="R353" s="173"/>
      <c r="S353" s="173"/>
      <c r="T353" s="173"/>
      <c r="U353" s="173"/>
    </row>
    <row r="354" spans="1:21">
      <c r="A354" s="232" t="s">
        <v>1111</v>
      </c>
      <c r="B354" s="265">
        <f>R354</f>
        <v>2.1000000000000001E-4</v>
      </c>
      <c r="C354" s="173" t="s">
        <v>37</v>
      </c>
      <c r="D354" s="173" t="s">
        <v>38</v>
      </c>
      <c r="E354" s="173" t="s">
        <v>29</v>
      </c>
      <c r="F354" s="173" t="s">
        <v>35</v>
      </c>
      <c r="G354" s="173" t="s">
        <v>33</v>
      </c>
      <c r="H354" s="173">
        <v>2</v>
      </c>
      <c r="I354" s="173">
        <f t="shared" si="30"/>
        <v>-8.468403027246806</v>
      </c>
      <c r="J354" s="343">
        <v>0.22516660498395411</v>
      </c>
      <c r="K354" s="173" t="s">
        <v>31</v>
      </c>
      <c r="L354" s="173" t="s">
        <v>31</v>
      </c>
      <c r="M354" s="173" t="s">
        <v>31</v>
      </c>
      <c r="N354" s="173"/>
      <c r="O354" s="242" t="s">
        <v>947</v>
      </c>
      <c r="P354" s="311">
        <v>0.21</v>
      </c>
      <c r="Q354" s="173" t="s">
        <v>337</v>
      </c>
      <c r="R354" s="265">
        <f>0.001*P354</f>
        <v>2.1000000000000001E-4</v>
      </c>
      <c r="S354" s="173"/>
      <c r="T354" s="173"/>
      <c r="U354" s="173"/>
    </row>
    <row r="355" spans="1:21">
      <c r="A355" s="232" t="s">
        <v>1112</v>
      </c>
      <c r="B355" s="265">
        <f>P355</f>
        <v>1E-3</v>
      </c>
      <c r="C355" s="173" t="s">
        <v>37</v>
      </c>
      <c r="D355" s="173" t="s">
        <v>38</v>
      </c>
      <c r="E355" s="173" t="s">
        <v>29</v>
      </c>
      <c r="F355" s="173" t="s">
        <v>35</v>
      </c>
      <c r="G355" s="173" t="s">
        <v>33</v>
      </c>
      <c r="H355" s="173">
        <v>2</v>
      </c>
      <c r="I355" s="173">
        <f t="shared" si="30"/>
        <v>-6.9077552789821368</v>
      </c>
      <c r="J355" s="343">
        <v>0.22516660498395411</v>
      </c>
      <c r="K355" s="173" t="s">
        <v>31</v>
      </c>
      <c r="L355" s="173" t="s">
        <v>31</v>
      </c>
      <c r="M355" s="173" t="s">
        <v>31</v>
      </c>
      <c r="N355" s="173"/>
      <c r="O355" s="242" t="s">
        <v>337</v>
      </c>
      <c r="P355" s="311">
        <v>1E-3</v>
      </c>
      <c r="Q355" s="173"/>
      <c r="R355" s="173"/>
      <c r="S355" s="173"/>
      <c r="T355" s="173"/>
      <c r="U355" s="173"/>
    </row>
    <row r="356" spans="1:21">
      <c r="A356" s="232" t="s">
        <v>1113</v>
      </c>
      <c r="B356" s="265">
        <f>P356</f>
        <v>8.0000000000000004E-4</v>
      </c>
      <c r="C356" s="173" t="s">
        <v>37</v>
      </c>
      <c r="D356" s="173" t="s">
        <v>38</v>
      </c>
      <c r="E356" s="173" t="s">
        <v>29</v>
      </c>
      <c r="F356" s="173" t="s">
        <v>35</v>
      </c>
      <c r="G356" s="173" t="s">
        <v>33</v>
      </c>
      <c r="H356" s="173">
        <v>2</v>
      </c>
      <c r="I356" s="173">
        <f t="shared" si="30"/>
        <v>-7.1308988302963465</v>
      </c>
      <c r="J356" s="343">
        <v>0.22516660498395411</v>
      </c>
      <c r="K356" s="173" t="s">
        <v>31</v>
      </c>
      <c r="L356" s="173" t="s">
        <v>31</v>
      </c>
      <c r="M356" s="173" t="s">
        <v>31</v>
      </c>
      <c r="N356" s="173"/>
      <c r="O356" s="242" t="s">
        <v>337</v>
      </c>
      <c r="P356" s="311">
        <v>8.0000000000000004E-4</v>
      </c>
      <c r="Q356" s="173"/>
      <c r="R356" s="173"/>
      <c r="S356" s="173"/>
      <c r="T356" s="173"/>
      <c r="U356" s="173"/>
    </row>
    <row r="357" spans="1:21">
      <c r="A357" s="232" t="s">
        <v>1114</v>
      </c>
      <c r="B357" s="265">
        <f>P357</f>
        <v>7.3000000000000001E-3</v>
      </c>
      <c r="C357" s="173" t="s">
        <v>37</v>
      </c>
      <c r="D357" s="173" t="s">
        <v>38</v>
      </c>
      <c r="E357" s="173" t="s">
        <v>29</v>
      </c>
      <c r="F357" s="173" t="s">
        <v>35</v>
      </c>
      <c r="G357" s="173" t="s">
        <v>33</v>
      </c>
      <c r="H357" s="173">
        <v>2</v>
      </c>
      <c r="I357" s="173">
        <f t="shared" si="30"/>
        <v>-4.9198809308277918</v>
      </c>
      <c r="J357" s="343">
        <v>0.22516660498395411</v>
      </c>
      <c r="K357" s="173" t="s">
        <v>31</v>
      </c>
      <c r="L357" s="173" t="s">
        <v>31</v>
      </c>
      <c r="M357" s="173" t="s">
        <v>31</v>
      </c>
      <c r="N357" s="173"/>
      <c r="O357" s="242" t="s">
        <v>337</v>
      </c>
      <c r="P357" s="264">
        <v>7.3000000000000001E-3</v>
      </c>
      <c r="Q357" s="173"/>
      <c r="R357" s="173"/>
      <c r="S357" s="173"/>
      <c r="T357" s="173"/>
      <c r="U357" s="173"/>
    </row>
    <row r="358" spans="1:21">
      <c r="A358" s="232" t="s">
        <v>1115</v>
      </c>
      <c r="B358" s="265">
        <f>R358</f>
        <v>4.2000000000000004E-5</v>
      </c>
      <c r="C358" s="173" t="s">
        <v>37</v>
      </c>
      <c r="D358" s="173" t="s">
        <v>43</v>
      </c>
      <c r="E358" s="173" t="s">
        <v>44</v>
      </c>
      <c r="F358" s="173" t="s">
        <v>29</v>
      </c>
      <c r="G358" s="173" t="s">
        <v>45</v>
      </c>
      <c r="H358" s="173">
        <v>2</v>
      </c>
      <c r="I358" s="173">
        <f t="shared" si="30"/>
        <v>-10.077840939680906</v>
      </c>
      <c r="J358" s="343">
        <v>0.10344080432788608</v>
      </c>
      <c r="K358" s="173" t="s">
        <v>31</v>
      </c>
      <c r="L358" s="173" t="s">
        <v>31</v>
      </c>
      <c r="M358" s="173" t="s">
        <v>31</v>
      </c>
      <c r="N358" s="173"/>
      <c r="O358" s="266" t="s">
        <v>947</v>
      </c>
      <c r="P358" s="267">
        <v>4.2000000000000003E-2</v>
      </c>
      <c r="Q358" s="173" t="s">
        <v>337</v>
      </c>
      <c r="R358" s="265">
        <f>0.001*P358</f>
        <v>4.2000000000000004E-5</v>
      </c>
      <c r="S358" s="173"/>
      <c r="T358" s="173"/>
      <c r="U358" s="173"/>
    </row>
    <row r="359" spans="1:21">
      <c r="A359" s="232" t="s">
        <v>48</v>
      </c>
      <c r="B359" s="265">
        <f t="shared" ref="B359:B361" si="31">R359</f>
        <v>4.6000000000000001E-4</v>
      </c>
      <c r="C359" s="173" t="s">
        <v>37</v>
      </c>
      <c r="D359" s="173" t="s">
        <v>43</v>
      </c>
      <c r="E359" s="173" t="s">
        <v>44</v>
      </c>
      <c r="F359" s="173" t="s">
        <v>29</v>
      </c>
      <c r="G359" s="173" t="s">
        <v>45</v>
      </c>
      <c r="H359" s="173">
        <v>2</v>
      </c>
      <c r="I359" s="173">
        <f t="shared" si="30"/>
        <v>-7.6842840684811335</v>
      </c>
      <c r="J359" s="343">
        <v>0.10344080432788608</v>
      </c>
      <c r="K359" s="173" t="s">
        <v>31</v>
      </c>
      <c r="L359" s="173" t="s">
        <v>31</v>
      </c>
      <c r="M359" s="173" t="s">
        <v>31</v>
      </c>
      <c r="N359" s="173"/>
      <c r="O359" s="266" t="s">
        <v>947</v>
      </c>
      <c r="P359" s="267">
        <v>0.46</v>
      </c>
      <c r="Q359" s="173" t="s">
        <v>337</v>
      </c>
      <c r="R359" s="265">
        <f>0.001*P359</f>
        <v>4.6000000000000001E-4</v>
      </c>
      <c r="S359" s="173"/>
      <c r="T359" s="173"/>
      <c r="U359" s="173"/>
    </row>
    <row r="360" spans="1:21">
      <c r="A360" s="232" t="s">
        <v>46</v>
      </c>
      <c r="B360" s="265">
        <f t="shared" si="31"/>
        <v>2.9E-4</v>
      </c>
      <c r="C360" s="173" t="s">
        <v>37</v>
      </c>
      <c r="D360" s="173" t="s">
        <v>43</v>
      </c>
      <c r="E360" s="173" t="s">
        <v>44</v>
      </c>
      <c r="F360" s="173" t="s">
        <v>29</v>
      </c>
      <c r="G360" s="173" t="s">
        <v>45</v>
      </c>
      <c r="H360" s="173">
        <v>2</v>
      </c>
      <c r="I360" s="173">
        <f t="shared" si="30"/>
        <v>-8.145629634983754</v>
      </c>
      <c r="J360" s="343">
        <v>0.10344080432788608</v>
      </c>
      <c r="K360" s="173" t="s">
        <v>31</v>
      </c>
      <c r="L360" s="173" t="s">
        <v>31</v>
      </c>
      <c r="M360" s="173" t="s">
        <v>31</v>
      </c>
      <c r="N360" s="173"/>
      <c r="O360" s="266" t="s">
        <v>947</v>
      </c>
      <c r="P360" s="267">
        <v>0.28999999999999998</v>
      </c>
      <c r="Q360" s="173" t="s">
        <v>337</v>
      </c>
      <c r="R360" s="265">
        <f>0.001*P360</f>
        <v>2.9E-4</v>
      </c>
      <c r="S360" s="173"/>
      <c r="T360" s="173"/>
      <c r="U360" s="173"/>
    </row>
    <row r="361" spans="1:21">
      <c r="A361" s="232" t="s">
        <v>941</v>
      </c>
      <c r="B361" s="265">
        <f t="shared" si="31"/>
        <v>1.7000000000000001E-4</v>
      </c>
      <c r="C361" s="173" t="s">
        <v>37</v>
      </c>
      <c r="D361" s="173" t="s">
        <v>43</v>
      </c>
      <c r="E361" s="173" t="s">
        <v>44</v>
      </c>
      <c r="F361" s="173" t="s">
        <v>29</v>
      </c>
      <c r="G361" s="173" t="s">
        <v>45</v>
      </c>
      <c r="H361" s="173">
        <v>2</v>
      </c>
      <c r="I361" s="173">
        <f t="shared" si="30"/>
        <v>-8.6797121209140116</v>
      </c>
      <c r="J361" s="343">
        <v>0.10344080432788608</v>
      </c>
      <c r="K361" s="173" t="s">
        <v>31</v>
      </c>
      <c r="L361" s="173" t="s">
        <v>31</v>
      </c>
      <c r="M361" s="173" t="s">
        <v>31</v>
      </c>
      <c r="N361" s="173"/>
      <c r="O361" s="266" t="s">
        <v>947</v>
      </c>
      <c r="P361" s="267">
        <v>0.17</v>
      </c>
      <c r="Q361" s="173" t="s">
        <v>337</v>
      </c>
      <c r="R361" s="265">
        <f>0.001*P361</f>
        <v>1.7000000000000001E-4</v>
      </c>
      <c r="S361" s="173"/>
      <c r="T361" s="173"/>
      <c r="U361" s="173"/>
    </row>
    <row r="362" spans="1:21">
      <c r="A362" s="173" t="s">
        <v>1287</v>
      </c>
      <c r="B362" s="265">
        <f>P362</f>
        <v>2.3E-3</v>
      </c>
      <c r="C362" s="173" t="s">
        <v>37</v>
      </c>
      <c r="D362" s="258" t="s">
        <v>2</v>
      </c>
      <c r="E362" s="173" t="s">
        <v>29</v>
      </c>
      <c r="F362" s="185" t="s">
        <v>39</v>
      </c>
      <c r="G362" s="173" t="s">
        <v>33</v>
      </c>
      <c r="H362" s="173">
        <v>2</v>
      </c>
      <c r="I362" s="173">
        <f t="shared" si="30"/>
        <v>-6.074846156047033</v>
      </c>
      <c r="J362" s="173">
        <v>0.11269427669584645</v>
      </c>
      <c r="K362" s="173" t="s">
        <v>31</v>
      </c>
      <c r="L362" s="173" t="s">
        <v>31</v>
      </c>
      <c r="M362" s="173" t="s">
        <v>31</v>
      </c>
      <c r="N362" s="173"/>
      <c r="O362" s="268" t="s">
        <v>337</v>
      </c>
      <c r="P362" s="312">
        <v>2.3E-3</v>
      </c>
      <c r="Q362" s="173"/>
      <c r="R362" s="173"/>
      <c r="S362" s="173"/>
      <c r="T362" s="173"/>
      <c r="U362" s="173"/>
    </row>
    <row r="363" spans="1:21">
      <c r="P363" s="358"/>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EFF9-5A97-4080-9222-3C1245B3E088}">
  <sheetPr>
    <tabColor theme="5"/>
  </sheetPr>
  <dimension ref="A1:AC57"/>
  <sheetViews>
    <sheetView zoomScale="85" zoomScaleNormal="85" workbookViewId="0">
      <selection activeCell="I13" sqref="I13:I30"/>
    </sheetView>
  </sheetViews>
  <sheetFormatPr defaultRowHeight="12.75"/>
  <cols>
    <col min="1" max="1" width="109.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2AB1F989B8704FD1A3C4427856364BE3</v>
      </c>
    </row>
    <row r="2" spans="1:26">
      <c r="A2" s="209" t="s">
        <v>5</v>
      </c>
      <c r="B2" s="210" t="s">
        <v>1283</v>
      </c>
      <c r="C2" s="211"/>
      <c r="D2" s="188"/>
      <c r="E2" s="188"/>
      <c r="F2" s="188"/>
      <c r="G2" s="188"/>
      <c r="H2" s="188"/>
      <c r="I2" s="188"/>
      <c r="J2" s="188"/>
      <c r="K2" s="188"/>
      <c r="L2" s="188"/>
      <c r="M2" s="188"/>
    </row>
    <row r="3" spans="1:26">
      <c r="A3" s="177" t="s">
        <v>7</v>
      </c>
      <c r="B3" s="173" t="s">
        <v>566</v>
      </c>
      <c r="C3" s="176"/>
    </row>
    <row r="4" spans="1:26">
      <c r="A4" s="177" t="s">
        <v>9</v>
      </c>
      <c r="B4" s="173" t="s">
        <v>1618</v>
      </c>
      <c r="C4" s="176"/>
    </row>
    <row r="5" spans="1:26" ht="25.5">
      <c r="A5" s="177" t="s">
        <v>11</v>
      </c>
      <c r="B5" s="179" t="s">
        <v>1301</v>
      </c>
    </row>
    <row r="6" spans="1:26">
      <c r="A6" s="177" t="s">
        <v>13</v>
      </c>
      <c r="B6" s="173" t="s">
        <v>14</v>
      </c>
    </row>
    <row r="7" spans="1:26">
      <c r="A7" s="177" t="s">
        <v>15</v>
      </c>
      <c r="B7" s="173">
        <v>1</v>
      </c>
    </row>
    <row r="8" spans="1:26">
      <c r="A8" s="177" t="s">
        <v>16</v>
      </c>
      <c r="B8" s="173" t="s">
        <v>17</v>
      </c>
    </row>
    <row r="9" spans="1:26">
      <c r="A9" s="177" t="s">
        <v>18</v>
      </c>
      <c r="B9" s="173" t="s">
        <v>18</v>
      </c>
    </row>
    <row r="10" spans="1:26">
      <c r="A10" s="174" t="s">
        <v>19</v>
      </c>
    </row>
    <row r="11" spans="1:26">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row>
    <row r="12" spans="1:26">
      <c r="A12" s="210" t="s">
        <v>1283</v>
      </c>
      <c r="B12" s="173">
        <v>1</v>
      </c>
      <c r="C12" s="173" t="s">
        <v>18</v>
      </c>
      <c r="D12" s="173" t="s">
        <v>2</v>
      </c>
      <c r="E12" s="173" t="s">
        <v>29</v>
      </c>
      <c r="F12" s="185" t="s">
        <v>14</v>
      </c>
      <c r="G12" s="173" t="s">
        <v>30</v>
      </c>
      <c r="H12" s="173">
        <v>1</v>
      </c>
      <c r="I12" s="173">
        <v>1</v>
      </c>
      <c r="J12" s="173" t="s">
        <v>31</v>
      </c>
      <c r="K12" s="173" t="s">
        <v>31</v>
      </c>
      <c r="L12" s="173" t="s">
        <v>31</v>
      </c>
      <c r="M12" s="173" t="s">
        <v>31</v>
      </c>
    </row>
    <row r="13" spans="1:26">
      <c r="A13" s="235" t="s">
        <v>1290</v>
      </c>
      <c r="B13" s="173">
        <f>Z13</f>
        <v>7.8E-2</v>
      </c>
      <c r="C13" s="173" t="s">
        <v>37</v>
      </c>
      <c r="D13" s="173" t="s">
        <v>2</v>
      </c>
      <c r="E13" s="173" t="s">
        <v>29</v>
      </c>
      <c r="F13" s="185" t="s">
        <v>14</v>
      </c>
      <c r="G13" s="173" t="s">
        <v>33</v>
      </c>
      <c r="H13" s="173">
        <v>1</v>
      </c>
      <c r="I13" s="173">
        <f>B13</f>
        <v>7.8E-2</v>
      </c>
      <c r="J13" s="173" t="s">
        <v>31</v>
      </c>
      <c r="K13" s="173" t="s">
        <v>31</v>
      </c>
      <c r="L13" s="173" t="s">
        <v>31</v>
      </c>
      <c r="M13" s="173" t="s">
        <v>31</v>
      </c>
      <c r="U13" s="236" t="s">
        <v>976</v>
      </c>
      <c r="V13" s="236" t="s">
        <v>947</v>
      </c>
      <c r="W13" s="237">
        <v>78</v>
      </c>
      <c r="Y13" s="173" t="s">
        <v>337</v>
      </c>
      <c r="Z13" s="173">
        <f>0.001*W13</f>
        <v>7.8E-2</v>
      </c>
    </row>
    <row r="14" spans="1:26">
      <c r="A14" s="235" t="s">
        <v>1294</v>
      </c>
      <c r="B14" s="173">
        <f t="shared" ref="B14:B27" si="0">Z14</f>
        <v>9.8000000000000004E-2</v>
      </c>
      <c r="C14" s="173" t="s">
        <v>37</v>
      </c>
      <c r="D14" s="173" t="s">
        <v>2</v>
      </c>
      <c r="E14" s="173" t="s">
        <v>29</v>
      </c>
      <c r="F14" s="185" t="s">
        <v>14</v>
      </c>
      <c r="G14" s="173" t="s">
        <v>33</v>
      </c>
      <c r="H14" s="173">
        <v>1</v>
      </c>
      <c r="I14" s="173">
        <f t="shared" ref="I14:I30" si="1">B14</f>
        <v>9.8000000000000004E-2</v>
      </c>
      <c r="J14" s="173" t="s">
        <v>31</v>
      </c>
      <c r="K14" s="173" t="s">
        <v>31</v>
      </c>
      <c r="L14" s="173" t="s">
        <v>31</v>
      </c>
      <c r="M14" s="173" t="s">
        <v>31</v>
      </c>
      <c r="U14" s="236" t="s">
        <v>977</v>
      </c>
      <c r="V14" s="236" t="s">
        <v>947</v>
      </c>
      <c r="W14" s="237">
        <v>98</v>
      </c>
      <c r="Y14" s="173" t="s">
        <v>337</v>
      </c>
      <c r="Z14" s="173">
        <f>0.001*W14</f>
        <v>9.8000000000000004E-2</v>
      </c>
    </row>
    <row r="15" spans="1:26">
      <c r="A15" s="360" t="s">
        <v>978</v>
      </c>
      <c r="B15" s="173">
        <f t="shared" si="0"/>
        <v>2.88</v>
      </c>
      <c r="C15" s="173" t="s">
        <v>37</v>
      </c>
      <c r="D15" s="173" t="s">
        <v>38</v>
      </c>
      <c r="E15" s="173" t="s">
        <v>29</v>
      </c>
      <c r="F15" s="185" t="s">
        <v>60</v>
      </c>
      <c r="G15" s="173" t="s">
        <v>33</v>
      </c>
      <c r="H15" s="173">
        <v>1</v>
      </c>
      <c r="I15" s="173">
        <f t="shared" si="1"/>
        <v>2.88</v>
      </c>
      <c r="J15" s="173" t="s">
        <v>31</v>
      </c>
      <c r="K15" s="173" t="s">
        <v>31</v>
      </c>
      <c r="L15" s="173" t="s">
        <v>31</v>
      </c>
      <c r="M15" s="173" t="s">
        <v>31</v>
      </c>
      <c r="U15" s="236" t="s">
        <v>979</v>
      </c>
      <c r="V15" s="236" t="s">
        <v>337</v>
      </c>
      <c r="W15" s="237">
        <v>2.88</v>
      </c>
      <c r="Y15" s="173" t="s">
        <v>337</v>
      </c>
      <c r="Z15" s="173">
        <f>W15</f>
        <v>2.88</v>
      </c>
    </row>
    <row r="16" spans="1:26">
      <c r="A16" s="235" t="s">
        <v>1619</v>
      </c>
      <c r="B16" s="173">
        <f t="shared" si="0"/>
        <v>3.6</v>
      </c>
      <c r="C16" s="173" t="s">
        <v>37</v>
      </c>
      <c r="D16" s="173" t="s">
        <v>2</v>
      </c>
      <c r="E16" s="173" t="s">
        <v>29</v>
      </c>
      <c r="F16" s="185" t="s">
        <v>14</v>
      </c>
      <c r="G16" s="173" t="s">
        <v>33</v>
      </c>
      <c r="H16" s="173">
        <v>1</v>
      </c>
      <c r="I16" s="173">
        <f t="shared" si="1"/>
        <v>3.6</v>
      </c>
      <c r="J16" s="173" t="s">
        <v>31</v>
      </c>
      <c r="K16" s="173" t="s">
        <v>31</v>
      </c>
      <c r="L16" s="173" t="s">
        <v>31</v>
      </c>
      <c r="M16" s="173" t="s">
        <v>31</v>
      </c>
      <c r="U16" s="236" t="s">
        <v>981</v>
      </c>
      <c r="V16" s="236" t="s">
        <v>337</v>
      </c>
      <c r="W16" s="237">
        <v>3.6</v>
      </c>
      <c r="Y16" s="173" t="s">
        <v>337</v>
      </c>
      <c r="Z16" s="173">
        <f>W16</f>
        <v>3.6</v>
      </c>
    </row>
    <row r="17" spans="1:29">
      <c r="A17" s="384" t="s">
        <v>1620</v>
      </c>
      <c r="B17" s="173">
        <f t="shared" si="0"/>
        <v>4.083333333333334E-2</v>
      </c>
      <c r="C17" s="173" t="s">
        <v>206</v>
      </c>
      <c r="D17" s="173" t="s">
        <v>2</v>
      </c>
      <c r="E17" s="173" t="s">
        <v>29</v>
      </c>
      <c r="F17" s="185" t="s">
        <v>14</v>
      </c>
      <c r="G17" s="173" t="s">
        <v>33</v>
      </c>
      <c r="H17" s="173">
        <v>1</v>
      </c>
      <c r="I17" s="173">
        <f t="shared" si="1"/>
        <v>4.083333333333334E-2</v>
      </c>
      <c r="J17" s="173" t="s">
        <v>31</v>
      </c>
      <c r="K17" s="173" t="s">
        <v>31</v>
      </c>
      <c r="L17" s="173" t="s">
        <v>31</v>
      </c>
      <c r="M17" s="173" t="s">
        <v>31</v>
      </c>
      <c r="O17" s="173" t="s">
        <v>983</v>
      </c>
      <c r="U17" s="320" t="s">
        <v>984</v>
      </c>
      <c r="V17" s="320" t="s">
        <v>947</v>
      </c>
      <c r="W17" s="237">
        <v>245</v>
      </c>
      <c r="Y17" s="173" t="s">
        <v>945</v>
      </c>
      <c r="Z17" s="173">
        <f>W17*0.001*AB17</f>
        <v>4.083333333333334E-2</v>
      </c>
      <c r="AB17" s="173">
        <f>'2E. Reusable'!O36</f>
        <v>0.16666666666666669</v>
      </c>
      <c r="AC17" s="173" t="s">
        <v>1304</v>
      </c>
    </row>
    <row r="18" spans="1:29">
      <c r="A18" s="235" t="s">
        <v>1621</v>
      </c>
      <c r="B18" s="173">
        <f t="shared" si="0"/>
        <v>0.40500000000000003</v>
      </c>
      <c r="C18" s="173" t="s">
        <v>37</v>
      </c>
      <c r="D18" s="173" t="s">
        <v>2</v>
      </c>
      <c r="E18" s="173" t="s">
        <v>29</v>
      </c>
      <c r="F18" s="185" t="s">
        <v>14</v>
      </c>
      <c r="G18" s="173" t="s">
        <v>33</v>
      </c>
      <c r="H18" s="173">
        <v>1</v>
      </c>
      <c r="I18" s="173">
        <f t="shared" si="1"/>
        <v>0.40500000000000003</v>
      </c>
      <c r="J18" s="173" t="s">
        <v>31</v>
      </c>
      <c r="K18" s="173" t="s">
        <v>31</v>
      </c>
      <c r="L18" s="173" t="s">
        <v>31</v>
      </c>
      <c r="M18" s="173" t="s">
        <v>31</v>
      </c>
      <c r="U18" s="320" t="s">
        <v>987</v>
      </c>
      <c r="V18" s="236" t="s">
        <v>947</v>
      </c>
      <c r="W18" s="237">
        <v>405</v>
      </c>
      <c r="Y18" s="173" t="s">
        <v>337</v>
      </c>
      <c r="Z18" s="173">
        <f>0.001*W18</f>
        <v>0.40500000000000003</v>
      </c>
    </row>
    <row r="19" spans="1:29">
      <c r="A19" s="385" t="s">
        <v>988</v>
      </c>
      <c r="B19" s="173">
        <f t="shared" si="0"/>
        <v>2E-3</v>
      </c>
      <c r="C19" s="173" t="s">
        <v>37</v>
      </c>
      <c r="D19" s="173" t="s">
        <v>38</v>
      </c>
      <c r="E19" s="173" t="s">
        <v>29</v>
      </c>
      <c r="F19" s="185" t="s">
        <v>35</v>
      </c>
      <c r="G19" s="173" t="s">
        <v>33</v>
      </c>
      <c r="H19" s="173">
        <v>1</v>
      </c>
      <c r="I19" s="173">
        <f t="shared" si="1"/>
        <v>2E-3</v>
      </c>
      <c r="J19" s="173" t="s">
        <v>31</v>
      </c>
      <c r="K19" s="173" t="s">
        <v>31</v>
      </c>
      <c r="L19" s="173" t="s">
        <v>31</v>
      </c>
      <c r="M19" s="173" t="s">
        <v>31</v>
      </c>
      <c r="N19" s="177" t="s">
        <v>989</v>
      </c>
      <c r="U19" s="236" t="s">
        <v>989</v>
      </c>
      <c r="V19" s="236" t="s">
        <v>947</v>
      </c>
      <c r="W19" s="237">
        <v>2</v>
      </c>
      <c r="Y19" s="173" t="s">
        <v>337</v>
      </c>
      <c r="Z19" s="173">
        <f>0.001*W19</f>
        <v>2E-3</v>
      </c>
    </row>
    <row r="20" spans="1:29">
      <c r="A20" s="386" t="s">
        <v>533</v>
      </c>
      <c r="B20" s="173">
        <f t="shared" si="0"/>
        <v>1.3000000000000001E-2</v>
      </c>
      <c r="C20" s="173" t="s">
        <v>37</v>
      </c>
      <c r="D20" s="173" t="s">
        <v>38</v>
      </c>
      <c r="E20" s="173" t="s">
        <v>29</v>
      </c>
      <c r="F20" s="185" t="s">
        <v>35</v>
      </c>
      <c r="G20" s="173" t="s">
        <v>33</v>
      </c>
      <c r="H20" s="173">
        <v>1</v>
      </c>
      <c r="I20" s="173">
        <f t="shared" si="1"/>
        <v>1.3000000000000001E-2</v>
      </c>
      <c r="J20" s="173" t="s">
        <v>31</v>
      </c>
      <c r="K20" s="173" t="s">
        <v>31</v>
      </c>
      <c r="L20" s="173" t="s">
        <v>31</v>
      </c>
      <c r="M20" s="173" t="s">
        <v>31</v>
      </c>
      <c r="N20" s="177" t="s">
        <v>990</v>
      </c>
      <c r="U20" s="320" t="s">
        <v>990</v>
      </c>
      <c r="V20" s="236" t="s">
        <v>947</v>
      </c>
      <c r="W20" s="237">
        <v>13</v>
      </c>
      <c r="Y20" s="173" t="s">
        <v>337</v>
      </c>
      <c r="Z20" s="173">
        <f t="shared" ref="Z20:Z22" si="2">0.001*W20</f>
        <v>1.3000000000000001E-2</v>
      </c>
    </row>
    <row r="21" spans="1:29">
      <c r="A21" s="385" t="s">
        <v>988</v>
      </c>
      <c r="B21" s="173">
        <f t="shared" si="0"/>
        <v>2E-3</v>
      </c>
      <c r="C21" s="173" t="s">
        <v>37</v>
      </c>
      <c r="D21" s="173" t="s">
        <v>38</v>
      </c>
      <c r="E21" s="173" t="s">
        <v>29</v>
      </c>
      <c r="F21" s="185" t="s">
        <v>35</v>
      </c>
      <c r="G21" s="173" t="s">
        <v>33</v>
      </c>
      <c r="H21" s="173">
        <v>1</v>
      </c>
      <c r="I21" s="173">
        <f t="shared" si="1"/>
        <v>2E-3</v>
      </c>
      <c r="J21" s="173" t="s">
        <v>31</v>
      </c>
      <c r="K21" s="173" t="s">
        <v>31</v>
      </c>
      <c r="L21" s="173" t="s">
        <v>31</v>
      </c>
      <c r="M21" s="173" t="s">
        <v>31</v>
      </c>
      <c r="N21" s="177" t="s">
        <v>991</v>
      </c>
      <c r="U21" s="320" t="s">
        <v>991</v>
      </c>
      <c r="V21" s="236" t="s">
        <v>947</v>
      </c>
      <c r="W21" s="237">
        <v>2</v>
      </c>
      <c r="Y21" s="173" t="s">
        <v>337</v>
      </c>
      <c r="Z21" s="173">
        <f t="shared" si="2"/>
        <v>2E-3</v>
      </c>
    </row>
    <row r="22" spans="1:29">
      <c r="A22" s="386" t="s">
        <v>992</v>
      </c>
      <c r="B22" s="173">
        <f t="shared" si="0"/>
        <v>2E-3</v>
      </c>
      <c r="C22" s="173" t="s">
        <v>37</v>
      </c>
      <c r="D22" s="173" t="s">
        <v>38</v>
      </c>
      <c r="E22" s="173" t="s">
        <v>29</v>
      </c>
      <c r="F22" s="185" t="s">
        <v>35</v>
      </c>
      <c r="G22" s="173" t="s">
        <v>33</v>
      </c>
      <c r="H22" s="173">
        <v>1</v>
      </c>
      <c r="I22" s="173">
        <f t="shared" si="1"/>
        <v>2E-3</v>
      </c>
      <c r="J22" s="173" t="s">
        <v>31</v>
      </c>
      <c r="K22" s="173" t="s">
        <v>31</v>
      </c>
      <c r="L22" s="173" t="s">
        <v>31</v>
      </c>
      <c r="M22" s="173" t="s">
        <v>31</v>
      </c>
      <c r="N22" s="177" t="s">
        <v>991</v>
      </c>
      <c r="U22" s="320" t="s">
        <v>991</v>
      </c>
      <c r="V22" s="236" t="s">
        <v>947</v>
      </c>
      <c r="W22" s="237">
        <v>2</v>
      </c>
      <c r="Y22" s="173" t="s">
        <v>337</v>
      </c>
      <c r="Z22" s="173">
        <f t="shared" si="2"/>
        <v>2E-3</v>
      </c>
    </row>
    <row r="23" spans="1:29">
      <c r="A23" s="360" t="s">
        <v>1622</v>
      </c>
      <c r="B23" s="173">
        <f t="shared" si="0"/>
        <v>5.09</v>
      </c>
      <c r="C23" s="173" t="s">
        <v>37</v>
      </c>
      <c r="D23" s="173" t="s">
        <v>2</v>
      </c>
      <c r="E23" s="173" t="s">
        <v>29</v>
      </c>
      <c r="F23" s="185" t="s">
        <v>14</v>
      </c>
      <c r="G23" s="173" t="s">
        <v>33</v>
      </c>
      <c r="H23" s="173">
        <v>1</v>
      </c>
      <c r="I23" s="173">
        <f t="shared" si="1"/>
        <v>5.09</v>
      </c>
      <c r="J23" s="173" t="s">
        <v>31</v>
      </c>
      <c r="K23" s="173" t="s">
        <v>31</v>
      </c>
      <c r="L23" s="173" t="s">
        <v>31</v>
      </c>
      <c r="M23" s="173" t="s">
        <v>31</v>
      </c>
      <c r="N23" s="177" t="s">
        <v>1388</v>
      </c>
      <c r="U23" s="236" t="s">
        <v>1388</v>
      </c>
      <c r="V23" s="236" t="s">
        <v>337</v>
      </c>
      <c r="W23" s="237">
        <v>5.09</v>
      </c>
      <c r="Y23" s="173" t="s">
        <v>337</v>
      </c>
      <c r="Z23" s="173">
        <f>W23</f>
        <v>5.09</v>
      </c>
    </row>
    <row r="24" spans="1:29">
      <c r="A24" s="235" t="s">
        <v>1623</v>
      </c>
      <c r="B24" s="191">
        <f>'2E. Machined casing'!B7</f>
        <v>9.4499999999999993</v>
      </c>
      <c r="C24" s="173" t="s">
        <v>37</v>
      </c>
      <c r="D24" s="173" t="s">
        <v>2</v>
      </c>
      <c r="E24" s="173" t="s">
        <v>29</v>
      </c>
      <c r="F24" s="185" t="s">
        <v>14</v>
      </c>
      <c r="G24" s="173" t="s">
        <v>33</v>
      </c>
      <c r="H24" s="173">
        <v>1</v>
      </c>
      <c r="I24" s="173">
        <f t="shared" si="1"/>
        <v>9.4499999999999993</v>
      </c>
      <c r="J24" s="173" t="s">
        <v>31</v>
      </c>
      <c r="K24" s="173" t="s">
        <v>31</v>
      </c>
      <c r="L24" s="173" t="s">
        <v>31</v>
      </c>
      <c r="M24" s="173" t="s">
        <v>31</v>
      </c>
      <c r="N24" s="177" t="s">
        <v>1121</v>
      </c>
      <c r="U24" s="236" t="s">
        <v>994</v>
      </c>
      <c r="V24" s="241" t="s">
        <v>337</v>
      </c>
      <c r="W24" s="237">
        <v>9.7100000000000009</v>
      </c>
      <c r="Y24" s="173" t="s">
        <v>337</v>
      </c>
      <c r="Z24" s="173">
        <f t="shared" ref="Z24" si="3">W24</f>
        <v>9.7100000000000009</v>
      </c>
    </row>
    <row r="25" spans="1:29">
      <c r="A25" s="387" t="s">
        <v>995</v>
      </c>
      <c r="B25" s="173">
        <f t="shared" si="0"/>
        <v>8.7000000000000008E-2</v>
      </c>
      <c r="C25" s="173" t="s">
        <v>37</v>
      </c>
      <c r="D25" s="173" t="s">
        <v>38</v>
      </c>
      <c r="E25" s="173" t="s">
        <v>29</v>
      </c>
      <c r="F25" s="185" t="s">
        <v>86</v>
      </c>
      <c r="G25" s="173" t="s">
        <v>33</v>
      </c>
      <c r="H25" s="173">
        <v>1</v>
      </c>
      <c r="I25" s="173">
        <f t="shared" si="1"/>
        <v>8.7000000000000008E-2</v>
      </c>
      <c r="J25" s="173" t="s">
        <v>31</v>
      </c>
      <c r="K25" s="173" t="s">
        <v>31</v>
      </c>
      <c r="L25" s="173" t="s">
        <v>31</v>
      </c>
      <c r="M25" s="173" t="s">
        <v>31</v>
      </c>
      <c r="N25" s="177" t="s">
        <v>996</v>
      </c>
      <c r="U25" s="242" t="s">
        <v>996</v>
      </c>
      <c r="V25" s="242" t="s">
        <v>947</v>
      </c>
      <c r="W25" s="243">
        <v>87</v>
      </c>
      <c r="Y25" s="173" t="s">
        <v>337</v>
      </c>
      <c r="Z25" s="173">
        <f t="shared" ref="Z25:Z27" si="4">0.001*W25</f>
        <v>8.7000000000000008E-2</v>
      </c>
    </row>
    <row r="26" spans="1:29">
      <c r="A26" s="387" t="s">
        <v>997</v>
      </c>
      <c r="B26" s="173">
        <f t="shared" si="0"/>
        <v>1.9E-2</v>
      </c>
      <c r="C26" s="173" t="s">
        <v>37</v>
      </c>
      <c r="D26" s="173" t="s">
        <v>38</v>
      </c>
      <c r="E26" s="173" t="s">
        <v>29</v>
      </c>
      <c r="F26" s="185" t="s">
        <v>60</v>
      </c>
      <c r="G26" s="173" t="s">
        <v>33</v>
      </c>
      <c r="H26" s="173">
        <v>1</v>
      </c>
      <c r="I26" s="173">
        <f t="shared" si="1"/>
        <v>1.9E-2</v>
      </c>
      <c r="J26" s="173" t="s">
        <v>31</v>
      </c>
      <c r="K26" s="173" t="s">
        <v>31</v>
      </c>
      <c r="L26" s="173" t="s">
        <v>31</v>
      </c>
      <c r="M26" s="173" t="s">
        <v>31</v>
      </c>
      <c r="N26" s="173" t="s">
        <v>998</v>
      </c>
      <c r="U26" s="242" t="s">
        <v>998</v>
      </c>
      <c r="V26" s="242" t="s">
        <v>947</v>
      </c>
      <c r="W26" s="243">
        <v>19</v>
      </c>
      <c r="Y26" s="173" t="s">
        <v>337</v>
      </c>
      <c r="Z26" s="173">
        <f t="shared" si="4"/>
        <v>1.9E-2</v>
      </c>
    </row>
    <row r="27" spans="1:29">
      <c r="A27" s="387" t="s">
        <v>533</v>
      </c>
      <c r="B27" s="173">
        <f t="shared" si="0"/>
        <v>1.9E-2</v>
      </c>
      <c r="C27" s="173" t="s">
        <v>37</v>
      </c>
      <c r="D27" s="173" t="s">
        <v>38</v>
      </c>
      <c r="E27" s="173" t="s">
        <v>29</v>
      </c>
      <c r="F27" s="185" t="s">
        <v>35</v>
      </c>
      <c r="G27" s="173" t="s">
        <v>33</v>
      </c>
      <c r="H27" s="173">
        <v>1</v>
      </c>
      <c r="I27" s="173">
        <f t="shared" si="1"/>
        <v>1.9E-2</v>
      </c>
      <c r="J27" s="173" t="s">
        <v>31</v>
      </c>
      <c r="K27" s="173" t="s">
        <v>31</v>
      </c>
      <c r="L27" s="173" t="s">
        <v>31</v>
      </c>
      <c r="M27" s="173" t="s">
        <v>31</v>
      </c>
      <c r="N27" s="173" t="s">
        <v>999</v>
      </c>
      <c r="U27" s="242" t="s">
        <v>999</v>
      </c>
      <c r="V27" s="242" t="s">
        <v>947</v>
      </c>
      <c r="W27" s="243">
        <v>19</v>
      </c>
      <c r="Y27" s="173" t="s">
        <v>337</v>
      </c>
      <c r="Z27" s="173">
        <f t="shared" si="4"/>
        <v>1.9E-2</v>
      </c>
    </row>
    <row r="28" spans="1:29">
      <c r="A28" s="388" t="s">
        <v>168</v>
      </c>
      <c r="B28" s="173">
        <f>1.5+0.6</f>
        <v>2.1</v>
      </c>
      <c r="C28" s="173" t="s">
        <v>41</v>
      </c>
      <c r="D28" s="173" t="s">
        <v>38</v>
      </c>
      <c r="E28" s="173" t="s">
        <v>29</v>
      </c>
      <c r="F28" s="173" t="s">
        <v>14</v>
      </c>
      <c r="G28" s="173" t="s">
        <v>33</v>
      </c>
      <c r="H28" s="173">
        <v>1</v>
      </c>
      <c r="I28" s="173">
        <f t="shared" si="1"/>
        <v>2.1</v>
      </c>
      <c r="J28" s="173" t="s">
        <v>31</v>
      </c>
      <c r="K28" s="173" t="s">
        <v>31</v>
      </c>
      <c r="L28" s="173" t="s">
        <v>31</v>
      </c>
      <c r="M28" s="173" t="s">
        <v>31</v>
      </c>
      <c r="N28" s="173" t="s">
        <v>1000</v>
      </c>
      <c r="U28" s="236"/>
      <c r="V28" s="241"/>
      <c r="W28" s="237"/>
    </row>
    <row r="29" spans="1:29">
      <c r="A29" s="388" t="s">
        <v>168</v>
      </c>
      <c r="B29" s="173">
        <v>5.6</v>
      </c>
      <c r="C29" s="173" t="s">
        <v>41</v>
      </c>
      <c r="D29" s="173" t="s">
        <v>38</v>
      </c>
      <c r="E29" s="173" t="s">
        <v>29</v>
      </c>
      <c r="F29" s="173" t="s">
        <v>14</v>
      </c>
      <c r="G29" s="173" t="s">
        <v>33</v>
      </c>
      <c r="H29" s="173">
        <v>1</v>
      </c>
      <c r="I29" s="173">
        <f t="shared" si="1"/>
        <v>5.6</v>
      </c>
      <c r="J29" s="173" t="s">
        <v>31</v>
      </c>
      <c r="K29" s="173" t="s">
        <v>31</v>
      </c>
      <c r="L29" s="173" t="s">
        <v>31</v>
      </c>
      <c r="M29" s="173" t="s">
        <v>31</v>
      </c>
      <c r="N29" s="173" t="s">
        <v>1001</v>
      </c>
    </row>
    <row r="30" spans="1:29">
      <c r="A30" s="388" t="s">
        <v>168</v>
      </c>
      <c r="B30" s="173">
        <v>1.5</v>
      </c>
      <c r="C30" s="173" t="s">
        <v>41</v>
      </c>
      <c r="D30" s="173" t="s">
        <v>38</v>
      </c>
      <c r="E30" s="173" t="s">
        <v>29</v>
      </c>
      <c r="F30" s="173" t="s">
        <v>14</v>
      </c>
      <c r="G30" s="173" t="s">
        <v>33</v>
      </c>
      <c r="H30" s="173">
        <v>1</v>
      </c>
      <c r="I30" s="173">
        <f t="shared" si="1"/>
        <v>1.5</v>
      </c>
      <c r="J30" s="173" t="s">
        <v>31</v>
      </c>
      <c r="K30" s="173" t="s">
        <v>31</v>
      </c>
      <c r="L30" s="173" t="s">
        <v>31</v>
      </c>
      <c r="M30" s="173" t="s">
        <v>31</v>
      </c>
      <c r="N30" s="173" t="s">
        <v>1002</v>
      </c>
    </row>
    <row r="31" spans="1:29">
      <c r="A31" s="209"/>
      <c r="B31" s="210"/>
      <c r="C31" s="211"/>
      <c r="D31" s="188"/>
      <c r="E31" s="188"/>
      <c r="F31" s="188"/>
      <c r="G31" s="188"/>
      <c r="H31" s="188"/>
      <c r="I31" s="188"/>
      <c r="J31" s="188"/>
      <c r="K31" s="188"/>
      <c r="L31" s="188"/>
      <c r="M31" s="188"/>
    </row>
    <row r="32" spans="1:29">
      <c r="A32" s="177"/>
      <c r="C32" s="176"/>
      <c r="N32" s="173" t="s">
        <v>1624</v>
      </c>
    </row>
    <row r="33" spans="1:14">
      <c r="A33" s="177"/>
      <c r="C33" s="176"/>
      <c r="N33" s="258">
        <f>SUM(B13:B27)-B17+0.405</f>
        <v>22.15</v>
      </c>
    </row>
    <row r="34" spans="1:14">
      <c r="A34" s="177"/>
      <c r="B34" s="179"/>
    </row>
    <row r="36" spans="1:14">
      <c r="A36" s="177"/>
    </row>
    <row r="38" spans="1:14">
      <c r="A38" s="271"/>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B42" s="270"/>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C836-28DE-4F7B-890E-E7C77676EB17}">
  <sheetPr>
    <tabColor theme="5"/>
  </sheetPr>
  <dimension ref="A1:U104"/>
  <sheetViews>
    <sheetView topLeftCell="A69" workbookViewId="0">
      <selection activeCell="A36" sqref="A36"/>
    </sheetView>
  </sheetViews>
  <sheetFormatPr defaultRowHeight="12.75"/>
  <cols>
    <col min="1" max="1" width="52.42578125" style="178" customWidth="1"/>
    <col min="2" max="2" width="17.5703125" style="173" customWidth="1"/>
    <col min="3" max="3" width="13.7109375" style="173" customWidth="1"/>
    <col min="4" max="4" width="39.85546875" style="173" customWidth="1"/>
    <col min="5" max="6" width="9.140625" style="173"/>
    <col min="7" max="7" width="14.85546875" style="173" customWidth="1"/>
    <col min="8" max="16" width="9.140625" style="173"/>
    <col min="17" max="17" width="11.28515625" style="173" bestFit="1" customWidth="1"/>
    <col min="18" max="16384" width="9.140625" style="173"/>
  </cols>
  <sheetData>
    <row r="1" spans="1:21">
      <c r="A1" s="173" t="s">
        <v>0</v>
      </c>
      <c r="B1" s="173">
        <v>13</v>
      </c>
    </row>
    <row r="2" spans="1:21">
      <c r="A2" s="254" t="s">
        <v>5</v>
      </c>
      <c r="B2" s="323" t="s">
        <v>1620</v>
      </c>
      <c r="C2" s="211"/>
      <c r="D2" s="188"/>
      <c r="E2" s="188"/>
      <c r="F2" s="188"/>
      <c r="G2" s="188"/>
      <c r="H2" s="188"/>
      <c r="I2" s="188"/>
      <c r="J2" s="188"/>
      <c r="K2" s="188"/>
      <c r="L2" s="188"/>
      <c r="M2" s="188"/>
      <c r="N2" s="188"/>
      <c r="O2" s="188"/>
      <c r="P2" s="188"/>
      <c r="Q2" s="188"/>
      <c r="R2" s="188"/>
    </row>
    <row r="3" spans="1:21">
      <c r="A3" s="256" t="s">
        <v>7</v>
      </c>
      <c r="B3" s="173" t="s">
        <v>566</v>
      </c>
      <c r="C3" s="176"/>
    </row>
    <row r="4" spans="1:21">
      <c r="A4" s="256" t="s">
        <v>9</v>
      </c>
      <c r="B4" s="173" t="s">
        <v>1625</v>
      </c>
      <c r="C4" s="176"/>
      <c r="U4" s="228"/>
    </row>
    <row r="5" spans="1:21" ht="12.75" customHeight="1">
      <c r="A5" s="256" t="s">
        <v>11</v>
      </c>
      <c r="B5" s="179" t="s">
        <v>913</v>
      </c>
    </row>
    <row r="6" spans="1:21">
      <c r="A6" s="256" t="s">
        <v>13</v>
      </c>
      <c r="B6" s="173" t="s">
        <v>14</v>
      </c>
    </row>
    <row r="7" spans="1:21">
      <c r="A7" s="256" t="s">
        <v>15</v>
      </c>
      <c r="B7" s="173">
        <f>B12</f>
        <v>1.7000000000000001E-2</v>
      </c>
    </row>
    <row r="8" spans="1:21">
      <c r="A8" s="256" t="s">
        <v>16</v>
      </c>
      <c r="B8" s="173" t="s">
        <v>17</v>
      </c>
    </row>
    <row r="9" spans="1:21">
      <c r="A9" s="256" t="s">
        <v>18</v>
      </c>
      <c r="B9" s="173" t="s">
        <v>206</v>
      </c>
    </row>
    <row r="10" spans="1:21">
      <c r="A10" s="257" t="s">
        <v>19</v>
      </c>
    </row>
    <row r="11" spans="1:21">
      <c r="A11" s="257"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row>
    <row r="12" spans="1:21">
      <c r="A12" s="178" t="s">
        <v>1620</v>
      </c>
      <c r="B12" s="173">
        <v>1.7000000000000001E-2</v>
      </c>
      <c r="C12" s="173" t="s">
        <v>206</v>
      </c>
      <c r="D12" s="258" t="s">
        <v>2</v>
      </c>
      <c r="E12" s="173" t="s">
        <v>29</v>
      </c>
      <c r="F12" s="185" t="s">
        <v>14</v>
      </c>
      <c r="G12" s="173" t="s">
        <v>30</v>
      </c>
      <c r="H12" s="173">
        <v>1</v>
      </c>
      <c r="I12" s="173">
        <f>B12</f>
        <v>1.7000000000000001E-2</v>
      </c>
      <c r="J12" s="173" t="s">
        <v>31</v>
      </c>
      <c r="K12" s="173" t="s">
        <v>31</v>
      </c>
      <c r="L12" s="173" t="s">
        <v>31</v>
      </c>
      <c r="M12" s="173" t="s">
        <v>31</v>
      </c>
      <c r="O12" s="259"/>
      <c r="P12" s="260"/>
    </row>
    <row r="13" spans="1:21">
      <c r="A13" s="178" t="s">
        <v>1626</v>
      </c>
      <c r="B13" s="173">
        <f>Q13</f>
        <v>0.10199999999999999</v>
      </c>
      <c r="C13" s="173" t="s">
        <v>37</v>
      </c>
      <c r="D13" s="258" t="s">
        <v>2</v>
      </c>
      <c r="E13" s="173" t="s">
        <v>29</v>
      </c>
      <c r="F13" s="185" t="s">
        <v>14</v>
      </c>
      <c r="G13" s="173" t="s">
        <v>33</v>
      </c>
      <c r="H13" s="173">
        <v>1</v>
      </c>
      <c r="I13" s="173">
        <f t="shared" ref="I13:I14" si="0">B13</f>
        <v>0.10199999999999999</v>
      </c>
      <c r="J13" s="173" t="s">
        <v>31</v>
      </c>
      <c r="K13" s="173" t="s">
        <v>31</v>
      </c>
      <c r="L13" s="173" t="s">
        <v>31</v>
      </c>
      <c r="M13" s="173" t="s">
        <v>31</v>
      </c>
      <c r="O13" s="173">
        <f>O36</f>
        <v>0.16666666666666669</v>
      </c>
      <c r="P13" s="173" t="s">
        <v>1304</v>
      </c>
      <c r="Q13" s="173">
        <f>B12/O13</f>
        <v>0.10199999999999999</v>
      </c>
    </row>
    <row r="14" spans="1:21">
      <c r="A14" s="178" t="s">
        <v>1627</v>
      </c>
      <c r="B14" s="173">
        <v>1.7000000000000001E-2</v>
      </c>
      <c r="C14" s="173" t="s">
        <v>206</v>
      </c>
      <c r="D14" s="258" t="s">
        <v>2</v>
      </c>
      <c r="E14" s="173" t="s">
        <v>29</v>
      </c>
      <c r="F14" s="185" t="s">
        <v>14</v>
      </c>
      <c r="G14" s="173" t="s">
        <v>33</v>
      </c>
      <c r="H14" s="173">
        <v>1</v>
      </c>
      <c r="I14" s="173">
        <f t="shared" si="0"/>
        <v>1.7000000000000001E-2</v>
      </c>
      <c r="J14" s="173" t="s">
        <v>31</v>
      </c>
      <c r="K14" s="173" t="s">
        <v>31</v>
      </c>
      <c r="L14" s="173" t="s">
        <v>31</v>
      </c>
      <c r="M14" s="173" t="s">
        <v>31</v>
      </c>
    </row>
    <row r="15" spans="1:21" ht="15">
      <c r="A15" s="83" t="s">
        <v>933</v>
      </c>
      <c r="B15" s="173">
        <f>P15</f>
        <v>0.1</v>
      </c>
      <c r="C15" s="173" t="s">
        <v>37</v>
      </c>
      <c r="D15" s="173" t="s">
        <v>38</v>
      </c>
      <c r="E15" s="173" t="s">
        <v>29</v>
      </c>
      <c r="F15" s="185" t="s">
        <v>39</v>
      </c>
      <c r="G15" s="173" t="s">
        <v>33</v>
      </c>
      <c r="H15" s="173">
        <v>2</v>
      </c>
      <c r="I15" s="173">
        <f>LN(B15)</f>
        <v>-2.3025850929940455</v>
      </c>
      <c r="J15" s="343">
        <v>0.11236102527122109</v>
      </c>
      <c r="K15" s="173" t="s">
        <v>31</v>
      </c>
      <c r="L15" s="173" t="s">
        <v>31</v>
      </c>
      <c r="M15" s="173" t="s">
        <v>31</v>
      </c>
      <c r="O15" s="242" t="s">
        <v>337</v>
      </c>
      <c r="P15" s="296">
        <v>0.1</v>
      </c>
    </row>
    <row r="16" spans="1:21" ht="15">
      <c r="A16" s="83" t="s">
        <v>1008</v>
      </c>
      <c r="B16" s="265">
        <f>Q16</f>
        <v>6.6999999999999996E-9</v>
      </c>
      <c r="C16" s="173" t="s">
        <v>37</v>
      </c>
      <c r="D16" s="173" t="s">
        <v>38</v>
      </c>
      <c r="E16" s="173" t="s">
        <v>29</v>
      </c>
      <c r="F16" s="185" t="s">
        <v>60</v>
      </c>
      <c r="G16" s="173" t="s">
        <v>33</v>
      </c>
      <c r="H16" s="173">
        <v>2</v>
      </c>
      <c r="I16" s="173">
        <f t="shared" ref="I16:I17" si="1">LN(B16)</f>
        <v>-18.821158310549492</v>
      </c>
      <c r="J16" s="343">
        <v>0.11236102527122109</v>
      </c>
      <c r="K16" s="173" t="s">
        <v>31</v>
      </c>
      <c r="L16" s="173" t="s">
        <v>31</v>
      </c>
      <c r="M16" s="173" t="s">
        <v>31</v>
      </c>
      <c r="O16" s="266" t="s">
        <v>952</v>
      </c>
      <c r="P16" s="333">
        <v>6.7000000000000002E-3</v>
      </c>
      <c r="Q16" s="265">
        <f>P16*10^(-6)</f>
        <v>6.6999999999999996E-9</v>
      </c>
      <c r="R16" s="173" t="s">
        <v>37</v>
      </c>
    </row>
    <row r="17" spans="1:18" ht="15">
      <c r="A17" s="83" t="s">
        <v>489</v>
      </c>
      <c r="B17" s="173">
        <f>Q17</f>
        <v>1E-4</v>
      </c>
      <c r="C17" s="173" t="s">
        <v>50</v>
      </c>
      <c r="D17" s="173" t="s">
        <v>38</v>
      </c>
      <c r="E17" s="173" t="s">
        <v>29</v>
      </c>
      <c r="F17" s="185" t="s">
        <v>39</v>
      </c>
      <c r="G17" s="173" t="s">
        <v>33</v>
      </c>
      <c r="H17" s="173">
        <v>2</v>
      </c>
      <c r="I17" s="173">
        <f t="shared" si="1"/>
        <v>-9.2103403719761818</v>
      </c>
      <c r="J17" s="343">
        <v>0.11236102527122109</v>
      </c>
      <c r="K17" s="173" t="s">
        <v>31</v>
      </c>
      <c r="L17" s="173" t="s">
        <v>31</v>
      </c>
      <c r="M17" s="173" t="s">
        <v>31</v>
      </c>
      <c r="O17" s="268" t="s">
        <v>1009</v>
      </c>
      <c r="P17" s="306">
        <v>0.1</v>
      </c>
      <c r="Q17" s="173">
        <f>P17/1000</f>
        <v>1E-4</v>
      </c>
      <c r="R17" s="173" t="s">
        <v>1010</v>
      </c>
    </row>
    <row r="18" spans="1:18">
      <c r="A18" s="254" t="s">
        <v>5</v>
      </c>
      <c r="B18" s="323" t="s">
        <v>1626</v>
      </c>
      <c r="C18" s="211"/>
      <c r="D18" s="188"/>
      <c r="E18" s="188"/>
      <c r="F18" s="188"/>
      <c r="G18" s="188"/>
      <c r="H18" s="188"/>
      <c r="I18" s="188"/>
      <c r="J18" s="188"/>
      <c r="K18" s="188"/>
      <c r="L18" s="188"/>
      <c r="M18" s="188"/>
      <c r="N18" s="188"/>
      <c r="O18" s="188"/>
      <c r="P18" s="188"/>
      <c r="Q18" s="188"/>
      <c r="R18" s="188"/>
    </row>
    <row r="19" spans="1:18">
      <c r="A19" s="256" t="s">
        <v>7</v>
      </c>
      <c r="B19" s="173" t="s">
        <v>566</v>
      </c>
      <c r="C19" s="176"/>
    </row>
    <row r="20" spans="1:18">
      <c r="A20" s="256" t="s">
        <v>9</v>
      </c>
      <c r="B20" s="173" t="s">
        <v>1628</v>
      </c>
      <c r="C20" s="176"/>
    </row>
    <row r="21" spans="1:18" ht="10.5" customHeight="1">
      <c r="A21" s="256" t="s">
        <v>11</v>
      </c>
      <c r="B21" s="179" t="s">
        <v>913</v>
      </c>
      <c r="P21" s="272"/>
    </row>
    <row r="22" spans="1:18">
      <c r="A22" s="256" t="s">
        <v>13</v>
      </c>
      <c r="B22" s="173" t="s">
        <v>14</v>
      </c>
      <c r="P22" s="272"/>
    </row>
    <row r="23" spans="1:18">
      <c r="A23" s="256" t="s">
        <v>15</v>
      </c>
      <c r="B23" s="173">
        <f>B28</f>
        <v>7.0000000000000001E-3</v>
      </c>
      <c r="P23" s="272"/>
    </row>
    <row r="24" spans="1:18">
      <c r="A24" s="256" t="s">
        <v>16</v>
      </c>
      <c r="B24" s="173" t="s">
        <v>17</v>
      </c>
    </row>
    <row r="25" spans="1:18">
      <c r="A25" s="256" t="s">
        <v>18</v>
      </c>
      <c r="B25" s="173" t="s">
        <v>37</v>
      </c>
    </row>
    <row r="26" spans="1:18">
      <c r="A26" s="257" t="s">
        <v>19</v>
      </c>
    </row>
    <row r="27" spans="1:18">
      <c r="A27" s="257" t="s">
        <v>20</v>
      </c>
      <c r="B27" s="175" t="s">
        <v>21</v>
      </c>
      <c r="C27" s="175" t="s">
        <v>18</v>
      </c>
      <c r="D27" s="175" t="s">
        <v>22</v>
      </c>
      <c r="E27" s="175" t="s">
        <v>7</v>
      </c>
      <c r="F27" s="175" t="s">
        <v>13</v>
      </c>
      <c r="G27" s="175" t="s">
        <v>16</v>
      </c>
      <c r="H27" s="175" t="s">
        <v>23</v>
      </c>
      <c r="I27" s="175" t="s">
        <v>24</v>
      </c>
      <c r="J27" s="175" t="s">
        <v>25</v>
      </c>
      <c r="K27" s="175" t="s">
        <v>26</v>
      </c>
      <c r="L27" s="175" t="s">
        <v>27</v>
      </c>
      <c r="M27" s="175" t="s">
        <v>28</v>
      </c>
      <c r="N27" s="175" t="s">
        <v>11</v>
      </c>
    </row>
    <row r="28" spans="1:18">
      <c r="A28" s="178" t="s">
        <v>1626</v>
      </c>
      <c r="B28" s="173">
        <v>7.0000000000000001E-3</v>
      </c>
      <c r="C28" s="173" t="s">
        <v>37</v>
      </c>
      <c r="D28" s="258" t="s">
        <v>2</v>
      </c>
      <c r="E28" s="173" t="s">
        <v>29</v>
      </c>
      <c r="F28" s="185" t="s">
        <v>14</v>
      </c>
      <c r="G28" s="173" t="s">
        <v>30</v>
      </c>
      <c r="H28" s="173">
        <v>1</v>
      </c>
      <c r="I28" s="173">
        <f>B28</f>
        <v>7.0000000000000001E-3</v>
      </c>
      <c r="J28" s="173" t="s">
        <v>31</v>
      </c>
      <c r="K28" s="173" t="s">
        <v>31</v>
      </c>
      <c r="L28" s="173" t="s">
        <v>31</v>
      </c>
      <c r="M28" s="173" t="s">
        <v>31</v>
      </c>
    </row>
    <row r="29" spans="1:18" ht="15">
      <c r="A29" s="83" t="s">
        <v>1008</v>
      </c>
      <c r="B29" s="265">
        <f>R29</f>
        <v>7.2000000000000007E-3</v>
      </c>
      <c r="C29" s="173" t="s">
        <v>37</v>
      </c>
      <c r="D29" s="173" t="s">
        <v>38</v>
      </c>
      <c r="E29" s="173" t="s">
        <v>29</v>
      </c>
      <c r="F29" s="185" t="s">
        <v>60</v>
      </c>
      <c r="G29" s="173" t="s">
        <v>33</v>
      </c>
      <c r="H29" s="173">
        <v>2</v>
      </c>
      <c r="I29" s="173">
        <f t="shared" ref="I29:I31" si="2">LN(B29)</f>
        <v>-4.9336742529601274</v>
      </c>
      <c r="J29" s="343">
        <v>0.11236102527122109</v>
      </c>
      <c r="K29" s="173" t="s">
        <v>31</v>
      </c>
      <c r="L29" s="173" t="s">
        <v>31</v>
      </c>
      <c r="M29" s="173" t="s">
        <v>31</v>
      </c>
      <c r="O29" s="242" t="s">
        <v>947</v>
      </c>
      <c r="P29" s="296">
        <v>7.2</v>
      </c>
      <c r="Q29" s="173" t="s">
        <v>337</v>
      </c>
      <c r="R29" s="173">
        <f>P29*0.001</f>
        <v>7.2000000000000007E-3</v>
      </c>
    </row>
    <row r="30" spans="1:18" ht="15">
      <c r="A30" s="256" t="s">
        <v>168</v>
      </c>
      <c r="B30" s="184">
        <f>P30</f>
        <v>0.03</v>
      </c>
      <c r="C30" s="173" t="s">
        <v>41</v>
      </c>
      <c r="D30" s="173" t="s">
        <v>38</v>
      </c>
      <c r="E30" s="173" t="s">
        <v>29</v>
      </c>
      <c r="F30" s="185" t="s">
        <v>35</v>
      </c>
      <c r="G30" s="173" t="s">
        <v>33</v>
      </c>
      <c r="H30" s="173">
        <v>2</v>
      </c>
      <c r="I30" s="173">
        <f t="shared" si="2"/>
        <v>-3.5065578973199818</v>
      </c>
      <c r="J30" s="343">
        <v>0.11236102527122109</v>
      </c>
      <c r="K30" s="173" t="s">
        <v>31</v>
      </c>
      <c r="L30" s="173" t="s">
        <v>31</v>
      </c>
      <c r="M30" s="173" t="s">
        <v>31</v>
      </c>
      <c r="O30" s="242" t="s">
        <v>332</v>
      </c>
      <c r="P30" s="296">
        <v>0.03</v>
      </c>
    </row>
    <row r="31" spans="1:18" ht="15">
      <c r="A31" s="83" t="s">
        <v>1012</v>
      </c>
      <c r="B31" s="173">
        <f>R31</f>
        <v>4.0000000000000002E-4</v>
      </c>
      <c r="C31" s="173" t="s">
        <v>37</v>
      </c>
      <c r="D31" s="173" t="s">
        <v>43</v>
      </c>
      <c r="E31" s="173" t="s">
        <v>1013</v>
      </c>
      <c r="F31" s="185" t="s">
        <v>29</v>
      </c>
      <c r="G31" s="173" t="s">
        <v>45</v>
      </c>
      <c r="H31" s="173">
        <v>2</v>
      </c>
      <c r="I31" s="173">
        <f t="shared" si="2"/>
        <v>-7.8240460108562919</v>
      </c>
      <c r="J31" s="343">
        <v>0.11236102527122109</v>
      </c>
      <c r="K31" s="173" t="s">
        <v>31</v>
      </c>
      <c r="L31" s="173" t="s">
        <v>31</v>
      </c>
      <c r="M31" s="173" t="s">
        <v>31</v>
      </c>
      <c r="O31" s="268" t="s">
        <v>947</v>
      </c>
      <c r="P31" s="306">
        <v>0.4</v>
      </c>
      <c r="Q31" s="173" t="s">
        <v>337</v>
      </c>
      <c r="R31" s="173">
        <f>P31*0.001</f>
        <v>4.0000000000000002E-4</v>
      </c>
    </row>
    <row r="32" spans="1:18">
      <c r="A32" s="254" t="s">
        <v>5</v>
      </c>
      <c r="B32" s="210" t="s">
        <v>1627</v>
      </c>
      <c r="C32" s="211"/>
      <c r="D32" s="188"/>
      <c r="E32" s="188"/>
      <c r="F32" s="188"/>
      <c r="G32" s="188"/>
      <c r="H32" s="188"/>
      <c r="I32" s="188"/>
      <c r="J32" s="188"/>
      <c r="K32" s="188"/>
      <c r="L32" s="188"/>
      <c r="M32" s="188"/>
      <c r="N32" s="188"/>
      <c r="O32" s="188"/>
      <c r="P32" s="188"/>
      <c r="Q32" s="188"/>
      <c r="R32" s="188"/>
    </row>
    <row r="33" spans="1:21">
      <c r="A33" s="256" t="s">
        <v>7</v>
      </c>
      <c r="B33" s="173" t="s">
        <v>566</v>
      </c>
      <c r="C33" s="176"/>
    </row>
    <row r="34" spans="1:21">
      <c r="A34" s="256" t="s">
        <v>9</v>
      </c>
      <c r="B34" s="173" t="s">
        <v>1629</v>
      </c>
      <c r="C34" s="176"/>
    </row>
    <row r="35" spans="1:21" ht="15.75" customHeight="1">
      <c r="A35" s="256" t="s">
        <v>11</v>
      </c>
      <c r="B35" s="179" t="s">
        <v>913</v>
      </c>
      <c r="O35" s="173" t="s">
        <v>1015</v>
      </c>
      <c r="T35" s="228" t="s">
        <v>1016</v>
      </c>
    </row>
    <row r="36" spans="1:21">
      <c r="A36" s="256" t="s">
        <v>13</v>
      </c>
      <c r="B36" s="173" t="s">
        <v>14</v>
      </c>
      <c r="O36" s="173">
        <f>0.05/0.3</f>
        <v>0.16666666666666669</v>
      </c>
      <c r="P36" s="173" t="s">
        <v>1304</v>
      </c>
      <c r="T36" s="173">
        <f>0.16/0.25</f>
        <v>0.64</v>
      </c>
      <c r="U36" s="173" t="s">
        <v>985</v>
      </c>
    </row>
    <row r="37" spans="1:21">
      <c r="A37" s="256" t="s">
        <v>15</v>
      </c>
      <c r="B37" s="173">
        <f>B42</f>
        <v>0.05</v>
      </c>
    </row>
    <row r="38" spans="1:21">
      <c r="A38" s="256" t="s">
        <v>16</v>
      </c>
      <c r="B38" s="173" t="s">
        <v>17</v>
      </c>
    </row>
    <row r="39" spans="1:21">
      <c r="A39" s="256" t="s">
        <v>18</v>
      </c>
      <c r="B39" s="173" t="s">
        <v>206</v>
      </c>
    </row>
    <row r="40" spans="1:21">
      <c r="A40" s="257" t="s">
        <v>19</v>
      </c>
    </row>
    <row r="41" spans="1:21">
      <c r="A41" s="257" t="s">
        <v>20</v>
      </c>
      <c r="B41" s="175" t="s">
        <v>21</v>
      </c>
      <c r="C41" s="175" t="s">
        <v>18</v>
      </c>
      <c r="D41" s="175" t="s">
        <v>22</v>
      </c>
      <c r="E41" s="175" t="s">
        <v>7</v>
      </c>
      <c r="F41" s="175" t="s">
        <v>13</v>
      </c>
      <c r="G41" s="175" t="s">
        <v>16</v>
      </c>
      <c r="H41" s="175" t="s">
        <v>23</v>
      </c>
      <c r="I41" s="175" t="s">
        <v>24</v>
      </c>
      <c r="J41" s="175" t="s">
        <v>25</v>
      </c>
      <c r="K41" s="175" t="s">
        <v>26</v>
      </c>
      <c r="L41" s="175" t="s">
        <v>27</v>
      </c>
      <c r="M41" s="175" t="s">
        <v>28</v>
      </c>
      <c r="N41" s="175" t="s">
        <v>11</v>
      </c>
    </row>
    <row r="42" spans="1:21">
      <c r="A42" s="178" t="s">
        <v>1627</v>
      </c>
      <c r="B42" s="173">
        <v>0.05</v>
      </c>
      <c r="C42" s="173" t="s">
        <v>206</v>
      </c>
      <c r="D42" s="258" t="s">
        <v>2</v>
      </c>
      <c r="E42" s="173" t="s">
        <v>29</v>
      </c>
      <c r="F42" s="185" t="s">
        <v>14</v>
      </c>
      <c r="G42" s="173" t="s">
        <v>30</v>
      </c>
      <c r="H42" s="173">
        <v>1</v>
      </c>
      <c r="I42" s="173">
        <f>B42</f>
        <v>0.05</v>
      </c>
      <c r="J42" s="173" t="s">
        <v>31</v>
      </c>
      <c r="K42" s="173" t="s">
        <v>31</v>
      </c>
      <c r="L42" s="173" t="s">
        <v>31</v>
      </c>
      <c r="M42" s="173" t="s">
        <v>31</v>
      </c>
    </row>
    <row r="43" spans="1:21">
      <c r="A43" s="178" t="s">
        <v>1630</v>
      </c>
      <c r="B43" s="265">
        <f>B68</f>
        <v>0.3</v>
      </c>
      <c r="C43" s="173" t="s">
        <v>37</v>
      </c>
      <c r="D43" s="258" t="s">
        <v>2</v>
      </c>
      <c r="E43" s="173" t="s">
        <v>29</v>
      </c>
      <c r="F43" s="185" t="s">
        <v>14</v>
      </c>
      <c r="G43" s="173" t="s">
        <v>33</v>
      </c>
      <c r="H43" s="173">
        <v>1</v>
      </c>
      <c r="I43" s="173">
        <f>B43</f>
        <v>0.3</v>
      </c>
      <c r="J43" s="173" t="s">
        <v>31</v>
      </c>
      <c r="K43" s="173" t="s">
        <v>31</v>
      </c>
      <c r="L43" s="173" t="s">
        <v>31</v>
      </c>
      <c r="M43" s="173" t="s">
        <v>31</v>
      </c>
      <c r="O43" s="242"/>
      <c r="P43" s="264"/>
    </row>
    <row r="44" spans="1:21" ht="15">
      <c r="A44" s="256" t="s">
        <v>168</v>
      </c>
      <c r="B44" s="184">
        <f>P44</f>
        <v>0.47</v>
      </c>
      <c r="C44" s="173" t="s">
        <v>41</v>
      </c>
      <c r="D44" s="173" t="s">
        <v>38</v>
      </c>
      <c r="E44" s="173" t="s">
        <v>29</v>
      </c>
      <c r="F44" s="185" t="s">
        <v>35</v>
      </c>
      <c r="G44" s="173" t="s">
        <v>33</v>
      </c>
      <c r="H44" s="173">
        <v>2</v>
      </c>
      <c r="I44" s="173">
        <f t="shared" ref="I44" si="3">LN(B44)</f>
        <v>-0.75502258427803282</v>
      </c>
      <c r="J44" s="343">
        <v>7.2284161474004766E-2</v>
      </c>
      <c r="K44" s="173" t="s">
        <v>31</v>
      </c>
      <c r="L44" s="173" t="s">
        <v>31</v>
      </c>
      <c r="M44" s="173" t="s">
        <v>31</v>
      </c>
      <c r="O44" s="242" t="s">
        <v>332</v>
      </c>
      <c r="P44" s="296">
        <v>0.47</v>
      </c>
    </row>
    <row r="45" spans="1:21" ht="15">
      <c r="A45" s="83" t="s">
        <v>1017</v>
      </c>
      <c r="B45" s="173">
        <f>R45</f>
        <v>1.0999999999999999E-2</v>
      </c>
      <c r="C45" s="173" t="s">
        <v>37</v>
      </c>
      <c r="D45" s="173" t="s">
        <v>38</v>
      </c>
      <c r="E45" s="173" t="s">
        <v>29</v>
      </c>
      <c r="F45" s="185" t="s">
        <v>60</v>
      </c>
      <c r="G45" s="173" t="s">
        <v>33</v>
      </c>
      <c r="H45" s="173">
        <v>2</v>
      </c>
      <c r="I45" s="173">
        <f>LN(B45)</f>
        <v>-4.5098600061837661</v>
      </c>
      <c r="J45" s="343">
        <v>7.2284161474004766E-2</v>
      </c>
      <c r="K45" s="173" t="s">
        <v>31</v>
      </c>
      <c r="L45" s="173" t="s">
        <v>31</v>
      </c>
      <c r="M45" s="173" t="s">
        <v>31</v>
      </c>
      <c r="O45" s="242" t="s">
        <v>947</v>
      </c>
      <c r="P45" s="296">
        <v>11</v>
      </c>
      <c r="Q45" s="173" t="s">
        <v>337</v>
      </c>
      <c r="R45" s="173">
        <f>P45*0.001</f>
        <v>1.0999999999999999E-2</v>
      </c>
    </row>
    <row r="46" spans="1:21" ht="15">
      <c r="A46" s="83" t="s">
        <v>1018</v>
      </c>
      <c r="B46" s="173">
        <f>R46</f>
        <v>0.02</v>
      </c>
      <c r="C46" s="173" t="s">
        <v>37</v>
      </c>
      <c r="D46" s="173" t="s">
        <v>38</v>
      </c>
      <c r="E46" s="173" t="s">
        <v>29</v>
      </c>
      <c r="F46" s="185" t="s">
        <v>35</v>
      </c>
      <c r="G46" s="173" t="s">
        <v>33</v>
      </c>
      <c r="H46" s="173">
        <v>2</v>
      </c>
      <c r="I46" s="173">
        <f>LN(B46)</f>
        <v>-3.912023005428146</v>
      </c>
      <c r="J46" s="343">
        <v>7.2284161474004766E-2</v>
      </c>
      <c r="K46" s="173" t="s">
        <v>31</v>
      </c>
      <c r="L46" s="173" t="s">
        <v>31</v>
      </c>
      <c r="M46" s="173" t="s">
        <v>31</v>
      </c>
      <c r="O46" s="242" t="s">
        <v>947</v>
      </c>
      <c r="P46" s="296">
        <v>20</v>
      </c>
      <c r="Q46" s="173" t="s">
        <v>337</v>
      </c>
      <c r="R46" s="173">
        <f>P46*0.001</f>
        <v>0.02</v>
      </c>
    </row>
    <row r="47" spans="1:21" ht="15">
      <c r="A47" s="83" t="s">
        <v>933</v>
      </c>
      <c r="B47" s="173">
        <f>P47</f>
        <v>18</v>
      </c>
      <c r="C47" s="173" t="s">
        <v>37</v>
      </c>
      <c r="D47" s="173" t="s">
        <v>38</v>
      </c>
      <c r="E47" s="173" t="s">
        <v>29</v>
      </c>
      <c r="F47" s="185" t="s">
        <v>39</v>
      </c>
      <c r="G47" s="173" t="s">
        <v>33</v>
      </c>
      <c r="H47" s="173">
        <v>2</v>
      </c>
      <c r="I47" s="173">
        <f>LN(B47)</f>
        <v>2.8903717578961645</v>
      </c>
      <c r="J47" s="343">
        <v>7.2284161474004766E-2</v>
      </c>
      <c r="K47" s="173" t="s">
        <v>31</v>
      </c>
      <c r="L47" s="173" t="s">
        <v>31</v>
      </c>
      <c r="M47" s="173" t="s">
        <v>31</v>
      </c>
      <c r="O47" s="242" t="s">
        <v>337</v>
      </c>
      <c r="P47" s="296">
        <v>18</v>
      </c>
    </row>
    <row r="48" spans="1:21" ht="15">
      <c r="A48" s="83" t="s">
        <v>489</v>
      </c>
      <c r="B48" s="173">
        <f>R48</f>
        <v>1.7999999999999999E-2</v>
      </c>
      <c r="C48" s="173" t="s">
        <v>50</v>
      </c>
      <c r="D48" s="173" t="s">
        <v>38</v>
      </c>
      <c r="E48" s="173" t="s">
        <v>29</v>
      </c>
      <c r="F48" s="185" t="s">
        <v>39</v>
      </c>
      <c r="G48" s="173" t="s">
        <v>33</v>
      </c>
      <c r="H48" s="173">
        <v>2</v>
      </c>
      <c r="I48" s="173">
        <f t="shared" ref="I48" si="4">LN(B48)</f>
        <v>-4.0173835210859723</v>
      </c>
      <c r="J48" s="343">
        <v>7.2284161474004766E-2</v>
      </c>
      <c r="K48" s="173" t="s">
        <v>31</v>
      </c>
      <c r="L48" s="173" t="s">
        <v>31</v>
      </c>
      <c r="M48" s="173" t="s">
        <v>31</v>
      </c>
      <c r="O48" s="268" t="s">
        <v>1009</v>
      </c>
      <c r="P48" s="306">
        <v>18</v>
      </c>
      <c r="Q48" s="173" t="s">
        <v>335</v>
      </c>
      <c r="R48" s="173">
        <f>P48/1000</f>
        <v>1.7999999999999999E-2</v>
      </c>
    </row>
    <row r="49" spans="1:18">
      <c r="A49" s="254" t="s">
        <v>5</v>
      </c>
      <c r="B49" s="210" t="s">
        <v>1631</v>
      </c>
      <c r="C49" s="211"/>
      <c r="D49" s="188"/>
      <c r="E49" s="188"/>
      <c r="F49" s="188"/>
      <c r="G49" s="188"/>
      <c r="H49" s="188"/>
      <c r="I49" s="188"/>
      <c r="J49" s="188"/>
      <c r="K49" s="188"/>
      <c r="L49" s="188"/>
      <c r="M49" s="188"/>
      <c r="N49" s="188"/>
      <c r="O49" s="188"/>
      <c r="P49" s="188"/>
      <c r="Q49" s="188"/>
      <c r="R49" s="188"/>
    </row>
    <row r="50" spans="1:18">
      <c r="A50" s="256" t="s">
        <v>7</v>
      </c>
      <c r="B50" s="173" t="s">
        <v>566</v>
      </c>
      <c r="C50" s="176"/>
    </row>
    <row r="51" spans="1:18">
      <c r="A51" s="256" t="s">
        <v>9</v>
      </c>
      <c r="B51" s="173" t="s">
        <v>1632</v>
      </c>
      <c r="C51" s="176"/>
    </row>
    <row r="52" spans="1:18" ht="10.5" customHeight="1">
      <c r="A52" s="256" t="s">
        <v>11</v>
      </c>
      <c r="B52" s="179" t="s">
        <v>913</v>
      </c>
    </row>
    <row r="53" spans="1:18">
      <c r="A53" s="256" t="s">
        <v>13</v>
      </c>
      <c r="B53" s="173" t="s">
        <v>14</v>
      </c>
    </row>
    <row r="54" spans="1:18">
      <c r="A54" s="256" t="s">
        <v>15</v>
      </c>
      <c r="B54" s="270">
        <f>B59</f>
        <v>2.3E-2</v>
      </c>
    </row>
    <row r="55" spans="1:18">
      <c r="A55" s="256" t="s">
        <v>16</v>
      </c>
      <c r="B55" s="173" t="s">
        <v>17</v>
      </c>
    </row>
    <row r="56" spans="1:18">
      <c r="A56" s="256" t="s">
        <v>18</v>
      </c>
      <c r="B56" s="173" t="s">
        <v>37</v>
      </c>
    </row>
    <row r="57" spans="1:18">
      <c r="A57" s="257" t="s">
        <v>19</v>
      </c>
    </row>
    <row r="58" spans="1:18">
      <c r="A58" s="257" t="s">
        <v>20</v>
      </c>
      <c r="B58" s="175" t="s">
        <v>21</v>
      </c>
      <c r="C58" s="175" t="s">
        <v>18</v>
      </c>
      <c r="D58" s="175" t="s">
        <v>22</v>
      </c>
      <c r="E58" s="175" t="s">
        <v>7</v>
      </c>
      <c r="F58" s="175" t="s">
        <v>13</v>
      </c>
      <c r="G58" s="175" t="s">
        <v>16</v>
      </c>
      <c r="H58" s="175" t="s">
        <v>23</v>
      </c>
      <c r="I58" s="175" t="s">
        <v>24</v>
      </c>
      <c r="J58" s="175" t="s">
        <v>25</v>
      </c>
      <c r="K58" s="175" t="s">
        <v>26</v>
      </c>
      <c r="L58" s="175" t="s">
        <v>27</v>
      </c>
      <c r="M58" s="175" t="s">
        <v>28</v>
      </c>
      <c r="N58" s="175" t="s">
        <v>11</v>
      </c>
    </row>
    <row r="59" spans="1:18">
      <c r="A59" s="178" t="s">
        <v>1631</v>
      </c>
      <c r="B59" s="270">
        <v>2.3E-2</v>
      </c>
      <c r="C59" s="173" t="s">
        <v>37</v>
      </c>
      <c r="D59" s="258" t="s">
        <v>2</v>
      </c>
      <c r="E59" s="173" t="s">
        <v>29</v>
      </c>
      <c r="F59" s="185" t="s">
        <v>14</v>
      </c>
      <c r="G59" s="173" t="s">
        <v>30</v>
      </c>
      <c r="H59" s="173">
        <v>1</v>
      </c>
      <c r="I59" s="270">
        <f>B59</f>
        <v>2.3E-2</v>
      </c>
      <c r="J59" s="173" t="s">
        <v>31</v>
      </c>
      <c r="K59" s="173" t="s">
        <v>31</v>
      </c>
      <c r="L59" s="173" t="s">
        <v>31</v>
      </c>
      <c r="M59" s="173" t="s">
        <v>31</v>
      </c>
      <c r="O59" s="271"/>
      <c r="P59" s="272"/>
    </row>
    <row r="60" spans="1:18" ht="15">
      <c r="A60" s="83" t="s">
        <v>1021</v>
      </c>
      <c r="B60" s="184">
        <f>R60</f>
        <v>2.4E-2</v>
      </c>
      <c r="C60" s="173" t="s">
        <v>37</v>
      </c>
      <c r="D60" s="173" t="s">
        <v>38</v>
      </c>
      <c r="E60" s="173" t="s">
        <v>29</v>
      </c>
      <c r="F60" s="185" t="s">
        <v>60</v>
      </c>
      <c r="G60" s="173" t="s">
        <v>33</v>
      </c>
      <c r="H60" s="173">
        <v>2</v>
      </c>
      <c r="I60" s="173">
        <f>LN(B60)</f>
        <v>-3.7297014486341915</v>
      </c>
      <c r="J60" s="173">
        <v>7.2284161474004766E-2</v>
      </c>
      <c r="K60" s="173" t="s">
        <v>31</v>
      </c>
      <c r="L60" s="173" t="s">
        <v>31</v>
      </c>
      <c r="M60" s="173" t="s">
        <v>31</v>
      </c>
      <c r="O60" s="242" t="s">
        <v>947</v>
      </c>
      <c r="P60" s="296">
        <v>24</v>
      </c>
      <c r="Q60" s="173" t="s">
        <v>337</v>
      </c>
      <c r="R60" s="173">
        <f>P60*0.001</f>
        <v>2.4E-2</v>
      </c>
    </row>
    <row r="61" spans="1:18" ht="15">
      <c r="A61" s="256" t="s">
        <v>168</v>
      </c>
      <c r="B61" s="184">
        <f>P61</f>
        <v>0.11</v>
      </c>
      <c r="C61" s="173" t="s">
        <v>41</v>
      </c>
      <c r="D61" s="173" t="s">
        <v>38</v>
      </c>
      <c r="E61" s="173" t="s">
        <v>29</v>
      </c>
      <c r="F61" s="185" t="s">
        <v>35</v>
      </c>
      <c r="G61" s="173" t="s">
        <v>33</v>
      </c>
      <c r="H61" s="173">
        <v>2</v>
      </c>
      <c r="I61" s="173">
        <f t="shared" ref="I61:I62" si="5">LN(B61)</f>
        <v>-2.2072749131897207</v>
      </c>
      <c r="J61" s="173">
        <v>7.2284161474004766E-2</v>
      </c>
      <c r="K61" s="173" t="s">
        <v>31</v>
      </c>
      <c r="L61" s="173" t="s">
        <v>31</v>
      </c>
      <c r="M61" s="173" t="s">
        <v>31</v>
      </c>
      <c r="O61" s="242" t="s">
        <v>332</v>
      </c>
      <c r="P61" s="296">
        <v>0.11</v>
      </c>
    </row>
    <row r="62" spans="1:18">
      <c r="A62" s="178" t="s">
        <v>1287</v>
      </c>
      <c r="B62" s="173">
        <f>1*0.001</f>
        <v>1E-3</v>
      </c>
      <c r="C62" s="173" t="s">
        <v>37</v>
      </c>
      <c r="D62" s="258" t="s">
        <v>2</v>
      </c>
      <c r="E62" s="173" t="s">
        <v>29</v>
      </c>
      <c r="F62" s="185" t="s">
        <v>39</v>
      </c>
      <c r="G62" s="173" t="s">
        <v>33</v>
      </c>
      <c r="H62" s="173">
        <v>2</v>
      </c>
      <c r="I62" s="173">
        <f t="shared" si="5"/>
        <v>-6.9077552789821368</v>
      </c>
      <c r="J62" s="173">
        <v>7.2284161474004766E-2</v>
      </c>
      <c r="K62" s="173" t="s">
        <v>31</v>
      </c>
      <c r="L62" s="173" t="s">
        <v>31</v>
      </c>
      <c r="M62" s="173" t="s">
        <v>31</v>
      </c>
    </row>
    <row r="63" spans="1:18" s="17" customFormat="1" ht="15.75">
      <c r="A63" s="254" t="s">
        <v>5</v>
      </c>
      <c r="B63" s="210" t="s">
        <v>1630</v>
      </c>
      <c r="C63" s="211"/>
      <c r="D63" s="188"/>
      <c r="E63" s="188"/>
      <c r="F63" s="188"/>
      <c r="G63" s="188"/>
      <c r="H63" s="188"/>
      <c r="I63" s="188"/>
      <c r="J63" s="188"/>
      <c r="K63" s="188"/>
      <c r="L63" s="188"/>
      <c r="M63" s="188"/>
      <c r="N63" s="188"/>
      <c r="O63" s="273"/>
      <c r="P63" s="273"/>
      <c r="Q63" s="273"/>
      <c r="R63" s="273"/>
    </row>
    <row r="64" spans="1:18" s="17" customFormat="1" ht="15.75">
      <c r="A64" s="256" t="s">
        <v>7</v>
      </c>
      <c r="B64" s="173" t="s">
        <v>566</v>
      </c>
      <c r="C64" s="176"/>
      <c r="D64" s="173"/>
      <c r="E64" s="173"/>
      <c r="F64" s="173"/>
      <c r="G64" s="173"/>
      <c r="H64" s="173"/>
      <c r="I64" s="173"/>
      <c r="J64" s="173"/>
      <c r="K64" s="173"/>
      <c r="L64" s="173"/>
      <c r="M64" s="173"/>
      <c r="N64" s="173"/>
    </row>
    <row r="65" spans="1:16" s="17" customFormat="1" ht="15.75">
      <c r="A65" s="256" t="s">
        <v>9</v>
      </c>
      <c r="B65" s="173" t="s">
        <v>1633</v>
      </c>
      <c r="C65" s="176"/>
      <c r="D65" s="173"/>
      <c r="E65" s="173"/>
      <c r="F65" s="173"/>
      <c r="G65" s="173"/>
      <c r="H65" s="173"/>
      <c r="I65" s="173"/>
      <c r="J65" s="173"/>
      <c r="K65" s="173"/>
      <c r="L65" s="173"/>
      <c r="M65" s="173"/>
      <c r="N65" s="173"/>
    </row>
    <row r="66" spans="1:16" s="17" customFormat="1" ht="10.5" customHeight="1">
      <c r="A66" s="256" t="s">
        <v>11</v>
      </c>
      <c r="B66" s="179" t="s">
        <v>913</v>
      </c>
      <c r="C66" s="173"/>
      <c r="D66" s="173"/>
      <c r="E66" s="173"/>
      <c r="F66" s="173"/>
      <c r="G66" s="173"/>
      <c r="H66" s="173"/>
      <c r="I66" s="173"/>
      <c r="J66" s="173"/>
      <c r="K66" s="173"/>
      <c r="L66" s="173"/>
      <c r="M66" s="173"/>
      <c r="N66" s="173"/>
    </row>
    <row r="67" spans="1:16" s="17" customFormat="1" ht="15.75">
      <c r="A67" s="256" t="s">
        <v>13</v>
      </c>
      <c r="B67" s="173" t="s">
        <v>14</v>
      </c>
      <c r="C67" s="173"/>
      <c r="D67" s="173"/>
      <c r="E67" s="173"/>
      <c r="F67" s="173"/>
      <c r="G67" s="173"/>
      <c r="H67" s="173"/>
      <c r="I67" s="173"/>
      <c r="J67" s="173"/>
      <c r="K67" s="173"/>
      <c r="L67" s="173"/>
      <c r="M67" s="173"/>
      <c r="N67" s="173"/>
    </row>
    <row r="68" spans="1:16" s="17" customFormat="1" ht="15.75">
      <c r="A68" s="256" t="s">
        <v>15</v>
      </c>
      <c r="B68" s="191">
        <f>B73</f>
        <v>0.3</v>
      </c>
      <c r="C68" s="173"/>
      <c r="D68" s="173"/>
      <c r="E68" s="173"/>
      <c r="F68" s="173"/>
      <c r="G68" s="173"/>
      <c r="H68" s="173"/>
      <c r="I68" s="173"/>
      <c r="J68" s="173"/>
      <c r="K68" s="173"/>
      <c r="L68" s="173"/>
      <c r="M68" s="173"/>
      <c r="N68" s="173"/>
    </row>
    <row r="69" spans="1:16" s="17" customFormat="1" ht="15.75">
      <c r="A69" s="256" t="s">
        <v>16</v>
      </c>
      <c r="B69" s="173" t="s">
        <v>17</v>
      </c>
      <c r="C69" s="173"/>
      <c r="D69" s="173"/>
      <c r="E69" s="173"/>
      <c r="F69" s="173"/>
      <c r="G69" s="173"/>
      <c r="H69" s="173"/>
      <c r="I69" s="173"/>
      <c r="J69" s="173"/>
      <c r="K69" s="173"/>
      <c r="L69" s="173"/>
      <c r="M69" s="173"/>
      <c r="N69" s="173"/>
    </row>
    <row r="70" spans="1:16" s="17" customFormat="1" ht="15.75">
      <c r="A70" s="256" t="s">
        <v>18</v>
      </c>
      <c r="B70" s="173" t="s">
        <v>37</v>
      </c>
      <c r="C70" s="173"/>
      <c r="D70" s="173"/>
      <c r="E70" s="173"/>
      <c r="F70" s="173"/>
      <c r="G70" s="173"/>
      <c r="H70" s="173"/>
      <c r="I70" s="173"/>
      <c r="J70" s="173"/>
      <c r="K70" s="173"/>
      <c r="L70" s="173"/>
      <c r="M70" s="173"/>
      <c r="N70" s="173"/>
    </row>
    <row r="71" spans="1:16" s="17" customFormat="1" ht="15.75">
      <c r="A71" s="257" t="s">
        <v>19</v>
      </c>
      <c r="B71" s="173"/>
      <c r="C71" s="173"/>
      <c r="D71" s="173"/>
      <c r="E71" s="173"/>
      <c r="F71" s="173"/>
      <c r="G71" s="173"/>
      <c r="H71" s="173"/>
      <c r="I71" s="173"/>
      <c r="J71" s="173"/>
      <c r="K71" s="173"/>
      <c r="L71" s="173"/>
      <c r="M71" s="173"/>
      <c r="N71" s="173"/>
    </row>
    <row r="72" spans="1:16" s="17" customFormat="1" ht="15.75">
      <c r="A72" s="257" t="s">
        <v>20</v>
      </c>
      <c r="B72" s="175" t="s">
        <v>21</v>
      </c>
      <c r="C72" s="175" t="s">
        <v>18</v>
      </c>
      <c r="D72" s="175" t="s">
        <v>22</v>
      </c>
      <c r="E72" s="175" t="s">
        <v>7</v>
      </c>
      <c r="F72" s="175" t="s">
        <v>13</v>
      </c>
      <c r="G72" s="175" t="s">
        <v>16</v>
      </c>
      <c r="H72" s="175" t="s">
        <v>23</v>
      </c>
      <c r="I72" s="175" t="s">
        <v>24</v>
      </c>
      <c r="J72" s="175" t="s">
        <v>25</v>
      </c>
      <c r="K72" s="175" t="s">
        <v>26</v>
      </c>
      <c r="L72" s="175" t="s">
        <v>27</v>
      </c>
      <c r="M72" s="175" t="s">
        <v>28</v>
      </c>
      <c r="N72" s="175" t="s">
        <v>11</v>
      </c>
    </row>
    <row r="73" spans="1:16" s="17" customFormat="1" ht="15.75">
      <c r="A73" s="178" t="s">
        <v>1630</v>
      </c>
      <c r="B73" s="184">
        <v>0.3</v>
      </c>
      <c r="C73" s="173" t="s">
        <v>37</v>
      </c>
      <c r="D73" s="258" t="s">
        <v>2</v>
      </c>
      <c r="E73" s="173" t="s">
        <v>29</v>
      </c>
      <c r="F73" s="185" t="s">
        <v>14</v>
      </c>
      <c r="G73" s="173" t="s">
        <v>30</v>
      </c>
      <c r="H73" s="173">
        <v>1</v>
      </c>
      <c r="I73" s="191">
        <f>B73</f>
        <v>0.3</v>
      </c>
      <c r="J73" s="173" t="s">
        <v>31</v>
      </c>
      <c r="K73" s="173" t="s">
        <v>31</v>
      </c>
      <c r="L73" s="173" t="s">
        <v>31</v>
      </c>
      <c r="M73" s="173" t="s">
        <v>31</v>
      </c>
      <c r="N73" s="173"/>
      <c r="O73" s="274"/>
      <c r="P73" s="275"/>
    </row>
    <row r="74" spans="1:16" s="17" customFormat="1" ht="15.75">
      <c r="A74" s="83" t="s">
        <v>137</v>
      </c>
      <c r="B74" s="184">
        <v>0.3</v>
      </c>
      <c r="C74" s="173" t="s">
        <v>37</v>
      </c>
      <c r="D74" s="173" t="s">
        <v>38</v>
      </c>
      <c r="E74" s="173" t="s">
        <v>29</v>
      </c>
      <c r="F74" s="185" t="s">
        <v>60</v>
      </c>
      <c r="G74" s="173" t="s">
        <v>33</v>
      </c>
      <c r="H74" s="173">
        <v>1</v>
      </c>
      <c r="I74" s="191">
        <f t="shared" ref="I74:I75" si="6">B74</f>
        <v>0.3</v>
      </c>
      <c r="J74" s="173" t="s">
        <v>31</v>
      </c>
      <c r="K74" s="173" t="s">
        <v>31</v>
      </c>
      <c r="L74" s="173" t="s">
        <v>31</v>
      </c>
      <c r="M74" s="173" t="s">
        <v>31</v>
      </c>
      <c r="N74" s="173"/>
      <c r="O74" s="274"/>
      <c r="P74" s="275"/>
    </row>
    <row r="75" spans="1:16" s="17" customFormat="1" ht="15.75">
      <c r="A75" s="83" t="s">
        <v>914</v>
      </c>
      <c r="B75" s="184">
        <v>0.3</v>
      </c>
      <c r="C75" s="173" t="s">
        <v>37</v>
      </c>
      <c r="D75" s="173" t="s">
        <v>38</v>
      </c>
      <c r="E75" s="173" t="s">
        <v>29</v>
      </c>
      <c r="F75" s="185" t="s">
        <v>60</v>
      </c>
      <c r="G75" s="173" t="s">
        <v>33</v>
      </c>
      <c r="H75" s="173">
        <v>1</v>
      </c>
      <c r="I75" s="191">
        <f t="shared" si="6"/>
        <v>0.3</v>
      </c>
      <c r="J75" s="173" t="s">
        <v>31</v>
      </c>
      <c r="K75" s="173" t="s">
        <v>31</v>
      </c>
      <c r="L75" s="173" t="s">
        <v>31</v>
      </c>
      <c r="M75" s="173" t="s">
        <v>31</v>
      </c>
      <c r="N75" s="173"/>
      <c r="O75" s="274"/>
      <c r="P75" s="275"/>
    </row>
    <row r="76" spans="1:16" s="273" customFormat="1" ht="15.75">
      <c r="A76" s="209" t="s">
        <v>5</v>
      </c>
      <c r="B76" s="210" t="s">
        <v>1634</v>
      </c>
      <c r="C76" s="211"/>
      <c r="D76" s="188"/>
      <c r="E76" s="188"/>
      <c r="F76" s="188"/>
      <c r="G76" s="188"/>
      <c r="H76" s="188"/>
      <c r="I76" s="188"/>
      <c r="J76" s="188"/>
      <c r="K76" s="188"/>
      <c r="L76" s="188"/>
      <c r="M76" s="188"/>
      <c r="N76" s="188"/>
    </row>
    <row r="77" spans="1:16" s="17" customFormat="1" ht="15.75">
      <c r="A77" s="177" t="s">
        <v>7</v>
      </c>
      <c r="B77" s="173" t="s">
        <v>566</v>
      </c>
      <c r="C77" s="176"/>
      <c r="D77" s="173"/>
      <c r="E77" s="173"/>
      <c r="F77" s="173"/>
      <c r="G77" s="173"/>
      <c r="H77" s="173"/>
      <c r="I77" s="173"/>
      <c r="J77" s="173"/>
      <c r="K77" s="173"/>
      <c r="L77" s="173"/>
      <c r="M77" s="173"/>
      <c r="N77" s="173"/>
    </row>
    <row r="78" spans="1:16" s="17" customFormat="1" ht="15.75">
      <c r="A78" s="276" t="s">
        <v>9</v>
      </c>
      <c r="B78" s="173" t="s">
        <v>1635</v>
      </c>
      <c r="C78" s="176"/>
      <c r="D78" s="173"/>
      <c r="E78" s="173"/>
      <c r="F78" s="173"/>
      <c r="G78" s="173"/>
      <c r="H78" s="173"/>
      <c r="I78" s="173"/>
      <c r="J78" s="173"/>
      <c r="K78" s="173"/>
      <c r="L78" s="173"/>
      <c r="M78" s="173"/>
      <c r="N78" s="173"/>
    </row>
    <row r="79" spans="1:16" s="17" customFormat="1" ht="15.75" customHeight="1">
      <c r="A79" s="177" t="s">
        <v>11</v>
      </c>
      <c r="B79" s="179" t="s">
        <v>913</v>
      </c>
      <c r="C79" s="173"/>
      <c r="D79" s="173"/>
      <c r="E79" s="173"/>
      <c r="F79" s="173"/>
      <c r="G79" s="173"/>
      <c r="H79" s="173"/>
      <c r="I79" s="173"/>
      <c r="J79" s="173"/>
      <c r="K79" s="173"/>
      <c r="L79" s="173"/>
      <c r="M79" s="173"/>
      <c r="N79" s="173"/>
    </row>
    <row r="80" spans="1:16" s="17" customFormat="1" ht="15.75">
      <c r="A80" s="177" t="s">
        <v>13</v>
      </c>
      <c r="B80" s="173" t="s">
        <v>14</v>
      </c>
      <c r="C80" s="173"/>
      <c r="D80" s="173"/>
      <c r="E80" s="173"/>
      <c r="F80" s="173"/>
      <c r="G80" s="173"/>
      <c r="H80" s="173"/>
      <c r="I80" s="173"/>
      <c r="J80" s="173"/>
      <c r="K80" s="173"/>
      <c r="L80" s="173"/>
      <c r="M80" s="173"/>
      <c r="N80" s="173"/>
    </row>
    <row r="81" spans="1:19" s="17" customFormat="1" ht="15.75">
      <c r="A81" s="177" t="s">
        <v>15</v>
      </c>
      <c r="B81" s="277">
        <f>B86</f>
        <v>7.41</v>
      </c>
      <c r="C81" s="173"/>
      <c r="D81" s="173"/>
      <c r="E81" s="173"/>
      <c r="F81" s="173"/>
      <c r="G81" s="173"/>
      <c r="H81" s="173"/>
      <c r="I81" s="173"/>
      <c r="J81" s="173"/>
      <c r="K81" s="173"/>
      <c r="L81" s="173"/>
      <c r="M81" s="173"/>
      <c r="N81" s="173"/>
    </row>
    <row r="82" spans="1:19" s="17" customFormat="1" ht="15.75">
      <c r="A82" s="177" t="s">
        <v>16</v>
      </c>
      <c r="B82" s="173" t="s">
        <v>17</v>
      </c>
      <c r="C82" s="173"/>
      <c r="D82" s="173"/>
      <c r="E82" s="173"/>
      <c r="F82" s="173"/>
      <c r="G82" s="173"/>
      <c r="H82" s="173"/>
      <c r="I82" s="173"/>
      <c r="J82" s="173"/>
      <c r="K82" s="173"/>
      <c r="L82" s="173"/>
      <c r="M82" s="173"/>
      <c r="N82" s="173"/>
    </row>
    <row r="83" spans="1:19" s="17" customFormat="1" ht="15.75">
      <c r="A83" s="177" t="s">
        <v>18</v>
      </c>
      <c r="B83" s="173" t="s">
        <v>37</v>
      </c>
      <c r="C83" s="173"/>
      <c r="D83" s="173"/>
      <c r="E83" s="173"/>
      <c r="F83" s="173"/>
      <c r="G83" s="173"/>
      <c r="H83" s="173"/>
      <c r="I83" s="173"/>
      <c r="J83" s="173"/>
      <c r="K83" s="173"/>
      <c r="L83" s="173"/>
      <c r="M83" s="173"/>
      <c r="N83" s="173"/>
      <c r="S83" s="278"/>
    </row>
    <row r="84" spans="1:19" s="17" customFormat="1" ht="15.75">
      <c r="A84" s="174" t="s">
        <v>19</v>
      </c>
      <c r="B84" s="173"/>
      <c r="C84" s="173"/>
      <c r="D84" s="173"/>
      <c r="E84" s="173"/>
      <c r="F84" s="173"/>
      <c r="G84" s="173"/>
      <c r="H84" s="173"/>
      <c r="I84" s="173"/>
      <c r="J84" s="173"/>
      <c r="K84" s="173"/>
      <c r="L84" s="173"/>
      <c r="M84" s="173"/>
      <c r="N84" s="173"/>
    </row>
    <row r="85" spans="1:19" s="17" customFormat="1" ht="15.75">
      <c r="A85" s="175" t="s">
        <v>20</v>
      </c>
      <c r="B85" s="175" t="s">
        <v>21</v>
      </c>
      <c r="C85" s="175" t="s">
        <v>18</v>
      </c>
      <c r="D85" s="175" t="s">
        <v>22</v>
      </c>
      <c r="E85" s="175" t="s">
        <v>7</v>
      </c>
      <c r="F85" s="175" t="s">
        <v>13</v>
      </c>
      <c r="G85" s="175" t="s">
        <v>16</v>
      </c>
      <c r="H85" s="175" t="s">
        <v>23</v>
      </c>
      <c r="I85" s="175" t="s">
        <v>24</v>
      </c>
      <c r="J85" s="175" t="s">
        <v>25</v>
      </c>
      <c r="K85" s="175" t="s">
        <v>26</v>
      </c>
      <c r="L85" s="175" t="s">
        <v>27</v>
      </c>
      <c r="M85" s="175" t="s">
        <v>28</v>
      </c>
      <c r="N85" s="175" t="s">
        <v>11</v>
      </c>
    </row>
    <row r="86" spans="1:19" s="17" customFormat="1" ht="15.75">
      <c r="A86" s="173" t="s">
        <v>1634</v>
      </c>
      <c r="B86" s="191">
        <v>7.41</v>
      </c>
      <c r="C86" s="173" t="s">
        <v>37</v>
      </c>
      <c r="D86" s="258" t="s">
        <v>2</v>
      </c>
      <c r="E86" s="173" t="s">
        <v>29</v>
      </c>
      <c r="F86" s="173" t="s">
        <v>14</v>
      </c>
      <c r="G86" s="173" t="s">
        <v>917</v>
      </c>
      <c r="H86" s="173">
        <v>1</v>
      </c>
      <c r="I86" s="191">
        <f>B86</f>
        <v>7.41</v>
      </c>
      <c r="J86" s="173" t="s">
        <v>31</v>
      </c>
      <c r="K86" s="173" t="s">
        <v>31</v>
      </c>
      <c r="L86" s="173" t="s">
        <v>31</v>
      </c>
      <c r="M86" s="173" t="s">
        <v>31</v>
      </c>
      <c r="N86" s="173"/>
      <c r="O86" s="274"/>
      <c r="P86" s="275"/>
    </row>
    <row r="87" spans="1:19" s="17" customFormat="1" ht="15.75">
      <c r="A87" s="232" t="s">
        <v>918</v>
      </c>
      <c r="B87" s="191">
        <v>7.41</v>
      </c>
      <c r="C87" s="173" t="s">
        <v>37</v>
      </c>
      <c r="D87" s="173" t="s">
        <v>38</v>
      </c>
      <c r="E87" s="173" t="s">
        <v>29</v>
      </c>
      <c r="F87" s="185" t="s">
        <v>60</v>
      </c>
      <c r="G87" s="173" t="s">
        <v>33</v>
      </c>
      <c r="H87" s="173">
        <v>1</v>
      </c>
      <c r="I87" s="191">
        <f t="shared" ref="I87:I89" si="7">B87</f>
        <v>7.41</v>
      </c>
      <c r="J87" s="173" t="s">
        <v>31</v>
      </c>
      <c r="K87" s="173" t="s">
        <v>31</v>
      </c>
      <c r="L87" s="173" t="s">
        <v>31</v>
      </c>
      <c r="M87" s="173" t="s">
        <v>31</v>
      </c>
      <c r="N87" s="173"/>
      <c r="O87" s="274"/>
      <c r="P87" s="275"/>
    </row>
    <row r="88" spans="1:19" s="17" customFormat="1" ht="15.75">
      <c r="A88" s="232" t="s">
        <v>919</v>
      </c>
      <c r="B88" s="191">
        <v>7.41</v>
      </c>
      <c r="C88" s="173" t="s">
        <v>37</v>
      </c>
      <c r="D88" s="173" t="s">
        <v>38</v>
      </c>
      <c r="E88" s="173" t="s">
        <v>29</v>
      </c>
      <c r="F88" s="185" t="s">
        <v>60</v>
      </c>
      <c r="G88" s="173" t="s">
        <v>33</v>
      </c>
      <c r="H88" s="173">
        <v>1</v>
      </c>
      <c r="I88" s="191">
        <f t="shared" si="7"/>
        <v>7.41</v>
      </c>
      <c r="J88" s="173" t="s">
        <v>31</v>
      </c>
      <c r="K88" s="173" t="s">
        <v>31</v>
      </c>
      <c r="L88" s="173" t="s">
        <v>31</v>
      </c>
      <c r="M88" s="173" t="s">
        <v>31</v>
      </c>
      <c r="N88" s="173"/>
      <c r="O88" s="274"/>
      <c r="P88" s="275"/>
    </row>
    <row r="89" spans="1:19" s="17" customFormat="1" ht="15.75">
      <c r="A89" s="232" t="s">
        <v>920</v>
      </c>
      <c r="B89" s="191">
        <v>7.41</v>
      </c>
      <c r="C89" s="173" t="s">
        <v>37</v>
      </c>
      <c r="D89" s="173" t="s">
        <v>38</v>
      </c>
      <c r="E89" s="173" t="s">
        <v>29</v>
      </c>
      <c r="F89" s="185" t="s">
        <v>35</v>
      </c>
      <c r="G89" s="173" t="s">
        <v>33</v>
      </c>
      <c r="H89" s="173">
        <v>1</v>
      </c>
      <c r="I89" s="191">
        <f t="shared" si="7"/>
        <v>7.41</v>
      </c>
      <c r="J89" s="173" t="s">
        <v>31</v>
      </c>
      <c r="K89" s="173" t="s">
        <v>31</v>
      </c>
      <c r="L89" s="173" t="s">
        <v>31</v>
      </c>
      <c r="M89" s="173" t="s">
        <v>31</v>
      </c>
      <c r="N89" s="173"/>
      <c r="O89" s="274"/>
      <c r="P89" s="275"/>
    </row>
    <row r="90" spans="1:19" s="17" customFormat="1" ht="15.75">
      <c r="A90" s="209" t="s">
        <v>5</v>
      </c>
      <c r="B90" s="210" t="s">
        <v>1622</v>
      </c>
      <c r="C90" s="211"/>
      <c r="D90" s="188"/>
      <c r="E90" s="188"/>
      <c r="F90" s="188"/>
      <c r="G90" s="188"/>
      <c r="H90" s="188"/>
      <c r="I90" s="188"/>
      <c r="J90" s="188"/>
      <c r="K90" s="188"/>
      <c r="L90" s="188"/>
      <c r="M90" s="188"/>
      <c r="N90" s="173"/>
    </row>
    <row r="91" spans="1:19" s="17" customFormat="1" ht="15.75">
      <c r="A91" s="177" t="s">
        <v>7</v>
      </c>
      <c r="B91" s="173" t="s">
        <v>566</v>
      </c>
      <c r="C91" s="176"/>
      <c r="D91" s="173"/>
      <c r="E91" s="173"/>
      <c r="F91" s="173"/>
      <c r="G91" s="173"/>
      <c r="H91" s="173"/>
      <c r="I91" s="173"/>
      <c r="J91" s="173"/>
      <c r="K91" s="173"/>
      <c r="L91" s="173"/>
      <c r="M91" s="173"/>
      <c r="N91" s="173"/>
    </row>
    <row r="92" spans="1:19" s="17" customFormat="1" ht="15.75">
      <c r="A92" s="177" t="s">
        <v>9</v>
      </c>
      <c r="B92" s="178" t="s">
        <v>1636</v>
      </c>
      <c r="C92" s="176"/>
      <c r="D92" s="173"/>
      <c r="E92" s="173"/>
      <c r="F92" s="173"/>
      <c r="G92" s="173"/>
      <c r="H92" s="173"/>
      <c r="I92" s="173"/>
      <c r="J92" s="173"/>
      <c r="K92" s="173"/>
      <c r="L92" s="173"/>
      <c r="M92" s="173"/>
      <c r="N92" s="173"/>
    </row>
    <row r="93" spans="1:19" s="17" customFormat="1" ht="15.75">
      <c r="A93" s="177" t="s">
        <v>11</v>
      </c>
      <c r="B93" s="179" t="s">
        <v>906</v>
      </c>
      <c r="C93" s="173"/>
      <c r="D93" s="173"/>
      <c r="E93" s="173"/>
      <c r="F93" s="173"/>
      <c r="G93" s="173"/>
      <c r="H93" s="173"/>
      <c r="I93" s="173"/>
      <c r="J93" s="173"/>
      <c r="K93" s="173"/>
      <c r="L93" s="173"/>
      <c r="M93" s="173"/>
      <c r="N93" s="173"/>
    </row>
    <row r="94" spans="1:19" s="17" customFormat="1" ht="15.75">
      <c r="A94" s="177" t="s">
        <v>13</v>
      </c>
      <c r="B94" s="185" t="s">
        <v>14</v>
      </c>
      <c r="C94" s="173"/>
      <c r="D94" s="173"/>
      <c r="E94" s="173"/>
      <c r="F94" s="173"/>
      <c r="G94" s="173"/>
      <c r="H94" s="173"/>
      <c r="I94" s="173"/>
      <c r="J94" s="173"/>
      <c r="K94" s="173"/>
      <c r="L94" s="173"/>
      <c r="M94" s="173"/>
      <c r="N94" s="173"/>
    </row>
    <row r="95" spans="1:19" s="17" customFormat="1" ht="15.75">
      <c r="A95" s="177" t="s">
        <v>15</v>
      </c>
      <c r="B95" s="191">
        <f>B100</f>
        <v>7.41</v>
      </c>
      <c r="C95" s="173"/>
      <c r="D95" s="173"/>
      <c r="E95" s="173"/>
      <c r="F95" s="173"/>
      <c r="G95" s="173"/>
      <c r="H95" s="173"/>
      <c r="I95" s="173"/>
      <c r="J95" s="173"/>
      <c r="K95" s="173"/>
      <c r="L95" s="173"/>
      <c r="M95" s="173"/>
      <c r="N95" s="173"/>
    </row>
    <row r="96" spans="1:19" s="17" customFormat="1" ht="15.75">
      <c r="A96" s="177" t="s">
        <v>16</v>
      </c>
      <c r="B96" s="173" t="s">
        <v>17</v>
      </c>
      <c r="C96" s="173"/>
      <c r="D96" s="173"/>
      <c r="E96" s="173"/>
      <c r="F96" s="173"/>
      <c r="G96" s="173"/>
      <c r="H96" s="173"/>
      <c r="I96" s="173"/>
      <c r="J96" s="173"/>
      <c r="K96" s="173"/>
      <c r="L96" s="173"/>
      <c r="M96" s="173"/>
      <c r="N96" s="173"/>
    </row>
    <row r="97" spans="1:14" s="17" customFormat="1" ht="15.75">
      <c r="A97" s="177" t="s">
        <v>18</v>
      </c>
      <c r="B97" s="173" t="s">
        <v>37</v>
      </c>
      <c r="C97" s="173"/>
      <c r="D97" s="173"/>
      <c r="E97" s="173"/>
      <c r="F97" s="173"/>
      <c r="G97" s="173"/>
      <c r="H97" s="173"/>
      <c r="I97" s="173"/>
      <c r="J97" s="173"/>
      <c r="K97" s="173"/>
      <c r="L97" s="173"/>
      <c r="M97" s="173"/>
      <c r="N97" s="173"/>
    </row>
    <row r="98" spans="1:14" s="17" customFormat="1" ht="15.75">
      <c r="A98" s="174" t="s">
        <v>19</v>
      </c>
      <c r="B98" s="173"/>
      <c r="C98" s="173"/>
      <c r="D98" s="173"/>
      <c r="E98" s="173"/>
      <c r="F98" s="173"/>
      <c r="G98" s="173"/>
      <c r="H98" s="173"/>
      <c r="I98" s="173"/>
      <c r="J98" s="173"/>
      <c r="K98" s="173"/>
      <c r="L98" s="173"/>
      <c r="M98" s="173"/>
      <c r="N98" s="173"/>
    </row>
    <row r="99" spans="1:14" s="17" customFormat="1" ht="15.75">
      <c r="A99" s="174" t="s">
        <v>20</v>
      </c>
      <c r="B99" s="175" t="s">
        <v>21</v>
      </c>
      <c r="C99" s="175" t="s">
        <v>18</v>
      </c>
      <c r="D99" s="175" t="s">
        <v>22</v>
      </c>
      <c r="E99" s="175" t="s">
        <v>7</v>
      </c>
      <c r="F99" s="175" t="s">
        <v>13</v>
      </c>
      <c r="G99" s="175" t="s">
        <v>16</v>
      </c>
      <c r="H99" s="175" t="s">
        <v>23</v>
      </c>
      <c r="I99" s="175" t="s">
        <v>24</v>
      </c>
      <c r="J99" s="175" t="s">
        <v>25</v>
      </c>
      <c r="K99" s="175" t="s">
        <v>26</v>
      </c>
      <c r="L99" s="175" t="s">
        <v>27</v>
      </c>
      <c r="M99" s="175" t="s">
        <v>28</v>
      </c>
      <c r="N99" s="175" t="s">
        <v>11</v>
      </c>
    </row>
    <row r="100" spans="1:14" s="17" customFormat="1" ht="15.75">
      <c r="A100" s="271" t="s">
        <v>1622</v>
      </c>
      <c r="B100" s="379">
        <f>B101</f>
        <v>7.41</v>
      </c>
      <c r="C100" s="173" t="s">
        <v>37</v>
      </c>
      <c r="D100" s="173" t="s">
        <v>2</v>
      </c>
      <c r="E100" s="173" t="s">
        <v>29</v>
      </c>
      <c r="F100" s="185" t="s">
        <v>14</v>
      </c>
      <c r="G100" s="173" t="s">
        <v>30</v>
      </c>
      <c r="H100" s="173">
        <v>1</v>
      </c>
      <c r="I100" s="173">
        <f>B100</f>
        <v>7.41</v>
      </c>
      <c r="J100" s="173" t="s">
        <v>31</v>
      </c>
      <c r="K100" s="173" t="s">
        <v>31</v>
      </c>
      <c r="L100" s="173" t="s">
        <v>31</v>
      </c>
      <c r="M100" s="173" t="s">
        <v>31</v>
      </c>
      <c r="N100" s="173"/>
    </row>
    <row r="101" spans="1:14" s="17" customFormat="1" ht="15.75">
      <c r="A101" s="271" t="s">
        <v>1634</v>
      </c>
      <c r="B101" s="379">
        <f>B86</f>
        <v>7.41</v>
      </c>
      <c r="C101" s="173" t="s">
        <v>37</v>
      </c>
      <c r="D101" s="173" t="s">
        <v>2</v>
      </c>
      <c r="E101" s="173" t="s">
        <v>29</v>
      </c>
      <c r="F101" s="185" t="s">
        <v>14</v>
      </c>
      <c r="G101" s="173" t="s">
        <v>33</v>
      </c>
      <c r="H101" s="173">
        <v>1</v>
      </c>
      <c r="I101" s="173">
        <f>B101</f>
        <v>7.41</v>
      </c>
      <c r="J101" s="173" t="s">
        <v>31</v>
      </c>
      <c r="K101" s="173" t="s">
        <v>31</v>
      </c>
      <c r="L101" s="173" t="s">
        <v>31</v>
      </c>
      <c r="M101" s="173" t="s">
        <v>31</v>
      </c>
      <c r="N101" s="173"/>
    </row>
    <row r="102" spans="1:14" s="17" customFormat="1" ht="15.75">
      <c r="A102" s="279" t="s">
        <v>924</v>
      </c>
      <c r="B102" s="173">
        <v>2.9000000000000001E-2</v>
      </c>
      <c r="C102" s="173" t="s">
        <v>37</v>
      </c>
      <c r="D102" s="173" t="s">
        <v>38</v>
      </c>
      <c r="E102" s="173" t="s">
        <v>29</v>
      </c>
      <c r="F102" s="185" t="s">
        <v>86</v>
      </c>
      <c r="G102" s="173" t="s">
        <v>33</v>
      </c>
      <c r="H102" s="173">
        <v>1</v>
      </c>
      <c r="I102" s="173">
        <f t="shared" ref="I102:I104" si="8">B102</f>
        <v>2.9000000000000001E-2</v>
      </c>
      <c r="J102" s="173" t="s">
        <v>31</v>
      </c>
      <c r="K102" s="173" t="s">
        <v>31</v>
      </c>
      <c r="L102" s="173" t="s">
        <v>31</v>
      </c>
      <c r="M102" s="173" t="s">
        <v>31</v>
      </c>
      <c r="N102" s="173"/>
    </row>
    <row r="103" spans="1:14" s="17" customFormat="1" ht="15.75">
      <c r="A103" s="279" t="s">
        <v>925</v>
      </c>
      <c r="B103" s="173">
        <v>0.68</v>
      </c>
      <c r="C103" s="173" t="s">
        <v>206</v>
      </c>
      <c r="D103" s="173" t="s">
        <v>38</v>
      </c>
      <c r="E103" s="173" t="s">
        <v>29</v>
      </c>
      <c r="F103" s="185" t="s">
        <v>60</v>
      </c>
      <c r="G103" s="173" t="s">
        <v>33</v>
      </c>
      <c r="H103" s="173">
        <v>1</v>
      </c>
      <c r="I103" s="173">
        <f t="shared" si="8"/>
        <v>0.68</v>
      </c>
      <c r="J103" s="173" t="s">
        <v>31</v>
      </c>
      <c r="K103" s="173" t="s">
        <v>31</v>
      </c>
      <c r="L103" s="173" t="s">
        <v>31</v>
      </c>
      <c r="M103" s="173" t="s">
        <v>31</v>
      </c>
      <c r="N103" s="173"/>
    </row>
    <row r="104" spans="1:14" s="17" customFormat="1" ht="15.75">
      <c r="A104" s="279" t="s">
        <v>926</v>
      </c>
      <c r="B104" s="173">
        <v>2.9000000000000001E-2</v>
      </c>
      <c r="C104" s="173" t="s">
        <v>37</v>
      </c>
      <c r="D104" s="173" t="s">
        <v>38</v>
      </c>
      <c r="E104" s="173" t="s">
        <v>29</v>
      </c>
      <c r="F104" s="185" t="s">
        <v>60</v>
      </c>
      <c r="G104" s="173" t="s">
        <v>33</v>
      </c>
      <c r="H104" s="173">
        <v>1</v>
      </c>
      <c r="I104" s="173">
        <f t="shared" si="8"/>
        <v>2.9000000000000001E-2</v>
      </c>
      <c r="J104" s="173" t="s">
        <v>31</v>
      </c>
      <c r="K104" s="173" t="s">
        <v>31</v>
      </c>
      <c r="L104" s="173" t="s">
        <v>31</v>
      </c>
      <c r="M104" s="173" t="s">
        <v>31</v>
      </c>
      <c r="N104" s="173"/>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A7919-BCDD-4C86-9587-2E26B2F669D5}">
  <sheetPr>
    <tabColor theme="5"/>
  </sheetPr>
  <dimension ref="A1:V47"/>
  <sheetViews>
    <sheetView topLeftCell="A18" zoomScale="90" zoomScaleNormal="90" workbookViewId="0">
      <selection activeCell="A36" sqref="A36"/>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s="173" t="s">
        <v>0</v>
      </c>
      <c r="B1" s="173">
        <v>13</v>
      </c>
      <c r="C1" s="173"/>
      <c r="D1" s="173"/>
      <c r="E1" s="173"/>
      <c r="F1" s="173"/>
      <c r="G1" s="173"/>
      <c r="H1" s="173"/>
      <c r="I1" s="173"/>
      <c r="J1" s="173"/>
      <c r="K1" s="173"/>
      <c r="L1" s="173"/>
      <c r="M1" s="173"/>
      <c r="N1" s="173"/>
      <c r="O1" s="173"/>
      <c r="P1" s="173"/>
      <c r="Q1" s="173"/>
      <c r="R1" s="173"/>
      <c r="S1" s="173"/>
      <c r="T1" s="173"/>
      <c r="U1" s="173"/>
      <c r="V1" s="173"/>
    </row>
    <row r="2" spans="1:22" s="42" customFormat="1">
      <c r="A2" s="209" t="s">
        <v>5</v>
      </c>
      <c r="B2" s="210" t="s">
        <v>1621</v>
      </c>
      <c r="C2" s="188"/>
      <c r="D2" s="188"/>
      <c r="E2" s="188"/>
      <c r="F2" s="188"/>
      <c r="G2" s="188"/>
      <c r="H2" s="188"/>
      <c r="I2" s="188"/>
      <c r="J2" s="188"/>
      <c r="K2" s="188"/>
      <c r="L2" s="188"/>
      <c r="M2" s="188"/>
      <c r="N2" s="188"/>
      <c r="O2" s="188"/>
      <c r="P2" s="188"/>
      <c r="Q2" s="188"/>
      <c r="R2" s="188"/>
      <c r="S2" s="188"/>
      <c r="T2" s="188"/>
      <c r="U2" s="188"/>
      <c r="V2" s="188"/>
    </row>
    <row r="3" spans="1:22">
      <c r="A3" s="177" t="s">
        <v>7</v>
      </c>
      <c r="B3" s="173" t="s">
        <v>566</v>
      </c>
      <c r="C3" s="176"/>
      <c r="D3" s="173"/>
      <c r="E3" s="173"/>
      <c r="F3" s="173"/>
      <c r="G3" s="173"/>
      <c r="H3" s="173"/>
      <c r="I3" s="173"/>
      <c r="J3" s="173"/>
      <c r="K3" s="173"/>
      <c r="L3" s="173"/>
      <c r="M3" s="173"/>
      <c r="N3" s="173"/>
      <c r="O3" s="173"/>
      <c r="P3" s="173"/>
      <c r="Q3" s="173"/>
      <c r="R3" s="173"/>
      <c r="S3" s="173"/>
      <c r="T3" s="173"/>
      <c r="U3" s="173"/>
      <c r="V3" s="173"/>
    </row>
    <row r="4" spans="1:22">
      <c r="A4" s="276" t="s">
        <v>9</v>
      </c>
      <c r="B4" s="173" t="s">
        <v>1637</v>
      </c>
      <c r="C4" s="176"/>
      <c r="D4" s="173"/>
      <c r="E4" s="173"/>
      <c r="F4" s="173"/>
      <c r="G4" s="173"/>
      <c r="H4" s="173"/>
      <c r="I4" s="173"/>
      <c r="J4" s="173"/>
      <c r="K4" s="173"/>
      <c r="L4" s="173"/>
      <c r="M4" s="173"/>
      <c r="N4" s="173"/>
      <c r="O4" s="173"/>
      <c r="P4" s="173"/>
      <c r="Q4" s="173"/>
      <c r="R4" s="173"/>
      <c r="S4" s="173"/>
      <c r="T4" s="173"/>
      <c r="U4" s="173"/>
      <c r="V4" s="173"/>
    </row>
    <row r="5" spans="1:22" ht="15.75" customHeight="1">
      <c r="A5" s="177" t="s">
        <v>11</v>
      </c>
      <c r="B5" s="179" t="s">
        <v>913</v>
      </c>
      <c r="C5" s="173"/>
      <c r="D5" s="173"/>
      <c r="E5" s="173"/>
      <c r="F5" s="173"/>
      <c r="G5" s="173"/>
      <c r="H5" s="173"/>
      <c r="I5" s="173"/>
      <c r="J5" s="173"/>
      <c r="K5" s="173"/>
      <c r="L5" s="173"/>
      <c r="M5" s="173"/>
      <c r="N5" s="173"/>
      <c r="O5" s="173"/>
      <c r="P5" s="173"/>
      <c r="Q5" s="173"/>
      <c r="R5" s="173"/>
      <c r="S5" s="173"/>
      <c r="T5" s="173"/>
      <c r="U5" s="173"/>
      <c r="V5" s="173"/>
    </row>
    <row r="6" spans="1:22">
      <c r="A6" s="177" t="s">
        <v>13</v>
      </c>
      <c r="B6" s="173" t="s">
        <v>14</v>
      </c>
      <c r="C6" s="173"/>
      <c r="D6" s="173"/>
      <c r="E6" s="173"/>
      <c r="F6" s="173"/>
      <c r="G6" s="173"/>
      <c r="H6" s="173"/>
      <c r="I6" s="173"/>
      <c r="J6" s="173"/>
      <c r="K6" s="173"/>
      <c r="L6" s="173"/>
      <c r="M6" s="173"/>
      <c r="N6" s="173"/>
      <c r="O6" s="173"/>
      <c r="P6" s="173"/>
      <c r="Q6" s="173"/>
      <c r="R6" s="173"/>
      <c r="S6" s="173"/>
      <c r="T6" s="173"/>
      <c r="U6" s="173"/>
      <c r="V6" s="173"/>
    </row>
    <row r="7" spans="1:22">
      <c r="A7" s="177" t="s">
        <v>15</v>
      </c>
      <c r="B7" s="265">
        <f>B12</f>
        <v>0.03</v>
      </c>
      <c r="C7" s="173"/>
      <c r="D7" s="173"/>
      <c r="E7" s="173"/>
      <c r="F7" s="173"/>
      <c r="G7" s="173"/>
      <c r="H7" s="173"/>
      <c r="I7" s="173"/>
      <c r="J7" s="173"/>
      <c r="K7" s="173"/>
      <c r="L7" s="173"/>
      <c r="M7" s="173"/>
      <c r="N7" s="173"/>
      <c r="O7" s="173"/>
      <c r="P7" s="173"/>
      <c r="Q7" s="173"/>
      <c r="R7" s="173"/>
      <c r="S7" s="173"/>
      <c r="T7" s="173"/>
      <c r="U7" s="173"/>
      <c r="V7" s="173"/>
    </row>
    <row r="8" spans="1:22">
      <c r="A8" s="177" t="s">
        <v>16</v>
      </c>
      <c r="B8" s="173" t="s">
        <v>17</v>
      </c>
      <c r="C8" s="173"/>
      <c r="D8" s="173"/>
      <c r="E8" s="173"/>
      <c r="F8" s="173"/>
      <c r="G8" s="173"/>
      <c r="H8" s="173"/>
      <c r="I8" s="173"/>
      <c r="J8" s="173"/>
      <c r="K8" s="173"/>
      <c r="L8" s="173"/>
      <c r="M8" s="173"/>
      <c r="N8" s="173"/>
      <c r="O8" s="173"/>
      <c r="P8" s="173"/>
      <c r="Q8" s="173"/>
      <c r="R8" s="173"/>
      <c r="S8" s="173"/>
      <c r="T8" s="173"/>
      <c r="U8" s="173"/>
      <c r="V8" s="173"/>
    </row>
    <row r="9" spans="1:22">
      <c r="A9" s="177" t="s">
        <v>18</v>
      </c>
      <c r="B9" s="173" t="s">
        <v>37</v>
      </c>
      <c r="C9" s="173"/>
      <c r="D9" s="173"/>
      <c r="E9" s="173"/>
      <c r="F9" s="173"/>
      <c r="G9" s="173"/>
      <c r="H9" s="173"/>
      <c r="I9" s="173"/>
      <c r="J9" s="173"/>
      <c r="K9" s="173"/>
      <c r="L9" s="173"/>
      <c r="M9" s="173"/>
      <c r="N9" s="173"/>
      <c r="O9" s="173"/>
      <c r="P9" s="173"/>
      <c r="Q9" s="173"/>
      <c r="R9" s="173"/>
      <c r="S9" s="175" t="s">
        <v>1023</v>
      </c>
      <c r="T9" s="173"/>
      <c r="U9" s="173"/>
      <c r="V9" s="173"/>
    </row>
    <row r="10" spans="1:22">
      <c r="A10" s="174" t="s">
        <v>19</v>
      </c>
      <c r="B10" s="173"/>
      <c r="C10" s="173"/>
      <c r="D10" s="173"/>
      <c r="E10" s="173"/>
      <c r="F10" s="173"/>
      <c r="G10" s="173"/>
      <c r="H10" s="173"/>
      <c r="I10" s="173"/>
      <c r="J10" s="173"/>
      <c r="K10" s="173"/>
      <c r="L10" s="173"/>
      <c r="M10" s="173"/>
      <c r="N10" s="173"/>
      <c r="O10" s="173"/>
      <c r="P10" s="173"/>
      <c r="Q10" s="173"/>
      <c r="R10" s="173"/>
      <c r="S10" s="173" t="s">
        <v>1024</v>
      </c>
      <c r="T10" s="173">
        <v>8900</v>
      </c>
      <c r="U10" s="173" t="s">
        <v>1025</v>
      </c>
      <c r="V10" s="173"/>
    </row>
    <row r="11" spans="1:22">
      <c r="A11" s="175"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c r="O11" s="173"/>
      <c r="P11" s="173"/>
      <c r="Q11" s="173"/>
      <c r="R11" s="173"/>
      <c r="S11" s="173" t="s">
        <v>1026</v>
      </c>
      <c r="T11" s="173">
        <f>5*10^-6</f>
        <v>4.9999999999999996E-6</v>
      </c>
      <c r="U11" s="173" t="s">
        <v>1027</v>
      </c>
      <c r="V11" s="173"/>
    </row>
    <row r="12" spans="1:22">
      <c r="A12" s="173" t="s">
        <v>1621</v>
      </c>
      <c r="B12" s="340">
        <f>B13</f>
        <v>0.03</v>
      </c>
      <c r="C12" s="173" t="s">
        <v>37</v>
      </c>
      <c r="D12" s="258" t="s">
        <v>2</v>
      </c>
      <c r="E12" s="173" t="s">
        <v>29</v>
      </c>
      <c r="F12" s="173" t="s">
        <v>14</v>
      </c>
      <c r="G12" s="173" t="s">
        <v>30</v>
      </c>
      <c r="H12" s="173">
        <v>1</v>
      </c>
      <c r="I12" s="173">
        <v>1</v>
      </c>
      <c r="J12" s="173" t="s">
        <v>31</v>
      </c>
      <c r="K12" s="173" t="s">
        <v>31</v>
      </c>
      <c r="L12" s="173" t="s">
        <v>31</v>
      </c>
      <c r="M12" s="173" t="s">
        <v>31</v>
      </c>
      <c r="N12" s="173"/>
      <c r="O12" s="228" t="s">
        <v>1028</v>
      </c>
      <c r="P12" s="309"/>
      <c r="Q12" s="173" t="s">
        <v>329</v>
      </c>
      <c r="R12" s="173"/>
      <c r="S12" s="280" t="s">
        <v>1029</v>
      </c>
      <c r="T12" s="281">
        <f>T11*T10</f>
        <v>4.4499999999999998E-2</v>
      </c>
      <c r="U12" s="282" t="s">
        <v>985</v>
      </c>
      <c r="V12" s="173"/>
    </row>
    <row r="13" spans="1:22">
      <c r="A13" s="173" t="s">
        <v>1638</v>
      </c>
      <c r="B13" s="340">
        <f>B28</f>
        <v>0.03</v>
      </c>
      <c r="C13" s="173" t="s">
        <v>206</v>
      </c>
      <c r="D13" s="258" t="s">
        <v>2</v>
      </c>
      <c r="E13" s="173" t="s">
        <v>29</v>
      </c>
      <c r="F13" s="173" t="s">
        <v>14</v>
      </c>
      <c r="G13" s="173" t="s">
        <v>33</v>
      </c>
      <c r="H13" s="173">
        <v>1</v>
      </c>
      <c r="I13" s="265">
        <f>B13</f>
        <v>0.03</v>
      </c>
      <c r="J13" s="173">
        <v>7.2284161474004766E-2</v>
      </c>
      <c r="K13" s="173" t="s">
        <v>31</v>
      </c>
      <c r="L13" s="173" t="s">
        <v>31</v>
      </c>
      <c r="M13" s="173" t="s">
        <v>31</v>
      </c>
      <c r="N13" s="173"/>
      <c r="O13" s="242" t="s">
        <v>1031</v>
      </c>
      <c r="P13" s="341">
        <f>B13*100</f>
        <v>3</v>
      </c>
      <c r="Q13" s="173"/>
      <c r="R13" s="173"/>
      <c r="S13" s="173"/>
      <c r="T13" s="173"/>
      <c r="U13" s="173"/>
      <c r="V13" s="173"/>
    </row>
    <row r="14" spans="1:22">
      <c r="A14" s="271" t="s">
        <v>1631</v>
      </c>
      <c r="B14" s="270">
        <f>U15</f>
        <v>4.8059999999999999E-2</v>
      </c>
      <c r="C14" s="173" t="s">
        <v>37</v>
      </c>
      <c r="D14" s="258" t="s">
        <v>2</v>
      </c>
      <c r="E14" s="173" t="s">
        <v>29</v>
      </c>
      <c r="F14" s="185" t="s">
        <v>14</v>
      </c>
      <c r="G14" s="173" t="s">
        <v>33</v>
      </c>
      <c r="H14" s="173">
        <v>1</v>
      </c>
      <c r="I14" s="265">
        <f>B14</f>
        <v>4.8059999999999999E-2</v>
      </c>
      <c r="J14" s="173">
        <v>7.2284161474004766E-2</v>
      </c>
      <c r="K14" s="173" t="s">
        <v>31</v>
      </c>
      <c r="L14" s="173" t="s">
        <v>31</v>
      </c>
      <c r="M14" s="173" t="s">
        <v>31</v>
      </c>
      <c r="N14" s="173"/>
      <c r="O14" s="286"/>
      <c r="P14" s="287"/>
      <c r="Q14" s="173"/>
      <c r="R14" s="173"/>
      <c r="S14" s="173" t="s">
        <v>1032</v>
      </c>
      <c r="T14" s="173"/>
      <c r="U14" s="173"/>
      <c r="V14" s="260"/>
    </row>
    <row r="15" spans="1:22">
      <c r="A15" s="177" t="s">
        <v>933</v>
      </c>
      <c r="B15" s="173">
        <f>Q15</f>
        <v>9.5</v>
      </c>
      <c r="C15" s="173" t="s">
        <v>37</v>
      </c>
      <c r="D15" s="173" t="s">
        <v>38</v>
      </c>
      <c r="E15" s="173" t="s">
        <v>29</v>
      </c>
      <c r="F15" s="185" t="s">
        <v>39</v>
      </c>
      <c r="G15" s="173" t="s">
        <v>33</v>
      </c>
      <c r="H15" s="173">
        <v>2</v>
      </c>
      <c r="I15" s="173">
        <f t="shared" ref="I15" si="0">LN(B15)</f>
        <v>2.2512917986064953</v>
      </c>
      <c r="J15" s="173">
        <v>7.2284161474004766E-2</v>
      </c>
      <c r="K15" s="173" t="s">
        <v>31</v>
      </c>
      <c r="L15" s="173" t="s">
        <v>31</v>
      </c>
      <c r="M15" s="173" t="s">
        <v>31</v>
      </c>
      <c r="N15" s="173"/>
      <c r="O15" s="242" t="s">
        <v>337</v>
      </c>
      <c r="P15" s="296">
        <v>9.5</v>
      </c>
      <c r="Q15" s="173">
        <f>P15</f>
        <v>9.5</v>
      </c>
      <c r="R15" s="173"/>
      <c r="S15" s="284">
        <v>1.08</v>
      </c>
      <c r="T15" s="285" t="s">
        <v>945</v>
      </c>
      <c r="U15" s="284">
        <f>S15*T12</f>
        <v>4.8059999999999999E-2</v>
      </c>
      <c r="V15" s="285" t="s">
        <v>337</v>
      </c>
    </row>
    <row r="16" spans="1:22">
      <c r="A16" s="232" t="s">
        <v>1021</v>
      </c>
      <c r="B16" s="173">
        <f>Q16</f>
        <v>4.9999999999999998E-7</v>
      </c>
      <c r="C16" s="173" t="s">
        <v>37</v>
      </c>
      <c r="D16" s="173" t="s">
        <v>38</v>
      </c>
      <c r="E16" s="173" t="s">
        <v>29</v>
      </c>
      <c r="F16" s="185" t="s">
        <v>60</v>
      </c>
      <c r="G16" s="173" t="s">
        <v>33</v>
      </c>
      <c r="H16" s="173">
        <v>2</v>
      </c>
      <c r="I16" s="173">
        <f>LN(B16)</f>
        <v>-14.508657738524219</v>
      </c>
      <c r="J16" s="173">
        <v>7.2284161474004766E-2</v>
      </c>
      <c r="K16" s="173" t="s">
        <v>31</v>
      </c>
      <c r="L16" s="173" t="s">
        <v>31</v>
      </c>
      <c r="M16" s="173" t="s">
        <v>31</v>
      </c>
      <c r="N16" s="173"/>
      <c r="O16" s="266" t="s">
        <v>952</v>
      </c>
      <c r="P16" s="365">
        <v>0.5</v>
      </c>
      <c r="Q16" s="173">
        <f>0.000001*P16</f>
        <v>4.9999999999999998E-7</v>
      </c>
      <c r="R16" s="173"/>
      <c r="S16" s="173"/>
      <c r="T16" s="173"/>
      <c r="U16" s="173"/>
      <c r="V16" s="173"/>
    </row>
    <row r="17" spans="1:22">
      <c r="A17" s="232" t="s">
        <v>489</v>
      </c>
      <c r="B17" s="173">
        <f t="shared" ref="B17" si="1">Q17</f>
        <v>9.4999999999999998E-3</v>
      </c>
      <c r="C17" s="173" t="s">
        <v>50</v>
      </c>
      <c r="D17" s="173" t="s">
        <v>38</v>
      </c>
      <c r="E17" s="173" t="s">
        <v>29</v>
      </c>
      <c r="F17" s="185" t="s">
        <v>39</v>
      </c>
      <c r="G17" s="173" t="s">
        <v>33</v>
      </c>
      <c r="H17" s="173">
        <v>2</v>
      </c>
      <c r="I17" s="173">
        <f t="shared" ref="I17" si="2">LN(B17)</f>
        <v>-4.656463480375642</v>
      </c>
      <c r="J17" s="173">
        <v>7.2284161474004766E-2</v>
      </c>
      <c r="K17" s="173" t="s">
        <v>31</v>
      </c>
      <c r="L17" s="173" t="s">
        <v>31</v>
      </c>
      <c r="M17" s="173" t="s">
        <v>31</v>
      </c>
      <c r="N17" s="173"/>
      <c r="O17" s="268" t="s">
        <v>1009</v>
      </c>
      <c r="P17" s="306">
        <v>9.5</v>
      </c>
      <c r="Q17" s="173">
        <f>0.001*P17</f>
        <v>9.4999999999999998E-3</v>
      </c>
      <c r="R17" s="173"/>
      <c r="S17" s="173"/>
      <c r="T17" s="173"/>
      <c r="U17" s="173"/>
      <c r="V17" s="173"/>
    </row>
    <row r="18" spans="1:22" s="42" customFormat="1">
      <c r="A18" s="209" t="s">
        <v>5</v>
      </c>
      <c r="B18" s="210" t="s">
        <v>1638</v>
      </c>
      <c r="C18" s="188"/>
      <c r="D18" s="188"/>
      <c r="E18" s="188"/>
      <c r="F18" s="188"/>
      <c r="G18" s="188"/>
      <c r="H18" s="188"/>
      <c r="I18" s="188"/>
      <c r="J18" s="188"/>
      <c r="K18" s="188"/>
      <c r="L18" s="188"/>
      <c r="M18" s="188"/>
      <c r="N18" s="188"/>
      <c r="O18" s="188"/>
      <c r="P18" s="188"/>
      <c r="Q18" s="188"/>
      <c r="R18" s="188"/>
      <c r="S18" s="188"/>
      <c r="T18" s="188"/>
      <c r="U18" s="188"/>
      <c r="V18" s="188"/>
    </row>
    <row r="19" spans="1:22">
      <c r="A19" s="177" t="s">
        <v>7</v>
      </c>
      <c r="B19" s="173" t="s">
        <v>566</v>
      </c>
      <c r="C19" s="176"/>
      <c r="D19" s="173"/>
      <c r="E19" s="173"/>
      <c r="F19" s="173"/>
      <c r="G19" s="173"/>
      <c r="H19" s="173"/>
      <c r="I19" s="173"/>
      <c r="J19" s="173"/>
      <c r="K19" s="173"/>
      <c r="L19" s="173"/>
      <c r="M19" s="173"/>
      <c r="N19" s="173"/>
      <c r="O19" s="173"/>
      <c r="P19" s="173"/>
      <c r="Q19" s="173"/>
      <c r="R19" s="173"/>
      <c r="S19" s="173"/>
      <c r="T19" s="173"/>
      <c r="U19" s="173"/>
      <c r="V19" s="173"/>
    </row>
    <row r="20" spans="1:22">
      <c r="A20" s="276" t="s">
        <v>9</v>
      </c>
      <c r="B20" s="178" t="s">
        <v>1639</v>
      </c>
      <c r="C20" s="176"/>
      <c r="D20" s="173"/>
      <c r="E20" s="173"/>
      <c r="F20" s="173"/>
      <c r="G20" s="173"/>
      <c r="H20" s="173"/>
      <c r="I20" s="173"/>
      <c r="J20" s="173"/>
      <c r="K20" s="173"/>
      <c r="L20" s="173"/>
      <c r="M20" s="173"/>
      <c r="N20" s="173"/>
      <c r="O20" s="173"/>
      <c r="P20" s="173"/>
      <c r="Q20" s="173"/>
      <c r="R20" s="173"/>
      <c r="S20" s="173"/>
      <c r="T20" s="173"/>
      <c r="U20" s="173"/>
      <c r="V20" s="173"/>
    </row>
    <row r="21" spans="1:22" ht="15.75" customHeight="1">
      <c r="A21" s="177" t="s">
        <v>11</v>
      </c>
      <c r="B21" s="179" t="s">
        <v>913</v>
      </c>
      <c r="C21" s="173"/>
      <c r="D21" s="173"/>
      <c r="E21" s="173"/>
      <c r="F21" s="173"/>
      <c r="G21" s="173"/>
      <c r="H21" s="173"/>
      <c r="I21" s="173"/>
      <c r="J21" s="173"/>
      <c r="K21" s="173"/>
      <c r="L21" s="173"/>
      <c r="M21" s="173"/>
      <c r="N21" s="173"/>
      <c r="O21" s="173"/>
      <c r="P21" s="173"/>
      <c r="Q21" s="173"/>
      <c r="R21" s="173"/>
      <c r="S21" s="173"/>
      <c r="T21" s="173"/>
      <c r="U21" s="173"/>
      <c r="V21" s="173"/>
    </row>
    <row r="22" spans="1:22">
      <c r="A22" s="177" t="s">
        <v>13</v>
      </c>
      <c r="B22" s="173" t="s">
        <v>14</v>
      </c>
      <c r="C22" s="173"/>
      <c r="D22" s="173"/>
      <c r="E22" s="173"/>
      <c r="F22" s="173"/>
      <c r="G22" s="173"/>
      <c r="H22" s="173"/>
      <c r="I22" s="173"/>
      <c r="J22" s="173"/>
      <c r="K22" s="173"/>
      <c r="L22" s="173"/>
      <c r="M22" s="173"/>
      <c r="N22" s="173"/>
      <c r="O22" s="173"/>
      <c r="P22" s="173"/>
      <c r="Q22" s="173"/>
      <c r="R22" s="173"/>
      <c r="S22" s="173"/>
      <c r="T22" s="173"/>
      <c r="U22" s="173"/>
      <c r="V22" s="173"/>
    </row>
    <row r="23" spans="1:22">
      <c r="A23" s="177" t="s">
        <v>15</v>
      </c>
      <c r="B23" s="265">
        <f>B28</f>
        <v>0.03</v>
      </c>
      <c r="C23" s="173"/>
      <c r="D23" s="173"/>
      <c r="E23" s="173"/>
      <c r="F23" s="173"/>
      <c r="G23" s="173"/>
      <c r="H23" s="173"/>
      <c r="I23" s="173"/>
      <c r="J23" s="173"/>
      <c r="K23" s="173"/>
      <c r="L23" s="173"/>
      <c r="M23" s="173"/>
      <c r="N23" s="173"/>
      <c r="O23" s="173"/>
      <c r="P23" s="173"/>
      <c r="Q23" s="173"/>
      <c r="R23" s="173"/>
      <c r="S23" s="173"/>
      <c r="T23" s="173"/>
      <c r="U23" s="173"/>
      <c r="V23" s="173"/>
    </row>
    <row r="24" spans="1:22">
      <c r="A24" s="177" t="s">
        <v>16</v>
      </c>
      <c r="B24" s="173" t="s">
        <v>17</v>
      </c>
      <c r="C24" s="173"/>
      <c r="D24" s="173"/>
      <c r="E24" s="173"/>
      <c r="F24" s="173"/>
      <c r="G24" s="173"/>
      <c r="H24" s="173"/>
      <c r="I24" s="173"/>
      <c r="J24" s="173"/>
      <c r="K24" s="173"/>
      <c r="L24" s="173"/>
      <c r="M24" s="173"/>
      <c r="N24" s="173"/>
      <c r="O24" s="173"/>
      <c r="P24" s="173"/>
      <c r="Q24" s="173"/>
      <c r="R24" s="173"/>
      <c r="S24" s="173"/>
      <c r="T24" s="173"/>
      <c r="U24" s="173"/>
      <c r="V24" s="173"/>
    </row>
    <row r="25" spans="1:22">
      <c r="A25" s="177" t="s">
        <v>18</v>
      </c>
      <c r="B25" s="173" t="s">
        <v>206</v>
      </c>
      <c r="C25" s="173"/>
      <c r="D25" s="173"/>
      <c r="E25" s="173"/>
      <c r="F25" s="173"/>
      <c r="G25" s="173"/>
      <c r="H25" s="173"/>
      <c r="I25" s="173"/>
      <c r="J25" s="173"/>
      <c r="K25" s="173"/>
      <c r="L25" s="173"/>
      <c r="M25" s="173"/>
      <c r="N25" s="173"/>
      <c r="O25" s="173"/>
      <c r="P25" s="173"/>
      <c r="Q25" s="173"/>
      <c r="R25" s="173"/>
      <c r="S25" s="173"/>
      <c r="T25" s="173"/>
      <c r="U25" s="173"/>
      <c r="V25" s="173"/>
    </row>
    <row r="26" spans="1:22">
      <c r="A26" s="174" t="s">
        <v>19</v>
      </c>
      <c r="B26" s="173"/>
      <c r="C26" s="173"/>
      <c r="D26" s="173"/>
      <c r="E26" s="173"/>
      <c r="F26" s="173"/>
      <c r="G26" s="173"/>
      <c r="H26" s="173"/>
      <c r="I26" s="173"/>
      <c r="J26" s="173"/>
      <c r="K26" s="173"/>
      <c r="L26" s="173"/>
      <c r="M26" s="173"/>
      <c r="N26" s="173"/>
      <c r="O26" s="173"/>
      <c r="P26" s="173"/>
      <c r="Q26" s="173"/>
      <c r="R26" s="173"/>
      <c r="S26" s="173"/>
      <c r="T26" s="173"/>
      <c r="U26" s="173"/>
      <c r="V26" s="173"/>
    </row>
    <row r="27" spans="1:22">
      <c r="A27" s="175" t="s">
        <v>20</v>
      </c>
      <c r="B27" s="175" t="s">
        <v>21</v>
      </c>
      <c r="C27" s="175" t="s">
        <v>18</v>
      </c>
      <c r="D27" s="175" t="s">
        <v>22</v>
      </c>
      <c r="E27" s="175" t="s">
        <v>7</v>
      </c>
      <c r="F27" s="175" t="s">
        <v>13</v>
      </c>
      <c r="G27" s="175" t="s">
        <v>16</v>
      </c>
      <c r="H27" s="175" t="s">
        <v>23</v>
      </c>
      <c r="I27" s="175" t="s">
        <v>24</v>
      </c>
      <c r="J27" s="175" t="s">
        <v>25</v>
      </c>
      <c r="K27" s="175" t="s">
        <v>26</v>
      </c>
      <c r="L27" s="175" t="s">
        <v>27</v>
      </c>
      <c r="M27" s="175" t="s">
        <v>28</v>
      </c>
      <c r="N27" s="175" t="s">
        <v>11</v>
      </c>
      <c r="O27" s="173"/>
      <c r="P27" s="173"/>
      <c r="Q27" s="173"/>
      <c r="R27" s="173"/>
      <c r="S27" s="173"/>
      <c r="T27" s="265"/>
      <c r="U27" s="173"/>
      <c r="V27" s="173"/>
    </row>
    <row r="28" spans="1:22">
      <c r="A28" s="173" t="s">
        <v>1638</v>
      </c>
      <c r="B28" s="265">
        <v>0.03</v>
      </c>
      <c r="C28" s="173" t="s">
        <v>206</v>
      </c>
      <c r="D28" s="258" t="s">
        <v>2</v>
      </c>
      <c r="E28" s="173" t="s">
        <v>29</v>
      </c>
      <c r="F28" s="173" t="s">
        <v>14</v>
      </c>
      <c r="G28" s="173" t="s">
        <v>30</v>
      </c>
      <c r="H28" s="173">
        <v>1</v>
      </c>
      <c r="I28" s="265">
        <f>B28</f>
        <v>0.03</v>
      </c>
      <c r="J28" s="173">
        <v>7.2284161474004766E-2</v>
      </c>
      <c r="K28" s="173" t="s">
        <v>31</v>
      </c>
      <c r="L28" s="173" t="s">
        <v>31</v>
      </c>
      <c r="M28" s="173" t="s">
        <v>31</v>
      </c>
      <c r="N28" s="173"/>
      <c r="O28" s="242" t="s">
        <v>1031</v>
      </c>
      <c r="P28" s="264">
        <f>B28*100</f>
        <v>3</v>
      </c>
      <c r="Q28" s="173"/>
      <c r="R28" s="173"/>
      <c r="S28" s="173"/>
      <c r="T28" s="173"/>
      <c r="U28" s="173"/>
      <c r="V28" s="173"/>
    </row>
    <row r="29" spans="1:22">
      <c r="A29" s="173" t="s">
        <v>1640</v>
      </c>
      <c r="B29" s="265">
        <v>0.03</v>
      </c>
      <c r="C29" s="173" t="s">
        <v>206</v>
      </c>
      <c r="D29" s="258" t="s">
        <v>2</v>
      </c>
      <c r="E29" s="173" t="s">
        <v>29</v>
      </c>
      <c r="F29" s="173" t="s">
        <v>14</v>
      </c>
      <c r="G29" s="173" t="s">
        <v>33</v>
      </c>
      <c r="H29" s="173">
        <v>1</v>
      </c>
      <c r="I29" s="265">
        <f>B29</f>
        <v>0.03</v>
      </c>
      <c r="J29" s="173">
        <v>7.2284161474004766E-2</v>
      </c>
      <c r="K29" s="173" t="s">
        <v>31</v>
      </c>
      <c r="L29" s="173" t="s">
        <v>31</v>
      </c>
      <c r="M29" s="173" t="s">
        <v>31</v>
      </c>
      <c r="N29" s="173"/>
      <c r="O29" s="173"/>
      <c r="P29" s="173"/>
      <c r="Q29" s="173"/>
      <c r="R29" s="173"/>
      <c r="S29" s="173"/>
      <c r="T29" s="173"/>
      <c r="U29" s="173"/>
      <c r="V29" s="173"/>
    </row>
    <row r="30" spans="1:22">
      <c r="A30" s="177" t="s">
        <v>168</v>
      </c>
      <c r="B30" s="184">
        <f>P30</f>
        <v>0.47</v>
      </c>
      <c r="C30" s="173" t="s">
        <v>41</v>
      </c>
      <c r="D30" s="173" t="s">
        <v>38</v>
      </c>
      <c r="E30" s="173" t="s">
        <v>29</v>
      </c>
      <c r="F30" s="185" t="s">
        <v>35</v>
      </c>
      <c r="G30" s="173" t="s">
        <v>33</v>
      </c>
      <c r="H30" s="173">
        <v>2</v>
      </c>
      <c r="I30" s="173">
        <f t="shared" ref="I30:I31" si="3">LN(B30)</f>
        <v>-0.75502258427803282</v>
      </c>
      <c r="J30" s="173">
        <v>7.2284161474004766E-2</v>
      </c>
      <c r="K30" s="173" t="s">
        <v>31</v>
      </c>
      <c r="L30" s="173" t="s">
        <v>31</v>
      </c>
      <c r="M30" s="173" t="s">
        <v>31</v>
      </c>
      <c r="N30" s="173"/>
      <c r="O30" s="242" t="s">
        <v>332</v>
      </c>
      <c r="P30" s="296">
        <v>0.47</v>
      </c>
      <c r="Q30" s="173"/>
      <c r="R30" s="173"/>
      <c r="S30" s="173"/>
      <c r="T30" s="173"/>
      <c r="U30" s="173"/>
      <c r="V30" s="173"/>
    </row>
    <row r="31" spans="1:22">
      <c r="A31" s="232" t="s">
        <v>1017</v>
      </c>
      <c r="B31" s="173">
        <f>R31</f>
        <v>1.0999999999999999E-2</v>
      </c>
      <c r="C31" s="265" t="s">
        <v>37</v>
      </c>
      <c r="D31" s="173" t="s">
        <v>38</v>
      </c>
      <c r="E31" s="173" t="s">
        <v>29</v>
      </c>
      <c r="F31" s="173" t="s">
        <v>60</v>
      </c>
      <c r="G31" s="173" t="s">
        <v>33</v>
      </c>
      <c r="H31" s="173">
        <v>2</v>
      </c>
      <c r="I31" s="173">
        <f t="shared" si="3"/>
        <v>-4.5098600061837661</v>
      </c>
      <c r="J31" s="173">
        <v>7.2284161474004766E-2</v>
      </c>
      <c r="K31" s="173" t="s">
        <v>31</v>
      </c>
      <c r="L31" s="173" t="s">
        <v>31</v>
      </c>
      <c r="M31" s="173" t="s">
        <v>31</v>
      </c>
      <c r="N31" s="173"/>
      <c r="O31" s="242" t="s">
        <v>947</v>
      </c>
      <c r="P31" s="296">
        <v>11</v>
      </c>
      <c r="Q31" s="173" t="s">
        <v>337</v>
      </c>
      <c r="R31" s="173">
        <f>P31*0.001</f>
        <v>1.0999999999999999E-2</v>
      </c>
      <c r="S31" s="173"/>
      <c r="T31" s="173"/>
      <c r="U31" s="173"/>
      <c r="V31" s="173"/>
    </row>
    <row r="32" spans="1:22">
      <c r="A32" s="83" t="s">
        <v>1018</v>
      </c>
      <c r="B32" s="173">
        <f t="shared" ref="B32:B33" si="4">R32</f>
        <v>0.02</v>
      </c>
      <c r="C32" s="173" t="s">
        <v>37</v>
      </c>
      <c r="D32" s="173" t="s">
        <v>38</v>
      </c>
      <c r="E32" s="173" t="s">
        <v>29</v>
      </c>
      <c r="F32" s="185" t="s">
        <v>35</v>
      </c>
      <c r="G32" s="173" t="s">
        <v>33</v>
      </c>
      <c r="H32" s="173">
        <v>2</v>
      </c>
      <c r="I32" s="173">
        <f>LN(B32)</f>
        <v>-3.912023005428146</v>
      </c>
      <c r="J32" s="173">
        <v>7.2284161474004766E-2</v>
      </c>
      <c r="K32" s="173" t="s">
        <v>31</v>
      </c>
      <c r="L32" s="173" t="s">
        <v>31</v>
      </c>
      <c r="M32" s="173" t="s">
        <v>31</v>
      </c>
      <c r="N32" s="173"/>
      <c r="O32" s="242" t="s">
        <v>947</v>
      </c>
      <c r="P32" s="296">
        <v>20</v>
      </c>
      <c r="Q32" s="173" t="s">
        <v>337</v>
      </c>
      <c r="R32" s="173">
        <f>P32*0.001</f>
        <v>0.02</v>
      </c>
      <c r="S32" s="173"/>
      <c r="T32" s="173"/>
      <c r="U32" s="173"/>
      <c r="V32" s="173"/>
    </row>
    <row r="33" spans="1:22">
      <c r="A33" s="177" t="s">
        <v>933</v>
      </c>
      <c r="B33" s="173">
        <f t="shared" si="4"/>
        <v>18</v>
      </c>
      <c r="C33" s="173" t="s">
        <v>37</v>
      </c>
      <c r="D33" s="173" t="s">
        <v>38</v>
      </c>
      <c r="E33" s="173" t="s">
        <v>29</v>
      </c>
      <c r="F33" s="185" t="s">
        <v>39</v>
      </c>
      <c r="G33" s="173" t="s">
        <v>33</v>
      </c>
      <c r="H33" s="173">
        <v>2</v>
      </c>
      <c r="I33" s="173">
        <f t="shared" ref="I33:I34" si="5">LN(B33)</f>
        <v>2.8903717578961645</v>
      </c>
      <c r="J33" s="173">
        <v>7.2284161474004766E-2</v>
      </c>
      <c r="K33" s="173" t="s">
        <v>31</v>
      </c>
      <c r="L33" s="173" t="s">
        <v>31</v>
      </c>
      <c r="M33" s="173" t="s">
        <v>31</v>
      </c>
      <c r="N33" s="173"/>
      <c r="O33" s="242" t="s">
        <v>337</v>
      </c>
      <c r="P33" s="296">
        <v>18</v>
      </c>
      <c r="Q33" s="173" t="s">
        <v>337</v>
      </c>
      <c r="R33" s="173">
        <f>P33</f>
        <v>18</v>
      </c>
      <c r="S33" s="173"/>
      <c r="T33" s="173"/>
      <c r="U33" s="173"/>
      <c r="V33" s="173"/>
    </row>
    <row r="34" spans="1:22">
      <c r="A34" s="232" t="s">
        <v>489</v>
      </c>
      <c r="B34" s="173">
        <f>R34</f>
        <v>1.8000000000000002E-2</v>
      </c>
      <c r="C34" s="173" t="s">
        <v>50</v>
      </c>
      <c r="D34" s="173" t="s">
        <v>38</v>
      </c>
      <c r="E34" s="173" t="s">
        <v>29</v>
      </c>
      <c r="F34" s="185" t="s">
        <v>39</v>
      </c>
      <c r="G34" s="173" t="s">
        <v>33</v>
      </c>
      <c r="H34" s="173">
        <v>2</v>
      </c>
      <c r="I34" s="173">
        <f t="shared" si="5"/>
        <v>-4.0173835210859723</v>
      </c>
      <c r="J34" s="173">
        <v>7.2284161474004766E-2</v>
      </c>
      <c r="K34" s="173" t="s">
        <v>31</v>
      </c>
      <c r="L34" s="173" t="s">
        <v>31</v>
      </c>
      <c r="M34" s="173" t="s">
        <v>31</v>
      </c>
      <c r="N34" s="173"/>
      <c r="O34" s="268" t="s">
        <v>1009</v>
      </c>
      <c r="P34" s="306">
        <v>18</v>
      </c>
      <c r="Q34" s="173" t="s">
        <v>335</v>
      </c>
      <c r="R34" s="173">
        <f>0.001*P34</f>
        <v>1.8000000000000002E-2</v>
      </c>
      <c r="S34" s="173"/>
      <c r="T34" s="173"/>
      <c r="U34" s="173"/>
      <c r="V34" s="173"/>
    </row>
    <row r="35" spans="1:22" s="42" customFormat="1">
      <c r="A35" s="209" t="s">
        <v>5</v>
      </c>
      <c r="B35" s="210" t="s">
        <v>1640</v>
      </c>
      <c r="C35" s="188"/>
      <c r="D35" s="188"/>
      <c r="E35" s="188"/>
      <c r="F35" s="188"/>
      <c r="G35" s="188"/>
      <c r="H35" s="188"/>
      <c r="I35" s="188"/>
      <c r="J35" s="188"/>
      <c r="K35" s="188"/>
      <c r="L35" s="188"/>
      <c r="M35" s="188"/>
      <c r="N35" s="188"/>
      <c r="O35" s="188"/>
      <c r="P35" s="188"/>
      <c r="Q35" s="188"/>
      <c r="R35" s="188"/>
      <c r="S35" s="188"/>
      <c r="T35" s="188"/>
      <c r="U35" s="188"/>
      <c r="V35" s="188"/>
    </row>
    <row r="36" spans="1:22">
      <c r="A36" s="177" t="s">
        <v>7</v>
      </c>
      <c r="B36" s="173" t="s">
        <v>566</v>
      </c>
      <c r="C36" s="176"/>
      <c r="D36" s="173"/>
      <c r="E36" s="173"/>
      <c r="F36" s="173"/>
      <c r="G36" s="173"/>
      <c r="H36" s="173"/>
      <c r="I36" s="173"/>
      <c r="J36" s="173"/>
      <c r="K36" s="173"/>
      <c r="L36" s="173"/>
      <c r="M36" s="173"/>
      <c r="N36" s="173"/>
      <c r="O36" s="173"/>
      <c r="P36" s="173"/>
      <c r="Q36" s="173"/>
      <c r="R36" s="173"/>
      <c r="S36" s="173"/>
      <c r="T36" s="173"/>
      <c r="U36" s="173"/>
      <c r="V36" s="173"/>
    </row>
    <row r="37" spans="1:22">
      <c r="A37" s="276" t="s">
        <v>9</v>
      </c>
      <c r="B37" s="178" t="s">
        <v>1641</v>
      </c>
      <c r="C37" s="176"/>
      <c r="D37" s="173"/>
      <c r="E37" s="173"/>
      <c r="F37" s="173"/>
      <c r="G37" s="173"/>
      <c r="H37" s="173"/>
      <c r="I37" s="173"/>
      <c r="J37" s="173"/>
      <c r="K37" s="173"/>
      <c r="L37" s="173"/>
      <c r="M37" s="173"/>
      <c r="N37" s="173"/>
      <c r="O37" s="173"/>
      <c r="P37" s="173"/>
      <c r="Q37" s="173"/>
      <c r="R37" s="173"/>
      <c r="S37" s="173"/>
      <c r="T37" s="173"/>
      <c r="U37" s="173"/>
      <c r="V37" s="173"/>
    </row>
    <row r="38" spans="1:22" ht="15.75" customHeight="1">
      <c r="A38" s="177" t="s">
        <v>11</v>
      </c>
      <c r="B38" s="179" t="s">
        <v>913</v>
      </c>
      <c r="C38" s="173"/>
      <c r="D38" s="173"/>
      <c r="E38" s="173"/>
      <c r="F38" s="173"/>
      <c r="G38" s="173"/>
      <c r="H38" s="173"/>
      <c r="I38" s="173"/>
      <c r="J38" s="173"/>
      <c r="K38" s="173"/>
      <c r="L38" s="173"/>
      <c r="M38" s="173"/>
      <c r="N38" s="173"/>
      <c r="O38" s="173"/>
      <c r="P38" s="173"/>
      <c r="Q38" s="173"/>
      <c r="R38" s="173"/>
      <c r="S38" s="173"/>
      <c r="T38" s="173"/>
      <c r="U38" s="173"/>
      <c r="V38" s="173"/>
    </row>
    <row r="39" spans="1:22">
      <c r="A39" s="177" t="s">
        <v>13</v>
      </c>
      <c r="B39" s="173" t="s">
        <v>14</v>
      </c>
      <c r="C39" s="173"/>
      <c r="D39" s="173"/>
      <c r="E39" s="173"/>
      <c r="F39" s="173"/>
      <c r="G39" s="173"/>
      <c r="H39" s="173"/>
      <c r="I39" s="173"/>
      <c r="J39" s="173"/>
      <c r="K39" s="173"/>
      <c r="L39" s="173"/>
      <c r="M39" s="173"/>
      <c r="N39" s="173"/>
      <c r="O39" s="173"/>
      <c r="P39" s="173"/>
      <c r="Q39" s="173"/>
      <c r="R39" s="173"/>
      <c r="S39" s="173"/>
      <c r="T39" s="173"/>
      <c r="U39" s="173"/>
      <c r="V39" s="173"/>
    </row>
    <row r="40" spans="1:22">
      <c r="A40" s="177" t="s">
        <v>15</v>
      </c>
      <c r="B40" s="265">
        <f>B45</f>
        <v>0.03</v>
      </c>
      <c r="C40" s="173"/>
      <c r="D40" s="173"/>
      <c r="E40" s="173"/>
      <c r="F40" s="173"/>
      <c r="G40" s="173"/>
      <c r="H40" s="173"/>
      <c r="I40" s="173"/>
      <c r="J40" s="173"/>
      <c r="K40" s="173"/>
      <c r="L40" s="173"/>
      <c r="M40" s="173"/>
      <c r="N40" s="173"/>
      <c r="O40" s="173"/>
      <c r="P40" s="173"/>
      <c r="Q40" s="173"/>
      <c r="R40" s="173"/>
      <c r="S40" s="173"/>
      <c r="T40" s="173"/>
      <c r="U40" s="173"/>
      <c r="V40" s="173"/>
    </row>
    <row r="41" spans="1:22">
      <c r="A41" s="177" t="s">
        <v>16</v>
      </c>
      <c r="B41" s="173" t="s">
        <v>17</v>
      </c>
      <c r="C41" s="173"/>
      <c r="D41" s="173"/>
      <c r="E41" s="173"/>
      <c r="F41" s="173"/>
      <c r="G41" s="173"/>
      <c r="H41" s="173"/>
      <c r="I41" s="173"/>
      <c r="J41" s="173"/>
      <c r="K41" s="173"/>
      <c r="L41" s="173"/>
      <c r="M41" s="173"/>
      <c r="N41" s="173"/>
      <c r="O41" s="173"/>
      <c r="P41" s="173"/>
      <c r="Q41" s="173"/>
      <c r="R41" s="173"/>
      <c r="S41" s="173"/>
      <c r="T41" s="173"/>
      <c r="U41" s="173"/>
      <c r="V41" s="173"/>
    </row>
    <row r="42" spans="1:22">
      <c r="A42" s="177" t="s">
        <v>18</v>
      </c>
      <c r="B42" s="173" t="s">
        <v>206</v>
      </c>
      <c r="C42" s="173"/>
      <c r="D42" s="173"/>
      <c r="E42" s="173"/>
      <c r="F42" s="173"/>
      <c r="G42" s="173"/>
      <c r="H42" s="173"/>
      <c r="I42" s="173"/>
      <c r="J42" s="173"/>
      <c r="K42" s="173"/>
      <c r="L42" s="173"/>
      <c r="M42" s="173"/>
      <c r="N42" s="173"/>
      <c r="O42" s="173"/>
      <c r="P42" s="173"/>
      <c r="Q42" s="173"/>
      <c r="R42" s="173"/>
      <c r="S42" s="173"/>
      <c r="T42" s="173"/>
      <c r="U42" s="173"/>
      <c r="V42" s="173"/>
    </row>
    <row r="43" spans="1:22">
      <c r="A43" s="174" t="s">
        <v>19</v>
      </c>
      <c r="B43" s="173"/>
      <c r="C43" s="173"/>
      <c r="D43" s="173"/>
      <c r="E43" s="173"/>
      <c r="F43" s="173"/>
      <c r="G43" s="173"/>
      <c r="H43" s="173"/>
      <c r="I43" s="173"/>
      <c r="J43" s="173"/>
      <c r="K43" s="173"/>
      <c r="L43" s="173"/>
      <c r="M43" s="173"/>
      <c r="N43" s="173"/>
      <c r="O43" s="173"/>
      <c r="P43" s="173"/>
      <c r="Q43" s="173"/>
      <c r="R43" s="173"/>
      <c r="S43" s="173"/>
      <c r="T43" s="173"/>
      <c r="U43" s="173"/>
      <c r="V43" s="173"/>
    </row>
    <row r="44" spans="1:22">
      <c r="A44" s="175" t="s">
        <v>20</v>
      </c>
      <c r="B44" s="175" t="s">
        <v>21</v>
      </c>
      <c r="C44" s="175" t="s">
        <v>18</v>
      </c>
      <c r="D44" s="175" t="s">
        <v>22</v>
      </c>
      <c r="E44" s="175" t="s">
        <v>7</v>
      </c>
      <c r="F44" s="175" t="s">
        <v>13</v>
      </c>
      <c r="G44" s="175" t="s">
        <v>16</v>
      </c>
      <c r="H44" s="175" t="s">
        <v>23</v>
      </c>
      <c r="I44" s="175" t="s">
        <v>24</v>
      </c>
      <c r="J44" s="175" t="s">
        <v>25</v>
      </c>
      <c r="K44" s="175" t="s">
        <v>26</v>
      </c>
      <c r="L44" s="175" t="s">
        <v>27</v>
      </c>
      <c r="M44" s="175" t="s">
        <v>28</v>
      </c>
      <c r="N44" s="175" t="s">
        <v>11</v>
      </c>
      <c r="O44" s="173"/>
      <c r="P44" s="173"/>
      <c r="Q44" s="173"/>
      <c r="R44" s="173"/>
      <c r="S44" s="173"/>
      <c r="T44" s="265"/>
      <c r="U44" s="173"/>
      <c r="V44" s="173"/>
    </row>
    <row r="45" spans="1:22">
      <c r="A45" s="173" t="s">
        <v>1640</v>
      </c>
      <c r="B45" s="265">
        <f>B29</f>
        <v>0.03</v>
      </c>
      <c r="C45" s="173" t="s">
        <v>206</v>
      </c>
      <c r="D45" s="258" t="s">
        <v>2</v>
      </c>
      <c r="E45" s="173" t="s">
        <v>29</v>
      </c>
      <c r="F45" s="173" t="s">
        <v>14</v>
      </c>
      <c r="G45" s="173" t="s">
        <v>30</v>
      </c>
      <c r="H45" s="173">
        <v>1</v>
      </c>
      <c r="I45" s="265">
        <f>B45</f>
        <v>0.03</v>
      </c>
      <c r="J45" s="173" t="s">
        <v>31</v>
      </c>
      <c r="K45" s="173" t="s">
        <v>31</v>
      </c>
      <c r="L45" s="173" t="s">
        <v>31</v>
      </c>
      <c r="M45" s="173" t="s">
        <v>31</v>
      </c>
      <c r="N45" s="173"/>
      <c r="O45" s="173"/>
      <c r="P45" s="173"/>
      <c r="Q45" s="173" t="s">
        <v>1036</v>
      </c>
      <c r="R45" s="173"/>
      <c r="S45" s="173"/>
      <c r="T45" s="173"/>
      <c r="U45" s="173"/>
      <c r="V45" s="173"/>
    </row>
    <row r="46" spans="1:22">
      <c r="A46" s="232" t="s">
        <v>1037</v>
      </c>
      <c r="B46" s="341">
        <v>0.4</v>
      </c>
      <c r="C46" s="173" t="s">
        <v>37</v>
      </c>
      <c r="D46" s="173" t="s">
        <v>38</v>
      </c>
      <c r="E46" s="173" t="s">
        <v>29</v>
      </c>
      <c r="F46" s="173" t="s">
        <v>86</v>
      </c>
      <c r="G46" s="173" t="s">
        <v>33</v>
      </c>
      <c r="H46" s="173">
        <v>1</v>
      </c>
      <c r="I46" s="265">
        <f t="shared" ref="I46:I47" si="6">B46</f>
        <v>0.4</v>
      </c>
      <c r="J46" s="173" t="s">
        <v>31</v>
      </c>
      <c r="K46" s="173" t="s">
        <v>31</v>
      </c>
      <c r="L46" s="173" t="s">
        <v>31</v>
      </c>
      <c r="M46" s="173" t="s">
        <v>31</v>
      </c>
      <c r="N46" s="173"/>
      <c r="O46" s="173"/>
      <c r="P46" s="173"/>
      <c r="Q46" s="173"/>
      <c r="R46" s="173"/>
      <c r="S46" s="173"/>
      <c r="T46" s="173"/>
      <c r="U46" s="173"/>
      <c r="V46" s="173"/>
    </row>
    <row r="47" spans="1:22">
      <c r="A47" s="232" t="s">
        <v>1038</v>
      </c>
      <c r="B47" s="341">
        <v>0.4</v>
      </c>
      <c r="C47" s="173" t="s">
        <v>37</v>
      </c>
      <c r="D47" s="173" t="s">
        <v>38</v>
      </c>
      <c r="E47" s="173" t="s">
        <v>29</v>
      </c>
      <c r="F47" s="173" t="s">
        <v>60</v>
      </c>
      <c r="G47" s="173" t="s">
        <v>33</v>
      </c>
      <c r="H47" s="173">
        <v>1</v>
      </c>
      <c r="I47" s="265">
        <f t="shared" si="6"/>
        <v>0.4</v>
      </c>
      <c r="J47" s="173" t="s">
        <v>31</v>
      </c>
      <c r="K47" s="173" t="s">
        <v>31</v>
      </c>
      <c r="L47" s="173" t="s">
        <v>31</v>
      </c>
      <c r="M47" s="173" t="s">
        <v>31</v>
      </c>
      <c r="N47" s="173"/>
      <c r="O47" s="173"/>
      <c r="P47" s="173"/>
      <c r="Q47" s="173"/>
      <c r="R47" s="173"/>
      <c r="S47" s="173"/>
      <c r="T47" s="173"/>
      <c r="U47" s="173"/>
      <c r="V47" s="173"/>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E2BBA-7B56-461C-A717-AA64045D1BE3}">
  <sheetPr>
    <tabColor theme="5"/>
  </sheetPr>
  <dimension ref="A1:Y57"/>
  <sheetViews>
    <sheetView topLeftCell="A27" zoomScaleNormal="10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173" t="s">
        <v>0</v>
      </c>
      <c r="B1" s="173">
        <v>14</v>
      </c>
      <c r="C1" s="173"/>
      <c r="D1" s="173"/>
      <c r="E1" s="173"/>
      <c r="F1" s="173"/>
      <c r="G1" s="173"/>
      <c r="H1" s="173"/>
      <c r="I1" s="173"/>
      <c r="J1" s="173"/>
      <c r="K1" s="173"/>
      <c r="L1" s="173"/>
      <c r="M1" s="173"/>
      <c r="N1" s="173"/>
      <c r="O1" s="173"/>
      <c r="P1" s="173"/>
      <c r="Q1" s="173"/>
      <c r="R1" s="271"/>
      <c r="S1" s="272"/>
    </row>
    <row r="2" spans="1:21" s="42" customFormat="1">
      <c r="A2" s="209" t="s">
        <v>5</v>
      </c>
      <c r="B2" s="210" t="s">
        <v>1623</v>
      </c>
      <c r="C2" s="210"/>
      <c r="D2" s="188"/>
      <c r="E2" s="188"/>
      <c r="F2" s="188"/>
      <c r="G2" s="188"/>
      <c r="H2" s="188"/>
      <c r="I2" s="188"/>
      <c r="J2" s="188"/>
      <c r="K2" s="188"/>
      <c r="L2" s="188"/>
      <c r="M2" s="188"/>
      <c r="N2" s="188"/>
      <c r="O2" s="188"/>
      <c r="P2" s="188"/>
      <c r="Q2" s="188"/>
      <c r="R2" s="290"/>
      <c r="S2" s="291"/>
    </row>
    <row r="3" spans="1:21">
      <c r="A3" s="177" t="s">
        <v>7</v>
      </c>
      <c r="B3" s="173" t="s">
        <v>566</v>
      </c>
      <c r="C3" s="173"/>
      <c r="D3" s="176"/>
      <c r="E3" s="173"/>
      <c r="F3" s="173"/>
      <c r="G3" s="173"/>
      <c r="H3" s="173"/>
      <c r="I3" s="173"/>
      <c r="J3" s="173"/>
      <c r="K3" s="173"/>
      <c r="L3" s="173"/>
      <c r="M3" s="173"/>
      <c r="N3" s="173"/>
      <c r="O3" s="173"/>
      <c r="P3" s="173"/>
      <c r="Q3" s="173"/>
      <c r="R3" s="271"/>
      <c r="S3" s="272"/>
    </row>
    <row r="4" spans="1:21">
      <c r="A4" s="276" t="s">
        <v>9</v>
      </c>
      <c r="B4" s="173" t="s">
        <v>1642</v>
      </c>
      <c r="C4" s="173"/>
      <c r="D4" s="176"/>
      <c r="E4" s="173"/>
      <c r="F4" s="173"/>
      <c r="G4" s="173"/>
      <c r="H4" s="173"/>
      <c r="I4" s="173"/>
      <c r="J4" s="173"/>
      <c r="K4" s="173"/>
      <c r="L4" s="173"/>
      <c r="M4" s="173"/>
      <c r="N4" s="173"/>
      <c r="O4" s="173"/>
      <c r="P4" s="173"/>
      <c r="Q4" s="173"/>
      <c r="R4" s="173"/>
      <c r="S4" s="173"/>
    </row>
    <row r="5" spans="1:21" ht="15.75" customHeight="1">
      <c r="A5" s="177" t="s">
        <v>11</v>
      </c>
      <c r="B5" s="179" t="s">
        <v>913</v>
      </c>
      <c r="C5" s="179"/>
      <c r="D5" s="173"/>
      <c r="E5" s="173"/>
      <c r="F5" s="173"/>
      <c r="G5" s="173"/>
      <c r="H5" s="173"/>
      <c r="I5" s="173"/>
      <c r="J5" s="173"/>
      <c r="K5" s="173"/>
      <c r="L5" s="173"/>
      <c r="M5" s="173"/>
      <c r="N5" s="173"/>
      <c r="O5" s="173"/>
      <c r="P5" s="173"/>
      <c r="Q5" s="173"/>
      <c r="R5" s="173"/>
      <c r="S5" s="173"/>
    </row>
    <row r="6" spans="1:21">
      <c r="A6" s="177" t="s">
        <v>13</v>
      </c>
      <c r="B6" s="173" t="s">
        <v>14</v>
      </c>
      <c r="C6" s="173"/>
      <c r="D6" s="173"/>
      <c r="E6" s="173"/>
      <c r="F6" s="173"/>
      <c r="G6" s="173"/>
      <c r="H6" s="173"/>
      <c r="I6" s="173"/>
      <c r="J6" s="173"/>
      <c r="K6" s="173"/>
      <c r="L6" s="173"/>
      <c r="M6" s="173"/>
      <c r="N6" s="173"/>
      <c r="O6" s="173"/>
      <c r="P6" s="173"/>
      <c r="Q6" s="173"/>
      <c r="R6" s="173"/>
      <c r="S6" s="173"/>
    </row>
    <row r="7" spans="1:21">
      <c r="A7" s="177" t="s">
        <v>15</v>
      </c>
      <c r="B7" s="191">
        <f>B12</f>
        <v>9.4499999999999993</v>
      </c>
      <c r="C7" s="191"/>
      <c r="D7" s="173"/>
      <c r="E7" s="173"/>
      <c r="F7" s="173"/>
      <c r="G7" s="173"/>
      <c r="H7" s="173"/>
      <c r="I7" s="173"/>
      <c r="J7" s="173"/>
      <c r="K7" s="173"/>
      <c r="L7" s="173"/>
      <c r="M7" s="173"/>
      <c r="N7" s="173"/>
      <c r="O7" s="173"/>
      <c r="P7" s="173"/>
      <c r="Q7" s="173"/>
      <c r="R7" s="173"/>
      <c r="S7" s="173"/>
    </row>
    <row r="8" spans="1:21">
      <c r="A8" s="177" t="s">
        <v>16</v>
      </c>
      <c r="B8" s="173" t="s">
        <v>17</v>
      </c>
      <c r="C8" s="173"/>
      <c r="D8" s="173"/>
      <c r="E8" s="173"/>
      <c r="F8" s="173"/>
      <c r="G8" s="173"/>
      <c r="H8" s="173"/>
      <c r="I8" s="173"/>
      <c r="J8" s="173"/>
      <c r="K8" s="173"/>
      <c r="L8" s="173"/>
      <c r="M8" s="173"/>
      <c r="N8" s="173"/>
      <c r="O8" s="173"/>
      <c r="P8" s="173"/>
      <c r="Q8" s="173"/>
      <c r="R8" s="173"/>
      <c r="S8" s="173"/>
    </row>
    <row r="9" spans="1:21">
      <c r="A9" s="177" t="s">
        <v>18</v>
      </c>
      <c r="B9" s="173" t="str">
        <f>D16</f>
        <v>kilogram</v>
      </c>
      <c r="C9" s="173"/>
      <c r="D9" s="173"/>
      <c r="E9" s="173"/>
      <c r="F9" s="173"/>
      <c r="G9" s="173"/>
      <c r="H9" s="173"/>
      <c r="I9" s="173"/>
      <c r="J9" s="173"/>
      <c r="K9" s="173"/>
      <c r="L9" s="173"/>
      <c r="M9" s="173"/>
      <c r="N9" s="173"/>
      <c r="O9" s="173"/>
      <c r="P9" s="173"/>
      <c r="Q9" s="173"/>
      <c r="R9" s="173"/>
      <c r="S9" s="173"/>
    </row>
    <row r="10" spans="1:21">
      <c r="A10" s="174" t="s">
        <v>19</v>
      </c>
      <c r="B10" s="173"/>
      <c r="C10" s="173"/>
      <c r="D10" s="173"/>
      <c r="E10" s="173"/>
      <c r="F10" s="173"/>
      <c r="G10" s="173"/>
      <c r="H10" s="173"/>
      <c r="I10" s="173"/>
      <c r="J10" s="173"/>
      <c r="K10" s="173"/>
      <c r="L10" s="173"/>
      <c r="M10" s="173"/>
      <c r="N10" s="173"/>
      <c r="O10" s="173"/>
      <c r="P10" s="173"/>
      <c r="Q10" s="173"/>
      <c r="R10" s="173"/>
      <c r="S10" s="173"/>
    </row>
    <row r="11" spans="1:21">
      <c r="A11" s="175" t="s">
        <v>20</v>
      </c>
      <c r="B11" s="175" t="s">
        <v>21</v>
      </c>
      <c r="C11" s="221" t="s">
        <v>78</v>
      </c>
      <c r="D11" s="175" t="s">
        <v>18</v>
      </c>
      <c r="E11" s="175" t="s">
        <v>22</v>
      </c>
      <c r="F11" s="175" t="s">
        <v>7</v>
      </c>
      <c r="G11" s="175" t="s">
        <v>13</v>
      </c>
      <c r="H11" s="175" t="s">
        <v>16</v>
      </c>
      <c r="I11" s="175" t="s">
        <v>23</v>
      </c>
      <c r="J11" s="175" t="s">
        <v>24</v>
      </c>
      <c r="K11" s="175" t="s">
        <v>25</v>
      </c>
      <c r="L11" s="175" t="s">
        <v>26</v>
      </c>
      <c r="M11" s="175" t="s">
        <v>27</v>
      </c>
      <c r="N11" s="175" t="s">
        <v>28</v>
      </c>
      <c r="O11" s="175" t="s">
        <v>11</v>
      </c>
      <c r="P11" s="173"/>
      <c r="Q11" s="173"/>
      <c r="R11" s="173"/>
      <c r="S11" s="173"/>
      <c r="U11" s="283"/>
    </row>
    <row r="12" spans="1:21">
      <c r="A12" s="173" t="s">
        <v>1623</v>
      </c>
      <c r="B12" s="191">
        <f>B43</f>
        <v>9.4499999999999993</v>
      </c>
      <c r="C12" s="173"/>
      <c r="D12" s="173" t="s">
        <v>37</v>
      </c>
      <c r="E12" s="258" t="s">
        <v>2</v>
      </c>
      <c r="F12" s="173" t="s">
        <v>29</v>
      </c>
      <c r="G12" s="173" t="s">
        <v>14</v>
      </c>
      <c r="H12" s="173" t="s">
        <v>30</v>
      </c>
      <c r="I12" s="173">
        <v>1</v>
      </c>
      <c r="J12" s="173">
        <f>B12</f>
        <v>9.4499999999999993</v>
      </c>
      <c r="K12" s="173" t="s">
        <v>31</v>
      </c>
      <c r="L12" s="173" t="s">
        <v>31</v>
      </c>
      <c r="M12" s="173" t="s">
        <v>31</v>
      </c>
      <c r="N12" s="173" t="s">
        <v>31</v>
      </c>
      <c r="O12" s="173"/>
      <c r="P12" s="271"/>
      <c r="Q12" s="272"/>
      <c r="R12" s="173"/>
      <c r="S12" s="173"/>
    </row>
    <row r="13" spans="1:21">
      <c r="A13" s="173" t="s">
        <v>1643</v>
      </c>
      <c r="B13" s="173">
        <v>1</v>
      </c>
      <c r="C13" s="173"/>
      <c r="D13" s="173" t="s">
        <v>18</v>
      </c>
      <c r="E13" s="258" t="s">
        <v>2</v>
      </c>
      <c r="F13" s="173" t="s">
        <v>29</v>
      </c>
      <c r="G13" s="173" t="s">
        <v>14</v>
      </c>
      <c r="H13" s="173" t="s">
        <v>33</v>
      </c>
      <c r="I13" s="173">
        <v>1</v>
      </c>
      <c r="J13" s="173">
        <v>1</v>
      </c>
      <c r="K13" s="173" t="s">
        <v>31</v>
      </c>
      <c r="L13" s="173" t="s">
        <v>31</v>
      </c>
      <c r="M13" s="173" t="s">
        <v>31</v>
      </c>
      <c r="N13" s="173" t="s">
        <v>31</v>
      </c>
      <c r="O13" s="173"/>
      <c r="P13" s="173"/>
      <c r="Q13" s="173"/>
      <c r="R13" s="173"/>
      <c r="S13" s="173"/>
    </row>
    <row r="14" spans="1:21">
      <c r="A14" s="177" t="s">
        <v>168</v>
      </c>
      <c r="B14" s="184">
        <f>Q14</f>
        <v>0.25</v>
      </c>
      <c r="C14" s="184"/>
      <c r="D14" s="173" t="s">
        <v>41</v>
      </c>
      <c r="E14" s="173" t="s">
        <v>38</v>
      </c>
      <c r="F14" s="173" t="s">
        <v>29</v>
      </c>
      <c r="G14" s="185" t="s">
        <v>35</v>
      </c>
      <c r="H14" s="173" t="s">
        <v>33</v>
      </c>
      <c r="I14" s="173">
        <v>2</v>
      </c>
      <c r="J14" s="173">
        <f t="shared" ref="J14:J18" si="0">LN(B14)</f>
        <v>-1.3862943611198906</v>
      </c>
      <c r="K14" s="343">
        <v>9.6046863561492793E-2</v>
      </c>
      <c r="L14" s="173" t="s">
        <v>31</v>
      </c>
      <c r="M14" s="173" t="s">
        <v>31</v>
      </c>
      <c r="N14" s="173" t="s">
        <v>31</v>
      </c>
      <c r="O14" s="173"/>
      <c r="P14" s="242" t="s">
        <v>332</v>
      </c>
      <c r="Q14" s="264">
        <v>0.25</v>
      </c>
      <c r="R14" s="173"/>
      <c r="S14" s="173"/>
    </row>
    <row r="15" spans="1:21">
      <c r="A15" s="177" t="s">
        <v>168</v>
      </c>
      <c r="B15" s="184">
        <f>Q15</f>
        <v>0.5</v>
      </c>
      <c r="C15" s="184"/>
      <c r="D15" s="173" t="s">
        <v>41</v>
      </c>
      <c r="E15" s="173" t="s">
        <v>38</v>
      </c>
      <c r="F15" s="173" t="s">
        <v>29</v>
      </c>
      <c r="G15" s="185" t="s">
        <v>60</v>
      </c>
      <c r="H15" s="173" t="s">
        <v>33</v>
      </c>
      <c r="I15" s="173">
        <v>2</v>
      </c>
      <c r="J15" s="173">
        <f t="shared" si="0"/>
        <v>-0.69314718055994529</v>
      </c>
      <c r="K15" s="343">
        <v>9.6046863561492793E-2</v>
      </c>
      <c r="L15" s="173" t="s">
        <v>31</v>
      </c>
      <c r="M15" s="173" t="s">
        <v>31</v>
      </c>
      <c r="N15" s="173" t="s">
        <v>31</v>
      </c>
      <c r="O15" s="173"/>
      <c r="P15" s="242" t="s">
        <v>332</v>
      </c>
      <c r="Q15" s="264">
        <v>0.5</v>
      </c>
      <c r="R15" s="173"/>
      <c r="S15" s="173"/>
    </row>
    <row r="16" spans="1:21">
      <c r="A16" s="232" t="s">
        <v>1042</v>
      </c>
      <c r="B16" s="173">
        <f>S16</f>
        <v>6.5000000000000002E-2</v>
      </c>
      <c r="C16" s="173"/>
      <c r="D16" s="173" t="s">
        <v>37</v>
      </c>
      <c r="E16" s="173" t="s">
        <v>38</v>
      </c>
      <c r="F16" s="173" t="s">
        <v>29</v>
      </c>
      <c r="G16" s="173" t="s">
        <v>35</v>
      </c>
      <c r="H16" s="173" t="s">
        <v>33</v>
      </c>
      <c r="I16" s="173">
        <v>2</v>
      </c>
      <c r="J16" s="173">
        <f t="shared" si="0"/>
        <v>-2.7333680090865</v>
      </c>
      <c r="K16" s="343">
        <v>9.6046863561492793E-2</v>
      </c>
      <c r="L16" s="173" t="s">
        <v>31</v>
      </c>
      <c r="M16" s="173" t="s">
        <v>31</v>
      </c>
      <c r="N16" s="173" t="s">
        <v>31</v>
      </c>
      <c r="O16" s="173"/>
      <c r="P16" s="242" t="s">
        <v>947</v>
      </c>
      <c r="Q16" s="264">
        <v>65</v>
      </c>
      <c r="R16" s="242" t="s">
        <v>337</v>
      </c>
      <c r="S16" s="264">
        <f>0.001*Q16</f>
        <v>6.5000000000000002E-2</v>
      </c>
    </row>
    <row r="17" spans="1:21">
      <c r="A17" s="232" t="s">
        <v>1043</v>
      </c>
      <c r="B17" s="173">
        <f>Q17</f>
        <v>1.2</v>
      </c>
      <c r="C17" s="173"/>
      <c r="D17" s="173" t="s">
        <v>37</v>
      </c>
      <c r="E17" s="173" t="s">
        <v>38</v>
      </c>
      <c r="F17" s="173" t="s">
        <v>29</v>
      </c>
      <c r="G17" s="185" t="s">
        <v>39</v>
      </c>
      <c r="H17" s="173" t="s">
        <v>33</v>
      </c>
      <c r="I17" s="173">
        <v>2</v>
      </c>
      <c r="J17" s="173">
        <f t="shared" si="0"/>
        <v>0.18232155679395459</v>
      </c>
      <c r="K17" s="343">
        <v>9.6046863561492793E-2</v>
      </c>
      <c r="L17" s="173" t="s">
        <v>31</v>
      </c>
      <c r="M17" s="173" t="s">
        <v>31</v>
      </c>
      <c r="N17" s="173" t="s">
        <v>31</v>
      </c>
      <c r="O17" s="173"/>
      <c r="P17" s="242" t="s">
        <v>337</v>
      </c>
      <c r="Q17" s="264">
        <v>1.2</v>
      </c>
      <c r="R17" s="173"/>
      <c r="S17" s="173"/>
    </row>
    <row r="18" spans="1:21">
      <c r="A18" s="232" t="s">
        <v>1238</v>
      </c>
      <c r="B18" s="173">
        <f>S18</f>
        <v>6.5000000000000002E-2</v>
      </c>
      <c r="C18" s="173"/>
      <c r="D18" s="173" t="s">
        <v>37</v>
      </c>
      <c r="E18" s="173" t="s">
        <v>38</v>
      </c>
      <c r="F18" s="173" t="s">
        <v>29</v>
      </c>
      <c r="G18" s="185" t="s">
        <v>39</v>
      </c>
      <c r="H18" s="173" t="s">
        <v>33</v>
      </c>
      <c r="I18" s="173">
        <v>2</v>
      </c>
      <c r="J18" s="173">
        <f t="shared" si="0"/>
        <v>-2.7333680090865</v>
      </c>
      <c r="K18" s="343">
        <v>9.6046863561492793E-2</v>
      </c>
      <c r="L18" s="173" t="s">
        <v>31</v>
      </c>
      <c r="M18" s="173" t="s">
        <v>31</v>
      </c>
      <c r="N18" s="173" t="s">
        <v>31</v>
      </c>
      <c r="O18" s="173"/>
      <c r="P18" s="242" t="s">
        <v>947</v>
      </c>
      <c r="Q18" s="306">
        <v>65</v>
      </c>
      <c r="R18" s="242" t="s">
        <v>337</v>
      </c>
      <c r="S18" s="264">
        <f>0.001*Q18</f>
        <v>6.5000000000000002E-2</v>
      </c>
    </row>
    <row r="19" spans="1:21" s="42" customFormat="1">
      <c r="A19" s="209" t="s">
        <v>5</v>
      </c>
      <c r="B19" s="210" t="str">
        <f>A29</f>
        <v>production of machined casing, mass scaled activities, bidirectional battery DCDC converter, GT-bat, Medium-Term</v>
      </c>
      <c r="C19" s="210"/>
      <c r="D19" s="188"/>
      <c r="E19" s="188"/>
      <c r="F19" s="188"/>
      <c r="G19" s="188"/>
      <c r="H19" s="188"/>
      <c r="I19" s="188"/>
      <c r="J19" s="188"/>
      <c r="K19" s="188"/>
      <c r="L19" s="188"/>
      <c r="M19" s="188"/>
      <c r="N19" s="188"/>
      <c r="O19" s="188"/>
      <c r="P19" s="188"/>
      <c r="Q19" s="188"/>
      <c r="R19" s="188"/>
      <c r="S19" s="188"/>
    </row>
    <row r="20" spans="1:21">
      <c r="A20" s="177" t="s">
        <v>7</v>
      </c>
      <c r="B20" s="173" t="s">
        <v>566</v>
      </c>
      <c r="C20" s="173"/>
      <c r="D20" s="176"/>
      <c r="E20" s="173"/>
      <c r="F20" s="173"/>
      <c r="G20" s="173"/>
      <c r="H20" s="173"/>
      <c r="I20" s="173"/>
      <c r="J20" s="173"/>
      <c r="K20" s="173"/>
      <c r="L20" s="173"/>
      <c r="M20" s="173"/>
      <c r="N20" s="173"/>
      <c r="O20" s="173"/>
      <c r="P20" s="173"/>
      <c r="Q20" s="173"/>
      <c r="R20" s="173"/>
      <c r="S20" s="173"/>
    </row>
    <row r="21" spans="1:21">
      <c r="A21" s="276" t="s">
        <v>9</v>
      </c>
      <c r="B21" s="173" t="s">
        <v>1644</v>
      </c>
      <c r="C21" s="173"/>
      <c r="D21" s="176"/>
      <c r="E21" s="173"/>
      <c r="F21" s="173"/>
      <c r="G21" s="173"/>
      <c r="H21" s="173"/>
      <c r="I21" s="173"/>
      <c r="J21" s="173"/>
      <c r="K21" s="173"/>
      <c r="L21" s="173"/>
      <c r="M21" s="173"/>
      <c r="N21" s="173"/>
      <c r="O21" s="173"/>
      <c r="P21" s="173"/>
      <c r="Q21" s="173"/>
      <c r="R21" s="173"/>
      <c r="S21" s="173"/>
    </row>
    <row r="22" spans="1:21" ht="15.75" customHeight="1">
      <c r="A22" s="177" t="s">
        <v>11</v>
      </c>
      <c r="B22" s="179" t="s">
        <v>913</v>
      </c>
      <c r="C22" s="179"/>
      <c r="D22" s="173"/>
      <c r="E22" s="173"/>
      <c r="F22" s="173"/>
      <c r="G22" s="173"/>
      <c r="H22" s="173"/>
      <c r="I22" s="173"/>
      <c r="J22" s="173"/>
      <c r="K22" s="173"/>
      <c r="L22" s="173"/>
      <c r="M22" s="173"/>
      <c r="N22" s="173"/>
      <c r="O22" s="173"/>
      <c r="P22" s="173"/>
      <c r="Q22" s="173"/>
      <c r="R22" s="173"/>
      <c r="S22" s="173"/>
    </row>
    <row r="23" spans="1:21">
      <c r="A23" s="177" t="s">
        <v>13</v>
      </c>
      <c r="B23" s="173" t="s">
        <v>14</v>
      </c>
      <c r="C23" s="173"/>
      <c r="D23" s="173"/>
      <c r="E23" s="173"/>
      <c r="F23" s="173"/>
      <c r="G23" s="173"/>
      <c r="H23" s="173"/>
      <c r="I23" s="173"/>
      <c r="J23" s="173"/>
      <c r="K23" s="173"/>
      <c r="L23" s="173"/>
      <c r="M23" s="173"/>
      <c r="N23" s="173"/>
      <c r="O23" s="173"/>
      <c r="P23" s="173"/>
      <c r="Q23" s="173"/>
      <c r="R23" s="173"/>
      <c r="S23" s="173"/>
    </row>
    <row r="24" spans="1:21">
      <c r="A24" s="177" t="s">
        <v>15</v>
      </c>
      <c r="B24" s="191">
        <v>1</v>
      </c>
      <c r="C24" s="191"/>
      <c r="D24" s="173"/>
      <c r="E24" s="173"/>
      <c r="F24" s="173"/>
      <c r="G24" s="173"/>
      <c r="H24" s="173"/>
      <c r="I24" s="173"/>
      <c r="J24" s="173"/>
      <c r="K24" s="173"/>
      <c r="L24" s="173"/>
      <c r="M24" s="173"/>
      <c r="N24" s="173"/>
      <c r="O24" s="173"/>
      <c r="P24" s="173"/>
      <c r="Q24" s="173"/>
      <c r="R24" s="173"/>
      <c r="S24" s="173"/>
    </row>
    <row r="25" spans="1:21">
      <c r="A25" s="177" t="s">
        <v>16</v>
      </c>
      <c r="B25" s="173" t="s">
        <v>17</v>
      </c>
      <c r="C25" s="173"/>
      <c r="D25" s="173"/>
      <c r="E25" s="173"/>
      <c r="F25" s="173"/>
      <c r="G25" s="173"/>
      <c r="H25" s="173"/>
      <c r="I25" s="173"/>
      <c r="J25" s="173"/>
      <c r="K25" s="173"/>
      <c r="L25" s="173"/>
      <c r="M25" s="173"/>
      <c r="N25" s="173"/>
      <c r="O25" s="173"/>
      <c r="P25" s="173"/>
      <c r="Q25" s="173"/>
      <c r="R25" s="173"/>
      <c r="S25" s="173"/>
    </row>
    <row r="26" spans="1:21">
      <c r="A26" s="177" t="s">
        <v>18</v>
      </c>
      <c r="B26" s="173" t="s">
        <v>18</v>
      </c>
      <c r="C26" s="173"/>
      <c r="D26" s="173"/>
      <c r="E26" s="173"/>
      <c r="F26" s="173"/>
      <c r="G26" s="173"/>
      <c r="H26" s="173"/>
      <c r="I26" s="173"/>
      <c r="J26" s="173"/>
      <c r="K26" s="173"/>
      <c r="L26" s="173"/>
      <c r="M26" s="173"/>
      <c r="N26" s="173"/>
      <c r="O26" s="173"/>
      <c r="P26" s="173"/>
      <c r="Q26" s="173"/>
      <c r="R26" s="173"/>
      <c r="S26" s="173"/>
    </row>
    <row r="27" spans="1:21">
      <c r="A27" s="174" t="s">
        <v>19</v>
      </c>
      <c r="B27" s="173"/>
      <c r="C27" s="173"/>
      <c r="D27" s="173"/>
      <c r="E27" s="173"/>
      <c r="F27" s="173"/>
      <c r="G27" s="173"/>
      <c r="H27" s="173"/>
      <c r="I27" s="173"/>
      <c r="J27" s="173"/>
      <c r="K27" s="173"/>
      <c r="L27" s="173"/>
      <c r="M27" s="173"/>
      <c r="N27" s="173"/>
      <c r="O27" s="173"/>
      <c r="P27" s="173"/>
      <c r="Q27" s="173"/>
      <c r="R27" s="173"/>
      <c r="S27" s="173"/>
    </row>
    <row r="28" spans="1:21">
      <c r="A28" s="175" t="s">
        <v>20</v>
      </c>
      <c r="B28" s="175" t="s">
        <v>21</v>
      </c>
      <c r="C28" s="221" t="s">
        <v>78</v>
      </c>
      <c r="D28" s="175" t="s">
        <v>18</v>
      </c>
      <c r="E28" s="175" t="s">
        <v>22</v>
      </c>
      <c r="F28" s="175" t="s">
        <v>7</v>
      </c>
      <c r="G28" s="175" t="s">
        <v>13</v>
      </c>
      <c r="H28" s="175" t="s">
        <v>16</v>
      </c>
      <c r="I28" s="175" t="s">
        <v>23</v>
      </c>
      <c r="J28" s="175" t="s">
        <v>24</v>
      </c>
      <c r="K28" s="175" t="s">
        <v>25</v>
      </c>
      <c r="L28" s="175" t="s">
        <v>26</v>
      </c>
      <c r="M28" s="175" t="s">
        <v>27</v>
      </c>
      <c r="N28" s="175" t="s">
        <v>28</v>
      </c>
      <c r="O28" s="175" t="s">
        <v>11</v>
      </c>
      <c r="P28" s="173"/>
      <c r="Q28" s="173"/>
      <c r="R28" s="173"/>
      <c r="S28" s="173"/>
      <c r="U28" s="283"/>
    </row>
    <row r="29" spans="1:21">
      <c r="A29" s="173" t="s">
        <v>1643</v>
      </c>
      <c r="B29" s="173">
        <v>1</v>
      </c>
      <c r="C29" s="173"/>
      <c r="D29" s="173" t="s">
        <v>18</v>
      </c>
      <c r="E29" s="258" t="s">
        <v>2</v>
      </c>
      <c r="F29" s="173" t="s">
        <v>29</v>
      </c>
      <c r="G29" s="173" t="s">
        <v>14</v>
      </c>
      <c r="H29" s="173" t="s">
        <v>30</v>
      </c>
      <c r="I29" s="173">
        <v>1</v>
      </c>
      <c r="J29" s="173">
        <v>1</v>
      </c>
      <c r="K29" s="173" t="s">
        <v>31</v>
      </c>
      <c r="L29" s="173" t="s">
        <v>31</v>
      </c>
      <c r="M29" s="173" t="s">
        <v>31</v>
      </c>
      <c r="N29" s="173" t="s">
        <v>31</v>
      </c>
      <c r="O29" s="173"/>
      <c r="P29" s="173"/>
      <c r="Q29" s="173"/>
      <c r="R29" s="173"/>
      <c r="S29" s="173"/>
    </row>
    <row r="30" spans="1:21">
      <c r="A30" s="173" t="s">
        <v>1645</v>
      </c>
      <c r="B30" s="173">
        <f>Q30</f>
        <v>9</v>
      </c>
      <c r="C30" s="173"/>
      <c r="D30" s="173" t="s">
        <v>37</v>
      </c>
      <c r="E30" s="258" t="s">
        <v>2</v>
      </c>
      <c r="F30" s="173" t="s">
        <v>29</v>
      </c>
      <c r="G30" s="173" t="s">
        <v>14</v>
      </c>
      <c r="H30" s="173" t="s">
        <v>33</v>
      </c>
      <c r="I30" s="173">
        <v>2</v>
      </c>
      <c r="J30" s="173">
        <f>LN(B30)</f>
        <v>2.1972245773362196</v>
      </c>
      <c r="K30" s="173">
        <v>0.10307764064044142</v>
      </c>
      <c r="L30" s="173" t="s">
        <v>31</v>
      </c>
      <c r="M30" s="173" t="s">
        <v>31</v>
      </c>
      <c r="N30" s="173" t="s">
        <v>31</v>
      </c>
      <c r="O30" s="173"/>
      <c r="P30" s="173"/>
      <c r="Q30" s="341">
        <v>9</v>
      </c>
      <c r="R30" s="173"/>
      <c r="S30" s="173"/>
    </row>
    <row r="31" spans="1:21">
      <c r="A31" s="177" t="s">
        <v>168</v>
      </c>
      <c r="B31" s="184">
        <f>Q31</f>
        <v>0.54</v>
      </c>
      <c r="C31" s="184"/>
      <c r="D31" s="173" t="s">
        <v>41</v>
      </c>
      <c r="E31" s="173" t="s">
        <v>38</v>
      </c>
      <c r="F31" s="173" t="s">
        <v>29</v>
      </c>
      <c r="G31" s="185" t="s">
        <v>60</v>
      </c>
      <c r="H31" s="173" t="s">
        <v>33</v>
      </c>
      <c r="I31" s="173">
        <v>2</v>
      </c>
      <c r="J31" s="173">
        <f t="shared" ref="J31:J37" si="1">LN(B31)</f>
        <v>-0.61618613942381695</v>
      </c>
      <c r="K31" s="173">
        <v>9.6046863561492793E-2</v>
      </c>
      <c r="L31" s="173" t="s">
        <v>31</v>
      </c>
      <c r="M31" s="173" t="s">
        <v>31</v>
      </c>
      <c r="N31" s="173" t="s">
        <v>31</v>
      </c>
      <c r="O31" s="173"/>
      <c r="P31" s="242" t="s">
        <v>332</v>
      </c>
      <c r="Q31" s="296">
        <v>0.54</v>
      </c>
      <c r="R31" s="173"/>
      <c r="S31" s="173"/>
    </row>
    <row r="32" spans="1:21">
      <c r="A32" s="232" t="s">
        <v>1042</v>
      </c>
      <c r="B32" s="173">
        <f>S32</f>
        <v>0.126</v>
      </c>
      <c r="C32" s="173"/>
      <c r="D32" s="173" t="s">
        <v>37</v>
      </c>
      <c r="E32" s="173" t="s">
        <v>38</v>
      </c>
      <c r="F32" s="173" t="s">
        <v>29</v>
      </c>
      <c r="G32" s="173" t="s">
        <v>35</v>
      </c>
      <c r="H32" s="173" t="s">
        <v>33</v>
      </c>
      <c r="I32" s="173">
        <v>2</v>
      </c>
      <c r="J32" s="173">
        <f t="shared" si="1"/>
        <v>-2.0714733720306588</v>
      </c>
      <c r="K32" s="173">
        <v>9.6046863561492793E-2</v>
      </c>
      <c r="L32" s="173" t="s">
        <v>31</v>
      </c>
      <c r="M32" s="173" t="s">
        <v>31</v>
      </c>
      <c r="N32" s="173" t="s">
        <v>31</v>
      </c>
      <c r="O32" s="173"/>
      <c r="P32" s="242" t="s">
        <v>947</v>
      </c>
      <c r="Q32" s="296">
        <v>126</v>
      </c>
      <c r="R32" s="242" t="s">
        <v>337</v>
      </c>
      <c r="S32" s="264">
        <f>0.001*Q32</f>
        <v>0.126</v>
      </c>
    </row>
    <row r="33" spans="1:21">
      <c r="A33" s="232" t="s">
        <v>1043</v>
      </c>
      <c r="B33" s="173">
        <f>Q33</f>
        <v>2.2999999999999998</v>
      </c>
      <c r="C33" s="173"/>
      <c r="D33" s="173" t="s">
        <v>37</v>
      </c>
      <c r="E33" s="173" t="s">
        <v>38</v>
      </c>
      <c r="F33" s="173" t="s">
        <v>29</v>
      </c>
      <c r="G33" s="185" t="s">
        <v>39</v>
      </c>
      <c r="H33" s="173" t="s">
        <v>33</v>
      </c>
      <c r="I33" s="173">
        <v>2</v>
      </c>
      <c r="J33" s="173">
        <f t="shared" si="1"/>
        <v>0.83290912293510388</v>
      </c>
      <c r="K33" s="173">
        <v>9.6046863561492793E-2</v>
      </c>
      <c r="L33" s="173" t="s">
        <v>31</v>
      </c>
      <c r="M33" s="173" t="s">
        <v>31</v>
      </c>
      <c r="N33" s="173" t="s">
        <v>31</v>
      </c>
      <c r="O33" s="173"/>
      <c r="P33" s="242" t="s">
        <v>337</v>
      </c>
      <c r="Q33" s="296">
        <v>2.2999999999999998</v>
      </c>
      <c r="R33" s="173"/>
      <c r="S33" s="173"/>
    </row>
    <row r="34" spans="1:21">
      <c r="A34" s="292" t="s">
        <v>94</v>
      </c>
      <c r="B34" s="173">
        <f>S35</f>
        <v>0.47700000000000004</v>
      </c>
      <c r="C34" s="271" t="s">
        <v>95</v>
      </c>
      <c r="D34" s="173" t="s">
        <v>37</v>
      </c>
      <c r="E34" s="173" t="s">
        <v>38</v>
      </c>
      <c r="F34" s="173" t="s">
        <v>29</v>
      </c>
      <c r="G34" s="185" t="s">
        <v>35</v>
      </c>
      <c r="H34" s="173" t="s">
        <v>33</v>
      </c>
      <c r="I34" s="173">
        <v>2</v>
      </c>
      <c r="J34" s="173">
        <f t="shared" si="1"/>
        <v>-0.74023878809379573</v>
      </c>
      <c r="K34" s="173">
        <v>9.6046863561492793E-2</v>
      </c>
      <c r="L34" s="173" t="s">
        <v>31</v>
      </c>
      <c r="M34" s="173" t="s">
        <v>31</v>
      </c>
      <c r="N34" s="173" t="s">
        <v>31</v>
      </c>
      <c r="O34" s="173"/>
      <c r="P34" s="242"/>
      <c r="Q34" s="264">
        <v>477</v>
      </c>
      <c r="R34" s="173"/>
      <c r="S34" s="173"/>
    </row>
    <row r="35" spans="1:21">
      <c r="A35" s="271" t="s">
        <v>93</v>
      </c>
      <c r="B35" s="173">
        <f>S35</f>
        <v>0.47700000000000004</v>
      </c>
      <c r="C35" s="173"/>
      <c r="D35" s="173" t="s">
        <v>37</v>
      </c>
      <c r="E35" s="173" t="s">
        <v>38</v>
      </c>
      <c r="F35" s="173" t="s">
        <v>29</v>
      </c>
      <c r="G35" s="173" t="s">
        <v>35</v>
      </c>
      <c r="H35" s="173" t="s">
        <v>33</v>
      </c>
      <c r="I35" s="173">
        <v>2</v>
      </c>
      <c r="J35" s="173">
        <f t="shared" si="1"/>
        <v>-0.74023878809379573</v>
      </c>
      <c r="K35" s="173">
        <v>9.6046863561492793E-2</v>
      </c>
      <c r="L35" s="173" t="s">
        <v>31</v>
      </c>
      <c r="M35" s="173" t="s">
        <v>31</v>
      </c>
      <c r="N35" s="173" t="s">
        <v>31</v>
      </c>
      <c r="O35" s="173"/>
      <c r="P35" s="268" t="s">
        <v>947</v>
      </c>
      <c r="Q35" s="264">
        <v>477</v>
      </c>
      <c r="R35" s="242" t="s">
        <v>337</v>
      </c>
      <c r="S35" s="264">
        <f>0.001*Q35</f>
        <v>0.47700000000000004</v>
      </c>
    </row>
    <row r="36" spans="1:21">
      <c r="A36" s="232" t="s">
        <v>1047</v>
      </c>
      <c r="B36" s="173">
        <f>S35</f>
        <v>0.47700000000000004</v>
      </c>
      <c r="C36" s="173"/>
      <c r="D36" s="173" t="s">
        <v>37</v>
      </c>
      <c r="E36" s="173" t="s">
        <v>38</v>
      </c>
      <c r="F36" s="173" t="s">
        <v>29</v>
      </c>
      <c r="G36" s="173" t="s">
        <v>60</v>
      </c>
      <c r="H36" s="173" t="s">
        <v>98</v>
      </c>
      <c r="I36" s="173">
        <v>2</v>
      </c>
      <c r="J36" s="173">
        <f t="shared" si="1"/>
        <v>-0.74023878809379573</v>
      </c>
      <c r="K36" s="173">
        <v>9.6046863561492793E-2</v>
      </c>
      <c r="L36" s="173" t="s">
        <v>31</v>
      </c>
      <c r="M36" s="173" t="s">
        <v>31</v>
      </c>
      <c r="N36" s="173" t="s">
        <v>31</v>
      </c>
      <c r="O36" s="173"/>
      <c r="P36" s="268" t="s">
        <v>947</v>
      </c>
      <c r="Q36" s="264">
        <v>477</v>
      </c>
      <c r="R36" s="242" t="s">
        <v>337</v>
      </c>
      <c r="S36" s="264">
        <f>0.001*Q37</f>
        <v>0.126</v>
      </c>
    </row>
    <row r="37" spans="1:21">
      <c r="A37" s="232" t="s">
        <v>1238</v>
      </c>
      <c r="B37" s="173">
        <f>S37</f>
        <v>0.126</v>
      </c>
      <c r="C37" s="173"/>
      <c r="D37" s="173" t="s">
        <v>37</v>
      </c>
      <c r="E37" s="173" t="s">
        <v>38</v>
      </c>
      <c r="F37" s="173" t="s">
        <v>29</v>
      </c>
      <c r="G37" s="185" t="s">
        <v>39</v>
      </c>
      <c r="H37" s="173" t="s">
        <v>33</v>
      </c>
      <c r="I37" s="173">
        <v>2</v>
      </c>
      <c r="J37" s="173">
        <f t="shared" si="1"/>
        <v>-2.0714733720306588</v>
      </c>
      <c r="K37" s="173">
        <v>9.6046863561492793E-2</v>
      </c>
      <c r="L37" s="173" t="s">
        <v>31</v>
      </c>
      <c r="M37" s="173" t="s">
        <v>31</v>
      </c>
      <c r="N37" s="173" t="s">
        <v>31</v>
      </c>
      <c r="O37" s="173"/>
      <c r="P37" s="268" t="s">
        <v>947</v>
      </c>
      <c r="Q37" s="269">
        <v>126</v>
      </c>
      <c r="R37" s="242" t="s">
        <v>337</v>
      </c>
      <c r="S37" s="264">
        <f>Q37*0.001</f>
        <v>0.126</v>
      </c>
    </row>
    <row r="38" spans="1:21" s="42" customFormat="1">
      <c r="A38" s="209" t="s">
        <v>5</v>
      </c>
      <c r="B38" s="210" t="s">
        <v>1645</v>
      </c>
      <c r="C38" s="210"/>
      <c r="D38" s="188"/>
      <c r="E38" s="188"/>
      <c r="F38" s="188"/>
      <c r="G38" s="188"/>
      <c r="H38" s="188"/>
      <c r="I38" s="188"/>
      <c r="J38" s="188"/>
      <c r="K38" s="188"/>
      <c r="L38" s="188"/>
      <c r="M38" s="188"/>
      <c r="N38" s="188"/>
      <c r="O38" s="188"/>
      <c r="P38" s="188"/>
      <c r="Q38" s="188"/>
      <c r="R38" s="188"/>
      <c r="S38" s="188"/>
    </row>
    <row r="39" spans="1:21">
      <c r="A39" s="177" t="s">
        <v>7</v>
      </c>
      <c r="B39" s="173" t="s">
        <v>566</v>
      </c>
      <c r="C39" s="173"/>
      <c r="D39" s="176"/>
      <c r="E39" s="173"/>
      <c r="F39" s="173"/>
      <c r="G39" s="173"/>
      <c r="H39" s="173"/>
      <c r="I39" s="173"/>
      <c r="J39" s="173"/>
      <c r="K39" s="173"/>
      <c r="L39" s="173"/>
      <c r="M39" s="173"/>
      <c r="N39" s="173"/>
      <c r="O39" s="173"/>
      <c r="P39" s="173"/>
      <c r="Q39" s="173"/>
      <c r="R39" s="173"/>
      <c r="S39" s="173"/>
    </row>
    <row r="40" spans="1:21">
      <c r="A40" s="276" t="s">
        <v>9</v>
      </c>
      <c r="B40" s="173" t="s">
        <v>1646</v>
      </c>
      <c r="C40" s="173"/>
      <c r="D40" s="176"/>
      <c r="E40" s="173"/>
      <c r="F40" s="173"/>
      <c r="G40" s="173"/>
      <c r="H40" s="173"/>
      <c r="I40" s="173"/>
      <c r="J40" s="173"/>
      <c r="K40" s="173"/>
      <c r="L40" s="173"/>
      <c r="M40" s="173"/>
      <c r="N40" s="173"/>
      <c r="O40" s="173"/>
      <c r="P40" s="173"/>
      <c r="Q40" s="173"/>
      <c r="R40" s="173"/>
      <c r="S40" s="173"/>
    </row>
    <row r="41" spans="1:21" ht="15.75" customHeight="1">
      <c r="A41" s="177" t="s">
        <v>11</v>
      </c>
      <c r="B41" s="179" t="s">
        <v>913</v>
      </c>
      <c r="C41" s="179"/>
      <c r="D41" s="173"/>
      <c r="E41" s="173"/>
      <c r="F41" s="173"/>
      <c r="G41" s="173"/>
      <c r="H41" s="173"/>
      <c r="I41" s="173"/>
      <c r="J41" s="173"/>
      <c r="K41" s="173"/>
      <c r="L41" s="173"/>
      <c r="M41" s="173"/>
      <c r="N41" s="173"/>
      <c r="O41" s="173"/>
      <c r="P41" s="173"/>
      <c r="Q41" s="173"/>
      <c r="R41" s="173"/>
      <c r="S41" s="173"/>
    </row>
    <row r="42" spans="1:21">
      <c r="A42" s="177" t="s">
        <v>13</v>
      </c>
      <c r="B42" s="173" t="s">
        <v>14</v>
      </c>
      <c r="C42" s="173"/>
      <c r="D42" s="173"/>
      <c r="E42" s="173"/>
      <c r="F42" s="173"/>
      <c r="G42" s="173"/>
      <c r="H42" s="173"/>
      <c r="I42" s="173"/>
      <c r="J42" s="173"/>
      <c r="K42" s="173"/>
      <c r="L42" s="173"/>
      <c r="M42" s="173"/>
      <c r="N42" s="173"/>
      <c r="O42" s="173"/>
      <c r="P42" s="173"/>
      <c r="Q42" s="173"/>
      <c r="R42" s="173"/>
      <c r="S42" s="173"/>
    </row>
    <row r="43" spans="1:21">
      <c r="A43" s="177" t="s">
        <v>15</v>
      </c>
      <c r="B43" s="191">
        <f>B48</f>
        <v>9.4499999999999993</v>
      </c>
      <c r="C43" s="191"/>
      <c r="D43" s="173"/>
      <c r="E43" s="173"/>
      <c r="F43" s="173"/>
      <c r="G43" s="173"/>
      <c r="H43" s="173"/>
      <c r="I43" s="173"/>
      <c r="J43" s="173"/>
      <c r="K43" s="173"/>
      <c r="L43" s="173"/>
      <c r="M43" s="173"/>
      <c r="N43" s="173"/>
      <c r="O43" s="173"/>
      <c r="P43" s="173"/>
      <c r="Q43" s="173"/>
      <c r="R43" s="173"/>
      <c r="S43" s="173"/>
    </row>
    <row r="44" spans="1:21">
      <c r="A44" s="177" t="s">
        <v>16</v>
      </c>
      <c r="B44" s="173" t="s">
        <v>17</v>
      </c>
      <c r="C44" s="173"/>
      <c r="D44" s="173"/>
      <c r="E44" s="173"/>
      <c r="F44" s="173"/>
      <c r="G44" s="173"/>
      <c r="H44" s="173"/>
      <c r="I44" s="173"/>
      <c r="J44" s="173"/>
      <c r="K44" s="173"/>
      <c r="L44" s="173"/>
      <c r="M44" s="173"/>
      <c r="N44" s="173"/>
      <c r="O44" s="173"/>
      <c r="P44" s="173"/>
      <c r="Q44" s="173"/>
      <c r="R44" s="173"/>
      <c r="S44" s="173"/>
    </row>
    <row r="45" spans="1:21">
      <c r="A45" s="177" t="s">
        <v>18</v>
      </c>
      <c r="B45" s="173" t="s">
        <v>37</v>
      </c>
      <c r="C45" s="173"/>
      <c r="D45" s="173"/>
      <c r="E45" s="173"/>
      <c r="F45" s="173"/>
      <c r="G45" s="173"/>
      <c r="H45" s="173"/>
      <c r="I45" s="173"/>
      <c r="J45" s="173"/>
      <c r="K45" s="173"/>
      <c r="L45" s="173"/>
      <c r="M45" s="173"/>
      <c r="N45" s="173"/>
      <c r="O45" s="173"/>
      <c r="P45" s="173"/>
      <c r="Q45" s="173"/>
      <c r="R45" s="173"/>
      <c r="S45" s="173"/>
    </row>
    <row r="46" spans="1:21">
      <c r="A46" s="174" t="s">
        <v>19</v>
      </c>
      <c r="B46" s="173"/>
      <c r="C46" s="173"/>
      <c r="D46" s="173"/>
      <c r="E46" s="173"/>
      <c r="F46" s="173"/>
      <c r="G46" s="173"/>
      <c r="H46" s="173"/>
      <c r="I46" s="173"/>
      <c r="J46" s="173"/>
      <c r="K46" s="173"/>
      <c r="L46" s="173"/>
      <c r="M46" s="173"/>
      <c r="N46" s="173"/>
      <c r="O46" s="173"/>
      <c r="P46" s="173"/>
      <c r="Q46" s="173"/>
      <c r="R46" s="173"/>
      <c r="S46" s="173"/>
    </row>
    <row r="47" spans="1:21">
      <c r="A47" s="175" t="s">
        <v>20</v>
      </c>
      <c r="B47" s="175" t="s">
        <v>21</v>
      </c>
      <c r="C47" s="221" t="s">
        <v>78</v>
      </c>
      <c r="D47" s="175" t="s">
        <v>18</v>
      </c>
      <c r="E47" s="175" t="s">
        <v>22</v>
      </c>
      <c r="F47" s="175" t="s">
        <v>7</v>
      </c>
      <c r="G47" s="175" t="s">
        <v>13</v>
      </c>
      <c r="H47" s="175" t="s">
        <v>16</v>
      </c>
      <c r="I47" s="175" t="s">
        <v>23</v>
      </c>
      <c r="J47" s="175" t="s">
        <v>24</v>
      </c>
      <c r="K47" s="175" t="s">
        <v>25</v>
      </c>
      <c r="L47" s="175" t="s">
        <v>26</v>
      </c>
      <c r="M47" s="175" t="s">
        <v>27</v>
      </c>
      <c r="N47" s="175" t="s">
        <v>28</v>
      </c>
      <c r="O47" s="175" t="s">
        <v>11</v>
      </c>
      <c r="P47" s="173"/>
      <c r="Q47" s="173"/>
      <c r="R47" s="173"/>
      <c r="S47" s="173"/>
      <c r="U47" s="283"/>
    </row>
    <row r="48" spans="1:21">
      <c r="A48" s="173" t="s">
        <v>1645</v>
      </c>
      <c r="B48" s="173">
        <f>Q48</f>
        <v>9.4499999999999993</v>
      </c>
      <c r="C48" s="173"/>
      <c r="D48" s="173" t="s">
        <v>37</v>
      </c>
      <c r="E48" s="258" t="s">
        <v>2</v>
      </c>
      <c r="F48" s="173" t="s">
        <v>29</v>
      </c>
      <c r="G48" s="173" t="s">
        <v>14</v>
      </c>
      <c r="H48" s="173" t="s">
        <v>30</v>
      </c>
      <c r="I48" s="173">
        <v>2</v>
      </c>
      <c r="J48" s="173">
        <f>LN(B48)</f>
        <v>2.2460147415056513</v>
      </c>
      <c r="K48" s="173">
        <v>0.10307764064044142</v>
      </c>
      <c r="L48" s="173" t="s">
        <v>31</v>
      </c>
      <c r="M48" s="173" t="s">
        <v>31</v>
      </c>
      <c r="N48" s="173" t="s">
        <v>31</v>
      </c>
      <c r="O48" s="173"/>
      <c r="P48" s="173"/>
      <c r="Q48" s="344">
        <v>9.4499999999999993</v>
      </c>
      <c r="R48" s="173"/>
      <c r="S48" s="173"/>
    </row>
    <row r="49" spans="1:25">
      <c r="A49" s="232" t="s">
        <v>1047</v>
      </c>
      <c r="B49" s="173">
        <f>Q49</f>
        <v>10</v>
      </c>
      <c r="C49" s="173"/>
      <c r="D49" s="173" t="s">
        <v>37</v>
      </c>
      <c r="E49" s="173" t="s">
        <v>38</v>
      </c>
      <c r="F49" s="173" t="s">
        <v>29</v>
      </c>
      <c r="G49" s="173" t="s">
        <v>60</v>
      </c>
      <c r="H49" s="173" t="s">
        <v>33</v>
      </c>
      <c r="I49" s="173">
        <v>2</v>
      </c>
      <c r="J49" s="173">
        <f t="shared" ref="J49:J57" si="2">LN(B49)</f>
        <v>2.3025850929940459</v>
      </c>
      <c r="K49" s="173">
        <v>4.9999999999998969E-3</v>
      </c>
      <c r="L49" s="173" t="s">
        <v>31</v>
      </c>
      <c r="M49" s="173" t="s">
        <v>31</v>
      </c>
      <c r="N49" s="173" t="s">
        <v>31</v>
      </c>
      <c r="O49" s="173"/>
      <c r="P49" s="242" t="s">
        <v>337</v>
      </c>
      <c r="Q49" s="296">
        <v>10</v>
      </c>
      <c r="R49" s="173"/>
      <c r="S49" s="173"/>
    </row>
    <row r="50" spans="1:25">
      <c r="A50" s="293" t="s">
        <v>170</v>
      </c>
      <c r="B50" s="173">
        <f>S50</f>
        <v>2.6631853785900783</v>
      </c>
      <c r="C50" s="173"/>
      <c r="D50" s="173" t="s">
        <v>50</v>
      </c>
      <c r="E50" s="173" t="s">
        <v>38</v>
      </c>
      <c r="F50" s="173" t="s">
        <v>29</v>
      </c>
      <c r="G50" s="173" t="s">
        <v>333</v>
      </c>
      <c r="H50" s="173" t="s">
        <v>33</v>
      </c>
      <c r="I50" s="173">
        <v>2</v>
      </c>
      <c r="J50" s="173">
        <f t="shared" si="2"/>
        <v>0.97952291709767081</v>
      </c>
      <c r="K50" s="173">
        <v>4.9999999999998969E-3</v>
      </c>
      <c r="L50" s="173" t="s">
        <v>31</v>
      </c>
      <c r="M50" s="173" t="s">
        <v>31</v>
      </c>
      <c r="N50" s="173" t="s">
        <v>31</v>
      </c>
      <c r="O50" s="173"/>
      <c r="P50" s="242" t="s">
        <v>331</v>
      </c>
      <c r="Q50" s="296">
        <v>102</v>
      </c>
      <c r="R50" s="173" t="s">
        <v>335</v>
      </c>
      <c r="S50" s="173">
        <f>Q50/38.3</f>
        <v>2.6631853785900783</v>
      </c>
      <c r="T50" s="294"/>
      <c r="U50" s="44"/>
      <c r="V50" s="44"/>
      <c r="W50" s="44"/>
      <c r="X50" s="44"/>
      <c r="Y50" s="44"/>
    </row>
    <row r="51" spans="1:25">
      <c r="A51" s="177" t="s">
        <v>168</v>
      </c>
      <c r="B51" s="184">
        <f>Q51</f>
        <v>24.6</v>
      </c>
      <c r="C51" s="184"/>
      <c r="D51" s="173" t="s">
        <v>41</v>
      </c>
      <c r="E51" s="173" t="s">
        <v>38</v>
      </c>
      <c r="F51" s="173" t="s">
        <v>29</v>
      </c>
      <c r="G51" s="185" t="s">
        <v>60</v>
      </c>
      <c r="H51" s="173" t="s">
        <v>33</v>
      </c>
      <c r="I51" s="173">
        <v>2</v>
      </c>
      <c r="J51" s="173">
        <f t="shared" si="2"/>
        <v>3.202746442938317</v>
      </c>
      <c r="K51" s="173">
        <v>4.9999999999998969E-3</v>
      </c>
      <c r="L51" s="173" t="s">
        <v>31</v>
      </c>
      <c r="M51" s="173" t="s">
        <v>31</v>
      </c>
      <c r="N51" s="173" t="s">
        <v>31</v>
      </c>
      <c r="O51" s="173"/>
      <c r="P51" s="242" t="s">
        <v>332</v>
      </c>
      <c r="Q51" s="296">
        <v>24.6</v>
      </c>
      <c r="R51" s="173"/>
      <c r="S51" s="173"/>
    </row>
    <row r="52" spans="1:25">
      <c r="A52" s="232" t="s">
        <v>1049</v>
      </c>
      <c r="B52" s="173">
        <f>S52</f>
        <v>0.19</v>
      </c>
      <c r="C52" s="173"/>
      <c r="D52" s="173" t="s">
        <v>37</v>
      </c>
      <c r="E52" s="173" t="s">
        <v>38</v>
      </c>
      <c r="F52" s="173" t="s">
        <v>29</v>
      </c>
      <c r="G52" s="173" t="s">
        <v>35</v>
      </c>
      <c r="H52" s="173" t="s">
        <v>33</v>
      </c>
      <c r="I52" s="173">
        <v>2</v>
      </c>
      <c r="J52" s="173">
        <f t="shared" si="2"/>
        <v>-1.6607312068216509</v>
      </c>
      <c r="K52" s="173">
        <v>0.10049875621120885</v>
      </c>
      <c r="L52" s="173" t="s">
        <v>31</v>
      </c>
      <c r="M52" s="173" t="s">
        <v>31</v>
      </c>
      <c r="N52" s="173" t="s">
        <v>31</v>
      </c>
      <c r="O52" s="173"/>
      <c r="P52" s="242" t="s">
        <v>947</v>
      </c>
      <c r="Q52" s="296">
        <v>190</v>
      </c>
      <c r="R52" s="242" t="s">
        <v>337</v>
      </c>
      <c r="S52" s="264">
        <f t="shared" ref="S52:S54" si="3">0.001*Q52</f>
        <v>0.19</v>
      </c>
    </row>
    <row r="53" spans="1:25">
      <c r="A53" s="232" t="s">
        <v>1050</v>
      </c>
      <c r="B53" s="173">
        <f>S53</f>
        <v>3.8E-3</v>
      </c>
      <c r="C53" s="173"/>
      <c r="D53" s="173" t="s">
        <v>37</v>
      </c>
      <c r="E53" s="173" t="s">
        <v>43</v>
      </c>
      <c r="F53" s="173" t="s">
        <v>44</v>
      </c>
      <c r="G53" s="173" t="s">
        <v>29</v>
      </c>
      <c r="H53" s="173" t="s">
        <v>45</v>
      </c>
      <c r="I53" s="173">
        <v>2</v>
      </c>
      <c r="J53" s="173">
        <f t="shared" si="2"/>
        <v>-5.5727542122497971</v>
      </c>
      <c r="K53" s="173">
        <v>4.9999999999998969E-3</v>
      </c>
      <c r="L53" s="173" t="s">
        <v>31</v>
      </c>
      <c r="M53" s="173" t="s">
        <v>31</v>
      </c>
      <c r="N53" s="173" t="s">
        <v>31</v>
      </c>
      <c r="O53" s="173"/>
      <c r="P53" s="266" t="s">
        <v>947</v>
      </c>
      <c r="Q53" s="295">
        <v>3.8</v>
      </c>
      <c r="R53" s="242" t="s">
        <v>337</v>
      </c>
      <c r="S53" s="264">
        <f t="shared" si="3"/>
        <v>3.8E-3</v>
      </c>
    </row>
    <row r="54" spans="1:25">
      <c r="A54" s="177" t="s">
        <v>941</v>
      </c>
      <c r="B54" s="173">
        <f>S54</f>
        <v>9.4999999999999998E-3</v>
      </c>
      <c r="C54" s="173"/>
      <c r="D54" s="173" t="s">
        <v>37</v>
      </c>
      <c r="E54" s="173" t="s">
        <v>43</v>
      </c>
      <c r="F54" s="173" t="s">
        <v>44</v>
      </c>
      <c r="G54" s="185" t="s">
        <v>29</v>
      </c>
      <c r="H54" s="173" t="s">
        <v>45</v>
      </c>
      <c r="I54" s="173">
        <v>2</v>
      </c>
      <c r="J54" s="173">
        <f t="shared" si="2"/>
        <v>-4.656463480375642</v>
      </c>
      <c r="K54" s="173">
        <v>8.9582364335844641E-2</v>
      </c>
      <c r="L54" s="173" t="s">
        <v>31</v>
      </c>
      <c r="M54" s="173" t="s">
        <v>31</v>
      </c>
      <c r="N54" s="173" t="s">
        <v>31</v>
      </c>
      <c r="O54" s="173"/>
      <c r="P54" s="266" t="s">
        <v>947</v>
      </c>
      <c r="Q54" s="295">
        <v>9.5</v>
      </c>
      <c r="R54" s="242" t="s">
        <v>337</v>
      </c>
      <c r="S54" s="264">
        <f t="shared" si="3"/>
        <v>9.4999999999999998E-3</v>
      </c>
    </row>
    <row r="55" spans="1:25">
      <c r="A55" s="292" t="s">
        <v>94</v>
      </c>
      <c r="B55" s="173">
        <f>Q56</f>
        <v>0.56999999999999995</v>
      </c>
      <c r="C55" s="271" t="s">
        <v>95</v>
      </c>
      <c r="D55" s="173" t="s">
        <v>37</v>
      </c>
      <c r="E55" s="173" t="s">
        <v>38</v>
      </c>
      <c r="F55" s="173" t="s">
        <v>29</v>
      </c>
      <c r="G55" s="185" t="s">
        <v>35</v>
      </c>
      <c r="H55" s="173" t="s">
        <v>33</v>
      </c>
      <c r="I55" s="173">
        <v>2</v>
      </c>
      <c r="J55" s="173">
        <f t="shared" si="2"/>
        <v>-0.56211891815354131</v>
      </c>
      <c r="K55" s="173">
        <v>9.6046863561492793E-2</v>
      </c>
      <c r="L55" s="173" t="s">
        <v>31</v>
      </c>
      <c r="M55" s="173" t="s">
        <v>31</v>
      </c>
      <c r="N55" s="173" t="s">
        <v>31</v>
      </c>
      <c r="O55" s="173"/>
      <c r="P55" s="266"/>
      <c r="Q55" s="295">
        <v>0.56999999999999995</v>
      </c>
      <c r="R55" s="286"/>
      <c r="S55" s="287"/>
    </row>
    <row r="56" spans="1:25">
      <c r="A56" s="271" t="s">
        <v>93</v>
      </c>
      <c r="B56" s="173">
        <f>Q56</f>
        <v>0.56999999999999995</v>
      </c>
      <c r="C56" s="173"/>
      <c r="D56" s="173" t="s">
        <v>37</v>
      </c>
      <c r="E56" s="173" t="s">
        <v>38</v>
      </c>
      <c r="F56" s="173" t="s">
        <v>29</v>
      </c>
      <c r="G56" s="173" t="s">
        <v>35</v>
      </c>
      <c r="H56" s="173" t="s">
        <v>33</v>
      </c>
      <c r="I56" s="173">
        <v>2</v>
      </c>
      <c r="J56" s="173">
        <f t="shared" si="2"/>
        <v>-0.56211891815354131</v>
      </c>
      <c r="K56" s="173">
        <v>4.9999999999998969E-3</v>
      </c>
      <c r="L56" s="173" t="s">
        <v>31</v>
      </c>
      <c r="M56" s="173" t="s">
        <v>31</v>
      </c>
      <c r="N56" s="173" t="s">
        <v>31</v>
      </c>
      <c r="O56" s="173"/>
      <c r="P56" s="268" t="s">
        <v>337</v>
      </c>
      <c r="Q56" s="295">
        <v>0.56999999999999995</v>
      </c>
      <c r="R56" s="173"/>
      <c r="S56" s="173"/>
    </row>
    <row r="57" spans="1:25">
      <c r="A57" s="232" t="s">
        <v>1047</v>
      </c>
      <c r="B57" s="173">
        <f>Q56</f>
        <v>0.56999999999999995</v>
      </c>
      <c r="C57" s="173"/>
      <c r="D57" s="173" t="s">
        <v>37</v>
      </c>
      <c r="E57" s="173" t="s">
        <v>38</v>
      </c>
      <c r="F57" s="173" t="s">
        <v>29</v>
      </c>
      <c r="G57" s="173" t="s">
        <v>60</v>
      </c>
      <c r="H57" s="173" t="s">
        <v>98</v>
      </c>
      <c r="I57" s="173">
        <v>2</v>
      </c>
      <c r="J57" s="173">
        <f t="shared" si="2"/>
        <v>-0.56211891815354131</v>
      </c>
      <c r="K57" s="173">
        <v>4.9999999999998969E-3</v>
      </c>
      <c r="L57" s="173" t="s">
        <v>31</v>
      </c>
      <c r="M57" s="173" t="s">
        <v>31</v>
      </c>
      <c r="N57" s="173" t="s">
        <v>31</v>
      </c>
      <c r="O57" s="173"/>
      <c r="P57" s="173"/>
      <c r="Q57" s="173"/>
      <c r="R57" s="173"/>
      <c r="S57" s="173"/>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E2990-3988-4925-A4B0-97FBFD907139}">
  <sheetPr>
    <tabColor theme="5"/>
  </sheetPr>
  <dimension ref="A1:U363"/>
  <sheetViews>
    <sheetView topLeftCell="A259" zoomScale="70" zoomScaleNormal="70" workbookViewId="0">
      <selection activeCell="A361" sqref="A361"/>
    </sheetView>
  </sheetViews>
  <sheetFormatPr defaultRowHeight="12.75"/>
  <cols>
    <col min="1" max="1" width="95.140625" style="173" customWidth="1"/>
    <col min="2" max="2" width="15.28515625" style="173" customWidth="1"/>
    <col min="3" max="3" width="14.28515625" style="173" customWidth="1"/>
    <col min="4" max="4" width="35.7109375" style="173" customWidth="1"/>
    <col min="5" max="6" width="9.140625" style="173"/>
    <col min="7" max="7" width="15.5703125" style="173" customWidth="1"/>
    <col min="8" max="17" width="9.140625" style="173"/>
    <col min="18" max="18" width="10.28515625" style="173" bestFit="1" customWidth="1"/>
    <col min="19" max="16384" width="9.140625" style="173"/>
  </cols>
  <sheetData>
    <row r="1" spans="1:18">
      <c r="A1" s="173" t="s">
        <v>0</v>
      </c>
      <c r="B1" s="173">
        <v>13</v>
      </c>
    </row>
    <row r="2" spans="1:18">
      <c r="A2" s="209" t="s">
        <v>5</v>
      </c>
      <c r="B2" s="210" t="s">
        <v>1619</v>
      </c>
      <c r="C2" s="211"/>
      <c r="D2" s="188"/>
      <c r="E2" s="188"/>
      <c r="F2" s="188"/>
      <c r="G2" s="188"/>
      <c r="H2" s="188"/>
      <c r="I2" s="188"/>
      <c r="J2" s="188"/>
      <c r="K2" s="188"/>
      <c r="L2" s="188"/>
      <c r="M2" s="188"/>
    </row>
    <row r="3" spans="1:18">
      <c r="A3" s="177" t="s">
        <v>7</v>
      </c>
      <c r="B3" s="173" t="s">
        <v>566</v>
      </c>
      <c r="C3" s="176"/>
    </row>
    <row r="4" spans="1:18">
      <c r="A4" s="177" t="s">
        <v>9</v>
      </c>
      <c r="B4" s="173" t="s">
        <v>1647</v>
      </c>
      <c r="C4" s="176"/>
    </row>
    <row r="5" spans="1:18" ht="16.5" customHeight="1">
      <c r="A5" s="177" t="s">
        <v>11</v>
      </c>
      <c r="B5" s="179" t="s">
        <v>913</v>
      </c>
    </row>
    <row r="6" spans="1:18">
      <c r="A6" s="177" t="s">
        <v>13</v>
      </c>
      <c r="B6" s="173" t="s">
        <v>14</v>
      </c>
    </row>
    <row r="7" spans="1:18">
      <c r="A7" s="177" t="s">
        <v>15</v>
      </c>
      <c r="B7" s="173">
        <f>B12</f>
        <v>3.6</v>
      </c>
      <c r="O7" s="173" t="s">
        <v>1052</v>
      </c>
    </row>
    <row r="8" spans="1:18">
      <c r="A8" s="177" t="s">
        <v>16</v>
      </c>
      <c r="B8" s="173" t="s">
        <v>17</v>
      </c>
    </row>
    <row r="9" spans="1:18">
      <c r="A9" s="177" t="s">
        <v>18</v>
      </c>
      <c r="B9" s="173" t="s">
        <v>37</v>
      </c>
    </row>
    <row r="10" spans="1:18">
      <c r="A10" s="174" t="s">
        <v>19</v>
      </c>
    </row>
    <row r="11" spans="1:18">
      <c r="A11" s="174" t="s">
        <v>20</v>
      </c>
      <c r="B11" s="175" t="s">
        <v>21</v>
      </c>
      <c r="C11" s="175" t="s">
        <v>18</v>
      </c>
      <c r="D11" s="175" t="s">
        <v>22</v>
      </c>
      <c r="E11" s="175" t="s">
        <v>7</v>
      </c>
      <c r="F11" s="175" t="s">
        <v>13</v>
      </c>
      <c r="G11" s="175" t="s">
        <v>16</v>
      </c>
      <c r="H11" s="175" t="s">
        <v>23</v>
      </c>
      <c r="I11" s="175" t="s">
        <v>24</v>
      </c>
      <c r="J11" s="175" t="s">
        <v>25</v>
      </c>
      <c r="K11" s="175" t="s">
        <v>26</v>
      </c>
      <c r="L11" s="175" t="s">
        <v>27</v>
      </c>
      <c r="M11" s="175" t="s">
        <v>28</v>
      </c>
      <c r="N11" s="175" t="s">
        <v>11</v>
      </c>
    </row>
    <row r="12" spans="1:18">
      <c r="A12" s="177" t="s">
        <v>1619</v>
      </c>
      <c r="B12" s="173">
        <f>'2E. BATTERY DCDC CONVERTER'!B16</f>
        <v>3.6</v>
      </c>
      <c r="C12" s="173" t="s">
        <v>37</v>
      </c>
      <c r="D12" s="258" t="s">
        <v>2</v>
      </c>
      <c r="E12" s="173" t="s">
        <v>29</v>
      </c>
      <c r="F12" s="185" t="s">
        <v>14</v>
      </c>
      <c r="G12" s="173" t="s">
        <v>30</v>
      </c>
      <c r="H12" s="173">
        <v>1</v>
      </c>
      <c r="I12" s="173">
        <v>2.8722813232690055E-2</v>
      </c>
      <c r="J12" s="173" t="s">
        <v>31</v>
      </c>
      <c r="K12" s="173" t="s">
        <v>31</v>
      </c>
      <c r="L12" s="173" t="s">
        <v>31</v>
      </c>
      <c r="M12" s="173" t="s">
        <v>31</v>
      </c>
    </row>
    <row r="13" spans="1:18">
      <c r="A13" s="173" t="s">
        <v>1648</v>
      </c>
      <c r="B13" s="173">
        <v>1</v>
      </c>
      <c r="C13" s="173" t="s">
        <v>18</v>
      </c>
      <c r="D13" s="258" t="s">
        <v>2</v>
      </c>
      <c r="E13" s="173" t="s">
        <v>29</v>
      </c>
      <c r="F13" s="185" t="s">
        <v>14</v>
      </c>
      <c r="G13" s="173" t="s">
        <v>33</v>
      </c>
      <c r="H13" s="173">
        <v>1</v>
      </c>
      <c r="I13" s="173">
        <v>1</v>
      </c>
      <c r="J13" s="173" t="s">
        <v>31</v>
      </c>
      <c r="K13" s="173" t="s">
        <v>31</v>
      </c>
      <c r="L13" s="173" t="s">
        <v>31</v>
      </c>
      <c r="M13" s="173" t="s">
        <v>31</v>
      </c>
    </row>
    <row r="14" spans="1:18">
      <c r="A14" s="173" t="s">
        <v>1649</v>
      </c>
      <c r="B14" s="173">
        <v>1</v>
      </c>
      <c r="C14" s="173" t="s">
        <v>18</v>
      </c>
      <c r="D14" s="258" t="s">
        <v>2</v>
      </c>
      <c r="E14" s="173" t="s">
        <v>29</v>
      </c>
      <c r="F14" s="185" t="s">
        <v>14</v>
      </c>
      <c r="G14" s="173" t="s">
        <v>33</v>
      </c>
      <c r="H14" s="173">
        <v>1</v>
      </c>
      <c r="I14" s="173">
        <v>1</v>
      </c>
      <c r="J14" s="173" t="s">
        <v>31</v>
      </c>
      <c r="K14" s="173" t="s">
        <v>31</v>
      </c>
      <c r="L14" s="173" t="s">
        <v>31</v>
      </c>
      <c r="M14" s="173" t="s">
        <v>31</v>
      </c>
    </row>
    <row r="15" spans="1:18" ht="15">
      <c r="A15" s="232" t="s">
        <v>533</v>
      </c>
      <c r="B15" s="231">
        <f>R15</f>
        <v>3.5E-4</v>
      </c>
      <c r="C15" s="173" t="s">
        <v>37</v>
      </c>
      <c r="D15" s="173" t="s">
        <v>38</v>
      </c>
      <c r="E15" s="173" t="s">
        <v>29</v>
      </c>
      <c r="F15" s="185" t="s">
        <v>35</v>
      </c>
      <c r="G15" s="173" t="s">
        <v>33</v>
      </c>
      <c r="H15" s="173">
        <v>2</v>
      </c>
      <c r="I15" s="173">
        <f>LN(B15)</f>
        <v>-7.9575774034808147</v>
      </c>
      <c r="J15" s="173">
        <v>2.8722813232690055E-2</v>
      </c>
      <c r="K15" s="173" t="s">
        <v>31</v>
      </c>
      <c r="L15" s="173" t="s">
        <v>31</v>
      </c>
      <c r="M15" s="173" t="s">
        <v>31</v>
      </c>
      <c r="O15" s="222" t="s">
        <v>947</v>
      </c>
      <c r="P15" s="302">
        <v>0.35</v>
      </c>
      <c r="Q15" s="173" t="s">
        <v>337</v>
      </c>
      <c r="R15" s="231">
        <f>P15*0.001</f>
        <v>3.5E-4</v>
      </c>
    </row>
    <row r="16" spans="1:18">
      <c r="A16" s="209" t="s">
        <v>5</v>
      </c>
      <c r="B16" s="210" t="s">
        <v>1649</v>
      </c>
      <c r="C16" s="211"/>
      <c r="D16" s="188"/>
      <c r="E16" s="188"/>
      <c r="F16" s="188"/>
      <c r="G16" s="188"/>
      <c r="H16" s="188"/>
      <c r="I16" s="188"/>
      <c r="J16" s="188"/>
      <c r="K16" s="188"/>
      <c r="L16" s="188"/>
      <c r="M16" s="188"/>
    </row>
    <row r="17" spans="1:18">
      <c r="A17" s="177" t="s">
        <v>7</v>
      </c>
      <c r="B17" s="173" t="s">
        <v>566</v>
      </c>
      <c r="C17" s="176"/>
    </row>
    <row r="18" spans="1:18">
      <c r="A18" s="177" t="s">
        <v>9</v>
      </c>
      <c r="B18" s="173" t="s">
        <v>1650</v>
      </c>
      <c r="C18" s="176"/>
    </row>
    <row r="19" spans="1:18" ht="16.5" customHeight="1">
      <c r="A19" s="177" t="s">
        <v>11</v>
      </c>
      <c r="B19" s="179" t="s">
        <v>913</v>
      </c>
    </row>
    <row r="20" spans="1:18">
      <c r="A20" s="177" t="s">
        <v>13</v>
      </c>
      <c r="B20" s="173" t="s">
        <v>14</v>
      </c>
    </row>
    <row r="21" spans="1:18">
      <c r="A21" s="177" t="s">
        <v>15</v>
      </c>
      <c r="B21" s="173">
        <v>1</v>
      </c>
    </row>
    <row r="22" spans="1:18">
      <c r="A22" s="177" t="s">
        <v>16</v>
      </c>
      <c r="B22" s="173" t="s">
        <v>17</v>
      </c>
    </row>
    <row r="23" spans="1:18">
      <c r="A23" s="177" t="s">
        <v>18</v>
      </c>
      <c r="B23" s="173" t="s">
        <v>18</v>
      </c>
    </row>
    <row r="24" spans="1:18">
      <c r="A24" s="174" t="s">
        <v>19</v>
      </c>
    </row>
    <row r="25" spans="1:18">
      <c r="A25" s="174" t="s">
        <v>20</v>
      </c>
      <c r="B25" s="175" t="s">
        <v>21</v>
      </c>
      <c r="C25" s="175" t="s">
        <v>18</v>
      </c>
      <c r="D25" s="175" t="s">
        <v>22</v>
      </c>
      <c r="E25" s="175" t="s">
        <v>7</v>
      </c>
      <c r="F25" s="175" t="s">
        <v>13</v>
      </c>
      <c r="G25" s="175" t="s">
        <v>16</v>
      </c>
      <c r="H25" s="175" t="s">
        <v>23</v>
      </c>
      <c r="I25" s="175" t="s">
        <v>24</v>
      </c>
      <c r="J25" s="175" t="s">
        <v>25</v>
      </c>
      <c r="K25" s="175" t="s">
        <v>26</v>
      </c>
      <c r="L25" s="175" t="s">
        <v>27</v>
      </c>
      <c r="M25" s="175" t="s">
        <v>28</v>
      </c>
      <c r="N25" s="175" t="s">
        <v>11</v>
      </c>
    </row>
    <row r="26" spans="1:18">
      <c r="A26" s="173" t="s">
        <v>1649</v>
      </c>
      <c r="B26" s="173">
        <v>1</v>
      </c>
      <c r="C26" s="173" t="s">
        <v>18</v>
      </c>
      <c r="D26" s="258" t="s">
        <v>2</v>
      </c>
      <c r="E26" s="173" t="s">
        <v>29</v>
      </c>
      <c r="F26" s="185" t="s">
        <v>14</v>
      </c>
      <c r="G26" s="173" t="s">
        <v>30</v>
      </c>
      <c r="H26" s="173">
        <v>1</v>
      </c>
      <c r="I26" s="173">
        <v>1</v>
      </c>
      <c r="J26" s="173" t="s">
        <v>31</v>
      </c>
      <c r="K26" s="173" t="s">
        <v>31</v>
      </c>
      <c r="L26" s="173" t="s">
        <v>31</v>
      </c>
      <c r="M26" s="173" t="s">
        <v>31</v>
      </c>
    </row>
    <row r="27" spans="1:18">
      <c r="A27" s="232" t="s">
        <v>1056</v>
      </c>
      <c r="B27" s="173">
        <f>P27</f>
        <v>0.68</v>
      </c>
      <c r="C27" s="173" t="s">
        <v>37</v>
      </c>
      <c r="D27" s="173" t="s">
        <v>38</v>
      </c>
      <c r="E27" s="173" t="s">
        <v>29</v>
      </c>
      <c r="F27" s="173" t="s">
        <v>60</v>
      </c>
      <c r="G27" s="173" t="s">
        <v>33</v>
      </c>
      <c r="H27" s="173">
        <v>1</v>
      </c>
      <c r="I27" s="173">
        <f>B27</f>
        <v>0.68</v>
      </c>
      <c r="J27" s="173" t="s">
        <v>31</v>
      </c>
      <c r="K27" s="173" t="s">
        <v>31</v>
      </c>
      <c r="L27" s="173" t="s">
        <v>31</v>
      </c>
      <c r="M27" s="173" t="s">
        <v>31</v>
      </c>
      <c r="O27" s="173" t="s">
        <v>337</v>
      </c>
      <c r="P27" s="173">
        <v>0.68</v>
      </c>
    </row>
    <row r="28" spans="1:18" ht="15">
      <c r="A28" s="232" t="s">
        <v>1057</v>
      </c>
      <c r="B28" s="173">
        <f>R28</f>
        <v>0.44900000000000001</v>
      </c>
      <c r="C28" s="173" t="s">
        <v>37</v>
      </c>
      <c r="D28" s="173" t="s">
        <v>38</v>
      </c>
      <c r="E28" s="173" t="s">
        <v>29</v>
      </c>
      <c r="F28" s="173" t="s">
        <v>60</v>
      </c>
      <c r="G28" s="173" t="s">
        <v>33</v>
      </c>
      <c r="H28" s="173">
        <v>2</v>
      </c>
      <c r="I28" s="173">
        <f>LN(B28)</f>
        <v>-0.80073239123988271</v>
      </c>
      <c r="J28" s="173">
        <v>3.7749172176353707E-2</v>
      </c>
      <c r="K28" s="173" t="s">
        <v>31</v>
      </c>
      <c r="L28" s="173" t="s">
        <v>31</v>
      </c>
      <c r="M28" s="173" t="s">
        <v>31</v>
      </c>
      <c r="O28" s="242" t="s">
        <v>947</v>
      </c>
      <c r="P28" s="296">
        <v>449</v>
      </c>
      <c r="Q28" s="173" t="s">
        <v>337</v>
      </c>
      <c r="R28" s="173">
        <f>P28*0.001</f>
        <v>0.44900000000000001</v>
      </c>
    </row>
    <row r="29" spans="1:18" ht="15">
      <c r="A29" s="232" t="s">
        <v>1058</v>
      </c>
      <c r="B29" s="173">
        <f>R29</f>
        <v>2.6800000000000001E-2</v>
      </c>
      <c r="C29" s="173" t="s">
        <v>37</v>
      </c>
      <c r="D29" s="173" t="s">
        <v>38</v>
      </c>
      <c r="E29" s="173" t="s">
        <v>29</v>
      </c>
      <c r="F29" s="173" t="s">
        <v>60</v>
      </c>
      <c r="G29" s="173" t="s">
        <v>33</v>
      </c>
      <c r="H29" s="173">
        <v>2</v>
      </c>
      <c r="I29" s="173">
        <f>LN(B29)</f>
        <v>-3.6193533914653262</v>
      </c>
      <c r="J29" s="173">
        <v>3.7749172176353707E-2</v>
      </c>
      <c r="K29" s="173" t="s">
        <v>31</v>
      </c>
      <c r="L29" s="173" t="s">
        <v>31</v>
      </c>
      <c r="M29" s="173" t="s">
        <v>31</v>
      </c>
      <c r="O29" s="242" t="s">
        <v>947</v>
      </c>
      <c r="P29" s="296">
        <v>26.8</v>
      </c>
      <c r="Q29" s="173" t="s">
        <v>337</v>
      </c>
      <c r="R29" s="173">
        <f t="shared" ref="R29:R30" si="0">P29*0.001</f>
        <v>2.6800000000000001E-2</v>
      </c>
    </row>
    <row r="30" spans="1:18" ht="15">
      <c r="A30" s="232" t="s">
        <v>1059</v>
      </c>
      <c r="B30" s="173">
        <f>R30</f>
        <v>0.20300000000000001</v>
      </c>
      <c r="C30" s="173" t="s">
        <v>37</v>
      </c>
      <c r="D30" s="173" t="s">
        <v>38</v>
      </c>
      <c r="E30" s="173" t="s">
        <v>29</v>
      </c>
      <c r="F30" s="173" t="s">
        <v>60</v>
      </c>
      <c r="G30" s="173" t="s">
        <v>33</v>
      </c>
      <c r="H30" s="173">
        <v>2</v>
      </c>
      <c r="I30" s="173">
        <f>LN(B30)</f>
        <v>-1.5945492999403497</v>
      </c>
      <c r="J30" s="173">
        <v>3.7749172176353707E-2</v>
      </c>
      <c r="K30" s="173" t="s">
        <v>31</v>
      </c>
      <c r="L30" s="173" t="s">
        <v>31</v>
      </c>
      <c r="M30" s="173" t="s">
        <v>31</v>
      </c>
      <c r="O30" s="242" t="s">
        <v>947</v>
      </c>
      <c r="P30" s="296">
        <v>203</v>
      </c>
      <c r="Q30" s="173" t="s">
        <v>337</v>
      </c>
      <c r="R30" s="173">
        <f t="shared" si="0"/>
        <v>0.20300000000000001</v>
      </c>
    </row>
    <row r="31" spans="1:18">
      <c r="A31" s="209" t="s">
        <v>5</v>
      </c>
      <c r="B31" s="210" t="s">
        <v>1648</v>
      </c>
      <c r="C31" s="211"/>
      <c r="D31" s="188"/>
      <c r="E31" s="188"/>
      <c r="F31" s="188"/>
      <c r="G31" s="188"/>
      <c r="H31" s="188"/>
      <c r="I31" s="188"/>
      <c r="J31" s="188"/>
      <c r="K31" s="188"/>
      <c r="L31" s="188"/>
      <c r="M31" s="188"/>
    </row>
    <row r="32" spans="1:18">
      <c r="A32" s="177" t="s">
        <v>7</v>
      </c>
      <c r="B32" s="173" t="s">
        <v>566</v>
      </c>
      <c r="C32" s="176"/>
    </row>
    <row r="33" spans="1:18">
      <c r="A33" s="177" t="s">
        <v>9</v>
      </c>
      <c r="B33" s="173" t="s">
        <v>1651</v>
      </c>
      <c r="C33" s="176"/>
    </row>
    <row r="34" spans="1:18" ht="18" customHeight="1">
      <c r="A34" s="177" t="s">
        <v>11</v>
      </c>
      <c r="B34" s="179" t="s">
        <v>913</v>
      </c>
    </row>
    <row r="35" spans="1:18">
      <c r="A35" s="177" t="s">
        <v>13</v>
      </c>
      <c r="B35" s="173" t="s">
        <v>14</v>
      </c>
    </row>
    <row r="36" spans="1:18">
      <c r="A36" s="177" t="s">
        <v>15</v>
      </c>
      <c r="B36" s="173">
        <v>1</v>
      </c>
    </row>
    <row r="37" spans="1:18">
      <c r="A37" s="177" t="s">
        <v>16</v>
      </c>
      <c r="B37" s="173" t="s">
        <v>17</v>
      </c>
    </row>
    <row r="38" spans="1:18">
      <c r="A38" s="177" t="s">
        <v>18</v>
      </c>
      <c r="B38" s="173" t="s">
        <v>18</v>
      </c>
    </row>
    <row r="39" spans="1:18">
      <c r="A39" s="174" t="s">
        <v>19</v>
      </c>
    </row>
    <row r="40" spans="1:18">
      <c r="A40" s="174" t="s">
        <v>20</v>
      </c>
      <c r="B40" s="175" t="s">
        <v>21</v>
      </c>
      <c r="C40" s="175" t="s">
        <v>18</v>
      </c>
      <c r="D40" s="175" t="s">
        <v>22</v>
      </c>
      <c r="E40" s="175" t="s">
        <v>7</v>
      </c>
      <c r="F40" s="175" t="s">
        <v>13</v>
      </c>
      <c r="G40" s="175" t="s">
        <v>16</v>
      </c>
      <c r="H40" s="175" t="s">
        <v>23</v>
      </c>
      <c r="I40" s="175" t="s">
        <v>24</v>
      </c>
      <c r="J40" s="175" t="s">
        <v>25</v>
      </c>
      <c r="K40" s="175" t="s">
        <v>26</v>
      </c>
      <c r="L40" s="175" t="s">
        <v>27</v>
      </c>
      <c r="M40" s="175" t="s">
        <v>28</v>
      </c>
      <c r="N40" s="175" t="s">
        <v>11</v>
      </c>
    </row>
    <row r="41" spans="1:18">
      <c r="A41" s="173" t="s">
        <v>1648</v>
      </c>
      <c r="B41" s="173">
        <v>1</v>
      </c>
      <c r="C41" s="173" t="s">
        <v>18</v>
      </c>
      <c r="D41" s="258" t="s">
        <v>2</v>
      </c>
      <c r="E41" s="173" t="s">
        <v>29</v>
      </c>
      <c r="F41" s="185" t="s">
        <v>14</v>
      </c>
      <c r="G41" s="173" t="s">
        <v>30</v>
      </c>
      <c r="H41" s="173">
        <v>1</v>
      </c>
      <c r="I41" s="173">
        <v>1</v>
      </c>
      <c r="J41" s="173" t="s">
        <v>31</v>
      </c>
      <c r="K41" s="173" t="s">
        <v>31</v>
      </c>
      <c r="L41" s="173" t="s">
        <v>31</v>
      </c>
      <c r="M41" s="173" t="s">
        <v>31</v>
      </c>
    </row>
    <row r="42" spans="1:18">
      <c r="A42" s="232" t="s">
        <v>1652</v>
      </c>
      <c r="B42" s="173">
        <f>B55</f>
        <v>0.24099999999999999</v>
      </c>
      <c r="C42" s="173" t="s">
        <v>37</v>
      </c>
      <c r="D42" s="258" t="s">
        <v>2</v>
      </c>
      <c r="E42" s="173" t="s">
        <v>29</v>
      </c>
      <c r="F42" s="185" t="s">
        <v>14</v>
      </c>
      <c r="G42" s="173" t="s">
        <v>33</v>
      </c>
      <c r="H42" s="173">
        <v>1</v>
      </c>
      <c r="I42" s="173">
        <f>B42</f>
        <v>0.24099999999999999</v>
      </c>
      <c r="J42" s="173" t="s">
        <v>31</v>
      </c>
      <c r="K42" s="173" t="s">
        <v>31</v>
      </c>
      <c r="L42" s="173" t="s">
        <v>31</v>
      </c>
      <c r="M42" s="173" t="s">
        <v>31</v>
      </c>
      <c r="O42" s="271"/>
      <c r="P42" s="272"/>
    </row>
    <row r="43" spans="1:18">
      <c r="A43" s="232" t="s">
        <v>1653</v>
      </c>
      <c r="B43" s="173">
        <v>1</v>
      </c>
      <c r="C43" s="173" t="s">
        <v>18</v>
      </c>
      <c r="D43" s="258" t="s">
        <v>2</v>
      </c>
      <c r="E43" s="173" t="s">
        <v>29</v>
      </c>
      <c r="F43" s="185" t="s">
        <v>14</v>
      </c>
      <c r="G43" s="173" t="s">
        <v>33</v>
      </c>
      <c r="H43" s="173">
        <v>1</v>
      </c>
      <c r="I43" s="173">
        <v>1</v>
      </c>
      <c r="J43" s="173" t="s">
        <v>31</v>
      </c>
      <c r="K43" s="173" t="s">
        <v>31</v>
      </c>
      <c r="L43" s="173" t="s">
        <v>31</v>
      </c>
      <c r="M43" s="173" t="s">
        <v>31</v>
      </c>
    </row>
    <row r="44" spans="1:18">
      <c r="A44" s="177" t="s">
        <v>168</v>
      </c>
      <c r="B44" s="191">
        <f>R44</f>
        <v>0.03</v>
      </c>
      <c r="C44" s="173" t="s">
        <v>41</v>
      </c>
      <c r="D44" s="173" t="s">
        <v>38</v>
      </c>
      <c r="E44" s="173" t="s">
        <v>29</v>
      </c>
      <c r="F44" s="185" t="s">
        <v>35</v>
      </c>
      <c r="G44" s="173" t="s">
        <v>33</v>
      </c>
      <c r="H44" s="173">
        <v>2</v>
      </c>
      <c r="I44" s="173">
        <f t="shared" ref="I44" si="1">LN(B44)</f>
        <v>-3.5065578973199818</v>
      </c>
      <c r="J44" s="173">
        <v>7.2284161474004766E-2</v>
      </c>
      <c r="K44" s="173" t="s">
        <v>31</v>
      </c>
      <c r="L44" s="173" t="s">
        <v>31</v>
      </c>
      <c r="M44" s="173" t="s">
        <v>31</v>
      </c>
      <c r="O44" s="222" t="s">
        <v>332</v>
      </c>
      <c r="P44" s="233">
        <v>0.03</v>
      </c>
      <c r="Q44" s="173" t="s">
        <v>332</v>
      </c>
      <c r="R44" s="191">
        <f>P44</f>
        <v>0.03</v>
      </c>
    </row>
    <row r="45" spans="1:18">
      <c r="A45" s="209" t="s">
        <v>5</v>
      </c>
      <c r="B45" s="210" t="s">
        <v>1652</v>
      </c>
      <c r="C45" s="211"/>
      <c r="D45" s="188"/>
      <c r="E45" s="188"/>
      <c r="F45" s="188"/>
      <c r="G45" s="188"/>
      <c r="H45" s="188"/>
      <c r="I45" s="188"/>
      <c r="J45" s="188"/>
      <c r="K45" s="188"/>
      <c r="L45" s="188"/>
      <c r="M45" s="188"/>
    </row>
    <row r="46" spans="1:18">
      <c r="A46" s="177" t="s">
        <v>7</v>
      </c>
      <c r="B46" s="173" t="s">
        <v>566</v>
      </c>
      <c r="C46" s="176"/>
    </row>
    <row r="47" spans="1:18">
      <c r="A47" s="177" t="s">
        <v>9</v>
      </c>
      <c r="B47" s="173" t="s">
        <v>1654</v>
      </c>
      <c r="C47" s="176"/>
    </row>
    <row r="48" spans="1:18" ht="11.25" customHeight="1">
      <c r="A48" s="177" t="s">
        <v>11</v>
      </c>
      <c r="B48" s="179" t="s">
        <v>913</v>
      </c>
    </row>
    <row r="49" spans="1:18">
      <c r="A49" s="177" t="s">
        <v>13</v>
      </c>
      <c r="B49" s="173" t="s">
        <v>14</v>
      </c>
    </row>
    <row r="50" spans="1:18">
      <c r="A50" s="177" t="s">
        <v>15</v>
      </c>
      <c r="B50" s="173">
        <f>B55</f>
        <v>0.24099999999999999</v>
      </c>
    </row>
    <row r="51" spans="1:18">
      <c r="A51" s="177" t="s">
        <v>16</v>
      </c>
      <c r="B51" s="173" t="s">
        <v>17</v>
      </c>
    </row>
    <row r="52" spans="1:18">
      <c r="A52" s="177" t="s">
        <v>18</v>
      </c>
      <c r="B52" s="173" t="s">
        <v>37</v>
      </c>
    </row>
    <row r="53" spans="1:18">
      <c r="A53" s="174" t="s">
        <v>19</v>
      </c>
    </row>
    <row r="54" spans="1:18">
      <c r="A54" s="174" t="s">
        <v>20</v>
      </c>
      <c r="B54" s="175" t="s">
        <v>21</v>
      </c>
      <c r="C54" s="175" t="s">
        <v>18</v>
      </c>
      <c r="D54" s="175" t="s">
        <v>22</v>
      </c>
      <c r="E54" s="175" t="s">
        <v>7</v>
      </c>
      <c r="F54" s="175" t="s">
        <v>13</v>
      </c>
      <c r="G54" s="175" t="s">
        <v>16</v>
      </c>
      <c r="H54" s="175" t="s">
        <v>23</v>
      </c>
      <c r="I54" s="175" t="s">
        <v>24</v>
      </c>
      <c r="J54" s="175" t="s">
        <v>25</v>
      </c>
      <c r="K54" s="175" t="s">
        <v>26</v>
      </c>
      <c r="L54" s="175" t="s">
        <v>27</v>
      </c>
      <c r="M54" s="175" t="s">
        <v>28</v>
      </c>
      <c r="N54" s="175" t="s">
        <v>11</v>
      </c>
    </row>
    <row r="55" spans="1:18" ht="15">
      <c r="A55" s="232" t="s">
        <v>1652</v>
      </c>
      <c r="B55" s="173">
        <f>P55</f>
        <v>0.24099999999999999</v>
      </c>
      <c r="C55" s="173" t="s">
        <v>37</v>
      </c>
      <c r="D55" s="258" t="s">
        <v>2</v>
      </c>
      <c r="E55" s="173" t="s">
        <v>29</v>
      </c>
      <c r="F55" s="185" t="s">
        <v>14</v>
      </c>
      <c r="G55" s="173" t="s">
        <v>30</v>
      </c>
      <c r="H55" s="173">
        <v>1</v>
      </c>
      <c r="I55" s="173">
        <f>B55</f>
        <v>0.24099999999999999</v>
      </c>
      <c r="J55" s="173" t="s">
        <v>31</v>
      </c>
      <c r="K55" s="173" t="s">
        <v>31</v>
      </c>
      <c r="L55" s="173" t="s">
        <v>31</v>
      </c>
      <c r="M55" s="173" t="s">
        <v>31</v>
      </c>
      <c r="O55" s="367" t="s">
        <v>337</v>
      </c>
      <c r="P55" s="296">
        <v>0.24099999999999999</v>
      </c>
      <c r="Q55" s="173" t="s">
        <v>337</v>
      </c>
      <c r="R55" s="173">
        <f>P55</f>
        <v>0.24099999999999999</v>
      </c>
    </row>
    <row r="56" spans="1:18" ht="15">
      <c r="A56" s="232" t="s">
        <v>533</v>
      </c>
      <c r="B56" s="389">
        <f>R56</f>
        <v>0.24099999999999999</v>
      </c>
      <c r="C56" s="173" t="s">
        <v>37</v>
      </c>
      <c r="D56" s="173" t="s">
        <v>38</v>
      </c>
      <c r="E56" s="173" t="s">
        <v>29</v>
      </c>
      <c r="F56" s="185" t="s">
        <v>35</v>
      </c>
      <c r="G56" s="173" t="s">
        <v>33</v>
      </c>
      <c r="H56" s="173">
        <v>2</v>
      </c>
      <c r="I56" s="173">
        <f>LN(B56)</f>
        <v>-1.422958345491482</v>
      </c>
      <c r="J56" s="173">
        <v>2.8722813232690055E-2</v>
      </c>
      <c r="K56" s="173" t="s">
        <v>31</v>
      </c>
      <c r="L56" s="173" t="s">
        <v>31</v>
      </c>
      <c r="M56" s="173" t="s">
        <v>31</v>
      </c>
      <c r="O56" s="369" t="s">
        <v>337</v>
      </c>
      <c r="P56" s="296">
        <v>0.24099999999999999</v>
      </c>
      <c r="Q56" s="173" t="s">
        <v>337</v>
      </c>
      <c r="R56" s="231">
        <f>P56</f>
        <v>0.24099999999999999</v>
      </c>
    </row>
    <row r="57" spans="1:18" ht="15">
      <c r="A57" s="177" t="s">
        <v>168</v>
      </c>
      <c r="B57" s="184">
        <f>R57</f>
        <v>7.1999999999999995E-2</v>
      </c>
      <c r="C57" s="173" t="s">
        <v>41</v>
      </c>
      <c r="D57" s="173" t="s">
        <v>38</v>
      </c>
      <c r="E57" s="173" t="s">
        <v>29</v>
      </c>
      <c r="F57" s="185" t="s">
        <v>35</v>
      </c>
      <c r="G57" s="173" t="s">
        <v>33</v>
      </c>
      <c r="H57" s="173">
        <v>2</v>
      </c>
      <c r="I57" s="173">
        <f t="shared" ref="I57" si="2">LN(B57)</f>
        <v>-2.6310891599660819</v>
      </c>
      <c r="J57" s="173">
        <v>7.2284161474004766E-2</v>
      </c>
      <c r="K57" s="173" t="s">
        <v>31</v>
      </c>
      <c r="L57" s="173" t="s">
        <v>31</v>
      </c>
      <c r="M57" s="173" t="s">
        <v>31</v>
      </c>
      <c r="O57" s="222" t="s">
        <v>332</v>
      </c>
      <c r="P57" s="296">
        <v>7.1999999999999995E-2</v>
      </c>
      <c r="Q57" s="173" t="s">
        <v>332</v>
      </c>
      <c r="R57" s="184">
        <f>P57</f>
        <v>7.1999999999999995E-2</v>
      </c>
    </row>
    <row r="58" spans="1:18">
      <c r="A58" s="209" t="s">
        <v>5</v>
      </c>
      <c r="B58" s="323" t="s">
        <v>1653</v>
      </c>
      <c r="C58" s="211"/>
      <c r="D58" s="188"/>
      <c r="E58" s="188"/>
      <c r="F58" s="188"/>
      <c r="G58" s="188"/>
      <c r="H58" s="188"/>
      <c r="I58" s="188"/>
      <c r="J58" s="188"/>
      <c r="K58" s="188"/>
      <c r="L58" s="188"/>
      <c r="M58" s="188"/>
    </row>
    <row r="59" spans="1:18">
      <c r="A59" s="177" t="s">
        <v>7</v>
      </c>
      <c r="B59" s="173" t="s">
        <v>566</v>
      </c>
      <c r="C59" s="176"/>
    </row>
    <row r="60" spans="1:18">
      <c r="A60" s="276" t="s">
        <v>9</v>
      </c>
      <c r="B60" s="173" t="s">
        <v>1655</v>
      </c>
      <c r="C60" s="176"/>
    </row>
    <row r="61" spans="1:18" ht="27.75" customHeight="1">
      <c r="A61" s="177" t="s">
        <v>11</v>
      </c>
      <c r="B61" s="179" t="s">
        <v>913</v>
      </c>
    </row>
    <row r="62" spans="1:18">
      <c r="A62" s="177" t="s">
        <v>13</v>
      </c>
      <c r="B62" s="173" t="s">
        <v>14</v>
      </c>
    </row>
    <row r="63" spans="1:18">
      <c r="A63" s="177" t="s">
        <v>15</v>
      </c>
      <c r="B63" s="173">
        <v>1</v>
      </c>
    </row>
    <row r="64" spans="1:18">
      <c r="A64" s="177" t="s">
        <v>16</v>
      </c>
      <c r="B64" s="173" t="s">
        <v>17</v>
      </c>
    </row>
    <row r="65" spans="1:18">
      <c r="A65" s="177" t="s">
        <v>18</v>
      </c>
      <c r="B65" s="173" t="s">
        <v>18</v>
      </c>
    </row>
    <row r="66" spans="1:18">
      <c r="A66" s="174" t="s">
        <v>19</v>
      </c>
    </row>
    <row r="67" spans="1:18">
      <c r="A67" s="174" t="s">
        <v>20</v>
      </c>
      <c r="B67" s="175" t="s">
        <v>21</v>
      </c>
      <c r="C67" s="175" t="s">
        <v>18</v>
      </c>
      <c r="D67" s="175" t="s">
        <v>22</v>
      </c>
      <c r="E67" s="175" t="s">
        <v>7</v>
      </c>
      <c r="F67" s="175" t="s">
        <v>13</v>
      </c>
      <c r="G67" s="175" t="s">
        <v>16</v>
      </c>
      <c r="H67" s="175" t="s">
        <v>23</v>
      </c>
      <c r="I67" s="175" t="s">
        <v>24</v>
      </c>
      <c r="J67" s="175" t="s">
        <v>25</v>
      </c>
      <c r="K67" s="175" t="s">
        <v>26</v>
      </c>
      <c r="L67" s="175" t="s">
        <v>27</v>
      </c>
      <c r="M67" s="175" t="s">
        <v>28</v>
      </c>
      <c r="N67" s="175" t="s">
        <v>11</v>
      </c>
    </row>
    <row r="68" spans="1:18">
      <c r="A68" s="232" t="s">
        <v>1653</v>
      </c>
      <c r="B68" s="173">
        <v>1</v>
      </c>
      <c r="C68" s="173" t="s">
        <v>18</v>
      </c>
      <c r="D68" s="258" t="s">
        <v>2</v>
      </c>
      <c r="E68" s="173" t="s">
        <v>29</v>
      </c>
      <c r="F68" s="185" t="s">
        <v>14</v>
      </c>
      <c r="G68" s="173" t="s">
        <v>30</v>
      </c>
      <c r="H68" s="173">
        <v>1</v>
      </c>
      <c r="I68" s="173">
        <v>1</v>
      </c>
      <c r="J68" s="173" t="s">
        <v>31</v>
      </c>
      <c r="K68" s="173" t="s">
        <v>31</v>
      </c>
      <c r="L68" s="173" t="s">
        <v>31</v>
      </c>
      <c r="M68" s="173" t="s">
        <v>31</v>
      </c>
    </row>
    <row r="69" spans="1:18">
      <c r="A69" s="232" t="s">
        <v>1656</v>
      </c>
      <c r="B69" s="231">
        <f>B77</f>
        <v>0.12</v>
      </c>
      <c r="C69" s="173" t="s">
        <v>37</v>
      </c>
      <c r="D69" s="258" t="s">
        <v>2</v>
      </c>
      <c r="E69" s="173" t="s">
        <v>29</v>
      </c>
      <c r="F69" s="185" t="s">
        <v>14</v>
      </c>
      <c r="G69" s="173" t="s">
        <v>33</v>
      </c>
      <c r="H69" s="173">
        <v>1</v>
      </c>
      <c r="I69" s="231">
        <f>B69</f>
        <v>0.12</v>
      </c>
      <c r="J69" s="173" t="s">
        <v>31</v>
      </c>
      <c r="K69" s="173" t="s">
        <v>31</v>
      </c>
      <c r="L69" s="173" t="s">
        <v>31</v>
      </c>
      <c r="M69" s="173" t="s">
        <v>31</v>
      </c>
      <c r="O69" s="222"/>
      <c r="P69" s="234"/>
      <c r="Q69" s="173" t="s">
        <v>337</v>
      </c>
      <c r="R69" s="231">
        <v>0.01</v>
      </c>
    </row>
    <row r="70" spans="1:18">
      <c r="A70" s="232" t="s">
        <v>1657</v>
      </c>
      <c r="B70" s="184">
        <v>1</v>
      </c>
      <c r="C70" s="173" t="s">
        <v>18</v>
      </c>
      <c r="D70" s="258" t="s">
        <v>2</v>
      </c>
      <c r="E70" s="173" t="s">
        <v>29</v>
      </c>
      <c r="F70" s="185" t="s">
        <v>14</v>
      </c>
      <c r="G70" s="173" t="s">
        <v>33</v>
      </c>
      <c r="H70" s="173">
        <v>1</v>
      </c>
      <c r="I70" s="173">
        <v>1</v>
      </c>
      <c r="J70" s="173" t="s">
        <v>31</v>
      </c>
      <c r="K70" s="173" t="s">
        <v>31</v>
      </c>
      <c r="L70" s="173" t="s">
        <v>31</v>
      </c>
      <c r="M70" s="173" t="s">
        <v>31</v>
      </c>
      <c r="O70" s="222"/>
      <c r="P70" s="297"/>
      <c r="R70" s="184"/>
    </row>
    <row r="71" spans="1:18" ht="15">
      <c r="A71" s="177" t="s">
        <v>168</v>
      </c>
      <c r="B71" s="184">
        <f>R71</f>
        <v>0.83</v>
      </c>
      <c r="C71" s="173" t="s">
        <v>41</v>
      </c>
      <c r="D71" s="173" t="s">
        <v>38</v>
      </c>
      <c r="E71" s="173" t="s">
        <v>29</v>
      </c>
      <c r="F71" s="185" t="s">
        <v>35</v>
      </c>
      <c r="G71" s="173" t="s">
        <v>33</v>
      </c>
      <c r="H71" s="173">
        <v>2</v>
      </c>
      <c r="I71" s="173">
        <f t="shared" ref="I71" si="3">LN(B71)</f>
        <v>-0.18632957819149348</v>
      </c>
      <c r="J71" s="173">
        <v>7.2284161474004766E-2</v>
      </c>
      <c r="K71" s="173" t="s">
        <v>31</v>
      </c>
      <c r="L71" s="173" t="s">
        <v>31</v>
      </c>
      <c r="M71" s="173" t="s">
        <v>31</v>
      </c>
      <c r="O71" s="222" t="s">
        <v>332</v>
      </c>
      <c r="P71" s="296">
        <v>0.83</v>
      </c>
      <c r="Q71" s="173" t="s">
        <v>332</v>
      </c>
      <c r="R71" s="184">
        <f>P71</f>
        <v>0.83</v>
      </c>
    </row>
    <row r="72" spans="1:18">
      <c r="A72" s="209" t="s">
        <v>5</v>
      </c>
      <c r="B72" s="323" t="s">
        <v>1656</v>
      </c>
      <c r="C72" s="211"/>
      <c r="D72" s="188"/>
      <c r="E72" s="188"/>
      <c r="F72" s="188"/>
      <c r="G72" s="188"/>
      <c r="H72" s="188"/>
      <c r="I72" s="188"/>
      <c r="J72" s="188"/>
      <c r="K72" s="188"/>
      <c r="L72" s="188"/>
      <c r="M72" s="188"/>
    </row>
    <row r="73" spans="1:18">
      <c r="A73" s="177" t="s">
        <v>7</v>
      </c>
      <c r="B73" s="173" t="s">
        <v>566</v>
      </c>
      <c r="C73" s="176"/>
    </row>
    <row r="74" spans="1:18">
      <c r="A74" s="276" t="s">
        <v>9</v>
      </c>
      <c r="B74" s="173" t="s">
        <v>1658</v>
      </c>
      <c r="C74" s="176"/>
    </row>
    <row r="75" spans="1:18" ht="15" customHeight="1">
      <c r="A75" s="177" t="s">
        <v>11</v>
      </c>
      <c r="B75" s="179" t="s">
        <v>913</v>
      </c>
    </row>
    <row r="76" spans="1:18">
      <c r="A76" s="177" t="s">
        <v>13</v>
      </c>
      <c r="B76" s="173" t="s">
        <v>14</v>
      </c>
    </row>
    <row r="77" spans="1:18">
      <c r="A77" s="177" t="s">
        <v>15</v>
      </c>
      <c r="B77" s="191">
        <f>B82</f>
        <v>0.12</v>
      </c>
    </row>
    <row r="78" spans="1:18">
      <c r="A78" s="177" t="s">
        <v>16</v>
      </c>
      <c r="B78" s="173" t="s">
        <v>17</v>
      </c>
    </row>
    <row r="79" spans="1:18">
      <c r="A79" s="177" t="s">
        <v>18</v>
      </c>
      <c r="B79" s="173" t="s">
        <v>37</v>
      </c>
    </row>
    <row r="80" spans="1:18">
      <c r="A80" s="174" t="s">
        <v>19</v>
      </c>
    </row>
    <row r="81" spans="1:18">
      <c r="A81" s="174" t="s">
        <v>20</v>
      </c>
      <c r="B81" s="175" t="s">
        <v>21</v>
      </c>
      <c r="C81" s="175" t="s">
        <v>18</v>
      </c>
      <c r="D81" s="175" t="s">
        <v>22</v>
      </c>
      <c r="E81" s="175" t="s">
        <v>7</v>
      </c>
      <c r="F81" s="175" t="s">
        <v>13</v>
      </c>
      <c r="G81" s="175" t="s">
        <v>16</v>
      </c>
      <c r="H81" s="175" t="s">
        <v>23</v>
      </c>
      <c r="I81" s="175" t="s">
        <v>24</v>
      </c>
      <c r="J81" s="175" t="s">
        <v>25</v>
      </c>
      <c r="K81" s="175" t="s">
        <v>26</v>
      </c>
      <c r="L81" s="175" t="s">
        <v>27</v>
      </c>
      <c r="M81" s="175" t="s">
        <v>28</v>
      </c>
      <c r="N81" s="175" t="s">
        <v>11</v>
      </c>
    </row>
    <row r="82" spans="1:18">
      <c r="A82" s="232" t="s">
        <v>1656</v>
      </c>
      <c r="B82" s="191">
        <v>0.12</v>
      </c>
      <c r="C82" s="173" t="s">
        <v>37</v>
      </c>
      <c r="D82" s="258" t="s">
        <v>2</v>
      </c>
      <c r="E82" s="173" t="s">
        <v>29</v>
      </c>
      <c r="F82" s="185" t="s">
        <v>14</v>
      </c>
      <c r="G82" s="173" t="s">
        <v>30</v>
      </c>
      <c r="H82" s="173">
        <v>1</v>
      </c>
      <c r="I82" s="191">
        <f>B82</f>
        <v>0.12</v>
      </c>
      <c r="J82" s="173" t="s">
        <v>31</v>
      </c>
      <c r="K82" s="173" t="s">
        <v>31</v>
      </c>
      <c r="L82" s="173" t="s">
        <v>31</v>
      </c>
      <c r="M82" s="173" t="s">
        <v>31</v>
      </c>
      <c r="O82" s="222"/>
      <c r="P82" s="234"/>
      <c r="Q82" s="173" t="s">
        <v>337</v>
      </c>
      <c r="R82" s="231">
        <v>0.01</v>
      </c>
    </row>
    <row r="83" spans="1:18">
      <c r="A83" s="232" t="s">
        <v>918</v>
      </c>
      <c r="B83" s="191">
        <v>0.12</v>
      </c>
      <c r="C83" s="173" t="s">
        <v>37</v>
      </c>
      <c r="D83" s="173" t="s">
        <v>38</v>
      </c>
      <c r="E83" s="173" t="s">
        <v>29</v>
      </c>
      <c r="F83" s="185" t="s">
        <v>60</v>
      </c>
      <c r="G83" s="173" t="s">
        <v>33</v>
      </c>
      <c r="H83" s="173">
        <v>1</v>
      </c>
      <c r="I83" s="191">
        <f t="shared" ref="I83:I84" si="4">B83</f>
        <v>0.12</v>
      </c>
      <c r="J83" s="173" t="s">
        <v>31</v>
      </c>
      <c r="K83" s="173" t="s">
        <v>31</v>
      </c>
      <c r="L83" s="173" t="s">
        <v>31</v>
      </c>
      <c r="M83" s="173" t="s">
        <v>31</v>
      </c>
      <c r="O83" s="222"/>
      <c r="P83" s="297"/>
      <c r="R83" s="184"/>
    </row>
    <row r="84" spans="1:18">
      <c r="A84" s="232" t="s">
        <v>146</v>
      </c>
      <c r="B84" s="191">
        <v>0.12</v>
      </c>
      <c r="C84" s="173" t="s">
        <v>37</v>
      </c>
      <c r="D84" s="173" t="s">
        <v>38</v>
      </c>
      <c r="E84" s="173" t="s">
        <v>29</v>
      </c>
      <c r="F84" s="173" t="s">
        <v>60</v>
      </c>
      <c r="G84" s="173" t="s">
        <v>33</v>
      </c>
      <c r="H84" s="173">
        <v>1</v>
      </c>
      <c r="I84" s="191">
        <f t="shared" si="4"/>
        <v>0.12</v>
      </c>
      <c r="J84" s="173" t="s">
        <v>31</v>
      </c>
      <c r="K84" s="173" t="s">
        <v>31</v>
      </c>
      <c r="L84" s="173" t="s">
        <v>31</v>
      </c>
      <c r="M84" s="173" t="s">
        <v>31</v>
      </c>
    </row>
    <row r="85" spans="1:18" s="188" customFormat="1">
      <c r="A85" s="209" t="s">
        <v>5</v>
      </c>
      <c r="B85" s="323" t="s">
        <v>1657</v>
      </c>
      <c r="C85" s="211"/>
    </row>
    <row r="86" spans="1:18">
      <c r="A86" s="177" t="s">
        <v>7</v>
      </c>
      <c r="B86" s="173" t="s">
        <v>566</v>
      </c>
      <c r="C86" s="176"/>
    </row>
    <row r="87" spans="1:18">
      <c r="A87" s="276" t="s">
        <v>9</v>
      </c>
      <c r="B87" s="173" t="s">
        <v>1659</v>
      </c>
      <c r="C87" s="176"/>
    </row>
    <row r="88" spans="1:18" ht="15.75" customHeight="1">
      <c r="A88" s="177" t="s">
        <v>11</v>
      </c>
      <c r="B88" s="179" t="s">
        <v>913</v>
      </c>
    </row>
    <row r="89" spans="1:18">
      <c r="A89" s="177" t="s">
        <v>13</v>
      </c>
      <c r="B89" s="173" t="s">
        <v>14</v>
      </c>
    </row>
    <row r="90" spans="1:18">
      <c r="A90" s="177" t="s">
        <v>15</v>
      </c>
      <c r="B90" s="173">
        <v>1</v>
      </c>
    </row>
    <row r="91" spans="1:18">
      <c r="A91" s="177" t="s">
        <v>16</v>
      </c>
      <c r="B91" s="173" t="s">
        <v>17</v>
      </c>
    </row>
    <row r="92" spans="1:18">
      <c r="A92" s="177" t="s">
        <v>18</v>
      </c>
      <c r="B92" s="173" t="s">
        <v>18</v>
      </c>
    </row>
    <row r="93" spans="1:18">
      <c r="A93" s="174" t="s">
        <v>19</v>
      </c>
    </row>
    <row r="94" spans="1:18">
      <c r="A94" s="174" t="s">
        <v>20</v>
      </c>
      <c r="B94" s="175" t="s">
        <v>21</v>
      </c>
      <c r="C94" s="175" t="s">
        <v>18</v>
      </c>
      <c r="D94" s="175" t="s">
        <v>22</v>
      </c>
      <c r="E94" s="175" t="s">
        <v>7</v>
      </c>
      <c r="F94" s="175" t="s">
        <v>13</v>
      </c>
      <c r="G94" s="175" t="s">
        <v>16</v>
      </c>
      <c r="H94" s="175" t="s">
        <v>23</v>
      </c>
      <c r="I94" s="175" t="s">
        <v>24</v>
      </c>
      <c r="J94" s="175" t="s">
        <v>25</v>
      </c>
      <c r="K94" s="175" t="s">
        <v>26</v>
      </c>
      <c r="L94" s="175" t="s">
        <v>27</v>
      </c>
      <c r="M94" s="175" t="s">
        <v>28</v>
      </c>
      <c r="N94" s="175" t="s">
        <v>11</v>
      </c>
    </row>
    <row r="95" spans="1:18">
      <c r="A95" s="232" t="s">
        <v>1657</v>
      </c>
      <c r="B95" s="184">
        <v>1</v>
      </c>
      <c r="C95" s="173" t="s">
        <v>18</v>
      </c>
      <c r="D95" s="258" t="s">
        <v>2</v>
      </c>
      <c r="E95" s="173" t="s">
        <v>29</v>
      </c>
      <c r="F95" s="185" t="s">
        <v>14</v>
      </c>
      <c r="G95" s="173" t="s">
        <v>30</v>
      </c>
      <c r="H95" s="173">
        <v>1</v>
      </c>
      <c r="I95" s="173">
        <v>1</v>
      </c>
      <c r="J95" s="173" t="s">
        <v>31</v>
      </c>
      <c r="K95" s="173" t="s">
        <v>31</v>
      </c>
      <c r="L95" s="173" t="s">
        <v>31</v>
      </c>
      <c r="M95" s="173" t="s">
        <v>31</v>
      </c>
      <c r="O95" s="222"/>
      <c r="P95" s="297"/>
      <c r="R95" s="184"/>
    </row>
    <row r="96" spans="1:18">
      <c r="A96" s="232" t="s">
        <v>1660</v>
      </c>
      <c r="B96" s="173">
        <v>1</v>
      </c>
      <c r="C96" s="173" t="s">
        <v>18</v>
      </c>
      <c r="D96" s="258" t="s">
        <v>2</v>
      </c>
      <c r="E96" s="173" t="s">
        <v>29</v>
      </c>
      <c r="F96" s="185" t="s">
        <v>14</v>
      </c>
      <c r="G96" s="173" t="s">
        <v>33</v>
      </c>
      <c r="H96" s="173">
        <v>1</v>
      </c>
      <c r="I96" s="173">
        <v>1</v>
      </c>
      <c r="J96" s="173" t="s">
        <v>31</v>
      </c>
      <c r="K96" s="173" t="s">
        <v>31</v>
      </c>
      <c r="L96" s="173" t="s">
        <v>31</v>
      </c>
      <c r="M96" s="173" t="s">
        <v>31</v>
      </c>
      <c r="O96" s="222"/>
      <c r="P96" s="297"/>
    </row>
    <row r="97" spans="1:18">
      <c r="A97" s="177" t="s">
        <v>168</v>
      </c>
      <c r="B97" s="184">
        <f>R97</f>
        <v>0.05</v>
      </c>
      <c r="C97" s="173" t="s">
        <v>41</v>
      </c>
      <c r="D97" s="173" t="s">
        <v>38</v>
      </c>
      <c r="E97" s="173" t="s">
        <v>29</v>
      </c>
      <c r="F97" s="185" t="s">
        <v>35</v>
      </c>
      <c r="G97" s="173" t="s">
        <v>33</v>
      </c>
      <c r="H97" s="173">
        <v>2</v>
      </c>
      <c r="I97" s="173">
        <f t="shared" ref="I97" si="5">LN(B97)</f>
        <v>-2.9957322735539909</v>
      </c>
      <c r="J97" s="173">
        <v>7.2284161474004766E-2</v>
      </c>
      <c r="K97" s="173" t="s">
        <v>31</v>
      </c>
      <c r="L97" s="173" t="s">
        <v>31</v>
      </c>
      <c r="M97" s="173" t="s">
        <v>31</v>
      </c>
      <c r="O97" s="222" t="s">
        <v>332</v>
      </c>
      <c r="P97" s="297">
        <v>0.05</v>
      </c>
      <c r="Q97" s="173" t="s">
        <v>332</v>
      </c>
      <c r="R97" s="184">
        <f>P97</f>
        <v>0.05</v>
      </c>
    </row>
    <row r="98" spans="1:18" s="188" customFormat="1">
      <c r="A98" s="209" t="s">
        <v>5</v>
      </c>
      <c r="B98" s="323" t="s">
        <v>1660</v>
      </c>
      <c r="C98" s="211"/>
    </row>
    <row r="99" spans="1:18">
      <c r="A99" s="177" t="s">
        <v>7</v>
      </c>
      <c r="B99" s="173" t="s">
        <v>566</v>
      </c>
      <c r="C99" s="176"/>
    </row>
    <row r="100" spans="1:18">
      <c r="A100" s="276" t="s">
        <v>9</v>
      </c>
      <c r="B100" s="173" t="s">
        <v>1661</v>
      </c>
      <c r="C100" s="176"/>
    </row>
    <row r="101" spans="1:18" ht="15.75" customHeight="1">
      <c r="A101" s="177" t="s">
        <v>11</v>
      </c>
      <c r="B101" s="179" t="s">
        <v>913</v>
      </c>
    </row>
    <row r="102" spans="1:18">
      <c r="A102" s="177" t="s">
        <v>13</v>
      </c>
      <c r="B102" s="173" t="s">
        <v>14</v>
      </c>
    </row>
    <row r="103" spans="1:18">
      <c r="A103" s="177" t="s">
        <v>15</v>
      </c>
      <c r="B103" s="173">
        <v>1</v>
      </c>
    </row>
    <row r="104" spans="1:18">
      <c r="A104" s="177" t="s">
        <v>16</v>
      </c>
      <c r="B104" s="173" t="s">
        <v>17</v>
      </c>
    </row>
    <row r="105" spans="1:18">
      <c r="A105" s="177" t="s">
        <v>18</v>
      </c>
      <c r="B105" s="173" t="s">
        <v>18</v>
      </c>
    </row>
    <row r="106" spans="1:18">
      <c r="A106" s="174" t="s">
        <v>19</v>
      </c>
    </row>
    <row r="107" spans="1:18">
      <c r="A107" s="174" t="s">
        <v>20</v>
      </c>
      <c r="B107" s="175" t="s">
        <v>21</v>
      </c>
      <c r="C107" s="175" t="s">
        <v>18</v>
      </c>
      <c r="D107" s="175" t="s">
        <v>22</v>
      </c>
      <c r="E107" s="175" t="s">
        <v>7</v>
      </c>
      <c r="F107" s="175" t="s">
        <v>13</v>
      </c>
      <c r="G107" s="175" t="s">
        <v>16</v>
      </c>
      <c r="H107" s="175" t="s">
        <v>23</v>
      </c>
      <c r="I107" s="175" t="s">
        <v>24</v>
      </c>
      <c r="J107" s="175" t="s">
        <v>25</v>
      </c>
      <c r="K107" s="175" t="s">
        <v>26</v>
      </c>
      <c r="L107" s="175" t="s">
        <v>27</v>
      </c>
      <c r="M107" s="175" t="s">
        <v>28</v>
      </c>
      <c r="N107" s="175" t="s">
        <v>11</v>
      </c>
      <c r="Q107" s="214" t="s">
        <v>1587</v>
      </c>
    </row>
    <row r="108" spans="1:18">
      <c r="A108" s="232" t="s">
        <v>1660</v>
      </c>
      <c r="B108" s="173">
        <v>1</v>
      </c>
      <c r="C108" s="173" t="s">
        <v>18</v>
      </c>
      <c r="D108" s="173" t="s">
        <v>2</v>
      </c>
      <c r="E108" s="173" t="s">
        <v>29</v>
      </c>
      <c r="F108" s="185" t="s">
        <v>14</v>
      </c>
      <c r="G108" s="173" t="s">
        <v>30</v>
      </c>
      <c r="H108" s="173">
        <v>1</v>
      </c>
      <c r="I108" s="173">
        <v>1</v>
      </c>
      <c r="J108" s="173" t="s">
        <v>31</v>
      </c>
      <c r="K108" s="173" t="s">
        <v>31</v>
      </c>
      <c r="L108" s="173" t="s">
        <v>31</v>
      </c>
      <c r="M108" s="173" t="s">
        <v>31</v>
      </c>
      <c r="P108" s="347"/>
      <c r="Q108" s="173">
        <f>'2E. Reusable'!O36</f>
        <v>0.16666666666666669</v>
      </c>
      <c r="R108" s="173" t="s">
        <v>1304</v>
      </c>
    </row>
    <row r="109" spans="1:18">
      <c r="A109" s="177" t="s">
        <v>1662</v>
      </c>
      <c r="B109" s="298">
        <f>B133</f>
        <v>7.8E-2</v>
      </c>
      <c r="C109" s="173" t="s">
        <v>206</v>
      </c>
      <c r="D109" s="173" t="s">
        <v>2</v>
      </c>
      <c r="E109" s="173" t="s">
        <v>29</v>
      </c>
      <c r="F109" s="185" t="s">
        <v>14</v>
      </c>
      <c r="G109" s="173" t="s">
        <v>33</v>
      </c>
      <c r="H109" s="173">
        <v>1</v>
      </c>
      <c r="I109" s="298">
        <f>B109</f>
        <v>7.8E-2</v>
      </c>
      <c r="J109" s="173" t="s">
        <v>31</v>
      </c>
      <c r="K109" s="173" t="s">
        <v>31</v>
      </c>
      <c r="L109" s="173" t="s">
        <v>31</v>
      </c>
      <c r="M109" s="173" t="s">
        <v>31</v>
      </c>
      <c r="O109" s="259"/>
      <c r="P109" s="260"/>
      <c r="Q109" s="184"/>
    </row>
    <row r="110" spans="1:18">
      <c r="A110" s="173" t="s">
        <v>1620</v>
      </c>
      <c r="B110" s="231">
        <f>R110</f>
        <v>1.0166666666666668E-2</v>
      </c>
      <c r="C110" s="178" t="s">
        <v>206</v>
      </c>
      <c r="D110" s="173" t="s">
        <v>2</v>
      </c>
      <c r="E110" s="173" t="s">
        <v>29</v>
      </c>
      <c r="F110" s="185" t="s">
        <v>14</v>
      </c>
      <c r="G110" s="173" t="s">
        <v>33</v>
      </c>
      <c r="H110" s="173">
        <v>1</v>
      </c>
      <c r="I110" s="298">
        <f t="shared" ref="I110:I111" si="6">B110</f>
        <v>1.0166666666666668E-2</v>
      </c>
      <c r="J110" s="173" t="s">
        <v>31</v>
      </c>
      <c r="K110" s="173" t="s">
        <v>31</v>
      </c>
      <c r="L110" s="173" t="s">
        <v>31</v>
      </c>
      <c r="M110" s="173" t="s">
        <v>31</v>
      </c>
      <c r="O110" s="299" t="s">
        <v>947</v>
      </c>
      <c r="P110" s="314">
        <v>61</v>
      </c>
      <c r="R110" s="231">
        <f>P110*0.001*Q108</f>
        <v>1.0166666666666668E-2</v>
      </c>
    </row>
    <row r="111" spans="1:18">
      <c r="A111" s="173" t="s">
        <v>1663</v>
      </c>
      <c r="B111" s="173">
        <v>1</v>
      </c>
      <c r="C111" s="173" t="s">
        <v>18</v>
      </c>
      <c r="D111" s="173" t="s">
        <v>2</v>
      </c>
      <c r="E111" s="173" t="s">
        <v>29</v>
      </c>
      <c r="F111" s="185" t="s">
        <v>14</v>
      </c>
      <c r="G111" s="173" t="s">
        <v>33</v>
      </c>
      <c r="H111" s="173">
        <v>1</v>
      </c>
      <c r="I111" s="298">
        <f t="shared" si="6"/>
        <v>1</v>
      </c>
      <c r="J111" s="173" t="s">
        <v>31</v>
      </c>
      <c r="K111" s="173" t="s">
        <v>31</v>
      </c>
      <c r="L111" s="173" t="s">
        <v>31</v>
      </c>
      <c r="M111" s="173" t="s">
        <v>31</v>
      </c>
      <c r="O111" s="259"/>
      <c r="P111" s="260"/>
    </row>
    <row r="112" spans="1:18" ht="15">
      <c r="A112" s="232" t="s">
        <v>533</v>
      </c>
      <c r="B112" s="231">
        <f>R112</f>
        <v>3.5E-4</v>
      </c>
      <c r="C112" s="173" t="s">
        <v>37</v>
      </c>
      <c r="D112" s="173" t="s">
        <v>38</v>
      </c>
      <c r="E112" s="173" t="s">
        <v>29</v>
      </c>
      <c r="F112" s="185" t="s">
        <v>35</v>
      </c>
      <c r="G112" s="173" t="s">
        <v>33</v>
      </c>
      <c r="H112" s="173">
        <v>2</v>
      </c>
      <c r="I112" s="173">
        <f>LN(B112)</f>
        <v>-7.9575774034808147</v>
      </c>
      <c r="J112" s="173">
        <v>2.8722813232690055E-2</v>
      </c>
      <c r="K112" s="173" t="s">
        <v>31</v>
      </c>
      <c r="L112" s="173" t="s">
        <v>31</v>
      </c>
      <c r="M112" s="173" t="s">
        <v>31</v>
      </c>
      <c r="O112" s="299" t="s">
        <v>947</v>
      </c>
      <c r="P112" s="302">
        <v>0.35</v>
      </c>
      <c r="Q112" s="173" t="s">
        <v>337</v>
      </c>
      <c r="R112" s="231">
        <f>P112*10^-3</f>
        <v>3.5E-4</v>
      </c>
    </row>
    <row r="113" spans="1:18" s="188" customFormat="1">
      <c r="A113" s="209" t="s">
        <v>5</v>
      </c>
      <c r="B113" s="210" t="s">
        <v>1663</v>
      </c>
      <c r="C113" s="211"/>
    </row>
    <row r="114" spans="1:18">
      <c r="A114" s="177" t="s">
        <v>7</v>
      </c>
      <c r="B114" s="173" t="s">
        <v>566</v>
      </c>
      <c r="C114" s="176"/>
    </row>
    <row r="115" spans="1:18">
      <c r="A115" s="276" t="s">
        <v>9</v>
      </c>
      <c r="B115" s="173" t="s">
        <v>1664</v>
      </c>
      <c r="C115" s="176"/>
    </row>
    <row r="116" spans="1:18" ht="15.75" customHeight="1">
      <c r="A116" s="177" t="s">
        <v>11</v>
      </c>
      <c r="B116" s="179" t="s">
        <v>913</v>
      </c>
    </row>
    <row r="117" spans="1:18">
      <c r="A117" s="177" t="s">
        <v>13</v>
      </c>
      <c r="B117" s="173" t="s">
        <v>14</v>
      </c>
    </row>
    <row r="118" spans="1:18">
      <c r="A118" s="177" t="s">
        <v>15</v>
      </c>
      <c r="B118" s="173">
        <v>1</v>
      </c>
    </row>
    <row r="119" spans="1:18">
      <c r="A119" s="177" t="s">
        <v>16</v>
      </c>
      <c r="B119" s="173" t="s">
        <v>17</v>
      </c>
    </row>
    <row r="120" spans="1:18">
      <c r="A120" s="177" t="s">
        <v>18</v>
      </c>
      <c r="B120" s="173" t="s">
        <v>18</v>
      </c>
    </row>
    <row r="121" spans="1:18">
      <c r="A121" s="174" t="s">
        <v>19</v>
      </c>
    </row>
    <row r="122" spans="1:18">
      <c r="A122" s="174" t="s">
        <v>20</v>
      </c>
      <c r="B122" s="175" t="s">
        <v>21</v>
      </c>
      <c r="C122" s="175" t="s">
        <v>18</v>
      </c>
      <c r="D122" s="175" t="s">
        <v>22</v>
      </c>
      <c r="E122" s="175" t="s">
        <v>7</v>
      </c>
      <c r="F122" s="175" t="s">
        <v>13</v>
      </c>
      <c r="G122" s="175" t="s">
        <v>16</v>
      </c>
      <c r="H122" s="175" t="s">
        <v>23</v>
      </c>
      <c r="I122" s="175" t="s">
        <v>24</v>
      </c>
      <c r="J122" s="175" t="s">
        <v>25</v>
      </c>
      <c r="K122" s="175" t="s">
        <v>26</v>
      </c>
      <c r="L122" s="175" t="s">
        <v>27</v>
      </c>
      <c r="M122" s="175" t="s">
        <v>28</v>
      </c>
      <c r="N122" s="175" t="s">
        <v>11</v>
      </c>
    </row>
    <row r="123" spans="1:18">
      <c r="A123" s="173" t="s">
        <v>1663</v>
      </c>
      <c r="B123" s="173">
        <v>1</v>
      </c>
      <c r="C123" s="173" t="s">
        <v>18</v>
      </c>
      <c r="D123" s="258" t="s">
        <v>2</v>
      </c>
      <c r="E123" s="173" t="s">
        <v>29</v>
      </c>
      <c r="F123" s="185" t="s">
        <v>14</v>
      </c>
      <c r="G123" s="173" t="s">
        <v>30</v>
      </c>
      <c r="H123" s="173">
        <v>1</v>
      </c>
      <c r="I123" s="173">
        <v>1</v>
      </c>
      <c r="J123" s="173" t="s">
        <v>31</v>
      </c>
      <c r="K123" s="173" t="s">
        <v>31</v>
      </c>
      <c r="L123" s="173" t="s">
        <v>31</v>
      </c>
      <c r="M123" s="173" t="s">
        <v>31</v>
      </c>
    </row>
    <row r="124" spans="1:18">
      <c r="A124" s="232" t="s">
        <v>1056</v>
      </c>
      <c r="B124" s="390">
        <v>0.68</v>
      </c>
      <c r="C124" s="173" t="s">
        <v>37</v>
      </c>
      <c r="D124" s="173" t="s">
        <v>38</v>
      </c>
      <c r="E124" s="173" t="s">
        <v>29</v>
      </c>
      <c r="F124" s="173" t="s">
        <v>60</v>
      </c>
      <c r="G124" s="173" t="s">
        <v>33</v>
      </c>
      <c r="H124" s="173">
        <v>1</v>
      </c>
      <c r="I124" s="173">
        <f>B124</f>
        <v>0.68</v>
      </c>
      <c r="J124" s="173" t="s">
        <v>31</v>
      </c>
      <c r="K124" s="173" t="s">
        <v>31</v>
      </c>
      <c r="L124" s="173" t="s">
        <v>31</v>
      </c>
      <c r="M124" s="173" t="s">
        <v>31</v>
      </c>
      <c r="P124" s="173" t="s">
        <v>1665</v>
      </c>
      <c r="Q124" s="173" t="s">
        <v>337</v>
      </c>
      <c r="R124" s="173" t="str">
        <f>P124</f>
        <v>0,68</v>
      </c>
    </row>
    <row r="125" spans="1:18" ht="15">
      <c r="A125" s="232" t="s">
        <v>1057</v>
      </c>
      <c r="B125" s="173">
        <f t="shared" ref="B125:B127" si="7">R125</f>
        <v>0.44900000000000001</v>
      </c>
      <c r="C125" s="173" t="s">
        <v>37</v>
      </c>
      <c r="D125" s="173" t="s">
        <v>38</v>
      </c>
      <c r="E125" s="173" t="s">
        <v>29</v>
      </c>
      <c r="F125" s="173" t="s">
        <v>60</v>
      </c>
      <c r="G125" s="173" t="s">
        <v>33</v>
      </c>
      <c r="H125" s="173">
        <v>2</v>
      </c>
      <c r="I125" s="173">
        <f>LN(B125)</f>
        <v>-0.80073239123988271</v>
      </c>
      <c r="J125" s="173">
        <v>3.7749172176353707E-2</v>
      </c>
      <c r="K125" s="173" t="s">
        <v>31</v>
      </c>
      <c r="L125" s="173" t="s">
        <v>31</v>
      </c>
      <c r="M125" s="173" t="s">
        <v>31</v>
      </c>
      <c r="O125" s="242" t="s">
        <v>947</v>
      </c>
      <c r="P125" s="296">
        <v>449</v>
      </c>
      <c r="Q125" s="173" t="s">
        <v>337</v>
      </c>
      <c r="R125" s="173">
        <f>P125*0.001</f>
        <v>0.44900000000000001</v>
      </c>
    </row>
    <row r="126" spans="1:18" ht="15">
      <c r="A126" s="232" t="s">
        <v>1058</v>
      </c>
      <c r="B126" s="173">
        <f t="shared" si="7"/>
        <v>2.6800000000000001E-2</v>
      </c>
      <c r="C126" s="173" t="s">
        <v>37</v>
      </c>
      <c r="D126" s="173" t="s">
        <v>38</v>
      </c>
      <c r="E126" s="173" t="s">
        <v>29</v>
      </c>
      <c r="F126" s="173" t="s">
        <v>60</v>
      </c>
      <c r="G126" s="173" t="s">
        <v>33</v>
      </c>
      <c r="H126" s="173">
        <v>2</v>
      </c>
      <c r="I126" s="173">
        <f>LN(B126)</f>
        <v>-3.6193533914653262</v>
      </c>
      <c r="J126" s="173">
        <v>3.7749172176353707E-2</v>
      </c>
      <c r="K126" s="173" t="s">
        <v>31</v>
      </c>
      <c r="L126" s="173" t="s">
        <v>31</v>
      </c>
      <c r="M126" s="173" t="s">
        <v>31</v>
      </c>
      <c r="O126" s="242" t="s">
        <v>947</v>
      </c>
      <c r="P126" s="296">
        <v>26.8</v>
      </c>
      <c r="Q126" s="173" t="s">
        <v>337</v>
      </c>
      <c r="R126" s="173">
        <f t="shared" ref="R126:R127" si="8">P126*0.001</f>
        <v>2.6800000000000001E-2</v>
      </c>
    </row>
    <row r="127" spans="1:18" ht="15">
      <c r="A127" s="232" t="s">
        <v>1059</v>
      </c>
      <c r="B127" s="173">
        <f t="shared" si="7"/>
        <v>0.20300000000000001</v>
      </c>
      <c r="C127" s="173" t="s">
        <v>37</v>
      </c>
      <c r="D127" s="173" t="s">
        <v>38</v>
      </c>
      <c r="E127" s="173" t="s">
        <v>29</v>
      </c>
      <c r="F127" s="173" t="s">
        <v>60</v>
      </c>
      <c r="G127" s="173" t="s">
        <v>33</v>
      </c>
      <c r="H127" s="173">
        <v>2</v>
      </c>
      <c r="I127" s="173">
        <f>LN(B127)</f>
        <v>-1.5945492999403497</v>
      </c>
      <c r="J127" s="173">
        <v>3.7749172176353707E-2</v>
      </c>
      <c r="K127" s="173" t="s">
        <v>31</v>
      </c>
      <c r="L127" s="173" t="s">
        <v>31</v>
      </c>
      <c r="M127" s="173" t="s">
        <v>31</v>
      </c>
      <c r="O127" s="242" t="s">
        <v>947</v>
      </c>
      <c r="P127" s="296">
        <v>203</v>
      </c>
      <c r="Q127" s="173" t="s">
        <v>337</v>
      </c>
      <c r="R127" s="173">
        <f t="shared" si="8"/>
        <v>0.20300000000000001</v>
      </c>
    </row>
    <row r="128" spans="1:18" s="188" customFormat="1">
      <c r="A128" s="209" t="s">
        <v>5</v>
      </c>
      <c r="B128" s="323" t="s">
        <v>1662</v>
      </c>
      <c r="C128" s="211"/>
    </row>
    <row r="129" spans="1:18">
      <c r="A129" s="177" t="s">
        <v>7</v>
      </c>
      <c r="B129" s="173" t="s">
        <v>566</v>
      </c>
      <c r="C129" s="176"/>
    </row>
    <row r="130" spans="1:18">
      <c r="A130" s="276" t="s">
        <v>9</v>
      </c>
      <c r="B130" s="173" t="s">
        <v>1666</v>
      </c>
      <c r="C130" s="176"/>
    </row>
    <row r="131" spans="1:18" ht="15.75" customHeight="1">
      <c r="A131" s="177" t="s">
        <v>11</v>
      </c>
      <c r="B131" s="179" t="s">
        <v>913</v>
      </c>
    </row>
    <row r="132" spans="1:18">
      <c r="A132" s="177" t="s">
        <v>13</v>
      </c>
      <c r="B132" s="173" t="s">
        <v>14</v>
      </c>
    </row>
    <row r="133" spans="1:18">
      <c r="A133" s="177" t="s">
        <v>15</v>
      </c>
      <c r="B133" s="277">
        <f>B138</f>
        <v>7.8E-2</v>
      </c>
    </row>
    <row r="134" spans="1:18">
      <c r="A134" s="177" t="s">
        <v>16</v>
      </c>
      <c r="B134" s="173" t="s">
        <v>17</v>
      </c>
    </row>
    <row r="135" spans="1:18">
      <c r="A135" s="177" t="s">
        <v>18</v>
      </c>
      <c r="B135" s="173" t="s">
        <v>206</v>
      </c>
    </row>
    <row r="136" spans="1:18">
      <c r="A136" s="174" t="s">
        <v>19</v>
      </c>
    </row>
    <row r="137" spans="1:18">
      <c r="A137" s="175" t="s">
        <v>20</v>
      </c>
      <c r="B137" s="175" t="s">
        <v>21</v>
      </c>
      <c r="C137" s="175" t="s">
        <v>18</v>
      </c>
      <c r="D137" s="175" t="s">
        <v>22</v>
      </c>
      <c r="E137" s="175" t="s">
        <v>7</v>
      </c>
      <c r="F137" s="175" t="s">
        <v>13</v>
      </c>
      <c r="G137" s="175" t="s">
        <v>16</v>
      </c>
      <c r="H137" s="175" t="s">
        <v>23</v>
      </c>
      <c r="I137" s="175" t="s">
        <v>24</v>
      </c>
      <c r="J137" s="175" t="s">
        <v>25</v>
      </c>
      <c r="K137" s="175" t="s">
        <v>26</v>
      </c>
      <c r="L137" s="175" t="s">
        <v>27</v>
      </c>
      <c r="M137" s="175" t="s">
        <v>28</v>
      </c>
      <c r="N137" s="175" t="s">
        <v>11</v>
      </c>
    </row>
    <row r="138" spans="1:18" ht="15">
      <c r="A138" s="173" t="s">
        <v>1662</v>
      </c>
      <c r="B138" s="303">
        <f>P138</f>
        <v>7.8E-2</v>
      </c>
      <c r="C138" s="173" t="s">
        <v>206</v>
      </c>
      <c r="D138" s="258" t="s">
        <v>2</v>
      </c>
      <c r="E138" s="173" t="s">
        <v>29</v>
      </c>
      <c r="F138" s="185" t="s">
        <v>14</v>
      </c>
      <c r="G138" s="173" t="s">
        <v>30</v>
      </c>
      <c r="H138" s="173">
        <v>1</v>
      </c>
      <c r="I138" s="298">
        <f>B138</f>
        <v>7.8E-2</v>
      </c>
      <c r="J138" s="173" t="s">
        <v>31</v>
      </c>
      <c r="K138" s="173" t="s">
        <v>31</v>
      </c>
      <c r="L138" s="173" t="s">
        <v>31</v>
      </c>
      <c r="M138" s="173" t="s">
        <v>31</v>
      </c>
      <c r="O138" s="259"/>
      <c r="P138" s="358">
        <v>7.8E-2</v>
      </c>
      <c r="Q138" s="184"/>
    </row>
    <row r="139" spans="1:18" ht="15">
      <c r="A139" s="271" t="s">
        <v>1667</v>
      </c>
      <c r="B139" s="303">
        <f>P139</f>
        <v>7.8E-2</v>
      </c>
      <c r="C139" s="173" t="s">
        <v>206</v>
      </c>
      <c r="D139" s="258" t="s">
        <v>2</v>
      </c>
      <c r="E139" s="173" t="s">
        <v>29</v>
      </c>
      <c r="F139" s="185" t="s">
        <v>14</v>
      </c>
      <c r="G139" s="173" t="s">
        <v>33</v>
      </c>
      <c r="H139" s="173">
        <v>1</v>
      </c>
      <c r="I139" s="298">
        <f>B139</f>
        <v>7.8E-2</v>
      </c>
      <c r="J139" s="173" t="s">
        <v>31</v>
      </c>
      <c r="K139" s="173" t="s">
        <v>31</v>
      </c>
      <c r="L139" s="173" t="s">
        <v>31</v>
      </c>
      <c r="M139" s="173" t="s">
        <v>31</v>
      </c>
      <c r="P139" s="358">
        <v>7.8E-2</v>
      </c>
    </row>
    <row r="140" spans="1:18">
      <c r="A140" s="232" t="s">
        <v>1077</v>
      </c>
      <c r="B140" s="173">
        <f>R140</f>
        <v>7.0000000000000001E-3</v>
      </c>
      <c r="C140" s="173" t="s">
        <v>37</v>
      </c>
      <c r="D140" s="173" t="s">
        <v>38</v>
      </c>
      <c r="E140" s="173" t="s">
        <v>29</v>
      </c>
      <c r="F140" s="173" t="s">
        <v>35</v>
      </c>
      <c r="G140" s="173" t="s">
        <v>33</v>
      </c>
      <c r="H140" s="173">
        <v>2</v>
      </c>
      <c r="I140" s="173">
        <f>LN(B140)</f>
        <v>-4.9618451299268234</v>
      </c>
      <c r="J140" s="173">
        <v>0.20928449536456342</v>
      </c>
      <c r="K140" s="173" t="s">
        <v>31</v>
      </c>
      <c r="L140" s="173" t="s">
        <v>31</v>
      </c>
      <c r="M140" s="173" t="s">
        <v>31</v>
      </c>
      <c r="O140" s="242" t="s">
        <v>947</v>
      </c>
      <c r="P140" s="264">
        <v>7</v>
      </c>
      <c r="Q140" s="173" t="s">
        <v>337</v>
      </c>
      <c r="R140" s="173">
        <f>0.001*P140</f>
        <v>7.0000000000000001E-3</v>
      </c>
    </row>
    <row r="141" spans="1:18">
      <c r="A141" s="232" t="s">
        <v>1078</v>
      </c>
      <c r="B141" s="173">
        <f>R141</f>
        <v>7.0000000000000001E-3</v>
      </c>
      <c r="C141" s="173" t="s">
        <v>37</v>
      </c>
      <c r="D141" s="173" t="s">
        <v>38</v>
      </c>
      <c r="E141" s="173" t="s">
        <v>29</v>
      </c>
      <c r="F141" s="173" t="s">
        <v>35</v>
      </c>
      <c r="G141" s="173" t="s">
        <v>33</v>
      </c>
      <c r="H141" s="173">
        <v>2</v>
      </c>
      <c r="I141" s="173">
        <f>LN(B141)</f>
        <v>-4.9618451299268234</v>
      </c>
      <c r="J141" s="173">
        <v>0.20928449536456342</v>
      </c>
      <c r="K141" s="173" t="s">
        <v>31</v>
      </c>
      <c r="L141" s="173" t="s">
        <v>31</v>
      </c>
      <c r="M141" s="173" t="s">
        <v>31</v>
      </c>
      <c r="O141" s="242" t="s">
        <v>947</v>
      </c>
      <c r="P141" s="264">
        <v>7</v>
      </c>
      <c r="Q141" s="173" t="s">
        <v>337</v>
      </c>
      <c r="R141" s="173">
        <f>0.001*P141</f>
        <v>7.0000000000000001E-3</v>
      </c>
    </row>
    <row r="142" spans="1:18" s="188" customFormat="1">
      <c r="A142" s="209" t="s">
        <v>5</v>
      </c>
      <c r="B142" s="304" t="s">
        <v>1667</v>
      </c>
      <c r="C142" s="211"/>
    </row>
    <row r="143" spans="1:18">
      <c r="A143" s="177" t="s">
        <v>7</v>
      </c>
      <c r="B143" s="173" t="s">
        <v>566</v>
      </c>
      <c r="C143" s="176"/>
    </row>
    <row r="144" spans="1:18">
      <c r="A144" s="276" t="s">
        <v>9</v>
      </c>
      <c r="B144" s="173" t="s">
        <v>1668</v>
      </c>
      <c r="C144" s="176"/>
    </row>
    <row r="145" spans="1:18" ht="15.75" customHeight="1">
      <c r="A145" s="177" t="s">
        <v>11</v>
      </c>
      <c r="B145" s="179" t="s">
        <v>913</v>
      </c>
    </row>
    <row r="146" spans="1:18">
      <c r="A146" s="177" t="s">
        <v>13</v>
      </c>
      <c r="B146" s="173" t="s">
        <v>14</v>
      </c>
    </row>
    <row r="147" spans="1:18">
      <c r="A147" s="177" t="s">
        <v>15</v>
      </c>
      <c r="B147" s="277">
        <f>B152</f>
        <v>7.8E-2</v>
      </c>
    </row>
    <row r="148" spans="1:18">
      <c r="A148" s="177" t="s">
        <v>16</v>
      </c>
      <c r="B148" s="173" t="s">
        <v>17</v>
      </c>
    </row>
    <row r="149" spans="1:18">
      <c r="A149" s="177" t="s">
        <v>18</v>
      </c>
      <c r="B149" s="173" t="s">
        <v>206</v>
      </c>
    </row>
    <row r="150" spans="1:18">
      <c r="A150" s="174" t="s">
        <v>19</v>
      </c>
    </row>
    <row r="151" spans="1:18">
      <c r="A151" s="175" t="s">
        <v>20</v>
      </c>
      <c r="B151" s="175" t="s">
        <v>21</v>
      </c>
      <c r="C151" s="175" t="s">
        <v>18</v>
      </c>
      <c r="D151" s="175" t="s">
        <v>22</v>
      </c>
      <c r="E151" s="175" t="s">
        <v>7</v>
      </c>
      <c r="F151" s="175" t="s">
        <v>13</v>
      </c>
      <c r="G151" s="175" t="s">
        <v>16</v>
      </c>
      <c r="H151" s="175" t="s">
        <v>23</v>
      </c>
      <c r="I151" s="175" t="s">
        <v>24</v>
      </c>
      <c r="J151" s="175" t="s">
        <v>25</v>
      </c>
      <c r="K151" s="175" t="s">
        <v>26</v>
      </c>
      <c r="L151" s="175" t="s">
        <v>27</v>
      </c>
      <c r="M151" s="175" t="s">
        <v>28</v>
      </c>
      <c r="N151" s="175" t="s">
        <v>11</v>
      </c>
    </row>
    <row r="152" spans="1:18" ht="15">
      <c r="A152" s="271" t="s">
        <v>1667</v>
      </c>
      <c r="B152" s="303">
        <f>P152</f>
        <v>7.8E-2</v>
      </c>
      <c r="C152" s="173" t="s">
        <v>206</v>
      </c>
      <c r="D152" s="258" t="s">
        <v>2</v>
      </c>
      <c r="E152" s="173" t="s">
        <v>29</v>
      </c>
      <c r="F152" s="185" t="s">
        <v>14</v>
      </c>
      <c r="G152" s="173" t="s">
        <v>30</v>
      </c>
      <c r="H152" s="173">
        <v>1</v>
      </c>
      <c r="I152" s="298">
        <f>B152</f>
        <v>7.8E-2</v>
      </c>
      <c r="J152" s="173" t="s">
        <v>31</v>
      </c>
      <c r="K152" s="173" t="s">
        <v>31</v>
      </c>
      <c r="L152" s="173" t="s">
        <v>31</v>
      </c>
      <c r="M152" s="173" t="s">
        <v>31</v>
      </c>
      <c r="O152" s="350" t="s">
        <v>945</v>
      </c>
      <c r="P152" s="358">
        <v>7.8E-2</v>
      </c>
    </row>
    <row r="153" spans="1:18" ht="15">
      <c r="A153" s="173" t="s">
        <v>1669</v>
      </c>
      <c r="B153" s="303">
        <f t="shared" ref="B153:B156" si="9">P153</f>
        <v>2.4E-2</v>
      </c>
      <c r="C153" s="173" t="s">
        <v>206</v>
      </c>
      <c r="D153" s="258" t="s">
        <v>2</v>
      </c>
      <c r="E153" s="173" t="s">
        <v>29</v>
      </c>
      <c r="F153" s="185" t="s">
        <v>14</v>
      </c>
      <c r="G153" s="173" t="s">
        <v>33</v>
      </c>
      <c r="H153" s="173">
        <v>1</v>
      </c>
      <c r="I153" s="298">
        <f t="shared" ref="I153:I154" si="10">B153</f>
        <v>2.4E-2</v>
      </c>
      <c r="J153" s="173" t="s">
        <v>31</v>
      </c>
      <c r="K153" s="173" t="s">
        <v>31</v>
      </c>
      <c r="L153" s="173" t="s">
        <v>31</v>
      </c>
      <c r="M153" s="173" t="s">
        <v>31</v>
      </c>
      <c r="O153" s="350" t="s">
        <v>963</v>
      </c>
      <c r="P153" s="372">
        <v>2.4E-2</v>
      </c>
    </row>
    <row r="154" spans="1:18" ht="15">
      <c r="A154" s="173" t="s">
        <v>1670</v>
      </c>
      <c r="B154" s="303">
        <f t="shared" si="9"/>
        <v>7.8E-2</v>
      </c>
      <c r="C154" s="173" t="s">
        <v>206</v>
      </c>
      <c r="D154" s="258" t="s">
        <v>2</v>
      </c>
      <c r="E154" s="173" t="s">
        <v>29</v>
      </c>
      <c r="F154" s="185" t="s">
        <v>14</v>
      </c>
      <c r="G154" s="173" t="s">
        <v>33</v>
      </c>
      <c r="H154" s="173">
        <v>1</v>
      </c>
      <c r="I154" s="298">
        <f t="shared" si="10"/>
        <v>7.8E-2</v>
      </c>
      <c r="J154" s="173" t="s">
        <v>31</v>
      </c>
      <c r="K154" s="173" t="s">
        <v>31</v>
      </c>
      <c r="L154" s="173" t="s">
        <v>31</v>
      </c>
      <c r="M154" s="173" t="s">
        <v>31</v>
      </c>
      <c r="O154" s="241" t="s">
        <v>963</v>
      </c>
      <c r="P154" s="358">
        <v>7.8E-2</v>
      </c>
    </row>
    <row r="155" spans="1:18">
      <c r="A155" s="177" t="s">
        <v>168</v>
      </c>
      <c r="B155" s="303">
        <f t="shared" si="9"/>
        <v>1.87</v>
      </c>
      <c r="C155" s="173" t="s">
        <v>41</v>
      </c>
      <c r="D155" s="173" t="s">
        <v>38</v>
      </c>
      <c r="E155" s="173" t="s">
        <v>29</v>
      </c>
      <c r="F155" s="185" t="s">
        <v>35</v>
      </c>
      <c r="G155" s="173" t="s">
        <v>33</v>
      </c>
      <c r="H155" s="173">
        <v>2</v>
      </c>
      <c r="I155" s="173">
        <f t="shared" ref="I155:I156" si="11">LN(B155)</f>
        <v>0.62593843086649537</v>
      </c>
      <c r="J155" s="173">
        <v>9.7082439194738052E-2</v>
      </c>
      <c r="K155" s="173" t="s">
        <v>31</v>
      </c>
      <c r="L155" s="173" t="s">
        <v>31</v>
      </c>
      <c r="M155" s="173" t="s">
        <v>31</v>
      </c>
      <c r="O155" s="242" t="s">
        <v>332</v>
      </c>
      <c r="P155" s="264">
        <v>1.87</v>
      </c>
      <c r="Q155" s="173" t="s">
        <v>332</v>
      </c>
      <c r="R155" s="184">
        <f>P155</f>
        <v>1.87</v>
      </c>
    </row>
    <row r="156" spans="1:18">
      <c r="A156" s="177" t="s">
        <v>934</v>
      </c>
      <c r="B156" s="303">
        <f t="shared" si="9"/>
        <v>5</v>
      </c>
      <c r="C156" s="173" t="s">
        <v>37</v>
      </c>
      <c r="D156" s="173" t="s">
        <v>38</v>
      </c>
      <c r="E156" s="173" t="s">
        <v>29</v>
      </c>
      <c r="F156" s="185" t="s">
        <v>35</v>
      </c>
      <c r="G156" s="173" t="s">
        <v>33</v>
      </c>
      <c r="H156" s="173">
        <v>2</v>
      </c>
      <c r="I156" s="173">
        <f t="shared" si="11"/>
        <v>1.6094379124341003</v>
      </c>
      <c r="J156" s="173">
        <v>9.7082439194738052E-2</v>
      </c>
      <c r="K156" s="173" t="s">
        <v>31</v>
      </c>
      <c r="L156" s="173" t="s">
        <v>31</v>
      </c>
      <c r="M156" s="173" t="s">
        <v>31</v>
      </c>
      <c r="O156" s="242" t="s">
        <v>337</v>
      </c>
      <c r="P156" s="264">
        <v>5</v>
      </c>
    </row>
    <row r="157" spans="1:18" s="188" customFormat="1">
      <c r="A157" s="209" t="s">
        <v>5</v>
      </c>
      <c r="B157" s="210" t="s">
        <v>1670</v>
      </c>
      <c r="C157" s="211"/>
    </row>
    <row r="158" spans="1:18">
      <c r="A158" s="177" t="s">
        <v>7</v>
      </c>
      <c r="B158" s="173" t="s">
        <v>566</v>
      </c>
      <c r="C158" s="176"/>
    </row>
    <row r="159" spans="1:18">
      <c r="A159" s="276" t="s">
        <v>9</v>
      </c>
      <c r="B159" s="173" t="s">
        <v>1671</v>
      </c>
      <c r="C159" s="176"/>
    </row>
    <row r="160" spans="1:18" ht="15.75" customHeight="1">
      <c r="A160" s="177" t="s">
        <v>11</v>
      </c>
      <c r="B160" s="179" t="s">
        <v>913</v>
      </c>
    </row>
    <row r="161" spans="1:18">
      <c r="A161" s="177" t="s">
        <v>13</v>
      </c>
      <c r="B161" s="173" t="s">
        <v>14</v>
      </c>
    </row>
    <row r="162" spans="1:18">
      <c r="A162" s="177" t="s">
        <v>15</v>
      </c>
      <c r="B162" s="303">
        <f>B167</f>
        <v>7.8E-2</v>
      </c>
    </row>
    <row r="163" spans="1:18">
      <c r="A163" s="177" t="s">
        <v>16</v>
      </c>
      <c r="B163" s="173" t="s">
        <v>17</v>
      </c>
    </row>
    <row r="164" spans="1:18">
      <c r="A164" s="177" t="s">
        <v>18</v>
      </c>
      <c r="B164" s="173" t="s">
        <v>206</v>
      </c>
    </row>
    <row r="165" spans="1:18">
      <c r="A165" s="174" t="s">
        <v>19</v>
      </c>
    </row>
    <row r="166" spans="1:18">
      <c r="A166" s="175" t="s">
        <v>20</v>
      </c>
      <c r="B166" s="175" t="s">
        <v>21</v>
      </c>
      <c r="C166" s="175" t="s">
        <v>18</v>
      </c>
      <c r="D166" s="175" t="s">
        <v>22</v>
      </c>
      <c r="E166" s="175" t="s">
        <v>7</v>
      </c>
      <c r="F166" s="175" t="s">
        <v>13</v>
      </c>
      <c r="G166" s="175" t="s">
        <v>16</v>
      </c>
      <c r="H166" s="175" t="s">
        <v>23</v>
      </c>
      <c r="I166" s="175" t="s">
        <v>24</v>
      </c>
      <c r="J166" s="175" t="s">
        <v>25</v>
      </c>
      <c r="K166" s="175" t="s">
        <v>26</v>
      </c>
      <c r="L166" s="175" t="s">
        <v>27</v>
      </c>
      <c r="M166" s="175" t="s">
        <v>28</v>
      </c>
      <c r="N166" s="175" t="s">
        <v>11</v>
      </c>
    </row>
    <row r="167" spans="1:18">
      <c r="A167" s="173" t="s">
        <v>1670</v>
      </c>
      <c r="B167" s="265">
        <f>P167</f>
        <v>7.8E-2</v>
      </c>
      <c r="C167" s="173" t="s">
        <v>206</v>
      </c>
      <c r="D167" s="258" t="s">
        <v>2</v>
      </c>
      <c r="E167" s="173" t="s">
        <v>29</v>
      </c>
      <c r="F167" s="185" t="s">
        <v>14</v>
      </c>
      <c r="G167" s="173" t="s">
        <v>30</v>
      </c>
      <c r="H167" s="173">
        <v>1</v>
      </c>
      <c r="I167" s="265">
        <f>B167</f>
        <v>7.8E-2</v>
      </c>
      <c r="J167" s="173" t="s">
        <v>31</v>
      </c>
      <c r="K167" s="173" t="s">
        <v>31</v>
      </c>
      <c r="L167" s="173" t="s">
        <v>31</v>
      </c>
      <c r="M167" s="173" t="s">
        <v>31</v>
      </c>
      <c r="P167" s="313">
        <v>7.8E-2</v>
      </c>
    </row>
    <row r="168" spans="1:18">
      <c r="A168" s="271" t="s">
        <v>1672</v>
      </c>
      <c r="B168" s="265">
        <f>P168</f>
        <v>7.8E-2</v>
      </c>
      <c r="C168" s="173" t="s">
        <v>206</v>
      </c>
      <c r="D168" s="258" t="s">
        <v>2</v>
      </c>
      <c r="E168" s="173" t="s">
        <v>29</v>
      </c>
      <c r="F168" s="185" t="s">
        <v>14</v>
      </c>
      <c r="G168" s="173" t="s">
        <v>33</v>
      </c>
      <c r="H168" s="173">
        <v>1</v>
      </c>
      <c r="I168" s="265">
        <f>B168</f>
        <v>7.8E-2</v>
      </c>
      <c r="J168" s="173" t="s">
        <v>31</v>
      </c>
      <c r="K168" s="173" t="s">
        <v>31</v>
      </c>
      <c r="L168" s="173" t="s">
        <v>31</v>
      </c>
      <c r="M168" s="173" t="s">
        <v>31</v>
      </c>
      <c r="P168" s="313">
        <v>7.8E-2</v>
      </c>
    </row>
    <row r="169" spans="1:18">
      <c r="A169" s="177" t="s">
        <v>168</v>
      </c>
      <c r="B169" s="184">
        <f>R169</f>
        <v>0.21</v>
      </c>
      <c r="C169" s="173" t="s">
        <v>41</v>
      </c>
      <c r="D169" s="173" t="s">
        <v>38</v>
      </c>
      <c r="E169" s="173" t="s">
        <v>29</v>
      </c>
      <c r="F169" s="185" t="s">
        <v>35</v>
      </c>
      <c r="G169" s="173" t="s">
        <v>33</v>
      </c>
      <c r="H169" s="173">
        <v>2</v>
      </c>
      <c r="I169" s="173">
        <f t="shared" ref="I169:I173" si="12">LN(B169)</f>
        <v>-1.5606477482646683</v>
      </c>
      <c r="J169" s="173">
        <v>0.20928449536456342</v>
      </c>
      <c r="K169" s="173" t="s">
        <v>31</v>
      </c>
      <c r="L169" s="173" t="s">
        <v>31</v>
      </c>
      <c r="M169" s="173" t="s">
        <v>31</v>
      </c>
      <c r="O169" s="222" t="s">
        <v>332</v>
      </c>
      <c r="P169" s="264">
        <v>0.21</v>
      </c>
      <c r="Q169" s="173" t="s">
        <v>332</v>
      </c>
      <c r="R169" s="184">
        <f>P169</f>
        <v>0.21</v>
      </c>
    </row>
    <row r="170" spans="1:18">
      <c r="A170" s="232" t="s">
        <v>931</v>
      </c>
      <c r="B170" s="173">
        <f>R170</f>
        <v>6.6E-3</v>
      </c>
      <c r="C170" s="173" t="s">
        <v>37</v>
      </c>
      <c r="D170" s="173" t="s">
        <v>38</v>
      </c>
      <c r="E170" s="173" t="s">
        <v>29</v>
      </c>
      <c r="F170" s="185" t="s">
        <v>35</v>
      </c>
      <c r="G170" s="173" t="s">
        <v>33</v>
      </c>
      <c r="H170" s="173">
        <v>2</v>
      </c>
      <c r="I170" s="173">
        <f t="shared" si="12"/>
        <v>-5.0206856299497575</v>
      </c>
      <c r="J170" s="173">
        <v>0.20928449536456342</v>
      </c>
      <c r="K170" s="173" t="s">
        <v>31</v>
      </c>
      <c r="L170" s="173" t="s">
        <v>31</v>
      </c>
      <c r="M170" s="173" t="s">
        <v>31</v>
      </c>
      <c r="O170" s="242" t="s">
        <v>947</v>
      </c>
      <c r="P170" s="264">
        <v>6.6</v>
      </c>
      <c r="Q170" s="173" t="s">
        <v>337</v>
      </c>
      <c r="R170" s="173">
        <f>0.001*P170</f>
        <v>6.6E-3</v>
      </c>
    </row>
    <row r="171" spans="1:18">
      <c r="A171" s="232" t="s">
        <v>932</v>
      </c>
      <c r="B171" s="173">
        <f>R171</f>
        <v>1E-3</v>
      </c>
      <c r="C171" s="173" t="s">
        <v>37</v>
      </c>
      <c r="D171" s="173" t="s">
        <v>38</v>
      </c>
      <c r="E171" s="173" t="s">
        <v>29</v>
      </c>
      <c r="F171" s="185" t="s">
        <v>60</v>
      </c>
      <c r="G171" s="173" t="s">
        <v>33</v>
      </c>
      <c r="H171" s="173">
        <v>2</v>
      </c>
      <c r="I171" s="173">
        <f t="shared" si="12"/>
        <v>-6.9077552789821368</v>
      </c>
      <c r="J171" s="173">
        <v>0.20928449536456342</v>
      </c>
      <c r="K171" s="173" t="s">
        <v>31</v>
      </c>
      <c r="L171" s="173" t="s">
        <v>31</v>
      </c>
      <c r="M171" s="173" t="s">
        <v>31</v>
      </c>
      <c r="O171" s="242" t="s">
        <v>947</v>
      </c>
      <c r="P171" s="264">
        <v>1</v>
      </c>
      <c r="Q171" s="173" t="s">
        <v>337</v>
      </c>
      <c r="R171" s="173">
        <f t="shared" ref="R171:R173" si="13">0.001*P171</f>
        <v>1E-3</v>
      </c>
    </row>
    <row r="172" spans="1:18">
      <c r="A172" s="177" t="s">
        <v>933</v>
      </c>
      <c r="B172" s="173">
        <f>R172</f>
        <v>3.2600000000000004E-2</v>
      </c>
      <c r="C172" s="173" t="s">
        <v>37</v>
      </c>
      <c r="D172" s="173" t="s">
        <v>38</v>
      </c>
      <c r="E172" s="173" t="s">
        <v>29</v>
      </c>
      <c r="F172" s="185" t="s">
        <v>39</v>
      </c>
      <c r="G172" s="173" t="s">
        <v>33</v>
      </c>
      <c r="H172" s="173">
        <v>2</v>
      </c>
      <c r="I172" s="173">
        <f t="shared" si="12"/>
        <v>-3.423442990609475</v>
      </c>
      <c r="J172" s="173">
        <v>0.20928449536456342</v>
      </c>
      <c r="K172" s="173" t="s">
        <v>31</v>
      </c>
      <c r="L172" s="173" t="s">
        <v>31</v>
      </c>
      <c r="M172" s="173" t="s">
        <v>31</v>
      </c>
      <c r="O172" s="242" t="s">
        <v>947</v>
      </c>
      <c r="P172" s="264">
        <v>32.6</v>
      </c>
      <c r="Q172" s="173" t="s">
        <v>337</v>
      </c>
      <c r="R172" s="173">
        <f t="shared" si="13"/>
        <v>3.2600000000000004E-2</v>
      </c>
    </row>
    <row r="173" spans="1:18">
      <c r="A173" s="173" t="s">
        <v>1285</v>
      </c>
      <c r="B173" s="173">
        <f>R173</f>
        <v>7.6E-3</v>
      </c>
      <c r="C173" s="173" t="s">
        <v>37</v>
      </c>
      <c r="D173" s="258" t="s">
        <v>2</v>
      </c>
      <c r="E173" s="173" t="s">
        <v>29</v>
      </c>
      <c r="F173" s="185" t="s">
        <v>39</v>
      </c>
      <c r="G173" s="173" t="s">
        <v>33</v>
      </c>
      <c r="H173" s="173">
        <v>2</v>
      </c>
      <c r="I173" s="173">
        <f t="shared" si="12"/>
        <v>-4.8796070316898517</v>
      </c>
      <c r="J173" s="173">
        <v>0.20928449536456342</v>
      </c>
      <c r="K173" s="173" t="s">
        <v>31</v>
      </c>
      <c r="L173" s="173" t="s">
        <v>31</v>
      </c>
      <c r="M173" s="173" t="s">
        <v>31</v>
      </c>
      <c r="O173" s="305" t="s">
        <v>947</v>
      </c>
      <c r="P173" s="269">
        <v>7.6</v>
      </c>
      <c r="Q173" s="173" t="s">
        <v>337</v>
      </c>
      <c r="R173" s="173">
        <f t="shared" si="13"/>
        <v>7.6E-3</v>
      </c>
    </row>
    <row r="174" spans="1:18" s="188" customFormat="1">
      <c r="A174" s="209" t="s">
        <v>5</v>
      </c>
      <c r="B174" s="210" t="s">
        <v>1672</v>
      </c>
      <c r="C174" s="211"/>
    </row>
    <row r="175" spans="1:18">
      <c r="A175" s="177" t="s">
        <v>7</v>
      </c>
      <c r="B175" s="173" t="s">
        <v>566</v>
      </c>
      <c r="C175" s="176"/>
    </row>
    <row r="176" spans="1:18">
      <c r="A176" s="276" t="s">
        <v>9</v>
      </c>
      <c r="B176" s="173" t="s">
        <v>1673</v>
      </c>
      <c r="C176" s="176"/>
    </row>
    <row r="177" spans="1:18" ht="15.75" customHeight="1">
      <c r="A177" s="177" t="s">
        <v>11</v>
      </c>
      <c r="B177" s="179" t="s">
        <v>913</v>
      </c>
    </row>
    <row r="178" spans="1:18">
      <c r="A178" s="177" t="s">
        <v>13</v>
      </c>
      <c r="B178" s="173" t="s">
        <v>14</v>
      </c>
    </row>
    <row r="179" spans="1:18">
      <c r="A179" s="177" t="s">
        <v>15</v>
      </c>
      <c r="B179" s="277">
        <f>B184</f>
        <v>7.8E-2</v>
      </c>
    </row>
    <row r="180" spans="1:18">
      <c r="A180" s="177" t="s">
        <v>16</v>
      </c>
      <c r="B180" s="173" t="s">
        <v>17</v>
      </c>
    </row>
    <row r="181" spans="1:18">
      <c r="A181" s="177" t="s">
        <v>18</v>
      </c>
      <c r="B181" s="173" t="s">
        <v>206</v>
      </c>
    </row>
    <row r="182" spans="1:18">
      <c r="A182" s="174" t="s">
        <v>19</v>
      </c>
    </row>
    <row r="183" spans="1:18">
      <c r="A183" s="175" t="s">
        <v>20</v>
      </c>
      <c r="B183" s="175" t="s">
        <v>21</v>
      </c>
      <c r="C183" s="175" t="s">
        <v>18</v>
      </c>
      <c r="D183" s="175" t="s">
        <v>22</v>
      </c>
      <c r="E183" s="175" t="s">
        <v>7</v>
      </c>
      <c r="F183" s="175" t="s">
        <v>13</v>
      </c>
      <c r="G183" s="175" t="s">
        <v>16</v>
      </c>
      <c r="H183" s="175" t="s">
        <v>23</v>
      </c>
      <c r="I183" s="175" t="s">
        <v>24</v>
      </c>
      <c r="J183" s="175" t="s">
        <v>25</v>
      </c>
      <c r="K183" s="175" t="s">
        <v>26</v>
      </c>
      <c r="L183" s="175" t="s">
        <v>27</v>
      </c>
      <c r="M183" s="175" t="s">
        <v>28</v>
      </c>
      <c r="N183" s="175" t="s">
        <v>11</v>
      </c>
    </row>
    <row r="184" spans="1:18">
      <c r="A184" s="271" t="s">
        <v>1672</v>
      </c>
      <c r="B184" s="391">
        <v>7.8E-2</v>
      </c>
      <c r="C184" s="173" t="s">
        <v>206</v>
      </c>
      <c r="D184" s="258" t="s">
        <v>2</v>
      </c>
      <c r="E184" s="173" t="s">
        <v>29</v>
      </c>
      <c r="F184" s="185" t="s">
        <v>14</v>
      </c>
      <c r="G184" s="173" t="s">
        <v>30</v>
      </c>
      <c r="H184" s="173">
        <v>1</v>
      </c>
      <c r="I184" s="265">
        <f>B184</f>
        <v>7.8E-2</v>
      </c>
      <c r="J184" s="173" t="s">
        <v>31</v>
      </c>
      <c r="K184" s="173" t="s">
        <v>31</v>
      </c>
      <c r="L184" s="173" t="s">
        <v>31</v>
      </c>
      <c r="M184" s="173" t="s">
        <v>31</v>
      </c>
    </row>
    <row r="185" spans="1:18">
      <c r="A185" s="173" t="s">
        <v>1674</v>
      </c>
      <c r="B185" s="391">
        <v>7.8E-2</v>
      </c>
      <c r="C185" s="173" t="s">
        <v>206</v>
      </c>
      <c r="D185" s="258" t="s">
        <v>2</v>
      </c>
      <c r="E185" s="173" t="s">
        <v>29</v>
      </c>
      <c r="F185" s="185" t="s">
        <v>14</v>
      </c>
      <c r="G185" s="173" t="s">
        <v>33</v>
      </c>
      <c r="H185" s="173">
        <v>1</v>
      </c>
      <c r="I185" s="265">
        <f>B185</f>
        <v>7.8E-2</v>
      </c>
      <c r="J185" s="173" t="s">
        <v>31</v>
      </c>
      <c r="K185" s="173" t="s">
        <v>31</v>
      </c>
      <c r="L185" s="173" t="s">
        <v>31</v>
      </c>
      <c r="M185" s="173" t="s">
        <v>31</v>
      </c>
    </row>
    <row r="186" spans="1:18">
      <c r="A186" s="177" t="s">
        <v>168</v>
      </c>
      <c r="B186" s="184">
        <f>P186</f>
        <v>4.59</v>
      </c>
      <c r="C186" s="173" t="s">
        <v>41</v>
      </c>
      <c r="D186" s="173" t="s">
        <v>38</v>
      </c>
      <c r="E186" s="173" t="s">
        <v>29</v>
      </c>
      <c r="F186" s="185" t="s">
        <v>35</v>
      </c>
      <c r="G186" s="173" t="s">
        <v>33</v>
      </c>
      <c r="H186" s="173">
        <v>2</v>
      </c>
      <c r="I186" s="173">
        <f t="shared" ref="I186:I187" si="14">LN(B186)</f>
        <v>1.5238800240724537</v>
      </c>
      <c r="J186" s="173">
        <v>0.20928449536456342</v>
      </c>
      <c r="K186" s="173" t="s">
        <v>31</v>
      </c>
      <c r="L186" s="173" t="s">
        <v>31</v>
      </c>
      <c r="M186" s="173" t="s">
        <v>31</v>
      </c>
      <c r="O186" s="242" t="s">
        <v>332</v>
      </c>
      <c r="P186" s="264">
        <f>1.43+3.16</f>
        <v>4.59</v>
      </c>
    </row>
    <row r="187" spans="1:18" ht="15">
      <c r="A187" s="177" t="s">
        <v>933</v>
      </c>
      <c r="B187" s="173">
        <f>R187</f>
        <v>9.1999999999999998E-3</v>
      </c>
      <c r="C187" s="173" t="s">
        <v>37</v>
      </c>
      <c r="D187" s="173" t="s">
        <v>38</v>
      </c>
      <c r="E187" s="173" t="s">
        <v>29</v>
      </c>
      <c r="F187" s="185" t="s">
        <v>39</v>
      </c>
      <c r="G187" s="173" t="s">
        <v>33</v>
      </c>
      <c r="H187" s="173">
        <v>2</v>
      </c>
      <c r="I187" s="173">
        <f t="shared" si="14"/>
        <v>-4.6885517949271422</v>
      </c>
      <c r="J187" s="173">
        <v>0.20928449536456342</v>
      </c>
      <c r="K187" s="173" t="s">
        <v>31</v>
      </c>
      <c r="L187" s="173" t="s">
        <v>31</v>
      </c>
      <c r="M187" s="173" t="s">
        <v>31</v>
      </c>
      <c r="O187" s="242" t="s">
        <v>947</v>
      </c>
      <c r="P187" s="296">
        <v>9.1999999999999993</v>
      </c>
      <c r="Q187" s="173" t="s">
        <v>337</v>
      </c>
      <c r="R187" s="173">
        <f>P187*0.001</f>
        <v>9.1999999999999998E-3</v>
      </c>
    </row>
    <row r="188" spans="1:18" ht="15">
      <c r="A188" s="232" t="s">
        <v>1078</v>
      </c>
      <c r="B188" s="173">
        <f>R188</f>
        <v>1.12E-2</v>
      </c>
      <c r="C188" s="173" t="s">
        <v>37</v>
      </c>
      <c r="D188" s="173" t="s">
        <v>38</v>
      </c>
      <c r="E188" s="173" t="s">
        <v>29</v>
      </c>
      <c r="F188" s="173" t="s">
        <v>35</v>
      </c>
      <c r="G188" s="173" t="s">
        <v>33</v>
      </c>
      <c r="H188" s="173">
        <v>2</v>
      </c>
      <c r="I188" s="173">
        <f>LN(B188)</f>
        <v>-4.4918415006810886</v>
      </c>
      <c r="J188" s="173">
        <v>0.20928449536456342</v>
      </c>
      <c r="K188" s="173" t="s">
        <v>31</v>
      </c>
      <c r="L188" s="173" t="s">
        <v>31</v>
      </c>
      <c r="M188" s="173" t="s">
        <v>31</v>
      </c>
      <c r="O188" s="242" t="s">
        <v>947</v>
      </c>
      <c r="P188" s="296">
        <v>11.2</v>
      </c>
      <c r="Q188" s="173" t="s">
        <v>337</v>
      </c>
      <c r="R188" s="173">
        <f>P188*0.001</f>
        <v>1.12E-2</v>
      </c>
    </row>
    <row r="189" spans="1:18" ht="15">
      <c r="A189" s="173" t="s">
        <v>1285</v>
      </c>
      <c r="B189" s="173">
        <f>R189</f>
        <v>1.12E-2</v>
      </c>
      <c r="C189" s="173" t="s">
        <v>37</v>
      </c>
      <c r="D189" s="258" t="s">
        <v>2</v>
      </c>
      <c r="E189" s="173" t="s">
        <v>29</v>
      </c>
      <c r="F189" s="185" t="s">
        <v>39</v>
      </c>
      <c r="G189" s="173" t="s">
        <v>33</v>
      </c>
      <c r="H189" s="173">
        <v>2</v>
      </c>
      <c r="I189" s="173">
        <f t="shared" ref="I189" si="15">LN(B189)</f>
        <v>-4.4918415006810886</v>
      </c>
      <c r="J189" s="173">
        <v>0.20928449536456342</v>
      </c>
      <c r="K189" s="173" t="s">
        <v>31</v>
      </c>
      <c r="L189" s="173" t="s">
        <v>31</v>
      </c>
      <c r="M189" s="173" t="s">
        <v>31</v>
      </c>
      <c r="O189" s="305" t="s">
        <v>947</v>
      </c>
      <c r="P189" s="306">
        <v>11.2</v>
      </c>
      <c r="Q189" s="173" t="s">
        <v>337</v>
      </c>
      <c r="R189" s="173">
        <f t="shared" ref="R189" si="16">0.001*P189</f>
        <v>1.12E-2</v>
      </c>
    </row>
    <row r="190" spans="1:18" s="188" customFormat="1">
      <c r="A190" s="209" t="s">
        <v>5</v>
      </c>
      <c r="B190" s="210" t="s">
        <v>1674</v>
      </c>
      <c r="C190" s="211"/>
    </row>
    <row r="191" spans="1:18">
      <c r="A191" s="177" t="s">
        <v>7</v>
      </c>
      <c r="B191" s="173" t="s">
        <v>566</v>
      </c>
      <c r="C191" s="176"/>
    </row>
    <row r="192" spans="1:18">
      <c r="A192" s="276" t="s">
        <v>9</v>
      </c>
      <c r="B192" s="173" t="s">
        <v>1675</v>
      </c>
      <c r="C192" s="176"/>
    </row>
    <row r="193" spans="1:21" ht="15.75" customHeight="1">
      <c r="A193" s="177" t="s">
        <v>11</v>
      </c>
      <c r="B193" s="179" t="s">
        <v>913</v>
      </c>
    </row>
    <row r="194" spans="1:21">
      <c r="A194" s="177" t="s">
        <v>13</v>
      </c>
      <c r="B194" s="173" t="s">
        <v>14</v>
      </c>
      <c r="R194" s="175" t="s">
        <v>1023</v>
      </c>
    </row>
    <row r="195" spans="1:21">
      <c r="A195" s="177" t="s">
        <v>15</v>
      </c>
      <c r="B195" s="277">
        <f>B200</f>
        <v>1.05</v>
      </c>
      <c r="R195" s="173" t="s">
        <v>1024</v>
      </c>
      <c r="S195" s="173">
        <v>8900</v>
      </c>
      <c r="T195" s="173" t="s">
        <v>1025</v>
      </c>
    </row>
    <row r="196" spans="1:21">
      <c r="A196" s="177" t="s">
        <v>16</v>
      </c>
      <c r="B196" s="173" t="s">
        <v>17</v>
      </c>
      <c r="R196" s="173" t="s">
        <v>1026</v>
      </c>
      <c r="S196" s="173">
        <f>5*10^-6</f>
        <v>4.9999999999999996E-6</v>
      </c>
      <c r="T196" s="173" t="s">
        <v>1027</v>
      </c>
    </row>
    <row r="197" spans="1:21">
      <c r="A197" s="177" t="s">
        <v>18</v>
      </c>
      <c r="B197" s="173" t="s">
        <v>206</v>
      </c>
      <c r="R197" s="280" t="s">
        <v>1029</v>
      </c>
      <c r="S197" s="281">
        <f>S196*S195</f>
        <v>4.4499999999999998E-2</v>
      </c>
      <c r="T197" s="282" t="s">
        <v>985</v>
      </c>
    </row>
    <row r="198" spans="1:21">
      <c r="A198" s="174" t="s">
        <v>19</v>
      </c>
    </row>
    <row r="199" spans="1:21">
      <c r="A199" s="175" t="s">
        <v>20</v>
      </c>
      <c r="B199" s="175" t="s">
        <v>21</v>
      </c>
      <c r="C199" s="175" t="s">
        <v>18</v>
      </c>
      <c r="D199" s="175" t="s">
        <v>22</v>
      </c>
      <c r="E199" s="175" t="s">
        <v>7</v>
      </c>
      <c r="F199" s="175" t="s">
        <v>13</v>
      </c>
      <c r="G199" s="175" t="s">
        <v>16</v>
      </c>
      <c r="H199" s="175" t="s">
        <v>23</v>
      </c>
      <c r="I199" s="175" t="s">
        <v>24</v>
      </c>
      <c r="J199" s="175" t="s">
        <v>25</v>
      </c>
      <c r="K199" s="175" t="s">
        <v>26</v>
      </c>
      <c r="L199" s="175" t="s">
        <v>27</v>
      </c>
      <c r="M199" s="175" t="s">
        <v>28</v>
      </c>
      <c r="N199" s="175" t="s">
        <v>11</v>
      </c>
      <c r="R199" s="173" t="s">
        <v>1032</v>
      </c>
      <c r="U199" s="260"/>
    </row>
    <row r="200" spans="1:21">
      <c r="A200" s="173" t="s">
        <v>1674</v>
      </c>
      <c r="B200" s="370">
        <v>1.05</v>
      </c>
      <c r="C200" s="173" t="s">
        <v>206</v>
      </c>
      <c r="D200" s="258" t="s">
        <v>2</v>
      </c>
      <c r="E200" s="173" t="s">
        <v>29</v>
      </c>
      <c r="F200" s="173" t="s">
        <v>14</v>
      </c>
      <c r="G200" s="173" t="s">
        <v>30</v>
      </c>
      <c r="H200" s="173">
        <v>1</v>
      </c>
      <c r="I200" s="173">
        <f>B200</f>
        <v>1.05</v>
      </c>
      <c r="J200" s="173" t="s">
        <v>31</v>
      </c>
      <c r="K200" s="173" t="s">
        <v>31</v>
      </c>
      <c r="L200" s="173" t="s">
        <v>31</v>
      </c>
      <c r="M200" s="173" t="s">
        <v>31</v>
      </c>
      <c r="O200" s="308" t="s">
        <v>1031</v>
      </c>
      <c r="P200" s="309">
        <f>B200*100</f>
        <v>105</v>
      </c>
      <c r="R200" s="284">
        <v>1.08</v>
      </c>
      <c r="S200" s="285" t="s">
        <v>945</v>
      </c>
      <c r="T200" s="284">
        <f>R200*S197</f>
        <v>4.8059999999999999E-2</v>
      </c>
      <c r="U200" s="285" t="s">
        <v>337</v>
      </c>
    </row>
    <row r="201" spans="1:21">
      <c r="A201" s="173" t="s">
        <v>1676</v>
      </c>
      <c r="B201" s="370">
        <v>1.05</v>
      </c>
      <c r="C201" s="173" t="s">
        <v>206</v>
      </c>
      <c r="D201" s="258" t="s">
        <v>2</v>
      </c>
      <c r="E201" s="173" t="s">
        <v>29</v>
      </c>
      <c r="F201" s="173" t="s">
        <v>14</v>
      </c>
      <c r="G201" s="173" t="s">
        <v>33</v>
      </c>
      <c r="H201" s="173">
        <v>1</v>
      </c>
      <c r="I201" s="173">
        <f t="shared" ref="I201:I202" si="17">B201</f>
        <v>1.05</v>
      </c>
      <c r="J201" s="173">
        <v>7.2284161474004766E-2</v>
      </c>
      <c r="K201" s="173" t="s">
        <v>31</v>
      </c>
      <c r="L201" s="173" t="s">
        <v>31</v>
      </c>
      <c r="M201" s="173" t="s">
        <v>31</v>
      </c>
      <c r="O201" s="242" t="s">
        <v>1031</v>
      </c>
      <c r="P201" s="264">
        <f>B201*100</f>
        <v>105</v>
      </c>
    </row>
    <row r="202" spans="1:21">
      <c r="A202" s="271" t="s">
        <v>1631</v>
      </c>
      <c r="B202" s="270">
        <f>T200</f>
        <v>4.8059999999999999E-2</v>
      </c>
      <c r="C202" s="173" t="s">
        <v>37</v>
      </c>
      <c r="D202" s="258" t="s">
        <v>2</v>
      </c>
      <c r="E202" s="173" t="s">
        <v>29</v>
      </c>
      <c r="F202" s="185" t="s">
        <v>14</v>
      </c>
      <c r="G202" s="173" t="s">
        <v>33</v>
      </c>
      <c r="H202" s="173">
        <v>1</v>
      </c>
      <c r="I202" s="173">
        <f t="shared" si="17"/>
        <v>4.8059999999999999E-2</v>
      </c>
      <c r="J202" s="173">
        <v>7.2284161474004766E-2</v>
      </c>
      <c r="K202" s="173" t="s">
        <v>31</v>
      </c>
      <c r="L202" s="173" t="s">
        <v>31</v>
      </c>
      <c r="M202" s="173" t="s">
        <v>31</v>
      </c>
      <c r="O202" s="271"/>
      <c r="P202" s="272"/>
    </row>
    <row r="203" spans="1:21">
      <c r="A203" s="177" t="s">
        <v>933</v>
      </c>
      <c r="B203" s="173">
        <f>P203</f>
        <v>8.6</v>
      </c>
      <c r="C203" s="173" t="s">
        <v>37</v>
      </c>
      <c r="D203" s="173" t="s">
        <v>38</v>
      </c>
      <c r="E203" s="173" t="s">
        <v>29</v>
      </c>
      <c r="F203" s="185" t="s">
        <v>39</v>
      </c>
      <c r="G203" s="173" t="s">
        <v>33</v>
      </c>
      <c r="H203" s="173">
        <v>2</v>
      </c>
      <c r="I203" s="173">
        <f t="shared" ref="I203" si="18">LN(B203)</f>
        <v>2.1517622032594619</v>
      </c>
      <c r="J203" s="173">
        <v>7.2284161474004766E-2</v>
      </c>
      <c r="K203" s="173" t="s">
        <v>31</v>
      </c>
      <c r="L203" s="173" t="s">
        <v>31</v>
      </c>
      <c r="M203" s="173" t="s">
        <v>31</v>
      </c>
      <c r="O203" s="242" t="s">
        <v>337</v>
      </c>
      <c r="P203" s="264">
        <v>8.6</v>
      </c>
    </row>
    <row r="204" spans="1:21">
      <c r="A204" s="232" t="s">
        <v>1021</v>
      </c>
      <c r="B204" s="310">
        <f>R204</f>
        <v>3.9999999999999998E-7</v>
      </c>
      <c r="C204" s="173" t="s">
        <v>37</v>
      </c>
      <c r="D204" s="173" t="s">
        <v>38</v>
      </c>
      <c r="E204" s="173" t="s">
        <v>29</v>
      </c>
      <c r="F204" s="185" t="s">
        <v>60</v>
      </c>
      <c r="G204" s="173" t="s">
        <v>33</v>
      </c>
      <c r="H204" s="173">
        <v>2</v>
      </c>
      <c r="I204" s="173">
        <f>LN(B204)</f>
        <v>-14.73180128983843</v>
      </c>
      <c r="J204" s="173">
        <v>7.2284161474004766E-2</v>
      </c>
      <c r="K204" s="173" t="s">
        <v>31</v>
      </c>
      <c r="L204" s="173" t="s">
        <v>31</v>
      </c>
      <c r="M204" s="173" t="s">
        <v>31</v>
      </c>
      <c r="O204" s="266" t="s">
        <v>952</v>
      </c>
      <c r="P204" s="295">
        <v>0.4</v>
      </c>
      <c r="Q204" s="173" t="s">
        <v>337</v>
      </c>
      <c r="R204" s="173">
        <f>0.000001*P204</f>
        <v>3.9999999999999998E-7</v>
      </c>
    </row>
    <row r="205" spans="1:21">
      <c r="A205" s="232" t="s">
        <v>489</v>
      </c>
      <c r="B205" s="310">
        <f>R205</f>
        <v>8.6E-3</v>
      </c>
      <c r="C205" s="173" t="s">
        <v>50</v>
      </c>
      <c r="D205" s="173" t="s">
        <v>38</v>
      </c>
      <c r="E205" s="173" t="s">
        <v>29</v>
      </c>
      <c r="F205" s="185" t="s">
        <v>39</v>
      </c>
      <c r="G205" s="173" t="s">
        <v>33</v>
      </c>
      <c r="H205" s="173">
        <v>2</v>
      </c>
      <c r="I205" s="173">
        <f t="shared" ref="I205" si="19">LN(B205)</f>
        <v>-4.7559930757226754</v>
      </c>
      <c r="J205" s="173">
        <v>7.2284161474004766E-2</v>
      </c>
      <c r="K205" s="173" t="s">
        <v>31</v>
      </c>
      <c r="L205" s="173" t="s">
        <v>31</v>
      </c>
      <c r="M205" s="173" t="s">
        <v>31</v>
      </c>
      <c r="O205" s="268" t="s">
        <v>1009</v>
      </c>
      <c r="P205" s="269">
        <v>8.6</v>
      </c>
      <c r="Q205" s="173" t="s">
        <v>335</v>
      </c>
      <c r="R205" s="173">
        <f>0.001*P205</f>
        <v>8.6E-3</v>
      </c>
    </row>
    <row r="206" spans="1:21" s="188" customFormat="1">
      <c r="A206" s="209" t="s">
        <v>5</v>
      </c>
      <c r="B206" s="210" t="s">
        <v>1676</v>
      </c>
      <c r="C206" s="211"/>
    </row>
    <row r="207" spans="1:21">
      <c r="A207" s="177" t="s">
        <v>7</v>
      </c>
      <c r="B207" s="173" t="s">
        <v>566</v>
      </c>
      <c r="C207" s="176"/>
    </row>
    <row r="208" spans="1:21">
      <c r="A208" s="276" t="s">
        <v>9</v>
      </c>
      <c r="B208" s="173" t="s">
        <v>1677</v>
      </c>
      <c r="C208" s="176"/>
    </row>
    <row r="209" spans="1:19" ht="15.75" customHeight="1">
      <c r="A209" s="177" t="s">
        <v>11</v>
      </c>
      <c r="B209" s="179" t="s">
        <v>913</v>
      </c>
    </row>
    <row r="210" spans="1:19">
      <c r="A210" s="177" t="s">
        <v>13</v>
      </c>
      <c r="B210" s="173" t="s">
        <v>14</v>
      </c>
    </row>
    <row r="211" spans="1:19">
      <c r="A211" s="177" t="s">
        <v>15</v>
      </c>
      <c r="B211" s="277">
        <f>B216</f>
        <v>1.05</v>
      </c>
    </row>
    <row r="212" spans="1:19">
      <c r="A212" s="177" t="s">
        <v>16</v>
      </c>
      <c r="B212" s="173" t="s">
        <v>17</v>
      </c>
    </row>
    <row r="213" spans="1:19">
      <c r="A213" s="177" t="s">
        <v>18</v>
      </c>
      <c r="B213" s="173" t="s">
        <v>206</v>
      </c>
      <c r="S213" s="265"/>
    </row>
    <row r="214" spans="1:19">
      <c r="A214" s="174" t="s">
        <v>19</v>
      </c>
    </row>
    <row r="215" spans="1:19">
      <c r="A215" s="175" t="s">
        <v>20</v>
      </c>
      <c r="B215" s="175" t="s">
        <v>21</v>
      </c>
      <c r="C215" s="175" t="s">
        <v>18</v>
      </c>
      <c r="D215" s="175" t="s">
        <v>22</v>
      </c>
      <c r="E215" s="175" t="s">
        <v>7</v>
      </c>
      <c r="F215" s="175" t="s">
        <v>13</v>
      </c>
      <c r="G215" s="175" t="s">
        <v>16</v>
      </c>
      <c r="H215" s="175" t="s">
        <v>23</v>
      </c>
      <c r="I215" s="175" t="s">
        <v>24</v>
      </c>
      <c r="J215" s="175" t="s">
        <v>25</v>
      </c>
      <c r="K215" s="175" t="s">
        <v>26</v>
      </c>
      <c r="L215" s="175" t="s">
        <v>27</v>
      </c>
      <c r="M215" s="175" t="s">
        <v>28</v>
      </c>
      <c r="N215" s="175" t="s">
        <v>11</v>
      </c>
    </row>
    <row r="216" spans="1:19">
      <c r="A216" s="173" t="s">
        <v>1676</v>
      </c>
      <c r="B216" s="265">
        <f>P216</f>
        <v>1.05</v>
      </c>
      <c r="C216" s="173" t="s">
        <v>206</v>
      </c>
      <c r="D216" s="258" t="s">
        <v>2</v>
      </c>
      <c r="E216" s="173" t="s">
        <v>29</v>
      </c>
      <c r="F216" s="173" t="s">
        <v>14</v>
      </c>
      <c r="G216" s="173" t="s">
        <v>30</v>
      </c>
      <c r="H216" s="173">
        <v>1</v>
      </c>
      <c r="I216" s="265">
        <f>B216</f>
        <v>1.05</v>
      </c>
      <c r="J216" s="173" t="s">
        <v>31</v>
      </c>
      <c r="K216" s="173" t="s">
        <v>31</v>
      </c>
      <c r="L216" s="173" t="s">
        <v>31</v>
      </c>
      <c r="M216" s="173" t="s">
        <v>31</v>
      </c>
      <c r="O216" s="242" t="s">
        <v>945</v>
      </c>
      <c r="P216" s="314">
        <v>1.05</v>
      </c>
    </row>
    <row r="217" spans="1:19">
      <c r="A217" s="173" t="s">
        <v>1634</v>
      </c>
      <c r="B217" s="265">
        <f>'2D. Reusable'!B68</f>
        <v>0.25</v>
      </c>
      <c r="C217" s="173" t="s">
        <v>37</v>
      </c>
      <c r="D217" s="258" t="s">
        <v>2</v>
      </c>
      <c r="E217" s="173" t="s">
        <v>29</v>
      </c>
      <c r="F217" s="173" t="s">
        <v>14</v>
      </c>
      <c r="G217" s="173" t="s">
        <v>33</v>
      </c>
      <c r="H217" s="173">
        <v>1</v>
      </c>
      <c r="I217" s="265">
        <f>B217</f>
        <v>0.25</v>
      </c>
      <c r="J217" s="173" t="s">
        <v>31</v>
      </c>
      <c r="K217" s="173" t="s">
        <v>31</v>
      </c>
      <c r="L217" s="173" t="s">
        <v>31</v>
      </c>
      <c r="M217" s="173" t="s">
        <v>31</v>
      </c>
      <c r="O217" s="286"/>
      <c r="P217" s="314">
        <v>1.05</v>
      </c>
      <c r="Q217" s="173" t="s">
        <v>1448</v>
      </c>
    </row>
    <row r="218" spans="1:19">
      <c r="A218" s="177" t="s">
        <v>168</v>
      </c>
      <c r="B218" s="184">
        <f>P218</f>
        <v>0.47</v>
      </c>
      <c r="C218" s="173" t="s">
        <v>41</v>
      </c>
      <c r="D218" s="173" t="s">
        <v>38</v>
      </c>
      <c r="E218" s="173" t="s">
        <v>29</v>
      </c>
      <c r="F218" s="185" t="s">
        <v>35</v>
      </c>
      <c r="G218" s="173" t="s">
        <v>33</v>
      </c>
      <c r="H218" s="173">
        <v>2</v>
      </c>
      <c r="I218" s="173">
        <f t="shared" ref="I218:I219" si="20">LN(B218)</f>
        <v>-0.75502258427803282</v>
      </c>
      <c r="J218" s="173">
        <v>7.2284161474004766E-2</v>
      </c>
      <c r="K218" s="173" t="s">
        <v>31</v>
      </c>
      <c r="L218" s="173" t="s">
        <v>31</v>
      </c>
      <c r="M218" s="173" t="s">
        <v>31</v>
      </c>
      <c r="O218" s="242" t="s">
        <v>332</v>
      </c>
      <c r="P218" s="264">
        <v>0.47</v>
      </c>
    </row>
    <row r="219" spans="1:19">
      <c r="A219" s="232" t="s">
        <v>1017</v>
      </c>
      <c r="B219" s="173">
        <f>R219</f>
        <v>1.0999999999999999E-2</v>
      </c>
      <c r="C219" s="265" t="s">
        <v>37</v>
      </c>
      <c r="D219" s="173" t="s">
        <v>38</v>
      </c>
      <c r="E219" s="173" t="s">
        <v>29</v>
      </c>
      <c r="F219" s="173" t="s">
        <v>60</v>
      </c>
      <c r="G219" s="173" t="s">
        <v>33</v>
      </c>
      <c r="H219" s="173">
        <v>2</v>
      </c>
      <c r="I219" s="173">
        <f t="shared" si="20"/>
        <v>-4.5098600061837661</v>
      </c>
      <c r="J219" s="173">
        <v>7.2284161474004766E-2</v>
      </c>
      <c r="K219" s="173" t="s">
        <v>31</v>
      </c>
      <c r="L219" s="173" t="s">
        <v>31</v>
      </c>
      <c r="M219" s="173" t="s">
        <v>31</v>
      </c>
      <c r="O219" s="242" t="s">
        <v>947</v>
      </c>
      <c r="P219" s="264">
        <v>11</v>
      </c>
      <c r="Q219" s="173" t="s">
        <v>337</v>
      </c>
      <c r="R219" s="173">
        <f>P219*0.001</f>
        <v>1.0999999999999999E-2</v>
      </c>
    </row>
    <row r="220" spans="1:19">
      <c r="A220" s="83" t="s">
        <v>1018</v>
      </c>
      <c r="B220" s="173">
        <f t="shared" ref="B220:B221" si="21">R220</f>
        <v>0.02</v>
      </c>
      <c r="C220" s="173" t="s">
        <v>37</v>
      </c>
      <c r="D220" s="173" t="s">
        <v>38</v>
      </c>
      <c r="E220" s="173" t="s">
        <v>29</v>
      </c>
      <c r="F220" s="185" t="s">
        <v>35</v>
      </c>
      <c r="G220" s="173" t="s">
        <v>33</v>
      </c>
      <c r="H220" s="173">
        <v>2</v>
      </c>
      <c r="I220" s="173">
        <f>LN(B220)</f>
        <v>-3.912023005428146</v>
      </c>
      <c r="J220" s="173">
        <v>7.2284161474004766E-2</v>
      </c>
      <c r="K220" s="173" t="s">
        <v>31</v>
      </c>
      <c r="L220" s="173" t="s">
        <v>31</v>
      </c>
      <c r="M220" s="173" t="s">
        <v>31</v>
      </c>
      <c r="O220" s="242" t="s">
        <v>947</v>
      </c>
      <c r="P220" s="264">
        <v>20</v>
      </c>
      <c r="Q220" s="173" t="s">
        <v>337</v>
      </c>
      <c r="R220" s="173">
        <f>P220*0.001</f>
        <v>0.02</v>
      </c>
    </row>
    <row r="221" spans="1:19">
      <c r="A221" s="177" t="s">
        <v>933</v>
      </c>
      <c r="B221" s="173">
        <f t="shared" si="21"/>
        <v>18</v>
      </c>
      <c r="C221" s="173" t="s">
        <v>37</v>
      </c>
      <c r="D221" s="173" t="s">
        <v>38</v>
      </c>
      <c r="E221" s="173" t="s">
        <v>29</v>
      </c>
      <c r="F221" s="185" t="s">
        <v>39</v>
      </c>
      <c r="G221" s="173" t="s">
        <v>33</v>
      </c>
      <c r="H221" s="173">
        <v>2</v>
      </c>
      <c r="I221" s="173">
        <f t="shared" ref="I221:I222" si="22">LN(B221)</f>
        <v>2.8903717578961645</v>
      </c>
      <c r="J221" s="173">
        <v>7.2284161474004766E-2</v>
      </c>
      <c r="K221" s="173" t="s">
        <v>31</v>
      </c>
      <c r="L221" s="173" t="s">
        <v>31</v>
      </c>
      <c r="M221" s="173" t="s">
        <v>31</v>
      </c>
      <c r="O221" s="242" t="s">
        <v>337</v>
      </c>
      <c r="P221" s="264">
        <v>18</v>
      </c>
      <c r="Q221" s="173" t="s">
        <v>337</v>
      </c>
      <c r="R221" s="173">
        <f>P221</f>
        <v>18</v>
      </c>
    </row>
    <row r="222" spans="1:19">
      <c r="A222" s="232" t="s">
        <v>489</v>
      </c>
      <c r="B222" s="173">
        <f>R222</f>
        <v>1.8000000000000002E-2</v>
      </c>
      <c r="C222" s="173" t="s">
        <v>50</v>
      </c>
      <c r="D222" s="173" t="s">
        <v>38</v>
      </c>
      <c r="E222" s="173" t="s">
        <v>29</v>
      </c>
      <c r="F222" s="185" t="s">
        <v>39</v>
      </c>
      <c r="G222" s="173" t="s">
        <v>33</v>
      </c>
      <c r="H222" s="173">
        <v>2</v>
      </c>
      <c r="I222" s="173">
        <f t="shared" si="22"/>
        <v>-4.0173835210859723</v>
      </c>
      <c r="J222" s="173">
        <v>7.2284161474004766E-2</v>
      </c>
      <c r="K222" s="173" t="s">
        <v>31</v>
      </c>
      <c r="L222" s="173" t="s">
        <v>31</v>
      </c>
      <c r="M222" s="173" t="s">
        <v>31</v>
      </c>
      <c r="O222" s="268" t="s">
        <v>1009</v>
      </c>
      <c r="P222" s="269">
        <v>18</v>
      </c>
      <c r="Q222" s="173" t="s">
        <v>335</v>
      </c>
      <c r="R222" s="173">
        <f>0.001*P222</f>
        <v>1.8000000000000002E-2</v>
      </c>
    </row>
    <row r="223" spans="1:19" s="188" customFormat="1">
      <c r="A223" s="209" t="s">
        <v>5</v>
      </c>
      <c r="B223" s="304" t="s">
        <v>1669</v>
      </c>
      <c r="C223" s="211"/>
      <c r="P223" s="173"/>
    </row>
    <row r="224" spans="1:19">
      <c r="A224" s="177" t="s">
        <v>7</v>
      </c>
      <c r="B224" s="173" t="s">
        <v>566</v>
      </c>
      <c r="C224" s="176"/>
    </row>
    <row r="225" spans="1:16">
      <c r="A225" s="276" t="s">
        <v>9</v>
      </c>
      <c r="B225" s="173" t="s">
        <v>1678</v>
      </c>
      <c r="C225" s="176"/>
    </row>
    <row r="226" spans="1:16" ht="15.75" customHeight="1">
      <c r="A226" s="177" t="s">
        <v>11</v>
      </c>
      <c r="B226" s="179" t="s">
        <v>913</v>
      </c>
    </row>
    <row r="227" spans="1:16">
      <c r="A227" s="177" t="s">
        <v>13</v>
      </c>
      <c r="B227" s="173" t="s">
        <v>14</v>
      </c>
    </row>
    <row r="228" spans="1:16">
      <c r="A228" s="177" t="s">
        <v>15</v>
      </c>
      <c r="B228" s="277">
        <f>B233</f>
        <v>2.4E-2</v>
      </c>
    </row>
    <row r="229" spans="1:16">
      <c r="A229" s="177" t="s">
        <v>16</v>
      </c>
      <c r="B229" s="173" t="s">
        <v>17</v>
      </c>
    </row>
    <row r="230" spans="1:16">
      <c r="A230" s="177" t="s">
        <v>18</v>
      </c>
      <c r="B230" s="173" t="s">
        <v>206</v>
      </c>
    </row>
    <row r="231" spans="1:16">
      <c r="A231" s="174" t="s">
        <v>19</v>
      </c>
    </row>
    <row r="232" spans="1:16">
      <c r="A232" s="175" t="s">
        <v>20</v>
      </c>
      <c r="B232" s="175" t="s">
        <v>21</v>
      </c>
      <c r="C232" s="175" t="s">
        <v>18</v>
      </c>
      <c r="D232" s="175" t="s">
        <v>22</v>
      </c>
      <c r="E232" s="175" t="s">
        <v>7</v>
      </c>
      <c r="F232" s="175" t="s">
        <v>13</v>
      </c>
      <c r="G232" s="175" t="s">
        <v>16</v>
      </c>
      <c r="H232" s="175" t="s">
        <v>23</v>
      </c>
      <c r="I232" s="175" t="s">
        <v>24</v>
      </c>
      <c r="J232" s="175" t="s">
        <v>25</v>
      </c>
      <c r="K232" s="175" t="s">
        <v>26</v>
      </c>
      <c r="L232" s="175" t="s">
        <v>27</v>
      </c>
      <c r="M232" s="175" t="s">
        <v>28</v>
      </c>
      <c r="N232" s="175" t="s">
        <v>11</v>
      </c>
    </row>
    <row r="233" spans="1:16">
      <c r="A233" s="173" t="s">
        <v>1669</v>
      </c>
      <c r="B233" s="265">
        <f>B234</f>
        <v>2.4E-2</v>
      </c>
      <c r="C233" s="173" t="s">
        <v>206</v>
      </c>
      <c r="D233" s="258" t="s">
        <v>2</v>
      </c>
      <c r="E233" s="173" t="s">
        <v>29</v>
      </c>
      <c r="F233" s="185" t="s">
        <v>14</v>
      </c>
      <c r="G233" s="173" t="s">
        <v>30</v>
      </c>
      <c r="H233" s="173">
        <v>1</v>
      </c>
      <c r="I233" s="265">
        <f t="shared" ref="I233:I235" si="23">B233</f>
        <v>2.4E-2</v>
      </c>
      <c r="J233" s="173" t="s">
        <v>31</v>
      </c>
      <c r="K233" s="173" t="s">
        <v>31</v>
      </c>
      <c r="L233" s="173" t="s">
        <v>31</v>
      </c>
      <c r="M233" s="173" t="s">
        <v>31</v>
      </c>
      <c r="O233" s="350" t="s">
        <v>963</v>
      </c>
      <c r="P233" s="348"/>
    </row>
    <row r="234" spans="1:16">
      <c r="A234" s="173" t="s">
        <v>1679</v>
      </c>
      <c r="B234" s="265">
        <f>B254</f>
        <v>2.4E-2</v>
      </c>
      <c r="C234" s="173" t="s">
        <v>206</v>
      </c>
      <c r="D234" s="258" t="s">
        <v>2</v>
      </c>
      <c r="E234" s="173" t="s">
        <v>29</v>
      </c>
      <c r="F234" s="185" t="s">
        <v>14</v>
      </c>
      <c r="G234" s="173" t="s">
        <v>33</v>
      </c>
      <c r="H234" s="173">
        <v>1</v>
      </c>
      <c r="I234" s="265">
        <f t="shared" si="23"/>
        <v>2.4E-2</v>
      </c>
      <c r="J234" s="173" t="s">
        <v>31</v>
      </c>
      <c r="K234" s="173" t="s">
        <v>31</v>
      </c>
      <c r="L234" s="173" t="s">
        <v>31</v>
      </c>
      <c r="M234" s="173" t="s">
        <v>31</v>
      </c>
      <c r="O234" s="350" t="s">
        <v>963</v>
      </c>
      <c r="P234" s="351"/>
    </row>
    <row r="235" spans="1:16">
      <c r="A235" s="173" t="s">
        <v>1680</v>
      </c>
      <c r="B235" s="265">
        <f>B242</f>
        <v>4.13E-3</v>
      </c>
      <c r="C235" s="173" t="s">
        <v>206</v>
      </c>
      <c r="D235" s="258" t="s">
        <v>2</v>
      </c>
      <c r="E235" s="173" t="s">
        <v>29</v>
      </c>
      <c r="F235" s="185" t="s">
        <v>14</v>
      </c>
      <c r="G235" s="173" t="s">
        <v>33</v>
      </c>
      <c r="H235" s="173">
        <v>1</v>
      </c>
      <c r="I235" s="265">
        <f t="shared" si="23"/>
        <v>4.13E-3</v>
      </c>
      <c r="J235" s="173" t="s">
        <v>31</v>
      </c>
      <c r="K235" s="173" t="s">
        <v>31</v>
      </c>
      <c r="L235" s="173" t="s">
        <v>31</v>
      </c>
      <c r="M235" s="173" t="s">
        <v>31</v>
      </c>
      <c r="O235" s="241" t="s">
        <v>963</v>
      </c>
      <c r="P235" s="348"/>
    </row>
    <row r="236" spans="1:16" ht="15">
      <c r="A236" s="177" t="s">
        <v>168</v>
      </c>
      <c r="B236" s="265">
        <f>P236</f>
        <v>0.56999999999999995</v>
      </c>
      <c r="C236" s="173" t="s">
        <v>41</v>
      </c>
      <c r="D236" s="173" t="s">
        <v>38</v>
      </c>
      <c r="E236" s="173" t="s">
        <v>29</v>
      </c>
      <c r="F236" s="185" t="s">
        <v>35</v>
      </c>
      <c r="G236" s="173" t="s">
        <v>33</v>
      </c>
      <c r="H236" s="173">
        <v>2</v>
      </c>
      <c r="I236" s="173">
        <f t="shared" ref="I236" si="24">LN(B236)</f>
        <v>-0.56211891815354131</v>
      </c>
      <c r="J236" s="173">
        <v>0.20928449536456342</v>
      </c>
      <c r="K236" s="173" t="s">
        <v>31</v>
      </c>
      <c r="L236" s="173" t="s">
        <v>31</v>
      </c>
      <c r="M236" s="173" t="s">
        <v>31</v>
      </c>
      <c r="O236" s="242" t="s">
        <v>332</v>
      </c>
      <c r="P236" s="296">
        <v>0.56999999999999995</v>
      </c>
    </row>
    <row r="237" spans="1:16" s="188" customFormat="1">
      <c r="A237" s="209" t="s">
        <v>5</v>
      </c>
      <c r="B237" s="304" t="s">
        <v>1680</v>
      </c>
      <c r="C237" s="211"/>
    </row>
    <row r="238" spans="1:16">
      <c r="A238" s="177" t="s">
        <v>7</v>
      </c>
      <c r="B238" s="173" t="s">
        <v>566</v>
      </c>
      <c r="C238" s="176"/>
    </row>
    <row r="239" spans="1:16">
      <c r="A239" s="276" t="s">
        <v>9</v>
      </c>
      <c r="B239" s="173" t="s">
        <v>1681</v>
      </c>
      <c r="C239" s="176"/>
    </row>
    <row r="240" spans="1:16" ht="15.75" customHeight="1">
      <c r="A240" s="177" t="s">
        <v>11</v>
      </c>
      <c r="B240" s="179" t="s">
        <v>913</v>
      </c>
    </row>
    <row r="241" spans="1:19">
      <c r="A241" s="177" t="s">
        <v>13</v>
      </c>
      <c r="B241" s="173" t="s">
        <v>14</v>
      </c>
    </row>
    <row r="242" spans="1:19">
      <c r="A242" s="177" t="s">
        <v>15</v>
      </c>
      <c r="B242" s="265">
        <f>B247</f>
        <v>4.13E-3</v>
      </c>
    </row>
    <row r="243" spans="1:19">
      <c r="A243" s="177" t="s">
        <v>16</v>
      </c>
      <c r="B243" s="173" t="s">
        <v>17</v>
      </c>
    </row>
    <row r="244" spans="1:19">
      <c r="A244" s="177" t="s">
        <v>18</v>
      </c>
      <c r="B244" s="173" t="s">
        <v>206</v>
      </c>
    </row>
    <row r="245" spans="1:19">
      <c r="A245" s="174" t="s">
        <v>19</v>
      </c>
    </row>
    <row r="246" spans="1:19">
      <c r="A246" s="175" t="s">
        <v>20</v>
      </c>
      <c r="B246" s="175" t="s">
        <v>21</v>
      </c>
      <c r="C246" s="175" t="s">
        <v>18</v>
      </c>
      <c r="D246" s="175" t="s">
        <v>22</v>
      </c>
      <c r="E246" s="175" t="s">
        <v>7</v>
      </c>
      <c r="F246" s="175" t="s">
        <v>13</v>
      </c>
      <c r="G246" s="175" t="s">
        <v>16</v>
      </c>
      <c r="H246" s="175" t="s">
        <v>23</v>
      </c>
      <c r="I246" s="175" t="s">
        <v>24</v>
      </c>
      <c r="J246" s="175" t="s">
        <v>25</v>
      </c>
      <c r="K246" s="175" t="s">
        <v>26</v>
      </c>
      <c r="L246" s="175" t="s">
        <v>27</v>
      </c>
      <c r="M246" s="175" t="s">
        <v>28</v>
      </c>
      <c r="N246" s="175" t="s">
        <v>11</v>
      </c>
    </row>
    <row r="247" spans="1:19">
      <c r="A247" s="173" t="s">
        <v>1680</v>
      </c>
      <c r="B247" s="265">
        <f>S247</f>
        <v>4.13E-3</v>
      </c>
      <c r="C247" s="173" t="s">
        <v>206</v>
      </c>
      <c r="D247" s="258" t="s">
        <v>2</v>
      </c>
      <c r="E247" s="173" t="s">
        <v>29</v>
      </c>
      <c r="F247" s="185" t="s">
        <v>14</v>
      </c>
      <c r="G247" s="173" t="s">
        <v>30</v>
      </c>
      <c r="H247" s="173">
        <v>1</v>
      </c>
      <c r="I247" s="265">
        <f>B247</f>
        <v>4.13E-3</v>
      </c>
      <c r="J247" s="173" t="s">
        <v>31</v>
      </c>
      <c r="K247" s="173" t="s">
        <v>31</v>
      </c>
      <c r="L247" s="173" t="s">
        <v>31</v>
      </c>
      <c r="M247" s="173" t="s">
        <v>31</v>
      </c>
      <c r="P247" s="242" t="s">
        <v>1094</v>
      </c>
      <c r="Q247" s="314">
        <v>41.3</v>
      </c>
      <c r="R247" s="173" t="s">
        <v>945</v>
      </c>
      <c r="S247" s="173">
        <f>Q247*0.0001</f>
        <v>4.13E-3</v>
      </c>
    </row>
    <row r="248" spans="1:19">
      <c r="A248" s="232" t="s">
        <v>1095</v>
      </c>
      <c r="B248" s="265">
        <f>S248</f>
        <v>4.13E-3</v>
      </c>
      <c r="C248" s="173" t="s">
        <v>206</v>
      </c>
      <c r="D248" s="173" t="s">
        <v>38</v>
      </c>
      <c r="E248" s="173" t="s">
        <v>29</v>
      </c>
      <c r="F248" s="173" t="s">
        <v>60</v>
      </c>
      <c r="G248" s="173" t="s">
        <v>33</v>
      </c>
      <c r="H248" s="173">
        <v>2</v>
      </c>
      <c r="I248" s="173">
        <f>LN(B248)</f>
        <v>-5.4894778720091955</v>
      </c>
      <c r="J248" s="173">
        <v>3.7749172176353707E-2</v>
      </c>
      <c r="K248" s="173" t="s">
        <v>31</v>
      </c>
      <c r="L248" s="173" t="s">
        <v>31</v>
      </c>
      <c r="M248" s="173" t="s">
        <v>31</v>
      </c>
      <c r="P248" s="241" t="s">
        <v>1094</v>
      </c>
      <c r="Q248" s="314">
        <v>41.3</v>
      </c>
      <c r="R248" s="173" t="s">
        <v>945</v>
      </c>
      <c r="S248" s="173">
        <f>Q248*0.0001</f>
        <v>4.13E-3</v>
      </c>
    </row>
    <row r="249" spans="1:19" s="188" customFormat="1">
      <c r="A249" s="209" t="s">
        <v>5</v>
      </c>
      <c r="B249" s="210" t="s">
        <v>1679</v>
      </c>
    </row>
    <row r="250" spans="1:19">
      <c r="A250" s="177" t="s">
        <v>7</v>
      </c>
      <c r="B250" s="173" t="s">
        <v>566</v>
      </c>
      <c r="C250" s="176"/>
    </row>
    <row r="251" spans="1:19">
      <c r="A251" s="276" t="s">
        <v>9</v>
      </c>
      <c r="B251" s="173" t="s">
        <v>1682</v>
      </c>
      <c r="C251" s="176"/>
    </row>
    <row r="252" spans="1:19" ht="15.75" customHeight="1">
      <c r="A252" s="177" t="s">
        <v>11</v>
      </c>
      <c r="B252" s="179" t="s">
        <v>913</v>
      </c>
    </row>
    <row r="253" spans="1:19">
      <c r="A253" s="177" t="s">
        <v>13</v>
      </c>
      <c r="B253" s="173" t="s">
        <v>14</v>
      </c>
    </row>
    <row r="254" spans="1:19">
      <c r="A254" s="177" t="s">
        <v>15</v>
      </c>
      <c r="B254" s="265">
        <f>B259</f>
        <v>2.4E-2</v>
      </c>
    </row>
    <row r="255" spans="1:19">
      <c r="A255" s="177" t="s">
        <v>16</v>
      </c>
      <c r="B255" s="173" t="s">
        <v>17</v>
      </c>
    </row>
    <row r="256" spans="1:19">
      <c r="A256" s="177" t="s">
        <v>18</v>
      </c>
      <c r="B256" s="173" t="s">
        <v>206</v>
      </c>
    </row>
    <row r="257" spans="1:18">
      <c r="A257" s="174" t="s">
        <v>19</v>
      </c>
    </row>
    <row r="258" spans="1:18">
      <c r="A258" s="175" t="s">
        <v>20</v>
      </c>
      <c r="B258" s="175" t="s">
        <v>21</v>
      </c>
      <c r="C258" s="175" t="s">
        <v>18</v>
      </c>
      <c r="D258" s="175" t="s">
        <v>22</v>
      </c>
      <c r="E258" s="175" t="s">
        <v>7</v>
      </c>
      <c r="F258" s="175" t="s">
        <v>13</v>
      </c>
      <c r="G258" s="175" t="s">
        <v>16</v>
      </c>
      <c r="H258" s="175" t="s">
        <v>23</v>
      </c>
      <c r="I258" s="175" t="s">
        <v>24</v>
      </c>
      <c r="J258" s="175" t="s">
        <v>25</v>
      </c>
      <c r="K258" s="175" t="s">
        <v>26</v>
      </c>
      <c r="L258" s="175" t="s">
        <v>27</v>
      </c>
      <c r="M258" s="175" t="s">
        <v>28</v>
      </c>
      <c r="N258" s="175" t="s">
        <v>11</v>
      </c>
    </row>
    <row r="259" spans="1:18">
      <c r="A259" s="173" t="s">
        <v>1679</v>
      </c>
      <c r="B259" s="265">
        <f>B260</f>
        <v>2.4E-2</v>
      </c>
      <c r="C259" s="173" t="s">
        <v>206</v>
      </c>
      <c r="D259" s="258" t="s">
        <v>2</v>
      </c>
      <c r="E259" s="173" t="s">
        <v>29</v>
      </c>
      <c r="F259" s="185" t="s">
        <v>14</v>
      </c>
      <c r="G259" s="173" t="s">
        <v>30</v>
      </c>
      <c r="H259" s="173">
        <v>1</v>
      </c>
      <c r="I259" s="265">
        <f t="shared" ref="I259:I260" si="25">B259</f>
        <v>2.4E-2</v>
      </c>
      <c r="J259" s="173" t="s">
        <v>31</v>
      </c>
      <c r="K259" s="173" t="s">
        <v>31</v>
      </c>
      <c r="L259" s="173" t="s">
        <v>31</v>
      </c>
      <c r="M259" s="173" t="s">
        <v>31</v>
      </c>
    </row>
    <row r="260" spans="1:18">
      <c r="A260" s="173" t="s">
        <v>1683</v>
      </c>
      <c r="B260" s="265">
        <f>P260</f>
        <v>2.4E-2</v>
      </c>
      <c r="C260" s="173" t="s">
        <v>206</v>
      </c>
      <c r="D260" s="258" t="s">
        <v>2</v>
      </c>
      <c r="E260" s="173" t="s">
        <v>29</v>
      </c>
      <c r="F260" s="173" t="s">
        <v>14</v>
      </c>
      <c r="G260" s="173" t="s">
        <v>33</v>
      </c>
      <c r="H260" s="173">
        <v>1</v>
      </c>
      <c r="I260" s="265">
        <f t="shared" si="25"/>
        <v>2.4E-2</v>
      </c>
      <c r="J260" s="173" t="s">
        <v>31</v>
      </c>
      <c r="K260" s="173" t="s">
        <v>31</v>
      </c>
      <c r="L260" s="173" t="s">
        <v>31</v>
      </c>
      <c r="M260" s="173" t="s">
        <v>31</v>
      </c>
      <c r="P260" s="265">
        <f>P277</f>
        <v>2.4E-2</v>
      </c>
    </row>
    <row r="261" spans="1:18">
      <c r="A261" s="177" t="s">
        <v>168</v>
      </c>
      <c r="B261" s="184">
        <f>R261</f>
        <v>0.21</v>
      </c>
      <c r="C261" s="173" t="s">
        <v>41</v>
      </c>
      <c r="D261" s="173" t="s">
        <v>38</v>
      </c>
      <c r="E261" s="173" t="s">
        <v>29</v>
      </c>
      <c r="F261" s="185" t="s">
        <v>35</v>
      </c>
      <c r="G261" s="173" t="s">
        <v>33</v>
      </c>
      <c r="H261" s="173">
        <v>2</v>
      </c>
      <c r="I261" s="173">
        <f t="shared" ref="I261:I265" si="26">LN(B261)</f>
        <v>-1.5606477482646683</v>
      </c>
      <c r="J261" s="173">
        <v>0.20928449536456342</v>
      </c>
      <c r="K261" s="173" t="s">
        <v>31</v>
      </c>
      <c r="L261" s="173" t="s">
        <v>31</v>
      </c>
      <c r="M261" s="173" t="s">
        <v>31</v>
      </c>
      <c r="O261" s="222" t="s">
        <v>332</v>
      </c>
      <c r="P261" s="264">
        <v>0.21</v>
      </c>
      <c r="Q261" s="173" t="s">
        <v>332</v>
      </c>
      <c r="R261" s="184">
        <f>P261</f>
        <v>0.21</v>
      </c>
    </row>
    <row r="262" spans="1:18">
      <c r="A262" s="232" t="s">
        <v>931</v>
      </c>
      <c r="B262" s="173">
        <f>R262</f>
        <v>6.6E-3</v>
      </c>
      <c r="C262" s="173" t="s">
        <v>37</v>
      </c>
      <c r="D262" s="173" t="s">
        <v>38</v>
      </c>
      <c r="E262" s="173" t="s">
        <v>29</v>
      </c>
      <c r="F262" s="185" t="s">
        <v>35</v>
      </c>
      <c r="G262" s="173" t="s">
        <v>33</v>
      </c>
      <c r="H262" s="173">
        <v>2</v>
      </c>
      <c r="I262" s="173">
        <f t="shared" si="26"/>
        <v>-5.0206856299497575</v>
      </c>
      <c r="J262" s="173">
        <v>0.20928449536456342</v>
      </c>
      <c r="K262" s="173" t="s">
        <v>31</v>
      </c>
      <c r="L262" s="173" t="s">
        <v>31</v>
      </c>
      <c r="M262" s="173" t="s">
        <v>31</v>
      </c>
      <c r="O262" s="242" t="s">
        <v>947</v>
      </c>
      <c r="P262" s="264">
        <v>6.6</v>
      </c>
      <c r="Q262" s="173" t="s">
        <v>337</v>
      </c>
      <c r="R262" s="173">
        <f>0.001*P262</f>
        <v>6.6E-3</v>
      </c>
    </row>
    <row r="263" spans="1:18">
      <c r="A263" s="232" t="s">
        <v>932</v>
      </c>
      <c r="B263" s="173">
        <f>R263</f>
        <v>1E-3</v>
      </c>
      <c r="C263" s="173" t="s">
        <v>37</v>
      </c>
      <c r="D263" s="173" t="s">
        <v>38</v>
      </c>
      <c r="E263" s="173" t="s">
        <v>29</v>
      </c>
      <c r="F263" s="185" t="s">
        <v>60</v>
      </c>
      <c r="G263" s="173" t="s">
        <v>33</v>
      </c>
      <c r="H263" s="173">
        <v>2</v>
      </c>
      <c r="I263" s="173">
        <f t="shared" si="26"/>
        <v>-6.9077552789821368</v>
      </c>
      <c r="J263" s="173">
        <v>0.20928449536456342</v>
      </c>
      <c r="K263" s="173" t="s">
        <v>31</v>
      </c>
      <c r="L263" s="173" t="s">
        <v>31</v>
      </c>
      <c r="M263" s="173" t="s">
        <v>31</v>
      </c>
      <c r="O263" s="242" t="s">
        <v>947</v>
      </c>
      <c r="P263" s="264">
        <v>1</v>
      </c>
      <c r="Q263" s="173" t="s">
        <v>337</v>
      </c>
      <c r="R263" s="173">
        <f>0.001*P263</f>
        <v>1E-3</v>
      </c>
    </row>
    <row r="264" spans="1:18">
      <c r="A264" s="177" t="s">
        <v>933</v>
      </c>
      <c r="B264" s="173">
        <f>R264</f>
        <v>3.2600000000000004E-2</v>
      </c>
      <c r="C264" s="173" t="s">
        <v>37</v>
      </c>
      <c r="D264" s="173" t="s">
        <v>38</v>
      </c>
      <c r="E264" s="173" t="s">
        <v>29</v>
      </c>
      <c r="F264" s="185" t="s">
        <v>39</v>
      </c>
      <c r="G264" s="173" t="s">
        <v>33</v>
      </c>
      <c r="H264" s="173">
        <v>2</v>
      </c>
      <c r="I264" s="173">
        <f t="shared" si="26"/>
        <v>-3.423442990609475</v>
      </c>
      <c r="J264" s="173">
        <v>0.20928449536456342</v>
      </c>
      <c r="K264" s="173" t="s">
        <v>31</v>
      </c>
      <c r="L264" s="173" t="s">
        <v>31</v>
      </c>
      <c r="M264" s="173" t="s">
        <v>31</v>
      </c>
      <c r="O264" s="242" t="s">
        <v>947</v>
      </c>
      <c r="P264" s="264">
        <v>32.6</v>
      </c>
      <c r="Q264" s="173" t="s">
        <v>337</v>
      </c>
      <c r="R264" s="173">
        <f>0.001*P264</f>
        <v>3.2600000000000004E-2</v>
      </c>
    </row>
    <row r="265" spans="1:18">
      <c r="A265" s="173" t="s">
        <v>1285</v>
      </c>
      <c r="B265" s="173">
        <f>R265</f>
        <v>7.6E-3</v>
      </c>
      <c r="C265" s="173" t="s">
        <v>37</v>
      </c>
      <c r="D265" s="258" t="s">
        <v>2</v>
      </c>
      <c r="E265" s="173" t="s">
        <v>29</v>
      </c>
      <c r="F265" s="185" t="s">
        <v>39</v>
      </c>
      <c r="G265" s="173" t="s">
        <v>33</v>
      </c>
      <c r="H265" s="173">
        <v>2</v>
      </c>
      <c r="I265" s="173">
        <f t="shared" si="26"/>
        <v>-4.8796070316898517</v>
      </c>
      <c r="J265" s="173">
        <v>0.20928449536456342</v>
      </c>
      <c r="K265" s="173" t="s">
        <v>31</v>
      </c>
      <c r="L265" s="173" t="s">
        <v>31</v>
      </c>
      <c r="M265" s="173" t="s">
        <v>31</v>
      </c>
      <c r="O265" s="305" t="s">
        <v>947</v>
      </c>
      <c r="P265" s="269">
        <v>7.6</v>
      </c>
      <c r="Q265" s="173" t="s">
        <v>337</v>
      </c>
      <c r="R265" s="173">
        <f>0.001*P265</f>
        <v>7.6E-3</v>
      </c>
    </row>
    <row r="266" spans="1:18" s="188" customFormat="1">
      <c r="A266" s="209" t="s">
        <v>5</v>
      </c>
      <c r="B266" s="210" t="s">
        <v>1683</v>
      </c>
    </row>
    <row r="267" spans="1:18">
      <c r="A267" s="177" t="s">
        <v>7</v>
      </c>
      <c r="B267" s="173" t="s">
        <v>566</v>
      </c>
      <c r="C267" s="176"/>
    </row>
    <row r="268" spans="1:18">
      <c r="A268" s="276" t="s">
        <v>9</v>
      </c>
      <c r="B268" s="173" t="s">
        <v>1684</v>
      </c>
      <c r="C268" s="176"/>
    </row>
    <row r="269" spans="1:18" ht="15.75" customHeight="1">
      <c r="A269" s="177" t="s">
        <v>11</v>
      </c>
      <c r="B269" s="179" t="s">
        <v>913</v>
      </c>
    </row>
    <row r="270" spans="1:18">
      <c r="A270" s="177" t="s">
        <v>13</v>
      </c>
      <c r="B270" s="173" t="s">
        <v>14</v>
      </c>
    </row>
    <row r="271" spans="1:18">
      <c r="A271" s="177" t="s">
        <v>15</v>
      </c>
      <c r="B271" s="265">
        <f>B276</f>
        <v>2.4E-2</v>
      </c>
    </row>
    <row r="272" spans="1:18">
      <c r="A272" s="177" t="s">
        <v>16</v>
      </c>
      <c r="B272" s="173" t="s">
        <v>17</v>
      </c>
    </row>
    <row r="273" spans="1:18">
      <c r="A273" s="177" t="s">
        <v>18</v>
      </c>
      <c r="B273" s="173" t="s">
        <v>206</v>
      </c>
    </row>
    <row r="274" spans="1:18">
      <c r="A274" s="174" t="s">
        <v>19</v>
      </c>
    </row>
    <row r="275" spans="1:18">
      <c r="A275" s="175" t="s">
        <v>20</v>
      </c>
      <c r="B275" s="175" t="s">
        <v>21</v>
      </c>
      <c r="C275" s="175" t="s">
        <v>18</v>
      </c>
      <c r="D275" s="175" t="s">
        <v>22</v>
      </c>
      <c r="E275" s="175" t="s">
        <v>7</v>
      </c>
      <c r="F275" s="175" t="s">
        <v>13</v>
      </c>
      <c r="G275" s="175" t="s">
        <v>16</v>
      </c>
      <c r="H275" s="175" t="s">
        <v>23</v>
      </c>
      <c r="I275" s="175" t="s">
        <v>24</v>
      </c>
      <c r="J275" s="175" t="s">
        <v>25</v>
      </c>
      <c r="K275" s="175" t="s">
        <v>26</v>
      </c>
      <c r="L275" s="175" t="s">
        <v>27</v>
      </c>
      <c r="M275" s="175" t="s">
        <v>28</v>
      </c>
      <c r="N275" s="175" t="s">
        <v>11</v>
      </c>
    </row>
    <row r="276" spans="1:18">
      <c r="A276" s="173" t="s">
        <v>1683</v>
      </c>
      <c r="B276" s="265">
        <f>P277</f>
        <v>2.4E-2</v>
      </c>
      <c r="C276" s="173" t="s">
        <v>206</v>
      </c>
      <c r="D276" s="258" t="s">
        <v>2</v>
      </c>
      <c r="E276" s="173" t="s">
        <v>29</v>
      </c>
      <c r="F276" s="173" t="s">
        <v>14</v>
      </c>
      <c r="G276" s="173" t="s">
        <v>30</v>
      </c>
      <c r="H276" s="173">
        <v>1</v>
      </c>
      <c r="I276" s="265">
        <f t="shared" ref="I276:I277" si="27">B276</f>
        <v>2.4E-2</v>
      </c>
      <c r="J276" s="173" t="s">
        <v>31</v>
      </c>
      <c r="K276" s="173" t="s">
        <v>31</v>
      </c>
      <c r="L276" s="173" t="s">
        <v>31</v>
      </c>
      <c r="M276" s="173" t="s">
        <v>31</v>
      </c>
    </row>
    <row r="277" spans="1:18">
      <c r="A277" s="173" t="s">
        <v>1685</v>
      </c>
      <c r="B277" s="265">
        <f>P277</f>
        <v>2.4E-2</v>
      </c>
      <c r="C277" s="173" t="s">
        <v>206</v>
      </c>
      <c r="D277" s="258" t="s">
        <v>2</v>
      </c>
      <c r="E277" s="173" t="s">
        <v>29</v>
      </c>
      <c r="F277" s="173" t="s">
        <v>14</v>
      </c>
      <c r="G277" s="173" t="s">
        <v>33</v>
      </c>
      <c r="H277" s="173">
        <v>1</v>
      </c>
      <c r="I277" s="265">
        <f t="shared" si="27"/>
        <v>2.4E-2</v>
      </c>
      <c r="J277" s="173" t="s">
        <v>31</v>
      </c>
      <c r="K277" s="173" t="s">
        <v>31</v>
      </c>
      <c r="L277" s="173" t="s">
        <v>31</v>
      </c>
      <c r="M277" s="173" t="s">
        <v>31</v>
      </c>
      <c r="P277" s="349">
        <v>2.4E-2</v>
      </c>
    </row>
    <row r="278" spans="1:18">
      <c r="A278" s="177" t="s">
        <v>168</v>
      </c>
      <c r="B278" s="184">
        <f>P278</f>
        <v>4.59</v>
      </c>
      <c r="C278" s="173" t="s">
        <v>41</v>
      </c>
      <c r="D278" s="173" t="s">
        <v>38</v>
      </c>
      <c r="E278" s="173" t="s">
        <v>29</v>
      </c>
      <c r="F278" s="185" t="s">
        <v>35</v>
      </c>
      <c r="G278" s="173" t="s">
        <v>33</v>
      </c>
      <c r="H278" s="173">
        <v>2</v>
      </c>
      <c r="I278" s="173">
        <f t="shared" ref="I278:I279" si="28">LN(B278)</f>
        <v>1.5238800240724537</v>
      </c>
      <c r="J278" s="173">
        <v>0.20928449536456342</v>
      </c>
      <c r="K278" s="173" t="s">
        <v>31</v>
      </c>
      <c r="L278" s="173" t="s">
        <v>31</v>
      </c>
      <c r="M278" s="173" t="s">
        <v>31</v>
      </c>
      <c r="O278" s="242" t="s">
        <v>332</v>
      </c>
      <c r="P278" s="264">
        <f>3.16+1.43</f>
        <v>4.59</v>
      </c>
    </row>
    <row r="279" spans="1:18">
      <c r="A279" s="177" t="s">
        <v>933</v>
      </c>
      <c r="B279" s="184">
        <f>R279</f>
        <v>9.1999999999999998E-3</v>
      </c>
      <c r="C279" s="173" t="s">
        <v>37</v>
      </c>
      <c r="D279" s="173" t="s">
        <v>38</v>
      </c>
      <c r="E279" s="173" t="s">
        <v>29</v>
      </c>
      <c r="F279" s="185" t="s">
        <v>39</v>
      </c>
      <c r="G279" s="173" t="s">
        <v>33</v>
      </c>
      <c r="H279" s="173">
        <v>2</v>
      </c>
      <c r="I279" s="173">
        <f t="shared" si="28"/>
        <v>-4.6885517949271422</v>
      </c>
      <c r="J279" s="173">
        <v>0.20928449536456342</v>
      </c>
      <c r="K279" s="173" t="s">
        <v>31</v>
      </c>
      <c r="L279" s="173" t="s">
        <v>31</v>
      </c>
      <c r="M279" s="173" t="s">
        <v>31</v>
      </c>
      <c r="O279" s="242" t="s">
        <v>947</v>
      </c>
      <c r="P279" s="264">
        <v>9.1999999999999993</v>
      </c>
      <c r="Q279" s="173" t="s">
        <v>337</v>
      </c>
      <c r="R279" s="173">
        <f>P279*0.001</f>
        <v>9.1999999999999998E-3</v>
      </c>
    </row>
    <row r="280" spans="1:18">
      <c r="A280" s="232" t="s">
        <v>1078</v>
      </c>
      <c r="B280" s="184">
        <f>R280</f>
        <v>1.12E-2</v>
      </c>
      <c r="C280" s="173" t="s">
        <v>37</v>
      </c>
      <c r="D280" s="173" t="s">
        <v>38</v>
      </c>
      <c r="E280" s="173" t="s">
        <v>29</v>
      </c>
      <c r="F280" s="173" t="s">
        <v>35</v>
      </c>
      <c r="G280" s="173" t="s">
        <v>33</v>
      </c>
      <c r="H280" s="173">
        <v>2</v>
      </c>
      <c r="I280" s="173">
        <f>LN(B280)</f>
        <v>-4.4918415006810886</v>
      </c>
      <c r="J280" s="173">
        <v>0.20928449536456342</v>
      </c>
      <c r="K280" s="173" t="s">
        <v>31</v>
      </c>
      <c r="L280" s="173" t="s">
        <v>31</v>
      </c>
      <c r="M280" s="173" t="s">
        <v>31</v>
      </c>
      <c r="O280" s="242" t="s">
        <v>947</v>
      </c>
      <c r="P280" s="264">
        <v>11.2</v>
      </c>
      <c r="Q280" s="173" t="s">
        <v>337</v>
      </c>
      <c r="R280" s="173">
        <f>P280*0.001</f>
        <v>1.12E-2</v>
      </c>
    </row>
    <row r="281" spans="1:18">
      <c r="A281" s="173" t="s">
        <v>1285</v>
      </c>
      <c r="B281" s="184">
        <f>R281</f>
        <v>1.12E-2</v>
      </c>
      <c r="C281" s="173" t="s">
        <v>37</v>
      </c>
      <c r="D281" s="258" t="s">
        <v>2</v>
      </c>
      <c r="E281" s="173" t="s">
        <v>29</v>
      </c>
      <c r="F281" s="185" t="s">
        <v>39</v>
      </c>
      <c r="G281" s="173" t="s">
        <v>33</v>
      </c>
      <c r="H281" s="173">
        <v>2</v>
      </c>
      <c r="I281" s="173">
        <f t="shared" ref="I281" si="29">LN(B281)</f>
        <v>-4.4918415006810886</v>
      </c>
      <c r="J281" s="173">
        <v>0.20928449536456342</v>
      </c>
      <c r="K281" s="173" t="s">
        <v>31</v>
      </c>
      <c r="L281" s="173" t="s">
        <v>31</v>
      </c>
      <c r="M281" s="173" t="s">
        <v>31</v>
      </c>
      <c r="O281" s="305" t="s">
        <v>947</v>
      </c>
      <c r="P281" s="269">
        <v>11.2</v>
      </c>
      <c r="Q281" s="173" t="s">
        <v>337</v>
      </c>
      <c r="R281" s="173">
        <f>0.001*P281</f>
        <v>1.12E-2</v>
      </c>
    </row>
    <row r="282" spans="1:18" s="188" customFormat="1">
      <c r="A282" s="209" t="s">
        <v>5</v>
      </c>
      <c r="B282" s="210" t="s">
        <v>1685</v>
      </c>
      <c r="P282" s="291"/>
    </row>
    <row r="283" spans="1:18">
      <c r="A283" s="177" t="s">
        <v>7</v>
      </c>
      <c r="B283" s="173" t="s">
        <v>566</v>
      </c>
      <c r="C283" s="176"/>
    </row>
    <row r="284" spans="1:18">
      <c r="A284" s="276" t="s">
        <v>9</v>
      </c>
      <c r="B284" s="173" t="s">
        <v>1686</v>
      </c>
      <c r="C284" s="176"/>
    </row>
    <row r="285" spans="1:18" ht="15.75" customHeight="1">
      <c r="A285" s="177" t="s">
        <v>11</v>
      </c>
      <c r="B285" s="179" t="s">
        <v>913</v>
      </c>
    </row>
    <row r="286" spans="1:18">
      <c r="A286" s="177" t="s">
        <v>13</v>
      </c>
      <c r="B286" s="173" t="s">
        <v>14</v>
      </c>
    </row>
    <row r="287" spans="1:18">
      <c r="A287" s="177" t="s">
        <v>15</v>
      </c>
      <c r="B287" s="265">
        <f>B292</f>
        <v>0.04</v>
      </c>
    </row>
    <row r="288" spans="1:18">
      <c r="A288" s="177" t="s">
        <v>16</v>
      </c>
      <c r="B288" s="173" t="s">
        <v>17</v>
      </c>
      <c r="R288" s="175" t="s">
        <v>1023</v>
      </c>
    </row>
    <row r="289" spans="1:21">
      <c r="A289" s="177" t="s">
        <v>18</v>
      </c>
      <c r="B289" s="173" t="s">
        <v>206</v>
      </c>
      <c r="R289" s="173" t="s">
        <v>1024</v>
      </c>
      <c r="S289" s="173">
        <v>8900</v>
      </c>
      <c r="T289" s="173" t="s">
        <v>1025</v>
      </c>
    </row>
    <row r="290" spans="1:21">
      <c r="A290" s="174" t="s">
        <v>19</v>
      </c>
      <c r="R290" s="173" t="s">
        <v>1026</v>
      </c>
      <c r="S290" s="173">
        <f>5*10^-6</f>
        <v>4.9999999999999996E-6</v>
      </c>
      <c r="T290" s="173" t="s">
        <v>1027</v>
      </c>
    </row>
    <row r="291" spans="1:21">
      <c r="A291" s="175" t="s">
        <v>20</v>
      </c>
      <c r="B291" s="175" t="s">
        <v>21</v>
      </c>
      <c r="C291" s="175" t="s">
        <v>18</v>
      </c>
      <c r="D291" s="175" t="s">
        <v>22</v>
      </c>
      <c r="E291" s="175" t="s">
        <v>7</v>
      </c>
      <c r="F291" s="175" t="s">
        <v>13</v>
      </c>
      <c r="G291" s="175" t="s">
        <v>16</v>
      </c>
      <c r="H291" s="175" t="s">
        <v>23</v>
      </c>
      <c r="I291" s="175" t="s">
        <v>24</v>
      </c>
      <c r="J291" s="175" t="s">
        <v>25</v>
      </c>
      <c r="K291" s="175" t="s">
        <v>26</v>
      </c>
      <c r="L291" s="175" t="s">
        <v>27</v>
      </c>
      <c r="M291" s="175" t="s">
        <v>28</v>
      </c>
      <c r="N291" s="175" t="s">
        <v>11</v>
      </c>
      <c r="R291" s="280" t="s">
        <v>1029</v>
      </c>
      <c r="S291" s="281">
        <f>S290*S289</f>
        <v>4.4499999999999998E-2</v>
      </c>
      <c r="T291" s="282" t="s">
        <v>985</v>
      </c>
    </row>
    <row r="292" spans="1:21">
      <c r="A292" s="173" t="s">
        <v>1685</v>
      </c>
      <c r="B292" s="265">
        <v>0.04</v>
      </c>
      <c r="C292" s="173" t="s">
        <v>206</v>
      </c>
      <c r="D292" s="258" t="s">
        <v>2</v>
      </c>
      <c r="E292" s="173" t="s">
        <v>29</v>
      </c>
      <c r="F292" s="173" t="s">
        <v>14</v>
      </c>
      <c r="G292" s="173" t="s">
        <v>30</v>
      </c>
      <c r="H292" s="173">
        <v>1</v>
      </c>
      <c r="I292" s="265">
        <f t="shared" ref="I292:I294" si="30">B292</f>
        <v>0.04</v>
      </c>
      <c r="J292" s="173" t="s">
        <v>31</v>
      </c>
      <c r="K292" s="173" t="s">
        <v>31</v>
      </c>
      <c r="L292" s="173" t="s">
        <v>31</v>
      </c>
      <c r="M292" s="173" t="s">
        <v>31</v>
      </c>
      <c r="O292" s="242" t="s">
        <v>1031</v>
      </c>
      <c r="P292" s="264">
        <f>B292*100</f>
        <v>4</v>
      </c>
    </row>
    <row r="293" spans="1:21">
      <c r="A293" s="173" t="s">
        <v>1687</v>
      </c>
      <c r="B293" s="265">
        <v>0.04</v>
      </c>
      <c r="C293" s="173" t="s">
        <v>206</v>
      </c>
      <c r="D293" s="258" t="s">
        <v>2</v>
      </c>
      <c r="E293" s="173" t="s">
        <v>29</v>
      </c>
      <c r="F293" s="173" t="s">
        <v>14</v>
      </c>
      <c r="G293" s="173" t="s">
        <v>33</v>
      </c>
      <c r="H293" s="173">
        <v>1</v>
      </c>
      <c r="I293" s="265">
        <f t="shared" si="30"/>
        <v>0.04</v>
      </c>
      <c r="J293" s="173">
        <v>7.2284161474004766E-2</v>
      </c>
      <c r="K293" s="173" t="s">
        <v>31</v>
      </c>
      <c r="L293" s="173" t="s">
        <v>31</v>
      </c>
      <c r="M293" s="173" t="s">
        <v>31</v>
      </c>
      <c r="O293" s="242" t="s">
        <v>1031</v>
      </c>
      <c r="P293" s="264">
        <f>B293*100</f>
        <v>4</v>
      </c>
      <c r="R293" s="173" t="s">
        <v>1032</v>
      </c>
      <c r="U293" s="260"/>
    </row>
    <row r="294" spans="1:21">
      <c r="A294" s="271" t="s">
        <v>1631</v>
      </c>
      <c r="B294" s="270">
        <f>T294</f>
        <v>4.8059999999999999E-2</v>
      </c>
      <c r="C294" s="173" t="s">
        <v>37</v>
      </c>
      <c r="D294" s="258" t="s">
        <v>2</v>
      </c>
      <c r="E294" s="173" t="s">
        <v>29</v>
      </c>
      <c r="F294" s="185" t="s">
        <v>14</v>
      </c>
      <c r="G294" s="173" t="s">
        <v>33</v>
      </c>
      <c r="H294" s="173">
        <v>1</v>
      </c>
      <c r="I294" s="265">
        <f t="shared" si="30"/>
        <v>4.8059999999999999E-2</v>
      </c>
      <c r="J294" s="173">
        <v>7.2284161474004766E-2</v>
      </c>
      <c r="K294" s="173" t="s">
        <v>31</v>
      </c>
      <c r="L294" s="173" t="s">
        <v>31</v>
      </c>
      <c r="M294" s="173" t="s">
        <v>31</v>
      </c>
      <c r="O294" s="286"/>
      <c r="P294" s="287"/>
      <c r="R294" s="284">
        <v>1.08</v>
      </c>
      <c r="S294" s="285" t="s">
        <v>945</v>
      </c>
      <c r="T294" s="284">
        <f>R294*S291</f>
        <v>4.8059999999999999E-2</v>
      </c>
      <c r="U294" s="285" t="s">
        <v>337</v>
      </c>
    </row>
    <row r="295" spans="1:21">
      <c r="A295" s="177" t="s">
        <v>933</v>
      </c>
      <c r="B295" s="173">
        <f>P295</f>
        <v>8.6</v>
      </c>
      <c r="C295" s="173" t="s">
        <v>37</v>
      </c>
      <c r="D295" s="173" t="s">
        <v>38</v>
      </c>
      <c r="E295" s="173" t="s">
        <v>29</v>
      </c>
      <c r="F295" s="185" t="s">
        <v>39</v>
      </c>
      <c r="G295" s="173" t="s">
        <v>33</v>
      </c>
      <c r="H295" s="173">
        <v>2</v>
      </c>
      <c r="I295" s="173">
        <f t="shared" ref="I295" si="31">LN(B295)</f>
        <v>2.1517622032594619</v>
      </c>
      <c r="J295" s="173">
        <v>7.2284161474004766E-2</v>
      </c>
      <c r="K295" s="173" t="s">
        <v>31</v>
      </c>
      <c r="L295" s="173" t="s">
        <v>31</v>
      </c>
      <c r="M295" s="173" t="s">
        <v>31</v>
      </c>
      <c r="O295" s="242" t="s">
        <v>337</v>
      </c>
      <c r="P295" s="264">
        <v>8.6</v>
      </c>
    </row>
    <row r="296" spans="1:21">
      <c r="A296" s="232" t="s">
        <v>1021</v>
      </c>
      <c r="B296" s="184">
        <f>R296</f>
        <v>3.9999999999999998E-7</v>
      </c>
      <c r="C296" s="173" t="s">
        <v>37</v>
      </c>
      <c r="D296" s="173" t="s">
        <v>38</v>
      </c>
      <c r="E296" s="173" t="s">
        <v>29</v>
      </c>
      <c r="F296" s="185" t="s">
        <v>60</v>
      </c>
      <c r="G296" s="173" t="s">
        <v>33</v>
      </c>
      <c r="H296" s="173">
        <v>2</v>
      </c>
      <c r="I296" s="173">
        <f>LN(B296)</f>
        <v>-14.73180128983843</v>
      </c>
      <c r="J296" s="173">
        <v>7.2284161474004766E-2</v>
      </c>
      <c r="K296" s="173" t="s">
        <v>31</v>
      </c>
      <c r="L296" s="173" t="s">
        <v>31</v>
      </c>
      <c r="M296" s="173" t="s">
        <v>31</v>
      </c>
      <c r="O296" s="266" t="s">
        <v>952</v>
      </c>
      <c r="P296" s="295">
        <v>0.4</v>
      </c>
      <c r="Q296" s="242" t="s">
        <v>337</v>
      </c>
      <c r="R296" s="173">
        <f>P296*0.000001</f>
        <v>3.9999999999999998E-7</v>
      </c>
    </row>
    <row r="297" spans="1:21">
      <c r="A297" s="232" t="s">
        <v>489</v>
      </c>
      <c r="B297" s="173">
        <f>R297</f>
        <v>8.6E-3</v>
      </c>
      <c r="C297" s="173" t="s">
        <v>50</v>
      </c>
      <c r="D297" s="173" t="s">
        <v>38</v>
      </c>
      <c r="E297" s="173" t="s">
        <v>29</v>
      </c>
      <c r="F297" s="185" t="s">
        <v>39</v>
      </c>
      <c r="G297" s="173" t="s">
        <v>33</v>
      </c>
      <c r="H297" s="173">
        <v>2</v>
      </c>
      <c r="I297" s="173">
        <f t="shared" ref="I297" si="32">LN(B297)</f>
        <v>-4.7559930757226754</v>
      </c>
      <c r="J297" s="173">
        <v>7.2284161474004766E-2</v>
      </c>
      <c r="K297" s="173" t="s">
        <v>31</v>
      </c>
      <c r="L297" s="173" t="s">
        <v>31</v>
      </c>
      <c r="M297" s="173" t="s">
        <v>31</v>
      </c>
      <c r="O297" s="268" t="s">
        <v>1009</v>
      </c>
      <c r="P297" s="269">
        <v>8.6</v>
      </c>
      <c r="Q297" s="173" t="s">
        <v>335</v>
      </c>
      <c r="R297" s="173">
        <f>P297*0.001</f>
        <v>8.6E-3</v>
      </c>
    </row>
    <row r="298" spans="1:21" s="188" customFormat="1">
      <c r="A298" s="209" t="s">
        <v>5</v>
      </c>
      <c r="B298" s="210" t="s">
        <v>1687</v>
      </c>
    </row>
    <row r="299" spans="1:21">
      <c r="A299" s="177" t="s">
        <v>7</v>
      </c>
      <c r="B299" s="173" t="s">
        <v>566</v>
      </c>
      <c r="C299" s="176"/>
    </row>
    <row r="300" spans="1:21">
      <c r="A300" s="276" t="s">
        <v>9</v>
      </c>
      <c r="B300" s="173" t="s">
        <v>1688</v>
      </c>
      <c r="C300" s="176"/>
    </row>
    <row r="301" spans="1:21" ht="15.75" customHeight="1">
      <c r="A301" s="177" t="s">
        <v>11</v>
      </c>
      <c r="B301" s="179" t="s">
        <v>913</v>
      </c>
    </row>
    <row r="302" spans="1:21">
      <c r="A302" s="177" t="s">
        <v>13</v>
      </c>
      <c r="B302" s="173" t="s">
        <v>14</v>
      </c>
    </row>
    <row r="303" spans="1:21">
      <c r="A303" s="177" t="s">
        <v>15</v>
      </c>
      <c r="B303" s="265">
        <f>B308</f>
        <v>2.4E-2</v>
      </c>
    </row>
    <row r="304" spans="1:21">
      <c r="A304" s="177" t="s">
        <v>16</v>
      </c>
      <c r="B304" s="173" t="s">
        <v>17</v>
      </c>
    </row>
    <row r="305" spans="1:20">
      <c r="A305" s="177" t="s">
        <v>18</v>
      </c>
      <c r="B305" s="173" t="s">
        <v>206</v>
      </c>
    </row>
    <row r="306" spans="1:20">
      <c r="A306" s="174" t="s">
        <v>19</v>
      </c>
    </row>
    <row r="307" spans="1:20">
      <c r="A307" s="175" t="s">
        <v>20</v>
      </c>
      <c r="B307" s="175" t="s">
        <v>21</v>
      </c>
      <c r="C307" s="175" t="s">
        <v>18</v>
      </c>
      <c r="D307" s="175" t="s">
        <v>22</v>
      </c>
      <c r="E307" s="175" t="s">
        <v>7</v>
      </c>
      <c r="F307" s="175" t="s">
        <v>13</v>
      </c>
      <c r="G307" s="175" t="s">
        <v>16</v>
      </c>
      <c r="H307" s="175" t="s">
        <v>23</v>
      </c>
      <c r="I307" s="175" t="s">
        <v>24</v>
      </c>
      <c r="J307" s="175" t="s">
        <v>25</v>
      </c>
      <c r="K307" s="175" t="s">
        <v>26</v>
      </c>
      <c r="L307" s="175" t="s">
        <v>27</v>
      </c>
      <c r="M307" s="175" t="s">
        <v>28</v>
      </c>
      <c r="N307" s="175" t="s">
        <v>11</v>
      </c>
      <c r="T307" s="265"/>
    </row>
    <row r="308" spans="1:20">
      <c r="A308" s="173" t="s">
        <v>1687</v>
      </c>
      <c r="B308" s="265">
        <f t="shared" ref="B308:B318" si="33">P308</f>
        <v>2.4E-2</v>
      </c>
      <c r="C308" s="173" t="s">
        <v>206</v>
      </c>
      <c r="D308" s="258" t="s">
        <v>2</v>
      </c>
      <c r="E308" s="173" t="s">
        <v>29</v>
      </c>
      <c r="F308" s="173" t="s">
        <v>14</v>
      </c>
      <c r="G308" s="173" t="s">
        <v>30</v>
      </c>
      <c r="H308" s="173">
        <v>1</v>
      </c>
      <c r="I308" s="265">
        <f t="shared" ref="I308:I309" si="34">B308</f>
        <v>2.4E-2</v>
      </c>
      <c r="J308" s="173" t="s">
        <v>31</v>
      </c>
      <c r="K308" s="173" t="s">
        <v>31</v>
      </c>
      <c r="L308" s="173" t="s">
        <v>31</v>
      </c>
      <c r="M308" s="173" t="s">
        <v>31</v>
      </c>
      <c r="P308" s="348">
        <v>2.4E-2</v>
      </c>
    </row>
    <row r="309" spans="1:20">
      <c r="A309" s="173" t="s">
        <v>1689</v>
      </c>
      <c r="B309" s="265">
        <f t="shared" si="33"/>
        <v>2.4E-2</v>
      </c>
      <c r="C309" s="173" t="s">
        <v>206</v>
      </c>
      <c r="D309" s="258" t="s">
        <v>2</v>
      </c>
      <c r="E309" s="173" t="s">
        <v>29</v>
      </c>
      <c r="F309" s="173" t="s">
        <v>14</v>
      </c>
      <c r="G309" s="173" t="s">
        <v>33</v>
      </c>
      <c r="H309" s="173">
        <v>1</v>
      </c>
      <c r="I309" s="265">
        <f t="shared" si="34"/>
        <v>2.4E-2</v>
      </c>
      <c r="J309" s="173" t="s">
        <v>31</v>
      </c>
      <c r="K309" s="173" t="s">
        <v>31</v>
      </c>
      <c r="L309" s="173" t="s">
        <v>31</v>
      </c>
      <c r="M309" s="173" t="s">
        <v>31</v>
      </c>
      <c r="P309" s="348">
        <v>2.4E-2</v>
      </c>
    </row>
    <row r="310" spans="1:20">
      <c r="A310" s="177" t="s">
        <v>168</v>
      </c>
      <c r="B310" s="184">
        <f t="shared" si="33"/>
        <v>0.31</v>
      </c>
      <c r="C310" s="173" t="s">
        <v>41</v>
      </c>
      <c r="D310" s="173" t="s">
        <v>38</v>
      </c>
      <c r="E310" s="173" t="s">
        <v>29</v>
      </c>
      <c r="F310" s="185" t="s">
        <v>35</v>
      </c>
      <c r="G310" s="173" t="s">
        <v>33</v>
      </c>
      <c r="H310" s="173">
        <v>2</v>
      </c>
      <c r="I310" s="173">
        <f t="shared" ref="I310" si="35">LN(B310)</f>
        <v>-1.1711829815029451</v>
      </c>
      <c r="J310" s="173">
        <v>0.22500000000000006</v>
      </c>
      <c r="K310" s="173" t="s">
        <v>31</v>
      </c>
      <c r="L310" s="173" t="s">
        <v>31</v>
      </c>
      <c r="M310" s="173" t="s">
        <v>31</v>
      </c>
      <c r="O310" s="242" t="s">
        <v>332</v>
      </c>
      <c r="P310" s="264">
        <v>0.31</v>
      </c>
    </row>
    <row r="311" spans="1:20">
      <c r="A311" s="232" t="s">
        <v>1077</v>
      </c>
      <c r="B311" s="265">
        <f t="shared" si="33"/>
        <v>1.43E-2</v>
      </c>
      <c r="C311" s="173" t="s">
        <v>37</v>
      </c>
      <c r="D311" s="173" t="s">
        <v>38</v>
      </c>
      <c r="E311" s="173" t="s">
        <v>29</v>
      </c>
      <c r="F311" s="173" t="s">
        <v>35</v>
      </c>
      <c r="G311" s="173" t="s">
        <v>33</v>
      </c>
      <c r="H311" s="173">
        <v>2</v>
      </c>
      <c r="I311" s="173">
        <f>LN(B311)</f>
        <v>-4.2474957417162758</v>
      </c>
      <c r="J311" s="173">
        <v>0.22500000000000006</v>
      </c>
      <c r="K311" s="173" t="s">
        <v>31</v>
      </c>
      <c r="L311" s="173" t="s">
        <v>31</v>
      </c>
      <c r="M311" s="173" t="s">
        <v>31</v>
      </c>
      <c r="O311" s="242" t="s">
        <v>337</v>
      </c>
      <c r="P311" s="311">
        <v>1.43E-2</v>
      </c>
    </row>
    <row r="312" spans="1:20">
      <c r="A312" s="173" t="s">
        <v>1104</v>
      </c>
      <c r="B312" s="265">
        <f t="shared" si="33"/>
        <v>3.1E-2</v>
      </c>
      <c r="C312" s="173" t="s">
        <v>37</v>
      </c>
      <c r="D312" s="173" t="s">
        <v>38</v>
      </c>
      <c r="E312" s="173" t="s">
        <v>29</v>
      </c>
      <c r="F312" s="173" t="s">
        <v>60</v>
      </c>
      <c r="G312" s="173" t="s">
        <v>33</v>
      </c>
      <c r="H312" s="173">
        <v>2</v>
      </c>
      <c r="I312" s="173">
        <f t="shared" ref="I312:I318" si="36">LN(B312)</f>
        <v>-3.473768074496991</v>
      </c>
      <c r="J312" s="173">
        <v>0.22500000000000006</v>
      </c>
      <c r="K312" s="173" t="s">
        <v>31</v>
      </c>
      <c r="L312" s="173" t="s">
        <v>31</v>
      </c>
      <c r="M312" s="173" t="s">
        <v>31</v>
      </c>
      <c r="O312" s="242" t="s">
        <v>337</v>
      </c>
      <c r="P312" s="311">
        <v>3.1E-2</v>
      </c>
    </row>
    <row r="313" spans="1:20">
      <c r="A313" s="232" t="s">
        <v>1078</v>
      </c>
      <c r="B313" s="265">
        <f t="shared" si="33"/>
        <v>1.43E-2</v>
      </c>
      <c r="C313" s="173" t="s">
        <v>37</v>
      </c>
      <c r="D313" s="173" t="s">
        <v>38</v>
      </c>
      <c r="E313" s="173" t="s">
        <v>29</v>
      </c>
      <c r="F313" s="173" t="s">
        <v>35</v>
      </c>
      <c r="G313" s="173" t="s">
        <v>33</v>
      </c>
      <c r="H313" s="173">
        <v>2</v>
      </c>
      <c r="I313" s="173">
        <f t="shared" si="36"/>
        <v>-4.2474957417162758</v>
      </c>
      <c r="J313" s="173">
        <v>0.22500000000000006</v>
      </c>
      <c r="K313" s="173" t="s">
        <v>31</v>
      </c>
      <c r="L313" s="173" t="s">
        <v>31</v>
      </c>
      <c r="M313" s="173" t="s">
        <v>31</v>
      </c>
      <c r="O313" s="242" t="s">
        <v>337</v>
      </c>
      <c r="P313" s="311">
        <v>1.43E-2</v>
      </c>
    </row>
    <row r="314" spans="1:20">
      <c r="A314" s="232" t="s">
        <v>1105</v>
      </c>
      <c r="B314" s="265">
        <f t="shared" si="33"/>
        <v>1.0699999999999999E-2</v>
      </c>
      <c r="C314" s="173" t="s">
        <v>37</v>
      </c>
      <c r="D314" s="173" t="s">
        <v>38</v>
      </c>
      <c r="E314" s="173" t="s">
        <v>29</v>
      </c>
      <c r="F314" s="173" t="s">
        <v>60</v>
      </c>
      <c r="G314" s="173" t="s">
        <v>33</v>
      </c>
      <c r="H314" s="173">
        <v>2</v>
      </c>
      <c r="I314" s="173">
        <f t="shared" si="36"/>
        <v>-4.5375115375142769</v>
      </c>
      <c r="J314" s="173">
        <v>0.22500000000000006</v>
      </c>
      <c r="K314" s="173" t="s">
        <v>31</v>
      </c>
      <c r="L314" s="173" t="s">
        <v>31</v>
      </c>
      <c r="M314" s="173" t="s">
        <v>31</v>
      </c>
      <c r="O314" s="242" t="s">
        <v>337</v>
      </c>
      <c r="P314" s="311">
        <v>1.0699999999999999E-2</v>
      </c>
    </row>
    <row r="315" spans="1:20">
      <c r="A315" s="232" t="s">
        <v>1106</v>
      </c>
      <c r="B315" s="265">
        <f t="shared" si="33"/>
        <v>3.1E-2</v>
      </c>
      <c r="C315" s="173" t="s">
        <v>37</v>
      </c>
      <c r="D315" s="173" t="s">
        <v>38</v>
      </c>
      <c r="E315" s="173" t="s">
        <v>29</v>
      </c>
      <c r="F315" s="173" t="s">
        <v>60</v>
      </c>
      <c r="G315" s="173" t="s">
        <v>33</v>
      </c>
      <c r="H315" s="173">
        <v>2</v>
      </c>
      <c r="I315" s="173">
        <f t="shared" si="36"/>
        <v>-3.473768074496991</v>
      </c>
      <c r="J315" s="173">
        <v>0.22500000000000006</v>
      </c>
      <c r="K315" s="173" t="s">
        <v>31</v>
      </c>
      <c r="L315" s="173" t="s">
        <v>31</v>
      </c>
      <c r="M315" s="173" t="s">
        <v>31</v>
      </c>
      <c r="O315" s="242" t="s">
        <v>337</v>
      </c>
      <c r="P315" s="311">
        <v>3.1E-2</v>
      </c>
    </row>
    <row r="316" spans="1:20">
      <c r="A316" s="177" t="s">
        <v>933</v>
      </c>
      <c r="B316" s="265">
        <f t="shared" si="33"/>
        <v>0.57199999999999995</v>
      </c>
      <c r="C316" s="173" t="s">
        <v>37</v>
      </c>
      <c r="D316" s="173" t="s">
        <v>38</v>
      </c>
      <c r="E316" s="173" t="s">
        <v>29</v>
      </c>
      <c r="F316" s="185" t="s">
        <v>39</v>
      </c>
      <c r="G316" s="173" t="s">
        <v>33</v>
      </c>
      <c r="H316" s="173">
        <v>2</v>
      </c>
      <c r="I316" s="173">
        <f t="shared" si="36"/>
        <v>-0.55861628760233928</v>
      </c>
      <c r="J316" s="173">
        <v>0.22500000000000006</v>
      </c>
      <c r="K316" s="173" t="s">
        <v>31</v>
      </c>
      <c r="L316" s="173" t="s">
        <v>31</v>
      </c>
      <c r="M316" s="173" t="s">
        <v>31</v>
      </c>
      <c r="O316" s="242" t="s">
        <v>337</v>
      </c>
      <c r="P316" s="311">
        <v>0.57199999999999995</v>
      </c>
    </row>
    <row r="317" spans="1:20">
      <c r="A317" s="232" t="s">
        <v>941</v>
      </c>
      <c r="B317" s="265">
        <f t="shared" si="33"/>
        <v>5.4999999999999997E-3</v>
      </c>
      <c r="C317" s="173" t="s">
        <v>37</v>
      </c>
      <c r="D317" s="173" t="s">
        <v>43</v>
      </c>
      <c r="E317" s="173" t="s">
        <v>44</v>
      </c>
      <c r="F317" s="173" t="s">
        <v>29</v>
      </c>
      <c r="G317" s="173" t="s">
        <v>45</v>
      </c>
      <c r="H317" s="173">
        <v>2</v>
      </c>
      <c r="I317" s="173">
        <f t="shared" si="36"/>
        <v>-5.2030071867437115</v>
      </c>
      <c r="J317" s="173">
        <v>0.22500000000000006</v>
      </c>
      <c r="K317" s="173" t="s">
        <v>31</v>
      </c>
      <c r="L317" s="173" t="s">
        <v>31</v>
      </c>
      <c r="M317" s="173" t="s">
        <v>31</v>
      </c>
      <c r="O317" s="266" t="s">
        <v>337</v>
      </c>
      <c r="P317" s="267">
        <v>5.4999999999999997E-3</v>
      </c>
    </row>
    <row r="318" spans="1:20">
      <c r="A318" s="173" t="s">
        <v>1285</v>
      </c>
      <c r="B318" s="265">
        <f t="shared" si="33"/>
        <v>0.1</v>
      </c>
      <c r="C318" s="173" t="s">
        <v>37</v>
      </c>
      <c r="D318" s="258" t="s">
        <v>2</v>
      </c>
      <c r="E318" s="173" t="s">
        <v>29</v>
      </c>
      <c r="F318" s="185" t="s">
        <v>39</v>
      </c>
      <c r="G318" s="173" t="s">
        <v>33</v>
      </c>
      <c r="H318" s="173">
        <v>2</v>
      </c>
      <c r="I318" s="173">
        <f t="shared" si="36"/>
        <v>-2.3025850929940455</v>
      </c>
      <c r="J318" s="173">
        <v>0.22500000000000006</v>
      </c>
      <c r="K318" s="173" t="s">
        <v>31</v>
      </c>
      <c r="L318" s="173" t="s">
        <v>31</v>
      </c>
      <c r="M318" s="173" t="s">
        <v>31</v>
      </c>
      <c r="O318" s="268" t="s">
        <v>337</v>
      </c>
      <c r="P318" s="312">
        <v>0.1</v>
      </c>
    </row>
    <row r="319" spans="1:20" s="188" customFormat="1">
      <c r="A319" s="209" t="s">
        <v>5</v>
      </c>
      <c r="B319" s="210" t="s">
        <v>1689</v>
      </c>
    </row>
    <row r="320" spans="1:20">
      <c r="A320" s="177" t="s">
        <v>7</v>
      </c>
      <c r="B320" s="173" t="s">
        <v>566</v>
      </c>
      <c r="C320" s="176"/>
    </row>
    <row r="321" spans="1:20">
      <c r="A321" s="276" t="s">
        <v>9</v>
      </c>
      <c r="B321" s="173" t="s">
        <v>1690</v>
      </c>
      <c r="C321" s="176"/>
    </row>
    <row r="322" spans="1:20" ht="15.75" customHeight="1">
      <c r="A322" s="177" t="s">
        <v>11</v>
      </c>
      <c r="B322" s="179" t="s">
        <v>913</v>
      </c>
    </row>
    <row r="323" spans="1:20">
      <c r="A323" s="177" t="s">
        <v>13</v>
      </c>
      <c r="B323" s="173" t="s">
        <v>14</v>
      </c>
    </row>
    <row r="324" spans="1:20">
      <c r="A324" s="177" t="s">
        <v>15</v>
      </c>
      <c r="B324" s="265">
        <f>B329</f>
        <v>2.4E-2</v>
      </c>
    </row>
    <row r="325" spans="1:20">
      <c r="A325" s="177" t="s">
        <v>16</v>
      </c>
      <c r="B325" s="173" t="s">
        <v>17</v>
      </c>
    </row>
    <row r="326" spans="1:20">
      <c r="A326" s="177" t="s">
        <v>18</v>
      </c>
      <c r="B326" s="173" t="s">
        <v>206</v>
      </c>
    </row>
    <row r="327" spans="1:20">
      <c r="A327" s="174" t="s">
        <v>19</v>
      </c>
    </row>
    <row r="328" spans="1:20">
      <c r="A328" s="175" t="s">
        <v>20</v>
      </c>
      <c r="B328" s="175" t="s">
        <v>21</v>
      </c>
      <c r="C328" s="175" t="s">
        <v>18</v>
      </c>
      <c r="D328" s="175" t="s">
        <v>22</v>
      </c>
      <c r="E328" s="175" t="s">
        <v>7</v>
      </c>
      <c r="F328" s="175" t="s">
        <v>13</v>
      </c>
      <c r="G328" s="175" t="s">
        <v>16</v>
      </c>
      <c r="H328" s="175" t="s">
        <v>23</v>
      </c>
      <c r="I328" s="175" t="s">
        <v>24</v>
      </c>
      <c r="J328" s="175" t="s">
        <v>25</v>
      </c>
      <c r="K328" s="175" t="s">
        <v>26</v>
      </c>
      <c r="L328" s="175" t="s">
        <v>27</v>
      </c>
      <c r="M328" s="175" t="s">
        <v>28</v>
      </c>
      <c r="N328" s="175" t="s">
        <v>11</v>
      </c>
      <c r="T328" s="265"/>
    </row>
    <row r="329" spans="1:20">
      <c r="A329" s="173" t="s">
        <v>1689</v>
      </c>
      <c r="B329" s="265">
        <f>P330</f>
        <v>2.4E-2</v>
      </c>
      <c r="C329" s="173" t="s">
        <v>206</v>
      </c>
      <c r="D329" s="258" t="s">
        <v>2</v>
      </c>
      <c r="E329" s="173" t="s">
        <v>29</v>
      </c>
      <c r="F329" s="173" t="s">
        <v>14</v>
      </c>
      <c r="G329" s="173" t="s">
        <v>30</v>
      </c>
      <c r="H329" s="173">
        <v>1</v>
      </c>
      <c r="I329" s="265">
        <f t="shared" ref="I329:I331" si="37">B329</f>
        <v>2.4E-2</v>
      </c>
      <c r="J329" s="173" t="s">
        <v>31</v>
      </c>
      <c r="K329" s="173" t="s">
        <v>31</v>
      </c>
      <c r="L329" s="173" t="s">
        <v>31</v>
      </c>
      <c r="M329" s="173" t="s">
        <v>31</v>
      </c>
    </row>
    <row r="330" spans="1:20" ht="15">
      <c r="A330" s="271" t="s">
        <v>1691</v>
      </c>
      <c r="B330" s="265">
        <f>P330</f>
        <v>2.4E-2</v>
      </c>
      <c r="C330" s="173" t="s">
        <v>206</v>
      </c>
      <c r="D330" s="258" t="s">
        <v>2</v>
      </c>
      <c r="E330" s="173" t="s">
        <v>29</v>
      </c>
      <c r="F330" s="173" t="s">
        <v>14</v>
      </c>
      <c r="G330" s="173" t="s">
        <v>33</v>
      </c>
      <c r="H330" s="173">
        <v>1</v>
      </c>
      <c r="I330" s="265">
        <f t="shared" si="37"/>
        <v>2.4E-2</v>
      </c>
      <c r="J330" s="173">
        <v>2.8722813232690055E-2</v>
      </c>
      <c r="K330" s="173" t="s">
        <v>31</v>
      </c>
      <c r="L330" s="173" t="s">
        <v>31</v>
      </c>
      <c r="M330" s="173" t="s">
        <v>31</v>
      </c>
      <c r="O330" s="236" t="s">
        <v>963</v>
      </c>
      <c r="P330" s="358">
        <v>2.4E-2</v>
      </c>
    </row>
    <row r="331" spans="1:20">
      <c r="A331" s="271" t="s">
        <v>1634</v>
      </c>
      <c r="B331" s="173">
        <f>R331</f>
        <v>0.248</v>
      </c>
      <c r="C331" s="173" t="s">
        <v>337</v>
      </c>
      <c r="D331" s="258" t="s">
        <v>2</v>
      </c>
      <c r="E331" s="173" t="s">
        <v>29</v>
      </c>
      <c r="F331" s="173" t="s">
        <v>14</v>
      </c>
      <c r="G331" s="173" t="s">
        <v>33</v>
      </c>
      <c r="H331" s="173">
        <v>1</v>
      </c>
      <c r="I331" s="265">
        <f t="shared" si="37"/>
        <v>0.248</v>
      </c>
      <c r="J331" s="173">
        <v>2.8722813232690055E-2</v>
      </c>
      <c r="K331" s="173" t="s">
        <v>31</v>
      </c>
      <c r="L331" s="173" t="s">
        <v>31</v>
      </c>
      <c r="M331" s="173" t="s">
        <v>31</v>
      </c>
      <c r="O331" s="236" t="s">
        <v>947</v>
      </c>
      <c r="P331" s="314">
        <v>248</v>
      </c>
      <c r="Q331" s="173" t="s">
        <v>337</v>
      </c>
      <c r="R331" s="173">
        <f>P331*0.001</f>
        <v>0.248</v>
      </c>
    </row>
    <row r="332" spans="1:20">
      <c r="A332" s="177" t="s">
        <v>168</v>
      </c>
      <c r="B332" s="184">
        <f>P332</f>
        <v>0.02</v>
      </c>
      <c r="C332" s="173" t="s">
        <v>41</v>
      </c>
      <c r="D332" s="173" t="s">
        <v>38</v>
      </c>
      <c r="E332" s="173" t="s">
        <v>29</v>
      </c>
      <c r="F332" s="185" t="s">
        <v>35</v>
      </c>
      <c r="G332" s="173" t="s">
        <v>33</v>
      </c>
      <c r="H332" s="173">
        <v>2</v>
      </c>
      <c r="I332" s="173">
        <f t="shared" ref="I332:I334" si="38">LN(B332)</f>
        <v>-3.912023005428146</v>
      </c>
      <c r="J332" s="173">
        <v>0.20928449536456342</v>
      </c>
      <c r="K332" s="173" t="s">
        <v>31</v>
      </c>
      <c r="L332" s="173" t="s">
        <v>31</v>
      </c>
      <c r="M332" s="173" t="s">
        <v>31</v>
      </c>
      <c r="O332" s="242" t="s">
        <v>332</v>
      </c>
      <c r="P332" s="311">
        <v>0.02</v>
      </c>
    </row>
    <row r="333" spans="1:20">
      <c r="A333" s="177" t="s">
        <v>168</v>
      </c>
      <c r="B333" s="184">
        <f>P333</f>
        <v>1.41</v>
      </c>
      <c r="C333" s="173" t="s">
        <v>41</v>
      </c>
      <c r="D333" s="173" t="s">
        <v>38</v>
      </c>
      <c r="E333" s="173" t="s">
        <v>29</v>
      </c>
      <c r="F333" s="185" t="s">
        <v>35</v>
      </c>
      <c r="G333" s="173" t="s">
        <v>33</v>
      </c>
      <c r="H333" s="173">
        <v>2</v>
      </c>
      <c r="I333" s="173">
        <f t="shared" si="38"/>
        <v>0.34358970439007686</v>
      </c>
      <c r="J333" s="173">
        <v>0.20928449536456342</v>
      </c>
      <c r="K333" s="173" t="s">
        <v>31</v>
      </c>
      <c r="L333" s="173" t="s">
        <v>31</v>
      </c>
      <c r="M333" s="173" t="s">
        <v>31</v>
      </c>
      <c r="O333" s="242" t="s">
        <v>332</v>
      </c>
      <c r="P333" s="264">
        <v>1.41</v>
      </c>
    </row>
    <row r="334" spans="1:20">
      <c r="A334" s="177" t="s">
        <v>168</v>
      </c>
      <c r="B334" s="184">
        <f>P334</f>
        <v>0.36</v>
      </c>
      <c r="C334" s="173" t="s">
        <v>41</v>
      </c>
      <c r="D334" s="173" t="s">
        <v>38</v>
      </c>
      <c r="E334" s="173" t="s">
        <v>29</v>
      </c>
      <c r="F334" s="185" t="s">
        <v>35</v>
      </c>
      <c r="G334" s="173" t="s">
        <v>33</v>
      </c>
      <c r="H334" s="173">
        <v>2</v>
      </c>
      <c r="I334" s="173">
        <f t="shared" si="38"/>
        <v>-1.0216512475319814</v>
      </c>
      <c r="J334" s="173">
        <v>9.6436507609929598E-2</v>
      </c>
      <c r="K334" s="173" t="s">
        <v>31</v>
      </c>
      <c r="L334" s="173" t="s">
        <v>31</v>
      </c>
      <c r="M334" s="173" t="s">
        <v>31</v>
      </c>
      <c r="O334" s="242" t="s">
        <v>332</v>
      </c>
      <c r="P334" s="264">
        <v>0.36</v>
      </c>
    </row>
    <row r="335" spans="1:20">
      <c r="A335" s="232" t="s">
        <v>1077</v>
      </c>
      <c r="B335" s="265">
        <f>R335</f>
        <v>2E-3</v>
      </c>
      <c r="C335" s="173" t="s">
        <v>37</v>
      </c>
      <c r="D335" s="173" t="s">
        <v>38</v>
      </c>
      <c r="E335" s="173" t="s">
        <v>29</v>
      </c>
      <c r="F335" s="173" t="s">
        <v>35</v>
      </c>
      <c r="G335" s="173" t="s">
        <v>33</v>
      </c>
      <c r="H335" s="173">
        <v>2</v>
      </c>
      <c r="I335" s="173">
        <f>LN(B335)</f>
        <v>-6.2146080984221914</v>
      </c>
      <c r="J335" s="173">
        <v>0.20928449536456342</v>
      </c>
      <c r="K335" s="173" t="s">
        <v>31</v>
      </c>
      <c r="L335" s="173" t="s">
        <v>31</v>
      </c>
      <c r="M335" s="173" t="s">
        <v>31</v>
      </c>
      <c r="O335" s="242" t="s">
        <v>947</v>
      </c>
      <c r="P335" s="264">
        <v>2</v>
      </c>
      <c r="Q335" s="173" t="s">
        <v>337</v>
      </c>
      <c r="R335" s="173">
        <f>P335*0.001</f>
        <v>2E-3</v>
      </c>
    </row>
    <row r="336" spans="1:20">
      <c r="A336" s="177" t="s">
        <v>933</v>
      </c>
      <c r="B336" s="265">
        <f>P336</f>
        <v>0.02</v>
      </c>
      <c r="C336" s="173" t="s">
        <v>37</v>
      </c>
      <c r="D336" s="173" t="s">
        <v>38</v>
      </c>
      <c r="E336" s="173" t="s">
        <v>29</v>
      </c>
      <c r="F336" s="185" t="s">
        <v>39</v>
      </c>
      <c r="G336" s="173" t="s">
        <v>33</v>
      </c>
      <c r="H336" s="173">
        <v>2</v>
      </c>
      <c r="I336" s="173">
        <f>LN(B336)</f>
        <v>-3.912023005428146</v>
      </c>
      <c r="J336" s="173">
        <v>0.20928449536456342</v>
      </c>
      <c r="K336" s="173" t="s">
        <v>31</v>
      </c>
      <c r="L336" s="173" t="s">
        <v>31</v>
      </c>
      <c r="M336" s="173" t="s">
        <v>31</v>
      </c>
      <c r="O336" s="242" t="s">
        <v>337</v>
      </c>
      <c r="P336" s="311">
        <v>0.02</v>
      </c>
    </row>
    <row r="337" spans="1:20">
      <c r="A337" s="232" t="s">
        <v>1109</v>
      </c>
      <c r="B337" s="298">
        <f>R337</f>
        <v>3.6000000000000003E-3</v>
      </c>
      <c r="C337" s="173" t="s">
        <v>37</v>
      </c>
      <c r="D337" s="173" t="s">
        <v>38</v>
      </c>
      <c r="E337" s="173" t="s">
        <v>29</v>
      </c>
      <c r="F337" s="185" t="s">
        <v>86</v>
      </c>
      <c r="G337" s="173" t="s">
        <v>33</v>
      </c>
      <c r="H337" s="173">
        <v>2</v>
      </c>
      <c r="I337" s="173">
        <f>LN(B337)</f>
        <v>-5.6268214335200728</v>
      </c>
      <c r="J337" s="173">
        <v>0.20928449536456342</v>
      </c>
      <c r="K337" s="173" t="s">
        <v>31</v>
      </c>
      <c r="L337" s="173" t="s">
        <v>31</v>
      </c>
      <c r="M337" s="173" t="s">
        <v>31</v>
      </c>
      <c r="O337" s="242" t="s">
        <v>947</v>
      </c>
      <c r="P337" s="264">
        <v>3.6</v>
      </c>
      <c r="Q337" s="173" t="s">
        <v>337</v>
      </c>
      <c r="R337" s="173">
        <f>P337*0.001</f>
        <v>3.6000000000000003E-3</v>
      </c>
    </row>
    <row r="338" spans="1:20">
      <c r="A338" s="232" t="s">
        <v>1078</v>
      </c>
      <c r="B338" s="173">
        <f>R338</f>
        <v>6.0000000000000001E-3</v>
      </c>
      <c r="C338" s="173" t="s">
        <v>37</v>
      </c>
      <c r="D338" s="173" t="s">
        <v>38</v>
      </c>
      <c r="E338" s="173" t="s">
        <v>29</v>
      </c>
      <c r="F338" s="173" t="s">
        <v>35</v>
      </c>
      <c r="G338" s="173" t="s">
        <v>33</v>
      </c>
      <c r="H338" s="173">
        <v>2</v>
      </c>
      <c r="I338" s="173">
        <f>LN(B338)</f>
        <v>-5.1159958097540823</v>
      </c>
      <c r="J338" s="173">
        <v>0.20928449536456342</v>
      </c>
      <c r="K338" s="173" t="s">
        <v>31</v>
      </c>
      <c r="L338" s="173" t="s">
        <v>31</v>
      </c>
      <c r="M338" s="173" t="s">
        <v>31</v>
      </c>
      <c r="O338" s="242" t="s">
        <v>947</v>
      </c>
      <c r="P338" s="264">
        <v>6</v>
      </c>
      <c r="Q338" s="173" t="s">
        <v>337</v>
      </c>
      <c r="R338" s="173">
        <f>P338*0.001</f>
        <v>6.0000000000000001E-3</v>
      </c>
    </row>
    <row r="339" spans="1:20">
      <c r="A339" s="177" t="s">
        <v>934</v>
      </c>
      <c r="B339" s="173">
        <f>P339</f>
        <v>4.2</v>
      </c>
      <c r="C339" s="173" t="s">
        <v>37</v>
      </c>
      <c r="D339" s="173" t="s">
        <v>38</v>
      </c>
      <c r="E339" s="173" t="s">
        <v>29</v>
      </c>
      <c r="F339" s="185" t="s">
        <v>35</v>
      </c>
      <c r="G339" s="173" t="s">
        <v>33</v>
      </c>
      <c r="H339" s="173">
        <v>2</v>
      </c>
      <c r="I339" s="173">
        <f t="shared" ref="I339:I340" si="39">LN(B339)</f>
        <v>1.4350845252893227</v>
      </c>
      <c r="J339" s="173">
        <v>0.20928449536456342</v>
      </c>
      <c r="K339" s="173" t="s">
        <v>31</v>
      </c>
      <c r="L339" s="173" t="s">
        <v>31</v>
      </c>
      <c r="M339" s="173" t="s">
        <v>31</v>
      </c>
      <c r="O339" s="242" t="s">
        <v>337</v>
      </c>
      <c r="P339" s="264">
        <v>4.2</v>
      </c>
    </row>
    <row r="340" spans="1:20">
      <c r="A340" s="173" t="s">
        <v>1285</v>
      </c>
      <c r="B340" s="265">
        <f>P340</f>
        <v>1.2E-2</v>
      </c>
      <c r="C340" s="173" t="s">
        <v>37</v>
      </c>
      <c r="D340" s="258" t="s">
        <v>2</v>
      </c>
      <c r="E340" s="173" t="s">
        <v>29</v>
      </c>
      <c r="F340" s="185" t="s">
        <v>39</v>
      </c>
      <c r="G340" s="173" t="s">
        <v>33</v>
      </c>
      <c r="H340" s="173">
        <v>2</v>
      </c>
      <c r="I340" s="173">
        <f t="shared" si="39"/>
        <v>-4.4228486291941369</v>
      </c>
      <c r="J340" s="173">
        <v>0.20928449536456342</v>
      </c>
      <c r="K340" s="173" t="s">
        <v>31</v>
      </c>
      <c r="L340" s="173" t="s">
        <v>31</v>
      </c>
      <c r="M340" s="173" t="s">
        <v>31</v>
      </c>
      <c r="O340" s="268" t="s">
        <v>337</v>
      </c>
      <c r="P340" s="312">
        <v>1.2E-2</v>
      </c>
    </row>
    <row r="341" spans="1:20" s="188" customFormat="1">
      <c r="A341" s="209" t="s">
        <v>5</v>
      </c>
      <c r="B341" s="210" t="s">
        <v>1691</v>
      </c>
      <c r="P341" s="348"/>
    </row>
    <row r="342" spans="1:20">
      <c r="A342" s="177" t="s">
        <v>7</v>
      </c>
      <c r="B342" s="173" t="s">
        <v>566</v>
      </c>
      <c r="C342" s="176"/>
    </row>
    <row r="343" spans="1:20">
      <c r="A343" s="276" t="s">
        <v>9</v>
      </c>
      <c r="B343" s="173" t="s">
        <v>1692</v>
      </c>
      <c r="C343" s="176"/>
    </row>
    <row r="344" spans="1:20" ht="15.75" customHeight="1">
      <c r="A344" s="177" t="s">
        <v>11</v>
      </c>
      <c r="B344" s="179" t="s">
        <v>913</v>
      </c>
    </row>
    <row r="345" spans="1:20">
      <c r="A345" s="177" t="s">
        <v>13</v>
      </c>
      <c r="B345" s="173" t="s">
        <v>14</v>
      </c>
    </row>
    <row r="346" spans="1:20">
      <c r="A346" s="177" t="s">
        <v>15</v>
      </c>
      <c r="B346" s="265">
        <f>B351</f>
        <v>2.4E-2</v>
      </c>
    </row>
    <row r="347" spans="1:20">
      <c r="A347" s="177" t="s">
        <v>16</v>
      </c>
      <c r="B347" s="173" t="s">
        <v>17</v>
      </c>
    </row>
    <row r="348" spans="1:20">
      <c r="A348" s="177" t="s">
        <v>18</v>
      </c>
      <c r="B348" s="173" t="s">
        <v>206</v>
      </c>
    </row>
    <row r="349" spans="1:20">
      <c r="A349" s="174" t="s">
        <v>19</v>
      </c>
    </row>
    <row r="350" spans="1:20">
      <c r="A350" s="175" t="s">
        <v>20</v>
      </c>
      <c r="B350" s="175" t="s">
        <v>21</v>
      </c>
      <c r="C350" s="175" t="s">
        <v>18</v>
      </c>
      <c r="D350" s="175" t="s">
        <v>22</v>
      </c>
      <c r="E350" s="175" t="s">
        <v>7</v>
      </c>
      <c r="F350" s="175" t="s">
        <v>13</v>
      </c>
      <c r="G350" s="175" t="s">
        <v>16</v>
      </c>
      <c r="H350" s="175" t="s">
        <v>23</v>
      </c>
      <c r="I350" s="175" t="s">
        <v>24</v>
      </c>
      <c r="J350" s="175" t="s">
        <v>25</v>
      </c>
      <c r="K350" s="175" t="s">
        <v>26</v>
      </c>
      <c r="L350" s="175" t="s">
        <v>27</v>
      </c>
      <c r="M350" s="175" t="s">
        <v>28</v>
      </c>
      <c r="N350" s="175" t="s">
        <v>11</v>
      </c>
      <c r="T350" s="265"/>
    </row>
    <row r="351" spans="1:20">
      <c r="A351" s="271" t="s">
        <v>1691</v>
      </c>
      <c r="B351" s="265">
        <f>P351</f>
        <v>2.4E-2</v>
      </c>
      <c r="C351" s="173" t="s">
        <v>206</v>
      </c>
      <c r="D351" s="258" t="s">
        <v>2</v>
      </c>
      <c r="E351" s="173" t="s">
        <v>29</v>
      </c>
      <c r="F351" s="173" t="s">
        <v>14</v>
      </c>
      <c r="G351" s="173" t="s">
        <v>30</v>
      </c>
      <c r="H351" s="173">
        <v>1</v>
      </c>
      <c r="I351" s="265">
        <f>B351</f>
        <v>2.4E-2</v>
      </c>
      <c r="J351" s="173" t="s">
        <v>31</v>
      </c>
      <c r="K351" s="173" t="s">
        <v>31</v>
      </c>
      <c r="L351" s="173" t="s">
        <v>31</v>
      </c>
      <c r="M351" s="173" t="s">
        <v>31</v>
      </c>
      <c r="O351" s="236" t="s">
        <v>963</v>
      </c>
      <c r="P351" s="348">
        <v>2.4E-2</v>
      </c>
    </row>
    <row r="352" spans="1:20">
      <c r="A352" s="232" t="s">
        <v>995</v>
      </c>
      <c r="B352" s="173">
        <f>P352</f>
        <v>0.05</v>
      </c>
      <c r="C352" s="173" t="s">
        <v>37</v>
      </c>
      <c r="D352" s="173" t="s">
        <v>38</v>
      </c>
      <c r="E352" s="173" t="s">
        <v>29</v>
      </c>
      <c r="F352" s="173" t="s">
        <v>86</v>
      </c>
      <c r="G352" s="173" t="s">
        <v>33</v>
      </c>
      <c r="H352" s="173">
        <v>2</v>
      </c>
      <c r="I352" s="173">
        <f t="shared" ref="I352:I362" si="40">LN(B352)</f>
        <v>-2.9957322735539909</v>
      </c>
      <c r="J352" s="343">
        <v>0.22516660498395411</v>
      </c>
      <c r="K352" s="173" t="s">
        <v>31</v>
      </c>
      <c r="L352" s="173" t="s">
        <v>31</v>
      </c>
      <c r="M352" s="173" t="s">
        <v>31</v>
      </c>
      <c r="O352" s="242" t="s">
        <v>337</v>
      </c>
      <c r="P352" s="264">
        <v>0.05</v>
      </c>
    </row>
    <row r="353" spans="1:18">
      <c r="A353" s="177" t="s">
        <v>168</v>
      </c>
      <c r="B353" s="184">
        <f>P353</f>
        <v>0.5</v>
      </c>
      <c r="C353" s="173" t="s">
        <v>41</v>
      </c>
      <c r="D353" s="173" t="s">
        <v>38</v>
      </c>
      <c r="E353" s="173" t="s">
        <v>29</v>
      </c>
      <c r="F353" s="185" t="s">
        <v>35</v>
      </c>
      <c r="G353" s="173" t="s">
        <v>33</v>
      </c>
      <c r="H353" s="173">
        <v>2</v>
      </c>
      <c r="I353" s="173">
        <f t="shared" si="40"/>
        <v>-0.69314718055994529</v>
      </c>
      <c r="J353" s="343">
        <v>0.22516660498395411</v>
      </c>
      <c r="K353" s="173" t="s">
        <v>31</v>
      </c>
      <c r="L353" s="173" t="s">
        <v>31</v>
      </c>
      <c r="M353" s="173" t="s">
        <v>31</v>
      </c>
      <c r="O353" s="242" t="s">
        <v>332</v>
      </c>
      <c r="P353" s="264">
        <v>0.5</v>
      </c>
    </row>
    <row r="354" spans="1:18">
      <c r="A354" s="232" t="s">
        <v>1111</v>
      </c>
      <c r="B354" s="265">
        <f>R354</f>
        <v>8.3000000000000001E-4</v>
      </c>
      <c r="C354" s="173" t="s">
        <v>37</v>
      </c>
      <c r="D354" s="173" t="s">
        <v>38</v>
      </c>
      <c r="E354" s="173" t="s">
        <v>29</v>
      </c>
      <c r="F354" s="173" t="s">
        <v>35</v>
      </c>
      <c r="G354" s="173" t="s">
        <v>33</v>
      </c>
      <c r="H354" s="173">
        <v>2</v>
      </c>
      <c r="I354" s="173">
        <f t="shared" si="40"/>
        <v>-7.0940848571736304</v>
      </c>
      <c r="J354" s="343">
        <v>0.22516660498395411</v>
      </c>
      <c r="K354" s="173" t="s">
        <v>31</v>
      </c>
      <c r="L354" s="173" t="s">
        <v>31</v>
      </c>
      <c r="M354" s="173" t="s">
        <v>31</v>
      </c>
      <c r="O354" s="242" t="s">
        <v>947</v>
      </c>
      <c r="P354" s="311">
        <v>0.83</v>
      </c>
      <c r="Q354" s="173" t="s">
        <v>337</v>
      </c>
      <c r="R354" s="265">
        <f>0.001*P354</f>
        <v>8.3000000000000001E-4</v>
      </c>
    </row>
    <row r="355" spans="1:18">
      <c r="A355" s="232" t="s">
        <v>1112</v>
      </c>
      <c r="B355" s="265">
        <f>P355</f>
        <v>4.1000000000000003E-3</v>
      </c>
      <c r="C355" s="173" t="s">
        <v>37</v>
      </c>
      <c r="D355" s="173" t="s">
        <v>38</v>
      </c>
      <c r="E355" s="173" t="s">
        <v>29</v>
      </c>
      <c r="F355" s="173" t="s">
        <v>35</v>
      </c>
      <c r="G355" s="173" t="s">
        <v>33</v>
      </c>
      <c r="H355" s="173">
        <v>2</v>
      </c>
      <c r="I355" s="173">
        <f t="shared" si="40"/>
        <v>-5.4967683052718748</v>
      </c>
      <c r="J355" s="343">
        <v>0.22516660498395411</v>
      </c>
      <c r="K355" s="173" t="s">
        <v>31</v>
      </c>
      <c r="L355" s="173" t="s">
        <v>31</v>
      </c>
      <c r="M355" s="173" t="s">
        <v>31</v>
      </c>
      <c r="O355" s="242" t="s">
        <v>337</v>
      </c>
      <c r="P355" s="311">
        <v>4.1000000000000003E-3</v>
      </c>
    </row>
    <row r="356" spans="1:18">
      <c r="A356" s="232" t="s">
        <v>1113</v>
      </c>
      <c r="B356" s="265">
        <f>P356</f>
        <v>3.3E-3</v>
      </c>
      <c r="C356" s="173" t="s">
        <v>37</v>
      </c>
      <c r="D356" s="173" t="s">
        <v>38</v>
      </c>
      <c r="E356" s="173" t="s">
        <v>29</v>
      </c>
      <c r="F356" s="173" t="s">
        <v>35</v>
      </c>
      <c r="G356" s="173" t="s">
        <v>33</v>
      </c>
      <c r="H356" s="173">
        <v>2</v>
      </c>
      <c r="I356" s="173">
        <f t="shared" si="40"/>
        <v>-5.7138328105097029</v>
      </c>
      <c r="J356" s="343">
        <v>0.22516660498395411</v>
      </c>
      <c r="K356" s="173" t="s">
        <v>31</v>
      </c>
      <c r="L356" s="173" t="s">
        <v>31</v>
      </c>
      <c r="M356" s="173" t="s">
        <v>31</v>
      </c>
      <c r="O356" s="242" t="s">
        <v>337</v>
      </c>
      <c r="P356" s="311">
        <v>3.3E-3</v>
      </c>
    </row>
    <row r="357" spans="1:18">
      <c r="A357" s="232" t="s">
        <v>1114</v>
      </c>
      <c r="B357" s="265">
        <f>P357</f>
        <v>2.9000000000000001E-2</v>
      </c>
      <c r="C357" s="173" t="s">
        <v>37</v>
      </c>
      <c r="D357" s="173" t="s">
        <v>38</v>
      </c>
      <c r="E357" s="173" t="s">
        <v>29</v>
      </c>
      <c r="F357" s="173" t="s">
        <v>35</v>
      </c>
      <c r="G357" s="173" t="s">
        <v>33</v>
      </c>
      <c r="H357" s="173">
        <v>2</v>
      </c>
      <c r="I357" s="173">
        <f t="shared" si="40"/>
        <v>-3.5404594489956631</v>
      </c>
      <c r="J357" s="343">
        <v>0.22516660498395411</v>
      </c>
      <c r="K357" s="173" t="s">
        <v>31</v>
      </c>
      <c r="L357" s="173" t="s">
        <v>31</v>
      </c>
      <c r="M357" s="173" t="s">
        <v>31</v>
      </c>
      <c r="O357" s="242" t="s">
        <v>337</v>
      </c>
      <c r="P357" s="264">
        <v>2.9000000000000001E-2</v>
      </c>
    </row>
    <row r="358" spans="1:18">
      <c r="A358" s="232" t="s">
        <v>1115</v>
      </c>
      <c r="B358" s="265">
        <f>R358</f>
        <v>1.7000000000000001E-4</v>
      </c>
      <c r="C358" s="173" t="s">
        <v>37</v>
      </c>
      <c r="D358" s="173" t="s">
        <v>43</v>
      </c>
      <c r="E358" s="173" t="s">
        <v>44</v>
      </c>
      <c r="F358" s="173" t="s">
        <v>29</v>
      </c>
      <c r="G358" s="173" t="s">
        <v>45</v>
      </c>
      <c r="H358" s="173">
        <v>2</v>
      </c>
      <c r="I358" s="173">
        <f t="shared" si="40"/>
        <v>-8.6797121209140116</v>
      </c>
      <c r="J358" s="343">
        <v>0.10344080432788608</v>
      </c>
      <c r="K358" s="173" t="s">
        <v>31</v>
      </c>
      <c r="L358" s="173" t="s">
        <v>31</v>
      </c>
      <c r="M358" s="173" t="s">
        <v>31</v>
      </c>
      <c r="O358" s="266" t="s">
        <v>947</v>
      </c>
      <c r="P358" s="267">
        <v>0.17</v>
      </c>
      <c r="Q358" s="173" t="s">
        <v>337</v>
      </c>
      <c r="R358" s="265">
        <f>0.001*P358</f>
        <v>1.7000000000000001E-4</v>
      </c>
    </row>
    <row r="359" spans="1:18">
      <c r="A359" s="232" t="s">
        <v>48</v>
      </c>
      <c r="B359" s="265">
        <f t="shared" ref="B359:B361" si="41">R359</f>
        <v>2E-3</v>
      </c>
      <c r="C359" s="173" t="s">
        <v>37</v>
      </c>
      <c r="D359" s="173" t="s">
        <v>43</v>
      </c>
      <c r="E359" s="173" t="s">
        <v>44</v>
      </c>
      <c r="F359" s="173" t="s">
        <v>29</v>
      </c>
      <c r="G359" s="173" t="s">
        <v>45</v>
      </c>
      <c r="H359" s="173">
        <v>2</v>
      </c>
      <c r="I359" s="173">
        <f t="shared" si="40"/>
        <v>-6.2146080984221914</v>
      </c>
      <c r="J359" s="343">
        <v>0.10344080432788608</v>
      </c>
      <c r="K359" s="173" t="s">
        <v>31</v>
      </c>
      <c r="L359" s="173" t="s">
        <v>31</v>
      </c>
      <c r="M359" s="173" t="s">
        <v>31</v>
      </c>
      <c r="O359" s="266" t="s">
        <v>947</v>
      </c>
      <c r="P359" s="267">
        <v>2</v>
      </c>
      <c r="Q359" s="173" t="s">
        <v>337</v>
      </c>
      <c r="R359" s="265">
        <f>0.001*P359</f>
        <v>2E-3</v>
      </c>
    </row>
    <row r="360" spans="1:18">
      <c r="A360" s="232" t="s">
        <v>46</v>
      </c>
      <c r="B360" s="265">
        <f t="shared" si="41"/>
        <v>1E-3</v>
      </c>
      <c r="C360" s="173" t="s">
        <v>37</v>
      </c>
      <c r="D360" s="173" t="s">
        <v>43</v>
      </c>
      <c r="E360" s="173" t="s">
        <v>44</v>
      </c>
      <c r="F360" s="173" t="s">
        <v>29</v>
      </c>
      <c r="G360" s="173" t="s">
        <v>45</v>
      </c>
      <c r="H360" s="173">
        <v>2</v>
      </c>
      <c r="I360" s="173">
        <f t="shared" si="40"/>
        <v>-6.9077552789821368</v>
      </c>
      <c r="J360" s="343">
        <v>0.10344080432788608</v>
      </c>
      <c r="K360" s="173" t="s">
        <v>31</v>
      </c>
      <c r="L360" s="173" t="s">
        <v>31</v>
      </c>
      <c r="M360" s="173" t="s">
        <v>31</v>
      </c>
      <c r="O360" s="266" t="s">
        <v>947</v>
      </c>
      <c r="P360" s="267">
        <v>1</v>
      </c>
      <c r="Q360" s="173" t="s">
        <v>337</v>
      </c>
      <c r="R360" s="265">
        <f>0.001*P360</f>
        <v>1E-3</v>
      </c>
    </row>
    <row r="361" spans="1:18">
      <c r="A361" s="232" t="s">
        <v>941</v>
      </c>
      <c r="B361" s="265">
        <f t="shared" si="41"/>
        <v>6.7000000000000002E-4</v>
      </c>
      <c r="C361" s="173" t="s">
        <v>37</v>
      </c>
      <c r="D361" s="173" t="s">
        <v>43</v>
      </c>
      <c r="E361" s="173" t="s">
        <v>44</v>
      </c>
      <c r="F361" s="173" t="s">
        <v>29</v>
      </c>
      <c r="G361" s="173" t="s">
        <v>45</v>
      </c>
      <c r="H361" s="173">
        <v>2</v>
      </c>
      <c r="I361" s="173">
        <f t="shared" si="40"/>
        <v>-7.308232845579262</v>
      </c>
      <c r="J361" s="343">
        <v>0.10344080432788608</v>
      </c>
      <c r="K361" s="173" t="s">
        <v>31</v>
      </c>
      <c r="L361" s="173" t="s">
        <v>31</v>
      </c>
      <c r="M361" s="173" t="s">
        <v>31</v>
      </c>
      <c r="O361" s="266" t="s">
        <v>947</v>
      </c>
      <c r="P361" s="267">
        <v>0.67</v>
      </c>
      <c r="Q361" s="173" t="s">
        <v>337</v>
      </c>
      <c r="R361" s="265">
        <f>0.001*P361</f>
        <v>6.7000000000000002E-4</v>
      </c>
    </row>
    <row r="362" spans="1:18">
      <c r="A362" s="173" t="s">
        <v>1287</v>
      </c>
      <c r="B362" s="265">
        <f>P362</f>
        <v>9.1000000000000004E-3</v>
      </c>
      <c r="C362" s="173" t="s">
        <v>37</v>
      </c>
      <c r="D362" s="258" t="s">
        <v>2</v>
      </c>
      <c r="E362" s="173" t="s">
        <v>29</v>
      </c>
      <c r="F362" s="185" t="s">
        <v>39</v>
      </c>
      <c r="G362" s="173" t="s">
        <v>33</v>
      </c>
      <c r="H362" s="173">
        <v>2</v>
      </c>
      <c r="I362" s="173">
        <f t="shared" si="40"/>
        <v>-4.699480865459333</v>
      </c>
      <c r="J362" s="173">
        <v>0.11269427669584645</v>
      </c>
      <c r="K362" s="173" t="s">
        <v>31</v>
      </c>
      <c r="L362" s="173" t="s">
        <v>31</v>
      </c>
      <c r="M362" s="173" t="s">
        <v>31</v>
      </c>
      <c r="O362" s="268" t="s">
        <v>337</v>
      </c>
      <c r="P362" s="312">
        <v>9.1000000000000004E-3</v>
      </c>
    </row>
    <row r="363" spans="1:18">
      <c r="P363" s="348"/>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B8143-BD07-4764-8EE0-A350F0767083}">
  <dimension ref="A1:Q49"/>
  <sheetViews>
    <sheetView workbookViewId="0">
      <selection activeCell="D23" sqref="D23"/>
    </sheetView>
  </sheetViews>
  <sheetFormatPr defaultColWidth="8.85546875" defaultRowHeight="15"/>
  <cols>
    <col min="1" max="1" width="30.28515625" style="405" customWidth="1"/>
    <col min="2" max="2" width="43.42578125" style="405" bestFit="1" customWidth="1"/>
    <col min="3" max="3" width="10.140625" style="405" customWidth="1"/>
    <col min="4" max="4" width="31" style="405" bestFit="1" customWidth="1"/>
    <col min="5" max="5" width="12" style="405" customWidth="1"/>
    <col min="6" max="7" width="8.85546875" style="405"/>
    <col min="8" max="8" width="16.140625" style="405" customWidth="1"/>
    <col min="9" max="11" width="8.85546875" style="405"/>
    <col min="12" max="13" width="11.28515625" style="405" customWidth="1"/>
    <col min="14" max="14" width="12.140625" style="405" customWidth="1"/>
    <col min="15" max="15" width="15.7109375" style="405" customWidth="1"/>
    <col min="16" max="16384" width="8.85546875" style="405"/>
  </cols>
  <sheetData>
    <row r="1" spans="1:17" s="293" customFormat="1" ht="12.75">
      <c r="A1" s="293" t="s">
        <v>3</v>
      </c>
      <c r="B1" s="293" t="s">
        <v>4</v>
      </c>
      <c r="C1" s="408"/>
    </row>
    <row r="2" spans="1:17" ht="15.75">
      <c r="A2" s="409" t="s">
        <v>5</v>
      </c>
      <c r="B2" s="409" t="s">
        <v>34</v>
      </c>
      <c r="C2" s="410"/>
      <c r="D2" s="411"/>
      <c r="E2" s="411"/>
      <c r="F2" s="411"/>
      <c r="G2" s="411"/>
      <c r="H2" s="411"/>
      <c r="I2" s="411"/>
      <c r="J2" s="411"/>
      <c r="K2" s="411"/>
      <c r="L2" s="411"/>
      <c r="M2" s="411"/>
      <c r="N2" s="411"/>
    </row>
    <row r="3" spans="1:17" s="293" customFormat="1" ht="12.75">
      <c r="A3" s="293" t="s">
        <v>7</v>
      </c>
      <c r="B3" s="293" t="s">
        <v>152</v>
      </c>
      <c r="O3" s="485" t="s">
        <v>153</v>
      </c>
      <c r="P3" s="486"/>
      <c r="Q3" s="487"/>
    </row>
    <row r="4" spans="1:17" s="293" customFormat="1" ht="12.75">
      <c r="A4" s="293" t="s">
        <v>9</v>
      </c>
      <c r="B4" s="293" t="s">
        <v>154</v>
      </c>
      <c r="O4" s="412" t="s">
        <v>155</v>
      </c>
      <c r="P4" s="413" t="s">
        <v>156</v>
      </c>
      <c r="Q4" s="414" t="s">
        <v>157</v>
      </c>
    </row>
    <row r="5" spans="1:17" s="293" customFormat="1" ht="12.75">
      <c r="A5" s="293" t="s">
        <v>11</v>
      </c>
      <c r="B5" s="293" t="s">
        <v>158</v>
      </c>
      <c r="O5" s="415" t="s">
        <v>34</v>
      </c>
      <c r="P5" s="416">
        <v>1</v>
      </c>
      <c r="Q5" s="417">
        <f>P5/P5</f>
        <v>1</v>
      </c>
    </row>
    <row r="6" spans="1:17" s="293" customFormat="1" ht="12.75">
      <c r="A6" s="293" t="s">
        <v>13</v>
      </c>
      <c r="B6" s="293" t="s">
        <v>35</v>
      </c>
      <c r="O6" s="415" t="s">
        <v>159</v>
      </c>
      <c r="P6" s="416">
        <v>100</v>
      </c>
      <c r="Q6" s="417">
        <f>P5/P6</f>
        <v>0.01</v>
      </c>
    </row>
    <row r="7" spans="1:17" s="293" customFormat="1" ht="12.75">
      <c r="A7" s="293" t="s">
        <v>15</v>
      </c>
      <c r="B7" s="185">
        <v>1</v>
      </c>
      <c r="O7" s="418" t="s">
        <v>160</v>
      </c>
      <c r="P7" s="419">
        <v>100</v>
      </c>
      <c r="Q7" s="420">
        <f>P5/P7</f>
        <v>0.01</v>
      </c>
    </row>
    <row r="8" spans="1:17" s="293" customFormat="1" ht="12.75">
      <c r="A8" s="293" t="s">
        <v>16</v>
      </c>
      <c r="B8" s="293" t="s">
        <v>17</v>
      </c>
    </row>
    <row r="9" spans="1:17" s="293" customFormat="1" ht="12.75">
      <c r="A9" s="293" t="s">
        <v>18</v>
      </c>
      <c r="B9" s="293" t="s">
        <v>18</v>
      </c>
    </row>
    <row r="10" spans="1:17" ht="15.75">
      <c r="A10" s="407" t="s">
        <v>19</v>
      </c>
    </row>
    <row r="11" spans="1:17" ht="15.75">
      <c r="A11" s="407" t="s">
        <v>20</v>
      </c>
      <c r="B11" s="407" t="s">
        <v>21</v>
      </c>
      <c r="C11" s="407" t="s">
        <v>18</v>
      </c>
      <c r="D11" s="407" t="s">
        <v>22</v>
      </c>
      <c r="E11" s="407" t="s">
        <v>7</v>
      </c>
      <c r="F11" s="407" t="s">
        <v>13</v>
      </c>
      <c r="G11" s="407" t="s">
        <v>16</v>
      </c>
      <c r="H11" s="407" t="s">
        <v>23</v>
      </c>
      <c r="I11" s="407" t="s">
        <v>24</v>
      </c>
      <c r="J11" s="407" t="s">
        <v>25</v>
      </c>
      <c r="K11" s="407" t="s">
        <v>26</v>
      </c>
      <c r="L11" s="407" t="s">
        <v>27</v>
      </c>
      <c r="M11" s="407" t="s">
        <v>28</v>
      </c>
      <c r="N11" s="407" t="s">
        <v>161</v>
      </c>
    </row>
    <row r="12" spans="1:17" s="293" customFormat="1" ht="12.75">
      <c r="A12" s="293" t="s">
        <v>34</v>
      </c>
      <c r="B12" s="293">
        <f>B7</f>
        <v>1</v>
      </c>
      <c r="C12" s="293" t="str">
        <f>B9</f>
        <v>unit</v>
      </c>
      <c r="D12" s="293" t="s">
        <v>2</v>
      </c>
      <c r="E12" s="293" t="s">
        <v>29</v>
      </c>
      <c r="F12" s="293" t="str">
        <f>B6</f>
        <v>RER</v>
      </c>
      <c r="G12" s="293" t="s">
        <v>30</v>
      </c>
      <c r="H12" s="293">
        <v>0</v>
      </c>
      <c r="I12" s="293">
        <f>B12</f>
        <v>1</v>
      </c>
      <c r="J12" s="293" t="s">
        <v>31</v>
      </c>
      <c r="K12" s="293" t="s">
        <v>31</v>
      </c>
      <c r="L12" s="293" t="s">
        <v>31</v>
      </c>
      <c r="M12" s="293" t="s">
        <v>31</v>
      </c>
    </row>
    <row r="13" spans="1:17" s="293" customFormat="1" ht="12.75">
      <c r="A13" s="185" t="s">
        <v>159</v>
      </c>
      <c r="B13" s="421">
        <f>1*Q6</f>
        <v>0.01</v>
      </c>
      <c r="C13" s="293" t="s">
        <v>18</v>
      </c>
      <c r="D13" s="293" t="s">
        <v>2</v>
      </c>
      <c r="E13" s="293" t="s">
        <v>29</v>
      </c>
      <c r="F13" s="293" t="s">
        <v>162</v>
      </c>
      <c r="G13" s="293" t="s">
        <v>33</v>
      </c>
      <c r="H13" s="293">
        <v>0</v>
      </c>
      <c r="I13" s="293">
        <f t="shared" ref="I13" si="0">B13</f>
        <v>0.01</v>
      </c>
      <c r="J13" s="293" t="s">
        <v>31</v>
      </c>
      <c r="K13" s="293" t="s">
        <v>31</v>
      </c>
      <c r="L13" s="293" t="s">
        <v>31</v>
      </c>
      <c r="M13" s="293" t="s">
        <v>31</v>
      </c>
      <c r="N13" s="293" t="s">
        <v>163</v>
      </c>
    </row>
    <row r="14" spans="1:17" s="293" customFormat="1" ht="12.75">
      <c r="A14" s="185" t="s">
        <v>164</v>
      </c>
      <c r="B14" s="422">
        <f>(0)*0.846</f>
        <v>0</v>
      </c>
      <c r="C14" s="293" t="s">
        <v>37</v>
      </c>
      <c r="D14" s="293" t="s">
        <v>38</v>
      </c>
      <c r="E14" s="293" t="s">
        <v>29</v>
      </c>
      <c r="F14" s="293" t="s">
        <v>60</v>
      </c>
      <c r="G14" s="293" t="s">
        <v>33</v>
      </c>
      <c r="H14" s="293">
        <v>0</v>
      </c>
      <c r="I14" s="293">
        <v>0</v>
      </c>
      <c r="J14" s="293">
        <v>1.0523125754508578</v>
      </c>
      <c r="K14" s="293" t="s">
        <v>31</v>
      </c>
      <c r="L14" s="293" t="s">
        <v>31</v>
      </c>
      <c r="M14" s="293" t="s">
        <v>31</v>
      </c>
      <c r="N14" s="293" t="s">
        <v>165</v>
      </c>
    </row>
    <row r="15" spans="1:17" s="293" customFormat="1" ht="12.75">
      <c r="A15" s="185" t="s">
        <v>166</v>
      </c>
      <c r="B15" s="422">
        <v>1170.7317073170732</v>
      </c>
      <c r="C15" s="293" t="s">
        <v>37</v>
      </c>
      <c r="D15" s="293" t="s">
        <v>38</v>
      </c>
      <c r="E15" s="293" t="s">
        <v>29</v>
      </c>
      <c r="F15" s="293" t="s">
        <v>60</v>
      </c>
      <c r="G15" s="293" t="s">
        <v>33</v>
      </c>
      <c r="H15" s="293">
        <v>2</v>
      </c>
      <c r="I15" s="293">
        <f>LN(B15)</f>
        <v>7.0653842231857205</v>
      </c>
      <c r="J15" s="293">
        <v>1.0268106203456886</v>
      </c>
      <c r="K15" s="293" t="s">
        <v>31</v>
      </c>
      <c r="L15" s="293" t="s">
        <v>31</v>
      </c>
      <c r="M15" s="293" t="s">
        <v>31</v>
      </c>
      <c r="N15" s="293" t="s">
        <v>167</v>
      </c>
    </row>
    <row r="16" spans="1:17" s="293" customFormat="1" ht="12.75">
      <c r="A16" s="185" t="s">
        <v>168</v>
      </c>
      <c r="B16" s="422">
        <f>3495301+(1200+14125+610+3600)</f>
        <v>3514836</v>
      </c>
      <c r="C16" s="293" t="s">
        <v>41</v>
      </c>
      <c r="D16" s="293" t="s">
        <v>38</v>
      </c>
      <c r="E16" s="293" t="s">
        <v>29</v>
      </c>
      <c r="F16" s="293" t="s">
        <v>14</v>
      </c>
      <c r="G16" s="293" t="s">
        <v>33</v>
      </c>
      <c r="H16" s="293">
        <v>2</v>
      </c>
      <c r="I16" s="293">
        <f>LN(B16)</f>
        <v>15.072503424954922</v>
      </c>
      <c r="J16" s="293">
        <v>1.0523125754508578</v>
      </c>
      <c r="K16" s="293" t="s">
        <v>31</v>
      </c>
      <c r="L16" s="293" t="s">
        <v>31</v>
      </c>
      <c r="M16" s="293" t="s">
        <v>31</v>
      </c>
      <c r="N16" s="293" t="s">
        <v>169</v>
      </c>
    </row>
    <row r="17" spans="1:14" s="293" customFormat="1" ht="12.75">
      <c r="A17" s="185" t="s">
        <v>170</v>
      </c>
      <c r="B17" s="422">
        <v>315000</v>
      </c>
      <c r="C17" s="293" t="s">
        <v>50</v>
      </c>
      <c r="D17" s="293" t="s">
        <v>38</v>
      </c>
      <c r="E17" s="293" t="s">
        <v>29</v>
      </c>
      <c r="F17" s="293" t="s">
        <v>14</v>
      </c>
      <c r="G17" s="293" t="s">
        <v>33</v>
      </c>
      <c r="H17" s="293">
        <v>2</v>
      </c>
      <c r="I17" s="293">
        <f>LN(B17)</f>
        <v>12.66032791780777</v>
      </c>
      <c r="J17" s="293">
        <v>1.0523125754508578</v>
      </c>
      <c r="K17" s="293" t="s">
        <v>31</v>
      </c>
      <c r="L17" s="293" t="s">
        <v>31</v>
      </c>
      <c r="M17" s="293" t="s">
        <v>31</v>
      </c>
      <c r="N17" s="293" t="s">
        <v>171</v>
      </c>
    </row>
    <row r="18" spans="1:14" s="293" customFormat="1" ht="12.75">
      <c r="A18" s="185" t="s">
        <v>172</v>
      </c>
      <c r="B18" s="422">
        <v>31369447</v>
      </c>
      <c r="C18" s="293" t="s">
        <v>37</v>
      </c>
      <c r="D18" s="293" t="s">
        <v>38</v>
      </c>
      <c r="E18" s="293" t="s">
        <v>29</v>
      </c>
      <c r="F18" s="293" t="s">
        <v>35</v>
      </c>
      <c r="G18" s="293" t="s">
        <v>33</v>
      </c>
      <c r="H18" s="293">
        <v>2</v>
      </c>
      <c r="I18" s="293">
        <f>LN(B18)</f>
        <v>17.261344951704181</v>
      </c>
      <c r="J18" s="293">
        <v>1.0268106203456886</v>
      </c>
      <c r="K18" s="293" t="s">
        <v>31</v>
      </c>
      <c r="L18" s="293" t="s">
        <v>31</v>
      </c>
      <c r="M18" s="293" t="s">
        <v>31</v>
      </c>
      <c r="N18" s="293" t="s">
        <v>173</v>
      </c>
    </row>
    <row r="19" spans="1:14" s="293" customFormat="1" ht="12.75">
      <c r="A19" s="185" t="s">
        <v>174</v>
      </c>
      <c r="B19" s="422">
        <f>0.437*2216688</f>
        <v>968692.65599999996</v>
      </c>
      <c r="C19" s="293" t="s">
        <v>37</v>
      </c>
      <c r="D19" s="293" t="s">
        <v>2</v>
      </c>
      <c r="E19" s="293" t="s">
        <v>29</v>
      </c>
      <c r="F19" s="293" t="s">
        <v>35</v>
      </c>
      <c r="G19" s="293" t="s">
        <v>33</v>
      </c>
      <c r="H19" s="293">
        <v>2</v>
      </c>
      <c r="I19" s="293">
        <f t="shared" ref="I19:I20" si="1">LN(B19)</f>
        <v>13.783702664091219</v>
      </c>
      <c r="J19" s="293">
        <v>1.223608598770918</v>
      </c>
      <c r="K19" s="293" t="s">
        <v>31</v>
      </c>
      <c r="L19" s="293" t="s">
        <v>31</v>
      </c>
      <c r="M19" s="293" t="s">
        <v>31</v>
      </c>
      <c r="N19" s="293" t="s">
        <v>175</v>
      </c>
    </row>
    <row r="20" spans="1:14" s="293" customFormat="1" ht="12.75">
      <c r="A20" s="185" t="s">
        <v>176</v>
      </c>
      <c r="B20" s="422">
        <f>0.35*1104428</f>
        <v>386549.8</v>
      </c>
      <c r="C20" s="293" t="s">
        <v>37</v>
      </c>
      <c r="D20" s="293" t="s">
        <v>2</v>
      </c>
      <c r="E20" s="293" t="s">
        <v>29</v>
      </c>
      <c r="F20" s="293" t="s">
        <v>35</v>
      </c>
      <c r="G20" s="293" t="s">
        <v>33</v>
      </c>
      <c r="H20" s="293">
        <v>2</v>
      </c>
      <c r="I20" s="293">
        <f t="shared" si="1"/>
        <v>12.865015987350997</v>
      </c>
      <c r="J20" s="293">
        <v>1.223608598770918</v>
      </c>
      <c r="K20" s="293" t="s">
        <v>31</v>
      </c>
      <c r="L20" s="293" t="s">
        <v>31</v>
      </c>
      <c r="M20" s="293" t="s">
        <v>31</v>
      </c>
      <c r="N20" s="293" t="s">
        <v>177</v>
      </c>
    </row>
    <row r="21" spans="1:14" s="293" customFormat="1" ht="12.75">
      <c r="A21" s="185" t="s">
        <v>178</v>
      </c>
      <c r="B21" s="421">
        <f>1*Q7</f>
        <v>0.01</v>
      </c>
      <c r="C21" s="293" t="s">
        <v>18</v>
      </c>
      <c r="D21" s="293" t="s">
        <v>2</v>
      </c>
      <c r="E21" s="293" t="s">
        <v>29</v>
      </c>
      <c r="F21" s="293" t="s">
        <v>35</v>
      </c>
      <c r="G21" s="293" t="s">
        <v>33</v>
      </c>
      <c r="H21" s="293">
        <v>0</v>
      </c>
      <c r="I21" s="293">
        <f t="shared" ref="I21" si="2">B21</f>
        <v>0.01</v>
      </c>
      <c r="J21" s="293" t="s">
        <v>31</v>
      </c>
      <c r="K21" s="293" t="s">
        <v>31</v>
      </c>
      <c r="L21" s="293" t="s">
        <v>31</v>
      </c>
      <c r="M21" s="293" t="s">
        <v>31</v>
      </c>
      <c r="N21" s="293" t="s">
        <v>179</v>
      </c>
    </row>
    <row r="22" spans="1:14" s="293" customFormat="1" ht="12.75">
      <c r="A22" s="185" t="s">
        <v>180</v>
      </c>
      <c r="B22" s="421">
        <v>0.05</v>
      </c>
      <c r="C22" s="293" t="s">
        <v>18</v>
      </c>
      <c r="D22" s="293" t="s">
        <v>2</v>
      </c>
      <c r="E22" s="293" t="s">
        <v>29</v>
      </c>
      <c r="F22" s="293" t="s">
        <v>60</v>
      </c>
      <c r="G22" s="293" t="s">
        <v>33</v>
      </c>
      <c r="H22" s="293">
        <v>0</v>
      </c>
      <c r="I22" s="293">
        <v>0.05</v>
      </c>
      <c r="J22" s="293" t="s">
        <v>31</v>
      </c>
      <c r="K22" s="293" t="s">
        <v>31</v>
      </c>
      <c r="L22" s="293" t="s">
        <v>31</v>
      </c>
      <c r="M22" s="293" t="s">
        <v>31</v>
      </c>
    </row>
    <row r="23" spans="1:14" ht="15.75">
      <c r="A23" s="409" t="s">
        <v>5</v>
      </c>
      <c r="B23" s="409" t="s">
        <v>174</v>
      </c>
      <c r="C23" s="410"/>
      <c r="D23" s="411"/>
      <c r="E23" s="411"/>
      <c r="F23" s="411"/>
      <c r="G23" s="411"/>
      <c r="H23" s="411"/>
      <c r="I23" s="411"/>
      <c r="J23" s="411"/>
      <c r="K23" s="411"/>
      <c r="L23" s="411"/>
      <c r="M23" s="411"/>
      <c r="N23" s="411"/>
    </row>
    <row r="24" spans="1:14" s="293" customFormat="1" ht="12.75">
      <c r="A24" s="293" t="s">
        <v>7</v>
      </c>
      <c r="B24" s="293" t="s">
        <v>152</v>
      </c>
    </row>
    <row r="25" spans="1:14" s="293" customFormat="1" ht="12.75">
      <c r="A25" s="293" t="s">
        <v>9</v>
      </c>
      <c r="B25" s="293" t="s">
        <v>181</v>
      </c>
    </row>
    <row r="26" spans="1:14" s="293" customFormat="1" ht="12.75">
      <c r="A26" s="293" t="s">
        <v>11</v>
      </c>
      <c r="B26" s="293" t="s">
        <v>182</v>
      </c>
    </row>
    <row r="27" spans="1:14" s="293" customFormat="1" ht="12.75">
      <c r="A27" s="293" t="s">
        <v>13</v>
      </c>
      <c r="B27" s="293" t="s">
        <v>35</v>
      </c>
    </row>
    <row r="28" spans="1:14" s="293" customFormat="1" ht="12.75">
      <c r="A28" s="293" t="s">
        <v>15</v>
      </c>
      <c r="B28" s="185">
        <v>1</v>
      </c>
    </row>
    <row r="29" spans="1:14" s="293" customFormat="1" ht="12.75">
      <c r="A29" s="293" t="s">
        <v>16</v>
      </c>
      <c r="B29" s="293" t="s">
        <v>17</v>
      </c>
    </row>
    <row r="30" spans="1:14" s="293" customFormat="1" ht="12.75">
      <c r="A30" s="293" t="s">
        <v>18</v>
      </c>
      <c r="B30" s="293" t="s">
        <v>37</v>
      </c>
    </row>
    <row r="31" spans="1:14" ht="15.75">
      <c r="A31" s="407" t="s">
        <v>19</v>
      </c>
    </row>
    <row r="32" spans="1:14" ht="15.75">
      <c r="A32" s="407" t="s">
        <v>20</v>
      </c>
      <c r="B32" s="407" t="s">
        <v>21</v>
      </c>
      <c r="C32" s="407" t="s">
        <v>18</v>
      </c>
      <c r="D32" s="407" t="s">
        <v>22</v>
      </c>
      <c r="E32" s="407" t="s">
        <v>7</v>
      </c>
      <c r="F32" s="407" t="s">
        <v>13</v>
      </c>
      <c r="G32" s="407" t="s">
        <v>16</v>
      </c>
      <c r="H32" s="407" t="s">
        <v>23</v>
      </c>
      <c r="I32" s="407" t="s">
        <v>24</v>
      </c>
      <c r="J32" s="407" t="s">
        <v>25</v>
      </c>
      <c r="K32" s="407" t="s">
        <v>26</v>
      </c>
      <c r="L32" s="407" t="s">
        <v>27</v>
      </c>
      <c r="M32" s="407" t="s">
        <v>28</v>
      </c>
      <c r="N32" s="407" t="s">
        <v>161</v>
      </c>
    </row>
    <row r="33" spans="1:14" s="293" customFormat="1" ht="12.75">
      <c r="A33" s="293" t="s">
        <v>174</v>
      </c>
      <c r="B33" s="293">
        <f>B28</f>
        <v>1</v>
      </c>
      <c r="C33" s="293" t="str">
        <f>B30</f>
        <v>kilogram</v>
      </c>
      <c r="D33" s="293" t="s">
        <v>2</v>
      </c>
      <c r="E33" s="293" t="s">
        <v>29</v>
      </c>
      <c r="F33" s="293" t="str">
        <f>B27</f>
        <v>RER</v>
      </c>
      <c r="G33" s="293" t="s">
        <v>30</v>
      </c>
      <c r="H33" s="293">
        <v>0</v>
      </c>
      <c r="I33" s="293">
        <f>B33</f>
        <v>1</v>
      </c>
      <c r="J33" s="293" t="s">
        <v>31</v>
      </c>
      <c r="K33" s="293" t="s">
        <v>31</v>
      </c>
      <c r="L33" s="293" t="s">
        <v>31</v>
      </c>
      <c r="M33" s="293" t="s">
        <v>31</v>
      </c>
    </row>
    <row r="34" spans="1:14" s="293" customFormat="1" ht="12.75">
      <c r="A34" s="293" t="s">
        <v>183</v>
      </c>
      <c r="B34" s="422">
        <v>-1</v>
      </c>
      <c r="C34" s="293" t="s">
        <v>37</v>
      </c>
      <c r="D34" s="293" t="s">
        <v>38</v>
      </c>
      <c r="E34" s="293" t="s">
        <v>29</v>
      </c>
      <c r="F34" s="293" t="s">
        <v>35</v>
      </c>
      <c r="G34" s="293" t="s">
        <v>33</v>
      </c>
      <c r="H34" s="293">
        <v>0</v>
      </c>
      <c r="I34" s="422">
        <f>B34</f>
        <v>-1</v>
      </c>
      <c r="J34" s="293" t="s">
        <v>31</v>
      </c>
      <c r="K34" s="293" t="s">
        <v>31</v>
      </c>
      <c r="L34" s="293" t="s">
        <v>31</v>
      </c>
      <c r="M34" s="293" t="s">
        <v>31</v>
      </c>
      <c r="N34" s="293" t="s">
        <v>184</v>
      </c>
    </row>
    <row r="35" spans="1:14" ht="15.75">
      <c r="A35" s="409" t="s">
        <v>5</v>
      </c>
      <c r="B35" s="409" t="s">
        <v>176</v>
      </c>
      <c r="C35" s="410"/>
      <c r="D35" s="411"/>
      <c r="E35" s="411"/>
      <c r="F35" s="411"/>
      <c r="G35" s="411"/>
      <c r="H35" s="411"/>
      <c r="I35" s="411"/>
      <c r="J35" s="411"/>
      <c r="K35" s="411"/>
      <c r="L35" s="411"/>
      <c r="M35" s="411"/>
      <c r="N35" s="411"/>
    </row>
    <row r="36" spans="1:14" s="293" customFormat="1" ht="12.75">
      <c r="A36" s="293" t="s">
        <v>7</v>
      </c>
      <c r="B36" s="293" t="s">
        <v>152</v>
      </c>
    </row>
    <row r="37" spans="1:14" s="293" customFormat="1" ht="12.75">
      <c r="A37" s="293" t="s">
        <v>9</v>
      </c>
      <c r="B37" s="293" t="s">
        <v>185</v>
      </c>
    </row>
    <row r="38" spans="1:14" s="293" customFormat="1" ht="12.75">
      <c r="A38" s="293" t="s">
        <v>11</v>
      </c>
      <c r="B38" s="293" t="s">
        <v>186</v>
      </c>
    </row>
    <row r="39" spans="1:14" s="293" customFormat="1" ht="12.75">
      <c r="A39" s="293" t="s">
        <v>13</v>
      </c>
      <c r="B39" s="293" t="s">
        <v>35</v>
      </c>
    </row>
    <row r="40" spans="1:14" s="293" customFormat="1" ht="12.75">
      <c r="A40" s="293" t="s">
        <v>15</v>
      </c>
      <c r="B40" s="185">
        <v>1</v>
      </c>
    </row>
    <row r="41" spans="1:14" s="293" customFormat="1" ht="12.75">
      <c r="A41" s="293" t="s">
        <v>16</v>
      </c>
      <c r="B41" s="293" t="s">
        <v>17</v>
      </c>
    </row>
    <row r="42" spans="1:14" s="293" customFormat="1" ht="12.75">
      <c r="A42" s="293" t="s">
        <v>18</v>
      </c>
      <c r="B42" s="293" t="s">
        <v>37</v>
      </c>
    </row>
    <row r="43" spans="1:14" ht="15.75">
      <c r="A43" s="407" t="s">
        <v>19</v>
      </c>
    </row>
    <row r="44" spans="1:14" ht="15.75">
      <c r="A44" s="407" t="s">
        <v>20</v>
      </c>
      <c r="B44" s="407" t="s">
        <v>21</v>
      </c>
      <c r="C44" s="407" t="s">
        <v>18</v>
      </c>
      <c r="D44" s="407" t="s">
        <v>22</v>
      </c>
      <c r="E44" s="407" t="s">
        <v>7</v>
      </c>
      <c r="F44" s="407" t="s">
        <v>13</v>
      </c>
      <c r="G44" s="407" t="s">
        <v>16</v>
      </c>
      <c r="H44" s="407" t="s">
        <v>23</v>
      </c>
      <c r="I44" s="407" t="s">
        <v>24</v>
      </c>
      <c r="J44" s="407" t="s">
        <v>25</v>
      </c>
      <c r="K44" s="407" t="s">
        <v>26</v>
      </c>
      <c r="L44" s="407" t="s">
        <v>27</v>
      </c>
      <c r="M44" s="407" t="s">
        <v>28</v>
      </c>
      <c r="N44" s="407" t="s">
        <v>161</v>
      </c>
    </row>
    <row r="45" spans="1:14" s="293" customFormat="1" ht="12.75">
      <c r="A45" s="293" t="s">
        <v>176</v>
      </c>
      <c r="B45" s="293">
        <f>B40</f>
        <v>1</v>
      </c>
      <c r="C45" s="293" t="str">
        <f>B42</f>
        <v>kilogram</v>
      </c>
      <c r="D45" s="293" t="s">
        <v>2</v>
      </c>
      <c r="E45" s="293" t="s">
        <v>29</v>
      </c>
      <c r="F45" s="293" t="str">
        <f>B39</f>
        <v>RER</v>
      </c>
      <c r="G45" s="293" t="s">
        <v>30</v>
      </c>
      <c r="H45" s="293">
        <v>0</v>
      </c>
      <c r="I45" s="293">
        <f>B45</f>
        <v>1</v>
      </c>
      <c r="J45" s="293" t="s">
        <v>31</v>
      </c>
      <c r="K45" s="293" t="s">
        <v>31</v>
      </c>
      <c r="L45" s="293" t="s">
        <v>31</v>
      </c>
      <c r="M45" s="293" t="s">
        <v>31</v>
      </c>
    </row>
    <row r="46" spans="1:14" s="293" customFormat="1" ht="12.75">
      <c r="A46" s="293" t="s">
        <v>183</v>
      </c>
      <c r="B46" s="422">
        <v>-1</v>
      </c>
      <c r="C46" s="293" t="s">
        <v>37</v>
      </c>
      <c r="D46" s="293" t="s">
        <v>38</v>
      </c>
      <c r="E46" s="293" t="s">
        <v>29</v>
      </c>
      <c r="F46" s="293" t="s">
        <v>35</v>
      </c>
      <c r="G46" s="293" t="s">
        <v>33</v>
      </c>
      <c r="H46" s="293">
        <v>0</v>
      </c>
      <c r="I46" s="293">
        <f t="shared" ref="I46" si="3">B46</f>
        <v>-1</v>
      </c>
      <c r="J46" s="293" t="s">
        <v>31</v>
      </c>
      <c r="K46" s="293" t="s">
        <v>31</v>
      </c>
      <c r="L46" s="293" t="s">
        <v>31</v>
      </c>
      <c r="M46" s="293" t="s">
        <v>31</v>
      </c>
      <c r="N46" s="293" t="s">
        <v>187</v>
      </c>
    </row>
    <row r="47" spans="1:14">
      <c r="A47" s="411"/>
      <c r="B47" s="411"/>
      <c r="C47" s="411"/>
      <c r="D47" s="411"/>
      <c r="E47" s="411"/>
      <c r="F47" s="411"/>
      <c r="G47" s="411"/>
      <c r="H47" s="411"/>
      <c r="I47" s="411"/>
      <c r="J47" s="411"/>
      <c r="K47" s="411"/>
      <c r="L47" s="411"/>
      <c r="M47" s="411"/>
      <c r="N47" s="411"/>
    </row>
    <row r="48" spans="1:14">
      <c r="A48" s="185"/>
    </row>
    <row r="49" spans="1:1">
      <c r="A49" s="185"/>
    </row>
  </sheetData>
  <mergeCells count="1">
    <mergeCell ref="O3:Q3"/>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75AC-9783-4A97-831A-9673319E8A62}">
  <dimension ref="A1:P201"/>
  <sheetViews>
    <sheetView topLeftCell="A4" workbookViewId="0">
      <selection activeCell="D21" sqref="D21"/>
    </sheetView>
  </sheetViews>
  <sheetFormatPr defaultColWidth="8.85546875" defaultRowHeight="15"/>
  <cols>
    <col min="1" max="1" width="30.28515625" style="405" customWidth="1"/>
    <col min="2" max="2" width="43.42578125" style="405" bestFit="1" customWidth="1"/>
    <col min="3" max="3" width="10.140625" style="405" customWidth="1"/>
    <col min="4" max="4" width="31" style="405" bestFit="1" customWidth="1"/>
    <col min="5" max="5" width="12" style="405" customWidth="1"/>
    <col min="6" max="7" width="8.85546875" style="405"/>
    <col min="8" max="8" width="16.140625" style="405" customWidth="1"/>
    <col min="9" max="11" width="8.85546875" style="405"/>
    <col min="12" max="13" width="11.28515625" style="405" customWidth="1"/>
    <col min="14" max="14" width="12.140625" style="405" customWidth="1"/>
    <col min="15" max="15" width="17.42578125" style="405" customWidth="1"/>
    <col min="16" max="16384" width="8.85546875" style="405"/>
  </cols>
  <sheetData>
    <row r="1" spans="1:16">
      <c r="A1" s="405" t="s">
        <v>0</v>
      </c>
      <c r="B1" s="405">
        <v>13</v>
      </c>
      <c r="C1" s="406"/>
    </row>
    <row r="2" spans="1:16" ht="15.75">
      <c r="A2" s="409" t="s">
        <v>5</v>
      </c>
      <c r="B2" s="409" t="s">
        <v>159</v>
      </c>
      <c r="C2" s="410"/>
      <c r="D2" s="411"/>
      <c r="E2" s="411"/>
      <c r="F2" s="411"/>
      <c r="G2" s="411"/>
      <c r="H2" s="411"/>
      <c r="I2" s="411"/>
      <c r="J2" s="411"/>
      <c r="K2" s="411"/>
      <c r="L2" s="411"/>
      <c r="M2" s="411"/>
      <c r="N2" s="411"/>
    </row>
    <row r="3" spans="1:16" s="293" customFormat="1" ht="12.75">
      <c r="A3" s="293" t="s">
        <v>7</v>
      </c>
      <c r="B3" s="293" t="s">
        <v>152</v>
      </c>
      <c r="O3" s="485" t="s">
        <v>153</v>
      </c>
      <c r="P3" s="487"/>
    </row>
    <row r="4" spans="1:16" s="293" customFormat="1" ht="12.75">
      <c r="A4" s="293" t="s">
        <v>9</v>
      </c>
      <c r="B4" s="293" t="s">
        <v>188</v>
      </c>
      <c r="O4" s="412" t="s">
        <v>155</v>
      </c>
      <c r="P4" s="414" t="s">
        <v>156</v>
      </c>
    </row>
    <row r="5" spans="1:16" s="293" customFormat="1" ht="12.75">
      <c r="A5" s="293" t="s">
        <v>11</v>
      </c>
      <c r="B5" s="293" t="s">
        <v>189</v>
      </c>
      <c r="O5" s="415" t="s">
        <v>190</v>
      </c>
      <c r="P5" s="423">
        <v>100</v>
      </c>
    </row>
    <row r="6" spans="1:16" s="293" customFormat="1" ht="12.75">
      <c r="A6" s="293" t="s">
        <v>13</v>
      </c>
      <c r="B6" s="293" t="s">
        <v>162</v>
      </c>
      <c r="O6" s="418" t="s">
        <v>191</v>
      </c>
      <c r="P6" s="424">
        <v>33.33</v>
      </c>
    </row>
    <row r="7" spans="1:16" s="293" customFormat="1" ht="12.75">
      <c r="A7" s="293" t="s">
        <v>15</v>
      </c>
      <c r="B7" s="185">
        <v>1</v>
      </c>
      <c r="O7" s="425" t="s">
        <v>157</v>
      </c>
      <c r="P7" s="424">
        <f>P5/P6</f>
        <v>3.0003000300030003</v>
      </c>
    </row>
    <row r="8" spans="1:16" s="293" customFormat="1" ht="12.75">
      <c r="A8" s="293" t="s">
        <v>16</v>
      </c>
      <c r="B8" s="293" t="s">
        <v>17</v>
      </c>
    </row>
    <row r="9" spans="1:16" s="293" customFormat="1" ht="12.75">
      <c r="A9" s="293" t="s">
        <v>18</v>
      </c>
      <c r="B9" s="293" t="s">
        <v>18</v>
      </c>
    </row>
    <row r="10" spans="1:16" ht="15.75">
      <c r="A10" s="407" t="s">
        <v>19</v>
      </c>
    </row>
    <row r="11" spans="1:16" ht="15.75">
      <c r="A11" s="407" t="s">
        <v>20</v>
      </c>
      <c r="B11" s="407" t="s">
        <v>21</v>
      </c>
      <c r="C11" s="407" t="s">
        <v>18</v>
      </c>
      <c r="D11" s="407" t="s">
        <v>22</v>
      </c>
      <c r="E11" s="407" t="s">
        <v>7</v>
      </c>
      <c r="F11" s="407" t="s">
        <v>13</v>
      </c>
      <c r="G11" s="407" t="s">
        <v>16</v>
      </c>
      <c r="H11" s="407" t="s">
        <v>23</v>
      </c>
      <c r="I11" s="407" t="s">
        <v>24</v>
      </c>
      <c r="J11" s="407" t="s">
        <v>25</v>
      </c>
      <c r="K11" s="407" t="s">
        <v>26</v>
      </c>
      <c r="L11" s="407" t="s">
        <v>27</v>
      </c>
      <c r="M11" s="407" t="s">
        <v>28</v>
      </c>
      <c r="N11" s="407" t="s">
        <v>161</v>
      </c>
    </row>
    <row r="12" spans="1:16" s="293" customFormat="1" ht="12.75">
      <c r="A12" s="293" t="s">
        <v>159</v>
      </c>
      <c r="B12" s="293">
        <f>B7</f>
        <v>1</v>
      </c>
      <c r="C12" s="293" t="str">
        <f>B9</f>
        <v>unit</v>
      </c>
      <c r="D12" s="293" t="s">
        <v>2</v>
      </c>
      <c r="E12" s="293" t="s">
        <v>29</v>
      </c>
      <c r="F12" s="293" t="str">
        <f>B6</f>
        <v>NL</v>
      </c>
      <c r="G12" s="293" t="s">
        <v>30</v>
      </c>
      <c r="H12" s="293">
        <v>0</v>
      </c>
      <c r="I12" s="293">
        <f>B12</f>
        <v>1</v>
      </c>
    </row>
    <row r="13" spans="1:16" s="293" customFormat="1" ht="12.75">
      <c r="A13" s="185" t="s">
        <v>192</v>
      </c>
      <c r="B13" s="422">
        <v>1</v>
      </c>
      <c r="C13" s="293" t="s">
        <v>18</v>
      </c>
      <c r="D13" s="293" t="s">
        <v>2</v>
      </c>
      <c r="E13" s="293" t="s">
        <v>29</v>
      </c>
      <c r="F13" s="293" t="s">
        <v>35</v>
      </c>
      <c r="G13" s="293" t="s">
        <v>33</v>
      </c>
      <c r="H13" s="293">
        <v>0</v>
      </c>
      <c r="I13" s="293">
        <f t="shared" ref="I13:I14" si="0">B13</f>
        <v>1</v>
      </c>
      <c r="J13" s="293" t="s">
        <v>31</v>
      </c>
      <c r="K13" s="293" t="s">
        <v>31</v>
      </c>
      <c r="L13" s="293" t="s">
        <v>31</v>
      </c>
      <c r="M13" s="293" t="s">
        <v>31</v>
      </c>
      <c r="N13" s="293" t="s">
        <v>193</v>
      </c>
    </row>
    <row r="14" spans="1:16" s="293" customFormat="1" ht="12.75">
      <c r="A14" s="185" t="s">
        <v>194</v>
      </c>
      <c r="B14" s="422">
        <v>1</v>
      </c>
      <c r="C14" s="293" t="s">
        <v>18</v>
      </c>
      <c r="D14" s="293" t="s">
        <v>2</v>
      </c>
      <c r="E14" s="293" t="s">
        <v>29</v>
      </c>
      <c r="F14" s="293" t="s">
        <v>35</v>
      </c>
      <c r="G14" s="293" t="s">
        <v>33</v>
      </c>
      <c r="H14" s="293">
        <v>0</v>
      </c>
      <c r="I14" s="293">
        <f t="shared" si="0"/>
        <v>1</v>
      </c>
      <c r="J14" s="293" t="s">
        <v>31</v>
      </c>
      <c r="K14" s="293" t="s">
        <v>31</v>
      </c>
      <c r="L14" s="293" t="s">
        <v>31</v>
      </c>
      <c r="M14" s="293" t="s">
        <v>31</v>
      </c>
      <c r="N14" s="293" t="s">
        <v>195</v>
      </c>
    </row>
    <row r="15" spans="1:16" ht="15.75">
      <c r="A15" s="409" t="s">
        <v>5</v>
      </c>
      <c r="B15" s="409" t="s">
        <v>192</v>
      </c>
      <c r="C15" s="410"/>
      <c r="D15" s="411"/>
      <c r="E15" s="411"/>
      <c r="F15" s="411"/>
      <c r="G15" s="411"/>
      <c r="H15" s="411"/>
      <c r="I15" s="411"/>
      <c r="J15" s="411"/>
      <c r="K15" s="411"/>
      <c r="L15" s="411"/>
      <c r="M15" s="411"/>
      <c r="N15" s="411"/>
    </row>
    <row r="16" spans="1:16" s="293" customFormat="1" ht="12.75">
      <c r="A16" s="293" t="s">
        <v>7</v>
      </c>
      <c r="B16" s="293" t="s">
        <v>152</v>
      </c>
    </row>
    <row r="17" spans="1:14" s="293" customFormat="1" ht="12.75">
      <c r="A17" s="293" t="s">
        <v>9</v>
      </c>
      <c r="B17" s="293" t="s">
        <v>196</v>
      </c>
    </row>
    <row r="18" spans="1:14" s="293" customFormat="1" ht="12.75">
      <c r="A18" s="293" t="s">
        <v>11</v>
      </c>
      <c r="B18" s="293" t="s">
        <v>197</v>
      </c>
    </row>
    <row r="19" spans="1:14" s="293" customFormat="1" ht="12.75">
      <c r="A19" s="293" t="s">
        <v>13</v>
      </c>
      <c r="B19" s="293" t="s">
        <v>35</v>
      </c>
    </row>
    <row r="20" spans="1:14" s="293" customFormat="1" ht="12.75">
      <c r="A20" s="293" t="s">
        <v>15</v>
      </c>
      <c r="B20" s="185">
        <v>1</v>
      </c>
    </row>
    <row r="21" spans="1:14" s="293" customFormat="1" ht="12.75">
      <c r="A21" s="293" t="s">
        <v>16</v>
      </c>
      <c r="B21" s="293" t="s">
        <v>17</v>
      </c>
    </row>
    <row r="22" spans="1:14" s="293" customFormat="1" ht="12.75">
      <c r="A22" s="293" t="s">
        <v>18</v>
      </c>
      <c r="B22" s="293" t="s">
        <v>18</v>
      </c>
    </row>
    <row r="23" spans="1:14" ht="15.75">
      <c r="A23" s="407" t="s">
        <v>19</v>
      </c>
    </row>
    <row r="24" spans="1:14" ht="15.75">
      <c r="A24" s="407" t="s">
        <v>20</v>
      </c>
      <c r="B24" s="407" t="s">
        <v>21</v>
      </c>
      <c r="C24" s="407" t="s">
        <v>18</v>
      </c>
      <c r="D24" s="407" t="s">
        <v>22</v>
      </c>
      <c r="E24" s="407" t="s">
        <v>7</v>
      </c>
      <c r="F24" s="407" t="s">
        <v>13</v>
      </c>
      <c r="G24" s="407" t="s">
        <v>16</v>
      </c>
      <c r="H24" s="407" t="s">
        <v>23</v>
      </c>
      <c r="I24" s="407" t="s">
        <v>24</v>
      </c>
      <c r="J24" s="407" t="s">
        <v>25</v>
      </c>
      <c r="K24" s="407" t="s">
        <v>26</v>
      </c>
      <c r="L24" s="407" t="s">
        <v>27</v>
      </c>
      <c r="M24" s="407" t="s">
        <v>28</v>
      </c>
      <c r="N24" s="407" t="s">
        <v>161</v>
      </c>
    </row>
    <row r="25" spans="1:14" s="293" customFormat="1" ht="12.75">
      <c r="A25" s="293" t="s">
        <v>192</v>
      </c>
      <c r="B25" s="293">
        <f>B20</f>
        <v>1</v>
      </c>
      <c r="C25" s="293" t="str">
        <f>B22</f>
        <v>unit</v>
      </c>
      <c r="D25" s="293" t="s">
        <v>2</v>
      </c>
      <c r="E25" s="293" t="s">
        <v>29</v>
      </c>
      <c r="F25" s="293" t="str">
        <f>B19</f>
        <v>RER</v>
      </c>
      <c r="G25" s="293" t="s">
        <v>30</v>
      </c>
      <c r="H25" s="293">
        <v>0</v>
      </c>
      <c r="I25" s="293">
        <f>B25</f>
        <v>1</v>
      </c>
      <c r="J25" s="293" t="s">
        <v>31</v>
      </c>
      <c r="K25" s="293" t="s">
        <v>31</v>
      </c>
      <c r="L25" s="293" t="s">
        <v>31</v>
      </c>
      <c r="M25" s="293" t="s">
        <v>31</v>
      </c>
    </row>
    <row r="26" spans="1:14" s="293" customFormat="1" ht="12.75">
      <c r="A26" s="185" t="s">
        <v>198</v>
      </c>
      <c r="B26" s="422">
        <v>1</v>
      </c>
      <c r="C26" s="293" t="s">
        <v>18</v>
      </c>
      <c r="D26" s="293" t="s">
        <v>2</v>
      </c>
      <c r="E26" s="293" t="s">
        <v>29</v>
      </c>
      <c r="F26" s="293" t="s">
        <v>35</v>
      </c>
      <c r="G26" s="293" t="s">
        <v>33</v>
      </c>
      <c r="H26" s="293">
        <v>0</v>
      </c>
      <c r="I26" s="293">
        <f>B26</f>
        <v>1</v>
      </c>
      <c r="J26" s="293" t="s">
        <v>31</v>
      </c>
      <c r="K26" s="293" t="s">
        <v>31</v>
      </c>
      <c r="L26" s="293" t="s">
        <v>31</v>
      </c>
      <c r="M26" s="293" t="s">
        <v>31</v>
      </c>
      <c r="N26" s="293" t="s">
        <v>199</v>
      </c>
    </row>
    <row r="27" spans="1:14" s="293" customFormat="1" ht="12.75">
      <c r="A27" s="185" t="s">
        <v>200</v>
      </c>
      <c r="B27" s="422">
        <v>1</v>
      </c>
      <c r="C27" s="293" t="s">
        <v>18</v>
      </c>
      <c r="D27" s="293" t="s">
        <v>2</v>
      </c>
      <c r="E27" s="293" t="s">
        <v>29</v>
      </c>
      <c r="F27" s="293" t="s">
        <v>35</v>
      </c>
      <c r="G27" s="293" t="s">
        <v>33</v>
      </c>
      <c r="H27" s="293">
        <v>0</v>
      </c>
      <c r="I27" s="293">
        <f>B27</f>
        <v>1</v>
      </c>
      <c r="J27" s="293" t="s">
        <v>31</v>
      </c>
      <c r="K27" s="293" t="s">
        <v>31</v>
      </c>
      <c r="L27" s="293" t="s">
        <v>31</v>
      </c>
      <c r="M27" s="293" t="s">
        <v>31</v>
      </c>
      <c r="N27" s="293" t="s">
        <v>201</v>
      </c>
    </row>
    <row r="28" spans="1:14" s="293" customFormat="1" ht="12.75">
      <c r="A28" s="185" t="s">
        <v>202</v>
      </c>
      <c r="B28" s="422">
        <v>1</v>
      </c>
      <c r="C28" s="293" t="s">
        <v>18</v>
      </c>
      <c r="D28" s="293" t="s">
        <v>2</v>
      </c>
      <c r="E28" s="293" t="s">
        <v>29</v>
      </c>
      <c r="F28" s="293" t="s">
        <v>35</v>
      </c>
      <c r="G28" s="293" t="s">
        <v>33</v>
      </c>
      <c r="H28" s="293">
        <v>0</v>
      </c>
      <c r="I28" s="293">
        <f>B28</f>
        <v>1</v>
      </c>
      <c r="J28" s="293" t="s">
        <v>31</v>
      </c>
      <c r="K28" s="293" t="s">
        <v>31</v>
      </c>
      <c r="L28" s="293" t="s">
        <v>31</v>
      </c>
      <c r="M28" s="293" t="s">
        <v>31</v>
      </c>
      <c r="N28" s="293" t="s">
        <v>195</v>
      </c>
    </row>
    <row r="29" spans="1:14" ht="15.75">
      <c r="A29" s="409" t="s">
        <v>5</v>
      </c>
      <c r="B29" s="409" t="s">
        <v>198</v>
      </c>
      <c r="C29" s="410"/>
      <c r="D29" s="411"/>
      <c r="E29" s="411"/>
      <c r="F29" s="411"/>
      <c r="G29" s="411"/>
      <c r="H29" s="411"/>
      <c r="I29" s="411"/>
      <c r="J29" s="411"/>
      <c r="K29" s="411"/>
      <c r="L29" s="411"/>
      <c r="M29" s="411"/>
      <c r="N29" s="411"/>
    </row>
    <row r="30" spans="1:14" s="293" customFormat="1" ht="12.75">
      <c r="A30" s="293" t="s">
        <v>7</v>
      </c>
      <c r="B30" s="293" t="s">
        <v>152</v>
      </c>
    </row>
    <row r="31" spans="1:14" s="293" customFormat="1" ht="12.75">
      <c r="A31" s="293" t="s">
        <v>9</v>
      </c>
      <c r="B31" s="293" t="s">
        <v>203</v>
      </c>
    </row>
    <row r="32" spans="1:14" s="293" customFormat="1" ht="12.75">
      <c r="A32" s="293" t="s">
        <v>11</v>
      </c>
      <c r="B32" s="293" t="s">
        <v>204</v>
      </c>
    </row>
    <row r="33" spans="1:14" s="293" customFormat="1" ht="12.75">
      <c r="A33" s="293" t="s">
        <v>13</v>
      </c>
      <c r="B33" s="293" t="s">
        <v>35</v>
      </c>
    </row>
    <row r="34" spans="1:14" s="293" customFormat="1" ht="12.75">
      <c r="A34" s="293" t="s">
        <v>15</v>
      </c>
      <c r="B34" s="185">
        <v>1</v>
      </c>
    </row>
    <row r="35" spans="1:14" s="293" customFormat="1" ht="12.75">
      <c r="A35" s="293" t="s">
        <v>16</v>
      </c>
      <c r="B35" s="293" t="s">
        <v>17</v>
      </c>
    </row>
    <row r="36" spans="1:14" s="293" customFormat="1" ht="12.75">
      <c r="A36" s="293" t="s">
        <v>18</v>
      </c>
      <c r="B36" s="293" t="s">
        <v>18</v>
      </c>
    </row>
    <row r="37" spans="1:14" ht="15.75">
      <c r="A37" s="407" t="s">
        <v>19</v>
      </c>
    </row>
    <row r="38" spans="1:14" ht="15.75">
      <c r="A38" s="407" t="s">
        <v>20</v>
      </c>
      <c r="B38" s="407" t="s">
        <v>21</v>
      </c>
      <c r="C38" s="407" t="s">
        <v>18</v>
      </c>
      <c r="D38" s="407" t="s">
        <v>22</v>
      </c>
      <c r="E38" s="407" t="s">
        <v>7</v>
      </c>
      <c r="F38" s="407" t="s">
        <v>13</v>
      </c>
      <c r="G38" s="407" t="s">
        <v>16</v>
      </c>
      <c r="H38" s="407" t="s">
        <v>23</v>
      </c>
      <c r="I38" s="407" t="s">
        <v>24</v>
      </c>
      <c r="J38" s="407" t="s">
        <v>25</v>
      </c>
      <c r="K38" s="407" t="s">
        <v>26</v>
      </c>
      <c r="L38" s="407" t="s">
        <v>27</v>
      </c>
      <c r="M38" s="407" t="s">
        <v>28</v>
      </c>
      <c r="N38" s="407" t="s">
        <v>161</v>
      </c>
    </row>
    <row r="39" spans="1:14" s="293" customFormat="1" ht="12.75">
      <c r="A39" s="293" t="s">
        <v>198</v>
      </c>
      <c r="B39" s="293">
        <f>B34</f>
        <v>1</v>
      </c>
      <c r="C39" s="293" t="str">
        <f>B36</f>
        <v>unit</v>
      </c>
      <c r="D39" s="293" t="s">
        <v>2</v>
      </c>
      <c r="E39" s="293" t="s">
        <v>29</v>
      </c>
      <c r="F39" s="293" t="str">
        <f>B33</f>
        <v>RER</v>
      </c>
      <c r="G39" s="293" t="s">
        <v>30</v>
      </c>
      <c r="H39" s="293">
        <v>0</v>
      </c>
      <c r="I39" s="293">
        <f>B39</f>
        <v>1</v>
      </c>
      <c r="J39" s="293" t="s">
        <v>31</v>
      </c>
      <c r="K39" s="293" t="s">
        <v>31</v>
      </c>
      <c r="L39" s="293" t="s">
        <v>31</v>
      </c>
      <c r="M39" s="293" t="s">
        <v>31</v>
      </c>
    </row>
    <row r="40" spans="1:14" s="293" customFormat="1" ht="12.75">
      <c r="A40" s="293" t="s">
        <v>205</v>
      </c>
      <c r="B40" s="293">
        <v>49625</v>
      </c>
      <c r="C40" s="293" t="s">
        <v>206</v>
      </c>
      <c r="D40" s="293" t="s">
        <v>43</v>
      </c>
      <c r="E40" s="293" t="s">
        <v>207</v>
      </c>
      <c r="F40" s="293" t="s">
        <v>29</v>
      </c>
      <c r="G40" s="293" t="s">
        <v>45</v>
      </c>
      <c r="H40" s="293">
        <v>0</v>
      </c>
      <c r="I40" s="293">
        <f>B40</f>
        <v>49625</v>
      </c>
      <c r="J40" s="293" t="s">
        <v>31</v>
      </c>
      <c r="K40" s="293" t="s">
        <v>31</v>
      </c>
      <c r="L40" s="293" t="s">
        <v>31</v>
      </c>
      <c r="M40" s="293" t="s">
        <v>31</v>
      </c>
      <c r="N40" s="293" t="s">
        <v>208</v>
      </c>
    </row>
    <row r="41" spans="1:14" s="293" customFormat="1" ht="12.75">
      <c r="A41" s="293" t="s">
        <v>209</v>
      </c>
      <c r="B41" s="293">
        <f>100*B40</f>
        <v>4962500</v>
      </c>
      <c r="C41" s="293" t="s">
        <v>210</v>
      </c>
      <c r="D41" s="293" t="s">
        <v>43</v>
      </c>
      <c r="E41" s="293" t="s">
        <v>207</v>
      </c>
      <c r="F41" s="293" t="s">
        <v>29</v>
      </c>
      <c r="G41" s="293" t="s">
        <v>45</v>
      </c>
      <c r="H41" s="293">
        <v>0</v>
      </c>
      <c r="I41" s="293">
        <f>B41</f>
        <v>4962500</v>
      </c>
      <c r="J41" s="293" t="s">
        <v>31</v>
      </c>
      <c r="K41" s="293" t="s">
        <v>31</v>
      </c>
      <c r="L41" s="293" t="s">
        <v>31</v>
      </c>
      <c r="M41" s="293" t="s">
        <v>31</v>
      </c>
      <c r="N41" s="293" t="s">
        <v>211</v>
      </c>
    </row>
    <row r="42" spans="1:14" s="293" customFormat="1" ht="12.75">
      <c r="A42" s="185" t="s">
        <v>212</v>
      </c>
      <c r="B42" s="422">
        <f>B40*0.7</f>
        <v>34737.5</v>
      </c>
      <c r="C42" s="293" t="s">
        <v>206</v>
      </c>
      <c r="D42" s="293" t="s">
        <v>38</v>
      </c>
      <c r="E42" s="293" t="s">
        <v>29</v>
      </c>
      <c r="F42" s="293" t="s">
        <v>60</v>
      </c>
      <c r="G42" s="293" t="s">
        <v>33</v>
      </c>
      <c r="H42" s="293">
        <v>0</v>
      </c>
      <c r="I42" s="293">
        <f t="shared" ref="I42:I43" si="1">B42</f>
        <v>34737.5</v>
      </c>
      <c r="J42" s="293" t="s">
        <v>31</v>
      </c>
      <c r="K42" s="293" t="s">
        <v>31</v>
      </c>
      <c r="L42" s="293" t="s">
        <v>31</v>
      </c>
      <c r="M42" s="293" t="s">
        <v>31</v>
      </c>
      <c r="N42" s="293" t="s">
        <v>213</v>
      </c>
    </row>
    <row r="43" spans="1:14" s="293" customFormat="1" ht="12.75">
      <c r="A43" s="426" t="s">
        <v>214</v>
      </c>
      <c r="B43" s="422">
        <f>B40*0.3*5*2.5*P7</f>
        <v>558337.0837083708</v>
      </c>
      <c r="C43" s="293" t="s">
        <v>50</v>
      </c>
      <c r="D43" s="293" t="s">
        <v>38</v>
      </c>
      <c r="E43" s="293" t="s">
        <v>29</v>
      </c>
      <c r="F43" s="293" t="s">
        <v>60</v>
      </c>
      <c r="G43" s="293" t="s">
        <v>33</v>
      </c>
      <c r="H43" s="293">
        <v>0</v>
      </c>
      <c r="I43" s="293">
        <f t="shared" si="1"/>
        <v>558337.0837083708</v>
      </c>
      <c r="J43" s="293" t="s">
        <v>31</v>
      </c>
      <c r="K43" s="293" t="s">
        <v>31</v>
      </c>
      <c r="L43" s="293" t="s">
        <v>31</v>
      </c>
      <c r="M43" s="293" t="s">
        <v>31</v>
      </c>
      <c r="N43" s="293" t="s">
        <v>215</v>
      </c>
    </row>
    <row r="44" spans="1:14" ht="15.75">
      <c r="A44" s="409" t="s">
        <v>5</v>
      </c>
      <c r="B44" s="409" t="s">
        <v>200</v>
      </c>
      <c r="C44" s="410"/>
      <c r="D44" s="411"/>
      <c r="E44" s="411"/>
      <c r="F44" s="411"/>
      <c r="G44" s="411"/>
      <c r="H44" s="411"/>
      <c r="I44" s="411"/>
      <c r="J44" s="411"/>
      <c r="K44" s="411"/>
      <c r="L44" s="411"/>
      <c r="M44" s="411"/>
      <c r="N44" s="411"/>
    </row>
    <row r="45" spans="1:14" s="293" customFormat="1" ht="12.75">
      <c r="A45" s="293" t="s">
        <v>7</v>
      </c>
      <c r="B45" s="293" t="s">
        <v>152</v>
      </c>
    </row>
    <row r="46" spans="1:14" s="293" customFormat="1" ht="12.75">
      <c r="A46" s="293" t="s">
        <v>9</v>
      </c>
      <c r="B46" s="293" t="s">
        <v>216</v>
      </c>
    </row>
    <row r="47" spans="1:14" s="293" customFormat="1" ht="12.75">
      <c r="A47" s="293" t="s">
        <v>11</v>
      </c>
      <c r="B47" s="293" t="s">
        <v>217</v>
      </c>
    </row>
    <row r="48" spans="1:14" s="293" customFormat="1" ht="12.75">
      <c r="A48" s="293" t="s">
        <v>13</v>
      </c>
      <c r="B48" s="293" t="s">
        <v>35</v>
      </c>
    </row>
    <row r="49" spans="1:14" s="293" customFormat="1" ht="12.75">
      <c r="A49" s="293" t="s">
        <v>15</v>
      </c>
      <c r="B49" s="185">
        <v>1</v>
      </c>
    </row>
    <row r="50" spans="1:14" s="293" customFormat="1" ht="12.75">
      <c r="A50" s="293" t="s">
        <v>16</v>
      </c>
      <c r="B50" s="293" t="s">
        <v>17</v>
      </c>
    </row>
    <row r="51" spans="1:14" s="293" customFormat="1" ht="12.75">
      <c r="A51" s="293" t="s">
        <v>18</v>
      </c>
      <c r="B51" s="293" t="s">
        <v>18</v>
      </c>
    </row>
    <row r="52" spans="1:14" ht="15.75">
      <c r="A52" s="407" t="s">
        <v>19</v>
      </c>
    </row>
    <row r="53" spans="1:14" ht="15.75">
      <c r="A53" s="407" t="s">
        <v>20</v>
      </c>
      <c r="B53" s="407" t="s">
        <v>21</v>
      </c>
      <c r="C53" s="407" t="s">
        <v>18</v>
      </c>
      <c r="D53" s="407" t="s">
        <v>22</v>
      </c>
      <c r="E53" s="407" t="s">
        <v>7</v>
      </c>
      <c r="F53" s="407" t="s">
        <v>13</v>
      </c>
      <c r="G53" s="407" t="s">
        <v>16</v>
      </c>
      <c r="H53" s="407" t="s">
        <v>23</v>
      </c>
      <c r="I53" s="407" t="s">
        <v>24</v>
      </c>
      <c r="J53" s="407" t="s">
        <v>25</v>
      </c>
      <c r="K53" s="407" t="s">
        <v>26</v>
      </c>
      <c r="L53" s="407" t="s">
        <v>27</v>
      </c>
      <c r="M53" s="407" t="s">
        <v>28</v>
      </c>
      <c r="N53" s="407" t="s">
        <v>161</v>
      </c>
    </row>
    <row r="54" spans="1:14" s="293" customFormat="1" ht="12.75">
      <c r="A54" s="293" t="s">
        <v>200</v>
      </c>
      <c r="B54" s="293">
        <f>B49</f>
        <v>1</v>
      </c>
      <c r="C54" s="293" t="str">
        <f>B51</f>
        <v>unit</v>
      </c>
      <c r="D54" s="293" t="s">
        <v>2</v>
      </c>
      <c r="E54" s="293" t="s">
        <v>29</v>
      </c>
      <c r="F54" s="293" t="str">
        <f>B48</f>
        <v>RER</v>
      </c>
      <c r="G54" s="293" t="s">
        <v>30</v>
      </c>
      <c r="H54" s="293">
        <v>0</v>
      </c>
      <c r="I54" s="293">
        <f>B54</f>
        <v>1</v>
      </c>
      <c r="J54" s="293" t="s">
        <v>31</v>
      </c>
      <c r="K54" s="293" t="s">
        <v>31</v>
      </c>
      <c r="L54" s="293" t="s">
        <v>31</v>
      </c>
      <c r="M54" s="293" t="s">
        <v>31</v>
      </c>
    </row>
    <row r="55" spans="1:14" s="293" customFormat="1" ht="12.75">
      <c r="A55" s="185" t="s">
        <v>218</v>
      </c>
      <c r="B55" s="293">
        <v>96841</v>
      </c>
      <c r="C55" s="293" t="s">
        <v>206</v>
      </c>
      <c r="D55" s="293" t="s">
        <v>43</v>
      </c>
      <c r="E55" s="293" t="s">
        <v>207</v>
      </c>
      <c r="F55" s="293" t="s">
        <v>29</v>
      </c>
      <c r="G55" s="293" t="s">
        <v>45</v>
      </c>
      <c r="H55" s="293">
        <v>0</v>
      </c>
      <c r="I55" s="293">
        <f>B55</f>
        <v>96841</v>
      </c>
      <c r="J55" s="293" t="s">
        <v>31</v>
      </c>
      <c r="K55" s="293" t="s">
        <v>31</v>
      </c>
      <c r="L55" s="293" t="s">
        <v>31</v>
      </c>
      <c r="M55" s="293" t="s">
        <v>31</v>
      </c>
      <c r="N55" s="293" t="s">
        <v>208</v>
      </c>
    </row>
    <row r="56" spans="1:14" s="293" customFormat="1" ht="12.75">
      <c r="A56" s="293" t="s">
        <v>219</v>
      </c>
      <c r="B56" s="293">
        <f>100*B55</f>
        <v>9684100</v>
      </c>
      <c r="C56" s="293" t="s">
        <v>210</v>
      </c>
      <c r="D56" s="293" t="s">
        <v>43</v>
      </c>
      <c r="E56" s="293" t="s">
        <v>207</v>
      </c>
      <c r="F56" s="293" t="s">
        <v>29</v>
      </c>
      <c r="G56" s="293" t="s">
        <v>45</v>
      </c>
      <c r="H56" s="293">
        <v>0</v>
      </c>
      <c r="I56" s="293">
        <f>B56</f>
        <v>9684100</v>
      </c>
      <c r="J56" s="293" t="s">
        <v>31</v>
      </c>
      <c r="K56" s="293" t="s">
        <v>31</v>
      </c>
      <c r="L56" s="293" t="s">
        <v>31</v>
      </c>
      <c r="M56" s="293" t="s">
        <v>31</v>
      </c>
      <c r="N56" s="293" t="s">
        <v>211</v>
      </c>
    </row>
    <row r="57" spans="1:14" s="293" customFormat="1" ht="12.75">
      <c r="A57" s="317" t="s">
        <v>220</v>
      </c>
      <c r="B57" s="422">
        <f>B55*0.3*P7</f>
        <v>87165.616561656163</v>
      </c>
      <c r="C57" s="293" t="s">
        <v>50</v>
      </c>
      <c r="D57" s="293" t="s">
        <v>38</v>
      </c>
      <c r="E57" s="293" t="s">
        <v>29</v>
      </c>
      <c r="F57" s="293" t="s">
        <v>86</v>
      </c>
      <c r="G57" s="293" t="s">
        <v>33</v>
      </c>
      <c r="H57" s="293">
        <v>0</v>
      </c>
      <c r="I57" s="293">
        <f t="shared" ref="I57" si="2">B57</f>
        <v>87165.616561656163</v>
      </c>
      <c r="J57" s="293" t="s">
        <v>31</v>
      </c>
      <c r="K57" s="293" t="s">
        <v>31</v>
      </c>
      <c r="L57" s="293" t="s">
        <v>31</v>
      </c>
      <c r="M57" s="293" t="s">
        <v>31</v>
      </c>
      <c r="N57" s="293" t="s">
        <v>221</v>
      </c>
    </row>
    <row r="58" spans="1:14" ht="15.75">
      <c r="A58" s="409" t="s">
        <v>5</v>
      </c>
      <c r="B58" s="409" t="s">
        <v>202</v>
      </c>
      <c r="C58" s="410"/>
      <c r="D58" s="411"/>
      <c r="E58" s="411"/>
      <c r="F58" s="411"/>
      <c r="G58" s="411"/>
      <c r="H58" s="411"/>
      <c r="I58" s="411"/>
      <c r="J58" s="411"/>
      <c r="K58" s="411"/>
      <c r="L58" s="411"/>
      <c r="M58" s="411"/>
      <c r="N58" s="411"/>
    </row>
    <row r="59" spans="1:14" s="293" customFormat="1" ht="12.75">
      <c r="A59" s="293" t="s">
        <v>7</v>
      </c>
      <c r="B59" s="293" t="s">
        <v>152</v>
      </c>
    </row>
    <row r="60" spans="1:14" s="293" customFormat="1" ht="12.75">
      <c r="A60" s="293" t="s">
        <v>9</v>
      </c>
      <c r="B60" s="293" t="s">
        <v>222</v>
      </c>
    </row>
    <row r="61" spans="1:14" s="293" customFormat="1" ht="12.75">
      <c r="A61" s="293" t="s">
        <v>11</v>
      </c>
      <c r="B61" s="293" t="s">
        <v>223</v>
      </c>
    </row>
    <row r="62" spans="1:14" s="293" customFormat="1" ht="12.75">
      <c r="A62" s="293" t="s">
        <v>13</v>
      </c>
      <c r="B62" s="293" t="s">
        <v>35</v>
      </c>
    </row>
    <row r="63" spans="1:14" s="293" customFormat="1" ht="12.75">
      <c r="A63" s="293" t="s">
        <v>15</v>
      </c>
      <c r="B63" s="185">
        <v>1</v>
      </c>
    </row>
    <row r="64" spans="1:14" s="293" customFormat="1" ht="12.75">
      <c r="A64" s="293" t="s">
        <v>16</v>
      </c>
      <c r="B64" s="293" t="s">
        <v>17</v>
      </c>
    </row>
    <row r="65" spans="1:14" s="293" customFormat="1" ht="12.75">
      <c r="A65" s="293" t="s">
        <v>18</v>
      </c>
      <c r="B65" s="293" t="s">
        <v>18</v>
      </c>
    </row>
    <row r="66" spans="1:14" ht="15.75">
      <c r="A66" s="407" t="s">
        <v>19</v>
      </c>
    </row>
    <row r="67" spans="1:14" ht="15.75">
      <c r="A67" s="407" t="s">
        <v>20</v>
      </c>
      <c r="B67" s="407" t="s">
        <v>21</v>
      </c>
      <c r="C67" s="407" t="s">
        <v>18</v>
      </c>
      <c r="D67" s="407" t="s">
        <v>22</v>
      </c>
      <c r="E67" s="407" t="s">
        <v>7</v>
      </c>
      <c r="F67" s="407" t="s">
        <v>13</v>
      </c>
      <c r="G67" s="407" t="s">
        <v>16</v>
      </c>
      <c r="H67" s="407" t="s">
        <v>23</v>
      </c>
      <c r="I67" s="407" t="s">
        <v>24</v>
      </c>
      <c r="J67" s="407" t="s">
        <v>25</v>
      </c>
      <c r="K67" s="407" t="s">
        <v>26</v>
      </c>
      <c r="L67" s="407" t="s">
        <v>27</v>
      </c>
      <c r="M67" s="407" t="s">
        <v>28</v>
      </c>
      <c r="N67" s="407" t="s">
        <v>161</v>
      </c>
    </row>
    <row r="68" spans="1:14" s="293" customFormat="1" ht="12.75">
      <c r="A68" s="293" t="s">
        <v>202</v>
      </c>
      <c r="B68" s="293">
        <f>B63</f>
        <v>1</v>
      </c>
      <c r="C68" s="293" t="str">
        <f>B65</f>
        <v>unit</v>
      </c>
      <c r="D68" s="293" t="s">
        <v>2</v>
      </c>
      <c r="E68" s="293" t="s">
        <v>29</v>
      </c>
      <c r="F68" s="293" t="str">
        <f>B62</f>
        <v>RER</v>
      </c>
      <c r="G68" s="293" t="s">
        <v>30</v>
      </c>
      <c r="H68" s="293">
        <v>0</v>
      </c>
      <c r="I68" s="293">
        <f>B68</f>
        <v>1</v>
      </c>
      <c r="J68" s="293" t="s">
        <v>31</v>
      </c>
      <c r="K68" s="293" t="s">
        <v>31</v>
      </c>
      <c r="L68" s="293" t="s">
        <v>31</v>
      </c>
      <c r="M68" s="293" t="s">
        <v>31</v>
      </c>
    </row>
    <row r="69" spans="1:14" s="293" customFormat="1" ht="12.75">
      <c r="A69" s="185" t="s">
        <v>224</v>
      </c>
      <c r="B69" s="422">
        <f>466000-B40-B55</f>
        <v>319534</v>
      </c>
      <c r="C69" s="293" t="s">
        <v>206</v>
      </c>
      <c r="D69" s="293" t="s">
        <v>43</v>
      </c>
      <c r="E69" s="293" t="s">
        <v>207</v>
      </c>
      <c r="F69" s="293" t="s">
        <v>29</v>
      </c>
      <c r="G69" s="293" t="s">
        <v>45</v>
      </c>
      <c r="H69" s="293">
        <v>0</v>
      </c>
      <c r="I69" s="293">
        <f t="shared" ref="I69" si="3">B69</f>
        <v>319534</v>
      </c>
      <c r="J69" s="293" t="s">
        <v>31</v>
      </c>
      <c r="K69" s="293" t="s">
        <v>31</v>
      </c>
      <c r="L69" s="293" t="s">
        <v>31</v>
      </c>
      <c r="M69" s="293" t="s">
        <v>31</v>
      </c>
      <c r="N69" s="293" t="s">
        <v>208</v>
      </c>
    </row>
    <row r="70" spans="1:14" s="293" customFormat="1" ht="15.75">
      <c r="A70" s="409" t="s">
        <v>5</v>
      </c>
      <c r="B70" s="409" t="s">
        <v>194</v>
      </c>
      <c r="C70" s="410"/>
      <c r="D70" s="411"/>
      <c r="E70" s="411"/>
      <c r="F70" s="411"/>
      <c r="G70" s="411"/>
      <c r="H70" s="411"/>
      <c r="I70" s="411"/>
      <c r="J70" s="411"/>
      <c r="K70" s="411"/>
      <c r="L70" s="411"/>
      <c r="M70" s="411"/>
      <c r="N70" s="411"/>
    </row>
    <row r="71" spans="1:14" s="293" customFormat="1" ht="12.75">
      <c r="A71" s="293" t="s">
        <v>7</v>
      </c>
      <c r="B71" s="293" t="s">
        <v>152</v>
      </c>
    </row>
    <row r="72" spans="1:14" s="293" customFormat="1" ht="12.75">
      <c r="A72" s="293" t="s">
        <v>9</v>
      </c>
      <c r="B72" s="293" t="s">
        <v>225</v>
      </c>
    </row>
    <row r="73" spans="1:14">
      <c r="A73" s="293" t="s">
        <v>11</v>
      </c>
      <c r="B73" s="293" t="s">
        <v>226</v>
      </c>
      <c r="C73" s="293"/>
      <c r="D73" s="293"/>
      <c r="E73" s="293"/>
      <c r="F73" s="293"/>
      <c r="G73" s="293"/>
      <c r="H73" s="293"/>
      <c r="I73" s="293"/>
      <c r="J73" s="293"/>
      <c r="K73" s="293"/>
      <c r="L73" s="293"/>
      <c r="M73" s="293"/>
      <c r="N73" s="293"/>
    </row>
    <row r="74" spans="1:14">
      <c r="A74" s="293" t="s">
        <v>13</v>
      </c>
      <c r="B74" s="293" t="s">
        <v>35</v>
      </c>
      <c r="C74" s="293"/>
      <c r="D74" s="293"/>
      <c r="E74" s="293"/>
      <c r="F74" s="293"/>
      <c r="G74" s="293"/>
      <c r="H74" s="293"/>
      <c r="I74" s="293"/>
      <c r="J74" s="293"/>
      <c r="K74" s="293"/>
      <c r="L74" s="293"/>
      <c r="M74" s="293"/>
      <c r="N74" s="293"/>
    </row>
    <row r="75" spans="1:14">
      <c r="A75" s="293" t="s">
        <v>15</v>
      </c>
      <c r="B75" s="185">
        <v>1</v>
      </c>
      <c r="C75" s="293"/>
      <c r="D75" s="293"/>
      <c r="E75" s="293"/>
      <c r="F75" s="293"/>
      <c r="G75" s="293"/>
      <c r="H75" s="293"/>
      <c r="I75" s="293"/>
      <c r="J75" s="293"/>
      <c r="K75" s="293"/>
      <c r="L75" s="293"/>
      <c r="M75" s="293"/>
      <c r="N75" s="293"/>
    </row>
    <row r="76" spans="1:14">
      <c r="A76" s="293" t="s">
        <v>16</v>
      </c>
      <c r="B76" s="293" t="s">
        <v>17</v>
      </c>
      <c r="C76" s="293"/>
      <c r="D76" s="293"/>
      <c r="E76" s="293"/>
      <c r="F76" s="293"/>
      <c r="G76" s="293"/>
      <c r="H76" s="293"/>
      <c r="I76" s="293"/>
      <c r="J76" s="293"/>
      <c r="K76" s="293"/>
      <c r="L76" s="293"/>
      <c r="M76" s="293"/>
      <c r="N76" s="293"/>
    </row>
    <row r="77" spans="1:14">
      <c r="A77" s="293" t="s">
        <v>18</v>
      </c>
      <c r="B77" s="293" t="s">
        <v>18</v>
      </c>
      <c r="C77" s="293"/>
      <c r="D77" s="293"/>
      <c r="E77" s="293"/>
      <c r="F77" s="293"/>
      <c r="G77" s="293"/>
      <c r="H77" s="293"/>
      <c r="I77" s="293"/>
      <c r="J77" s="293"/>
      <c r="K77" s="293"/>
      <c r="L77" s="293"/>
      <c r="M77" s="293"/>
      <c r="N77" s="293"/>
    </row>
    <row r="78" spans="1:14" ht="15.75">
      <c r="A78" s="407" t="s">
        <v>19</v>
      </c>
    </row>
    <row r="79" spans="1:14" ht="15.75">
      <c r="A79" s="407" t="s">
        <v>20</v>
      </c>
      <c r="B79" s="407" t="s">
        <v>21</v>
      </c>
      <c r="C79" s="407" t="s">
        <v>18</v>
      </c>
      <c r="D79" s="407" t="s">
        <v>22</v>
      </c>
      <c r="E79" s="407" t="s">
        <v>7</v>
      </c>
      <c r="F79" s="407" t="s">
        <v>13</v>
      </c>
      <c r="G79" s="407" t="s">
        <v>16</v>
      </c>
      <c r="H79" s="407" t="s">
        <v>23</v>
      </c>
      <c r="I79" s="407" t="s">
        <v>24</v>
      </c>
      <c r="J79" s="407" t="s">
        <v>25</v>
      </c>
      <c r="K79" s="407" t="s">
        <v>26</v>
      </c>
      <c r="L79" s="407" t="s">
        <v>27</v>
      </c>
      <c r="M79" s="407" t="s">
        <v>28</v>
      </c>
      <c r="N79" s="407" t="s">
        <v>161</v>
      </c>
    </row>
    <row r="80" spans="1:14">
      <c r="A80" s="293" t="s">
        <v>194</v>
      </c>
      <c r="B80" s="293">
        <f>B75</f>
        <v>1</v>
      </c>
      <c r="C80" s="293" t="str">
        <f>B77</f>
        <v>unit</v>
      </c>
      <c r="D80" s="293" t="s">
        <v>2</v>
      </c>
      <c r="E80" s="293" t="s">
        <v>29</v>
      </c>
      <c r="F80" s="293" t="str">
        <f>B74</f>
        <v>RER</v>
      </c>
      <c r="G80" s="293" t="s">
        <v>30</v>
      </c>
      <c r="H80" s="293">
        <v>0</v>
      </c>
      <c r="I80" s="293">
        <f>B80</f>
        <v>1</v>
      </c>
      <c r="J80" s="293" t="s">
        <v>31</v>
      </c>
      <c r="K80" s="293" t="s">
        <v>31</v>
      </c>
      <c r="L80" s="293" t="s">
        <v>31</v>
      </c>
      <c r="M80" s="293" t="s">
        <v>31</v>
      </c>
      <c r="N80" s="293"/>
    </row>
    <row r="81" spans="1:14">
      <c r="A81" s="185" t="s">
        <v>227</v>
      </c>
      <c r="B81" s="422">
        <v>1</v>
      </c>
      <c r="C81" s="293" t="s">
        <v>18</v>
      </c>
      <c r="D81" s="293" t="s">
        <v>2</v>
      </c>
      <c r="E81" s="293" t="s">
        <v>29</v>
      </c>
      <c r="F81" s="293" t="s">
        <v>35</v>
      </c>
      <c r="G81" s="293" t="s">
        <v>33</v>
      </c>
      <c r="H81" s="293">
        <v>0</v>
      </c>
      <c r="I81" s="293">
        <f>B81</f>
        <v>1</v>
      </c>
      <c r="J81" s="293" t="s">
        <v>31</v>
      </c>
      <c r="K81" s="293" t="s">
        <v>31</v>
      </c>
      <c r="L81" s="293" t="s">
        <v>31</v>
      </c>
      <c r="M81" s="293" t="s">
        <v>31</v>
      </c>
      <c r="N81" s="293" t="s">
        <v>228</v>
      </c>
    </row>
    <row r="82" spans="1:14">
      <c r="A82" s="185" t="s">
        <v>229</v>
      </c>
      <c r="B82" s="422">
        <v>1</v>
      </c>
      <c r="C82" s="293" t="s">
        <v>18</v>
      </c>
      <c r="D82" s="293" t="s">
        <v>2</v>
      </c>
      <c r="E82" s="293" t="s">
        <v>29</v>
      </c>
      <c r="F82" s="293" t="s">
        <v>35</v>
      </c>
      <c r="G82" s="293" t="s">
        <v>33</v>
      </c>
      <c r="H82" s="293">
        <v>0</v>
      </c>
      <c r="I82" s="293">
        <f>B82</f>
        <v>1</v>
      </c>
      <c r="J82" s="293" t="s">
        <v>31</v>
      </c>
      <c r="K82" s="293" t="s">
        <v>31</v>
      </c>
      <c r="L82" s="293" t="s">
        <v>31</v>
      </c>
      <c r="M82" s="293" t="s">
        <v>31</v>
      </c>
      <c r="N82" s="293" t="s">
        <v>230</v>
      </c>
    </row>
    <row r="83" spans="1:14">
      <c r="A83" s="185" t="s">
        <v>231</v>
      </c>
      <c r="B83" s="422">
        <v>1</v>
      </c>
      <c r="C83" s="293" t="s">
        <v>18</v>
      </c>
      <c r="D83" s="293" t="s">
        <v>2</v>
      </c>
      <c r="E83" s="293" t="s">
        <v>29</v>
      </c>
      <c r="F83" s="293" t="s">
        <v>35</v>
      </c>
      <c r="G83" s="293" t="s">
        <v>33</v>
      </c>
      <c r="H83" s="293">
        <v>0</v>
      </c>
      <c r="I83" s="293">
        <f>B83</f>
        <v>1</v>
      </c>
      <c r="J83" s="293" t="s">
        <v>31</v>
      </c>
      <c r="K83" s="293" t="s">
        <v>31</v>
      </c>
      <c r="L83" s="293" t="s">
        <v>31</v>
      </c>
      <c r="M83" s="293" t="s">
        <v>31</v>
      </c>
      <c r="N83" s="293" t="s">
        <v>232</v>
      </c>
    </row>
    <row r="84" spans="1:14">
      <c r="A84" s="185" t="s">
        <v>233</v>
      </c>
      <c r="B84" s="422">
        <v>1</v>
      </c>
      <c r="C84" s="293" t="s">
        <v>18</v>
      </c>
      <c r="D84" s="293" t="s">
        <v>2</v>
      </c>
      <c r="E84" s="293" t="s">
        <v>29</v>
      </c>
      <c r="F84" s="293" t="s">
        <v>35</v>
      </c>
      <c r="G84" s="293" t="s">
        <v>33</v>
      </c>
      <c r="H84" s="293">
        <v>0</v>
      </c>
      <c r="I84" s="293">
        <f t="shared" ref="I84:I87" si="4">B84</f>
        <v>1</v>
      </c>
      <c r="J84" s="293" t="s">
        <v>31</v>
      </c>
      <c r="K84" s="293" t="s">
        <v>31</v>
      </c>
      <c r="L84" s="293" t="s">
        <v>31</v>
      </c>
      <c r="M84" s="293" t="s">
        <v>31</v>
      </c>
      <c r="N84" s="293" t="s">
        <v>234</v>
      </c>
    </row>
    <row r="85" spans="1:14">
      <c r="A85" s="185" t="s">
        <v>235</v>
      </c>
      <c r="B85" s="422">
        <v>1</v>
      </c>
      <c r="C85" s="293" t="s">
        <v>18</v>
      </c>
      <c r="D85" s="293" t="s">
        <v>2</v>
      </c>
      <c r="E85" s="293" t="s">
        <v>29</v>
      </c>
      <c r="F85" s="293" t="s">
        <v>35</v>
      </c>
      <c r="G85" s="293" t="s">
        <v>33</v>
      </c>
      <c r="H85" s="293">
        <v>0</v>
      </c>
      <c r="I85" s="293">
        <f t="shared" si="4"/>
        <v>1</v>
      </c>
      <c r="J85" s="293" t="s">
        <v>31</v>
      </c>
      <c r="K85" s="293" t="s">
        <v>31</v>
      </c>
      <c r="L85" s="293" t="s">
        <v>31</v>
      </c>
      <c r="M85" s="293" t="s">
        <v>31</v>
      </c>
      <c r="N85" s="293" t="s">
        <v>236</v>
      </c>
    </row>
    <row r="86" spans="1:14">
      <c r="A86" s="185" t="s">
        <v>237</v>
      </c>
      <c r="B86" s="422">
        <v>1</v>
      </c>
      <c r="C86" s="293" t="s">
        <v>18</v>
      </c>
      <c r="D86" s="293" t="s">
        <v>2</v>
      </c>
      <c r="E86" s="293" t="s">
        <v>29</v>
      </c>
      <c r="F86" s="293" t="s">
        <v>35</v>
      </c>
      <c r="G86" s="293" t="s">
        <v>33</v>
      </c>
      <c r="H86" s="293">
        <v>0</v>
      </c>
      <c r="I86" s="293">
        <f t="shared" si="4"/>
        <v>1</v>
      </c>
      <c r="J86" s="293" t="s">
        <v>31</v>
      </c>
      <c r="K86" s="293" t="s">
        <v>31</v>
      </c>
      <c r="L86" s="293" t="s">
        <v>31</v>
      </c>
      <c r="M86" s="293" t="s">
        <v>31</v>
      </c>
      <c r="N86" s="293" t="s">
        <v>238</v>
      </c>
    </row>
    <row r="87" spans="1:14">
      <c r="A87" s="185" t="s">
        <v>239</v>
      </c>
      <c r="B87" s="422">
        <v>1</v>
      </c>
      <c r="C87" s="293" t="s">
        <v>18</v>
      </c>
      <c r="D87" s="293" t="s">
        <v>2</v>
      </c>
      <c r="E87" s="293" t="s">
        <v>29</v>
      </c>
      <c r="F87" s="293" t="s">
        <v>35</v>
      </c>
      <c r="G87" s="293" t="s">
        <v>33</v>
      </c>
      <c r="H87" s="293">
        <v>0</v>
      </c>
      <c r="I87" s="293">
        <f t="shared" si="4"/>
        <v>1</v>
      </c>
      <c r="J87" s="293" t="s">
        <v>31</v>
      </c>
      <c r="K87" s="293" t="s">
        <v>31</v>
      </c>
      <c r="L87" s="293" t="s">
        <v>31</v>
      </c>
      <c r="M87" s="293" t="s">
        <v>31</v>
      </c>
      <c r="N87" s="293" t="s">
        <v>240</v>
      </c>
    </row>
    <row r="88" spans="1:14" ht="15.75">
      <c r="A88" s="409" t="s">
        <v>5</v>
      </c>
      <c r="B88" s="409" t="s">
        <v>227</v>
      </c>
      <c r="C88" s="410"/>
      <c r="D88" s="411"/>
      <c r="E88" s="411"/>
      <c r="F88" s="411"/>
      <c r="G88" s="411"/>
      <c r="H88" s="411"/>
      <c r="I88" s="411"/>
      <c r="J88" s="411"/>
      <c r="K88" s="411"/>
      <c r="L88" s="411"/>
      <c r="M88" s="411"/>
      <c r="N88" s="411"/>
    </row>
    <row r="89" spans="1:14">
      <c r="A89" s="293" t="s">
        <v>7</v>
      </c>
      <c r="B89" s="293" t="s">
        <v>152</v>
      </c>
      <c r="C89" s="293"/>
      <c r="D89" s="293"/>
      <c r="E89" s="293"/>
      <c r="F89" s="293"/>
      <c r="G89" s="293"/>
      <c r="H89" s="293"/>
      <c r="I89" s="293"/>
      <c r="J89" s="293"/>
      <c r="K89" s="293"/>
      <c r="L89" s="293"/>
      <c r="M89" s="293"/>
      <c r="N89" s="293"/>
    </row>
    <row r="90" spans="1:14">
      <c r="A90" s="293" t="s">
        <v>9</v>
      </c>
      <c r="B90" s="293" t="s">
        <v>241</v>
      </c>
      <c r="C90" s="293"/>
      <c r="D90" s="293"/>
      <c r="E90" s="293"/>
      <c r="F90" s="293"/>
      <c r="G90" s="293"/>
      <c r="H90" s="293"/>
      <c r="I90" s="293"/>
      <c r="J90" s="293"/>
      <c r="K90" s="293"/>
      <c r="L90" s="293"/>
      <c r="M90" s="293"/>
      <c r="N90" s="293"/>
    </row>
    <row r="91" spans="1:14">
      <c r="A91" s="293" t="s">
        <v>11</v>
      </c>
      <c r="B91" s="293" t="s">
        <v>242</v>
      </c>
      <c r="C91" s="293"/>
      <c r="D91" s="293"/>
      <c r="E91" s="293"/>
      <c r="F91" s="293"/>
      <c r="G91" s="293"/>
      <c r="H91" s="293"/>
      <c r="I91" s="293"/>
      <c r="J91" s="293"/>
      <c r="K91" s="293"/>
      <c r="L91" s="293"/>
      <c r="M91" s="293"/>
      <c r="N91" s="293"/>
    </row>
    <row r="92" spans="1:14">
      <c r="A92" s="293" t="s">
        <v>13</v>
      </c>
      <c r="B92" s="293" t="s">
        <v>35</v>
      </c>
      <c r="C92" s="293"/>
      <c r="D92" s="293"/>
      <c r="E92" s="293"/>
      <c r="F92" s="293"/>
      <c r="G92" s="293"/>
      <c r="H92" s="293"/>
      <c r="I92" s="293"/>
      <c r="J92" s="293"/>
      <c r="K92" s="293"/>
      <c r="L92" s="293"/>
      <c r="M92" s="293"/>
      <c r="N92" s="293"/>
    </row>
    <row r="93" spans="1:14">
      <c r="A93" s="293" t="s">
        <v>15</v>
      </c>
      <c r="B93" s="185">
        <v>1</v>
      </c>
      <c r="C93" s="293"/>
      <c r="D93" s="293"/>
      <c r="E93" s="293"/>
      <c r="F93" s="293"/>
      <c r="G93" s="293"/>
      <c r="H93" s="293"/>
      <c r="I93" s="293"/>
      <c r="J93" s="293"/>
      <c r="K93" s="293"/>
      <c r="L93" s="293"/>
      <c r="M93" s="293"/>
      <c r="N93" s="293"/>
    </row>
    <row r="94" spans="1:14">
      <c r="A94" s="293" t="s">
        <v>16</v>
      </c>
      <c r="B94" s="293" t="s">
        <v>17</v>
      </c>
      <c r="C94" s="293"/>
      <c r="D94" s="293"/>
      <c r="E94" s="293"/>
      <c r="F94" s="293"/>
      <c r="G94" s="293"/>
      <c r="H94" s="293"/>
      <c r="I94" s="293"/>
      <c r="J94" s="293"/>
      <c r="K94" s="293"/>
      <c r="L94" s="293"/>
      <c r="M94" s="293"/>
      <c r="N94" s="293"/>
    </row>
    <row r="95" spans="1:14">
      <c r="A95" s="293" t="s">
        <v>18</v>
      </c>
      <c r="B95" s="293" t="s">
        <v>18</v>
      </c>
      <c r="C95" s="293"/>
      <c r="D95" s="293"/>
      <c r="E95" s="293"/>
      <c r="F95" s="293"/>
      <c r="G95" s="293"/>
      <c r="H95" s="293"/>
      <c r="I95" s="293"/>
      <c r="J95" s="293"/>
      <c r="K95" s="293"/>
      <c r="L95" s="293"/>
      <c r="M95" s="293"/>
      <c r="N95" s="293"/>
    </row>
    <row r="96" spans="1:14" ht="15.75">
      <c r="A96" s="407" t="s">
        <v>19</v>
      </c>
    </row>
    <row r="97" spans="1:14" ht="15.75">
      <c r="A97" s="407" t="s">
        <v>20</v>
      </c>
      <c r="B97" s="407" t="s">
        <v>21</v>
      </c>
      <c r="C97" s="407" t="s">
        <v>18</v>
      </c>
      <c r="D97" s="407" t="s">
        <v>22</v>
      </c>
      <c r="E97" s="407" t="s">
        <v>7</v>
      </c>
      <c r="F97" s="407" t="s">
        <v>13</v>
      </c>
      <c r="G97" s="407" t="s">
        <v>16</v>
      </c>
      <c r="H97" s="407" t="s">
        <v>23</v>
      </c>
      <c r="I97" s="407" t="s">
        <v>24</v>
      </c>
      <c r="J97" s="407" t="s">
        <v>25</v>
      </c>
      <c r="K97" s="407" t="s">
        <v>26</v>
      </c>
      <c r="L97" s="407" t="s">
        <v>27</v>
      </c>
      <c r="M97" s="407" t="s">
        <v>28</v>
      </c>
      <c r="N97" s="407" t="s">
        <v>161</v>
      </c>
    </row>
    <row r="98" spans="1:14">
      <c r="A98" s="293" t="s">
        <v>227</v>
      </c>
      <c r="B98" s="293">
        <f>B93</f>
        <v>1</v>
      </c>
      <c r="C98" s="293" t="str">
        <f>B95</f>
        <v>unit</v>
      </c>
      <c r="D98" s="293" t="s">
        <v>2</v>
      </c>
      <c r="E98" s="293" t="s">
        <v>29</v>
      </c>
      <c r="F98" s="293" t="str">
        <f>B92</f>
        <v>RER</v>
      </c>
      <c r="G98" s="293" t="s">
        <v>30</v>
      </c>
      <c r="H98" s="293">
        <v>0</v>
      </c>
      <c r="I98" s="293">
        <f>B98</f>
        <v>1</v>
      </c>
      <c r="J98" s="293" t="s">
        <v>31</v>
      </c>
      <c r="K98" s="293" t="s">
        <v>31</v>
      </c>
      <c r="L98" s="293" t="s">
        <v>31</v>
      </c>
      <c r="M98" s="293" t="s">
        <v>31</v>
      </c>
      <c r="N98" s="293"/>
    </row>
    <row r="99" spans="1:14">
      <c r="A99" s="185" t="s">
        <v>205</v>
      </c>
      <c r="B99" s="422">
        <v>44863</v>
      </c>
      <c r="C99" s="293" t="s">
        <v>206</v>
      </c>
      <c r="D99" s="293" t="s">
        <v>43</v>
      </c>
      <c r="E99" s="293" t="s">
        <v>207</v>
      </c>
      <c r="F99" s="293" t="s">
        <v>29</v>
      </c>
      <c r="G99" s="293" t="s">
        <v>45</v>
      </c>
      <c r="H99" s="293">
        <v>0</v>
      </c>
      <c r="I99" s="293">
        <v>49625</v>
      </c>
      <c r="J99" s="293" t="s">
        <v>31</v>
      </c>
      <c r="K99" s="293" t="s">
        <v>31</v>
      </c>
      <c r="L99" s="293" t="s">
        <v>31</v>
      </c>
      <c r="M99" s="293" t="s">
        <v>31</v>
      </c>
      <c r="N99" s="293" t="s">
        <v>208</v>
      </c>
    </row>
    <row r="100" spans="1:14">
      <c r="A100" s="185" t="s">
        <v>209</v>
      </c>
      <c r="B100" s="422">
        <f>B99*100</f>
        <v>4486300</v>
      </c>
      <c r="C100" s="293" t="s">
        <v>210</v>
      </c>
      <c r="D100" s="293" t="s">
        <v>43</v>
      </c>
      <c r="E100" s="293" t="s">
        <v>207</v>
      </c>
      <c r="F100" s="293" t="s">
        <v>29</v>
      </c>
      <c r="G100" s="293" t="s">
        <v>45</v>
      </c>
      <c r="H100" s="293">
        <v>0</v>
      </c>
      <c r="I100" s="293">
        <v>4962500</v>
      </c>
      <c r="J100" s="293" t="s">
        <v>31</v>
      </c>
      <c r="K100" s="293" t="s">
        <v>31</v>
      </c>
      <c r="L100" s="293" t="s">
        <v>31</v>
      </c>
      <c r="M100" s="293" t="s">
        <v>31</v>
      </c>
      <c r="N100" s="293" t="s">
        <v>211</v>
      </c>
    </row>
    <row r="101" spans="1:14" s="293" customFormat="1" ht="12.75">
      <c r="A101" s="185" t="s">
        <v>212</v>
      </c>
      <c r="B101" s="422">
        <f>B99*0.7</f>
        <v>31404.1</v>
      </c>
      <c r="C101" s="293" t="s">
        <v>206</v>
      </c>
      <c r="D101" s="293" t="s">
        <v>38</v>
      </c>
      <c r="E101" s="293" t="s">
        <v>29</v>
      </c>
      <c r="F101" s="293" t="s">
        <v>60</v>
      </c>
      <c r="G101" s="293" t="s">
        <v>33</v>
      </c>
      <c r="H101" s="293">
        <v>0</v>
      </c>
      <c r="I101" s="293">
        <f t="shared" ref="I101:I102" si="5">B101</f>
        <v>31404.1</v>
      </c>
      <c r="J101" s="293" t="s">
        <v>31</v>
      </c>
      <c r="K101" s="293" t="s">
        <v>31</v>
      </c>
      <c r="L101" s="293" t="s">
        <v>31</v>
      </c>
      <c r="M101" s="293" t="s">
        <v>31</v>
      </c>
      <c r="N101" s="293" t="s">
        <v>213</v>
      </c>
    </row>
    <row r="102" spans="1:14" s="293" customFormat="1" ht="12.75">
      <c r="A102" s="426" t="s">
        <v>214</v>
      </c>
      <c r="B102" s="422">
        <f>B99*0.3*5*2.5*P7</f>
        <v>504759.22592259228</v>
      </c>
      <c r="C102" s="293" t="s">
        <v>50</v>
      </c>
      <c r="D102" s="293" t="s">
        <v>38</v>
      </c>
      <c r="E102" s="293" t="s">
        <v>29</v>
      </c>
      <c r="F102" s="293" t="s">
        <v>60</v>
      </c>
      <c r="G102" s="293" t="s">
        <v>33</v>
      </c>
      <c r="H102" s="293">
        <v>0</v>
      </c>
      <c r="I102" s="293">
        <f t="shared" si="5"/>
        <v>504759.22592259228</v>
      </c>
      <c r="J102" s="293" t="s">
        <v>31</v>
      </c>
      <c r="K102" s="293" t="s">
        <v>31</v>
      </c>
      <c r="L102" s="293" t="s">
        <v>31</v>
      </c>
      <c r="M102" s="293" t="s">
        <v>31</v>
      </c>
      <c r="N102" s="293" t="s">
        <v>215</v>
      </c>
    </row>
    <row r="103" spans="1:14" ht="15.75">
      <c r="A103" s="409" t="s">
        <v>5</v>
      </c>
      <c r="B103" s="409" t="s">
        <v>229</v>
      </c>
      <c r="C103" s="410"/>
      <c r="D103" s="411"/>
      <c r="E103" s="411"/>
      <c r="F103" s="411"/>
      <c r="G103" s="411"/>
      <c r="H103" s="411"/>
      <c r="I103" s="411"/>
      <c r="J103" s="411"/>
      <c r="K103" s="411"/>
      <c r="L103" s="411"/>
      <c r="M103" s="411"/>
      <c r="N103" s="411"/>
    </row>
    <row r="104" spans="1:14">
      <c r="A104" s="293" t="s">
        <v>7</v>
      </c>
      <c r="B104" s="293" t="s">
        <v>152</v>
      </c>
      <c r="C104" s="293"/>
      <c r="D104" s="293"/>
      <c r="E104" s="293"/>
      <c r="F104" s="293"/>
      <c r="G104" s="293"/>
      <c r="H104" s="293"/>
      <c r="I104" s="293"/>
      <c r="J104" s="293"/>
      <c r="K104" s="293"/>
      <c r="L104" s="293"/>
      <c r="M104" s="293"/>
      <c r="N104" s="293"/>
    </row>
    <row r="105" spans="1:14">
      <c r="A105" s="293" t="s">
        <v>9</v>
      </c>
      <c r="B105" s="293" t="s">
        <v>243</v>
      </c>
      <c r="C105" s="293"/>
      <c r="D105" s="293"/>
      <c r="E105" s="293"/>
      <c r="F105" s="293"/>
      <c r="G105" s="293"/>
      <c r="H105" s="293"/>
      <c r="I105" s="293"/>
      <c r="J105" s="293"/>
      <c r="K105" s="293"/>
      <c r="L105" s="293"/>
      <c r="M105" s="293"/>
      <c r="N105" s="293"/>
    </row>
    <row r="106" spans="1:14">
      <c r="A106" s="293" t="s">
        <v>11</v>
      </c>
      <c r="B106" s="293" t="s">
        <v>244</v>
      </c>
      <c r="C106" s="293"/>
      <c r="D106" s="293"/>
      <c r="E106" s="293"/>
      <c r="F106" s="293"/>
      <c r="G106" s="293"/>
      <c r="H106" s="293"/>
      <c r="I106" s="293"/>
      <c r="J106" s="293"/>
      <c r="K106" s="293"/>
      <c r="L106" s="293"/>
      <c r="M106" s="293"/>
      <c r="N106" s="293"/>
    </row>
    <row r="107" spans="1:14">
      <c r="A107" s="293" t="s">
        <v>13</v>
      </c>
      <c r="B107" s="293" t="s">
        <v>35</v>
      </c>
      <c r="C107" s="293"/>
      <c r="D107" s="293"/>
      <c r="E107" s="293"/>
      <c r="F107" s="293"/>
      <c r="G107" s="293"/>
      <c r="H107" s="293"/>
      <c r="I107" s="293"/>
      <c r="J107" s="293"/>
      <c r="K107" s="293"/>
      <c r="L107" s="293"/>
      <c r="M107" s="293"/>
      <c r="N107" s="293"/>
    </row>
    <row r="108" spans="1:14">
      <c r="A108" s="293" t="s">
        <v>15</v>
      </c>
      <c r="B108" s="185">
        <v>1</v>
      </c>
      <c r="C108" s="293"/>
      <c r="D108" s="293"/>
      <c r="E108" s="293"/>
      <c r="F108" s="293"/>
      <c r="G108" s="293"/>
      <c r="H108" s="293"/>
      <c r="I108" s="293"/>
      <c r="J108" s="293"/>
      <c r="K108" s="293"/>
      <c r="L108" s="293"/>
      <c r="M108" s="293"/>
      <c r="N108" s="293"/>
    </row>
    <row r="109" spans="1:14">
      <c r="A109" s="293" t="s">
        <v>16</v>
      </c>
      <c r="B109" s="293" t="s">
        <v>17</v>
      </c>
      <c r="C109" s="293"/>
      <c r="D109" s="293"/>
      <c r="E109" s="293"/>
      <c r="F109" s="293"/>
      <c r="G109" s="293"/>
      <c r="H109" s="293"/>
      <c r="I109" s="293"/>
      <c r="J109" s="293"/>
      <c r="K109" s="293"/>
      <c r="L109" s="293"/>
      <c r="M109" s="293"/>
      <c r="N109" s="293"/>
    </row>
    <row r="110" spans="1:14">
      <c r="A110" s="293" t="s">
        <v>18</v>
      </c>
      <c r="B110" s="293" t="s">
        <v>18</v>
      </c>
      <c r="C110" s="293"/>
      <c r="D110" s="293"/>
      <c r="E110" s="293"/>
      <c r="F110" s="293"/>
      <c r="G110" s="293"/>
      <c r="H110" s="293"/>
      <c r="I110" s="293"/>
      <c r="J110" s="293"/>
      <c r="K110" s="293"/>
      <c r="L110" s="293"/>
      <c r="M110" s="293"/>
      <c r="N110" s="293"/>
    </row>
    <row r="111" spans="1:14" ht="15.75">
      <c r="A111" s="407" t="s">
        <v>19</v>
      </c>
    </row>
    <row r="112" spans="1:14" ht="15.75">
      <c r="A112" s="407" t="s">
        <v>20</v>
      </c>
      <c r="B112" s="407" t="s">
        <v>21</v>
      </c>
      <c r="C112" s="407" t="s">
        <v>18</v>
      </c>
      <c r="D112" s="407" t="s">
        <v>22</v>
      </c>
      <c r="E112" s="407" t="s">
        <v>7</v>
      </c>
      <c r="F112" s="407" t="s">
        <v>13</v>
      </c>
      <c r="G112" s="407" t="s">
        <v>16</v>
      </c>
      <c r="H112" s="407" t="s">
        <v>23</v>
      </c>
      <c r="I112" s="407" t="s">
        <v>24</v>
      </c>
      <c r="J112" s="407" t="s">
        <v>25</v>
      </c>
      <c r="K112" s="407" t="s">
        <v>26</v>
      </c>
      <c r="L112" s="407" t="s">
        <v>27</v>
      </c>
      <c r="M112" s="407" t="s">
        <v>28</v>
      </c>
      <c r="N112" s="407" t="s">
        <v>161</v>
      </c>
    </row>
    <row r="113" spans="1:14">
      <c r="A113" s="293" t="s">
        <v>229</v>
      </c>
      <c r="B113" s="293">
        <f>B108</f>
        <v>1</v>
      </c>
      <c r="C113" s="293" t="str">
        <f>B110</f>
        <v>unit</v>
      </c>
      <c r="D113" s="293" t="s">
        <v>2</v>
      </c>
      <c r="E113" s="293" t="s">
        <v>29</v>
      </c>
      <c r="F113" s="293" t="str">
        <f>B107</f>
        <v>RER</v>
      </c>
      <c r="G113" s="293" t="s">
        <v>30</v>
      </c>
      <c r="H113" s="293">
        <v>0</v>
      </c>
      <c r="I113" s="293">
        <f>B113</f>
        <v>1</v>
      </c>
      <c r="J113" s="293" t="s">
        <v>31</v>
      </c>
      <c r="K113" s="293" t="s">
        <v>31</v>
      </c>
      <c r="L113" s="293" t="s">
        <v>31</v>
      </c>
      <c r="M113" s="293" t="s">
        <v>31</v>
      </c>
      <c r="N113" s="293"/>
    </row>
    <row r="114" spans="1:14">
      <c r="A114" s="185" t="s">
        <v>205</v>
      </c>
      <c r="B114" s="422">
        <v>9369</v>
      </c>
      <c r="C114" s="293" t="s">
        <v>206</v>
      </c>
      <c r="D114" s="293" t="s">
        <v>43</v>
      </c>
      <c r="E114" s="293" t="s">
        <v>207</v>
      </c>
      <c r="F114" s="293" t="s">
        <v>29</v>
      </c>
      <c r="G114" s="293" t="s">
        <v>45</v>
      </c>
      <c r="H114" s="293">
        <v>0</v>
      </c>
      <c r="I114" s="293">
        <v>49625</v>
      </c>
      <c r="J114" s="293" t="s">
        <v>31</v>
      </c>
      <c r="K114" s="293" t="s">
        <v>31</v>
      </c>
      <c r="L114" s="293" t="s">
        <v>31</v>
      </c>
      <c r="M114" s="293" t="s">
        <v>31</v>
      </c>
      <c r="N114" s="293" t="s">
        <v>208</v>
      </c>
    </row>
    <row r="115" spans="1:14">
      <c r="A115" s="185" t="s">
        <v>209</v>
      </c>
      <c r="B115" s="422">
        <f>B114*100</f>
        <v>936900</v>
      </c>
      <c r="C115" s="293" t="s">
        <v>210</v>
      </c>
      <c r="D115" s="293" t="s">
        <v>43</v>
      </c>
      <c r="E115" s="293" t="s">
        <v>207</v>
      </c>
      <c r="F115" s="293" t="s">
        <v>29</v>
      </c>
      <c r="G115" s="293" t="s">
        <v>45</v>
      </c>
      <c r="H115" s="293">
        <v>0</v>
      </c>
      <c r="I115" s="293">
        <v>4962500</v>
      </c>
      <c r="J115" s="293" t="s">
        <v>31</v>
      </c>
      <c r="K115" s="293" t="s">
        <v>31</v>
      </c>
      <c r="L115" s="293" t="s">
        <v>31</v>
      </c>
      <c r="M115" s="293" t="s">
        <v>31</v>
      </c>
      <c r="N115" s="293" t="s">
        <v>211</v>
      </c>
    </row>
    <row r="116" spans="1:14" s="293" customFormat="1" ht="12.75">
      <c r="A116" s="185" t="s">
        <v>212</v>
      </c>
      <c r="B116" s="422">
        <f>B114*0.7</f>
        <v>6558.2999999999993</v>
      </c>
      <c r="C116" s="293" t="s">
        <v>206</v>
      </c>
      <c r="D116" s="293" t="s">
        <v>38</v>
      </c>
      <c r="E116" s="293" t="s">
        <v>29</v>
      </c>
      <c r="F116" s="293" t="s">
        <v>60</v>
      </c>
      <c r="G116" s="293" t="s">
        <v>33</v>
      </c>
      <c r="H116" s="293">
        <v>0</v>
      </c>
      <c r="I116" s="293">
        <f t="shared" ref="I116:I117" si="6">B116</f>
        <v>6558.2999999999993</v>
      </c>
      <c r="J116" s="293" t="s">
        <v>31</v>
      </c>
      <c r="K116" s="293" t="s">
        <v>31</v>
      </c>
      <c r="L116" s="293" t="s">
        <v>31</v>
      </c>
      <c r="M116" s="293" t="s">
        <v>31</v>
      </c>
      <c r="N116" s="293" t="s">
        <v>245</v>
      </c>
    </row>
    <row r="117" spans="1:14" s="293" customFormat="1" ht="12.75">
      <c r="A117" s="426" t="s">
        <v>214</v>
      </c>
      <c r="B117" s="422">
        <f>B114*0.3*5*2.5*P7</f>
        <v>105411.79117911791</v>
      </c>
      <c r="C117" s="293" t="s">
        <v>50</v>
      </c>
      <c r="D117" s="293" t="s">
        <v>38</v>
      </c>
      <c r="E117" s="293" t="s">
        <v>29</v>
      </c>
      <c r="F117" s="293" t="s">
        <v>60</v>
      </c>
      <c r="G117" s="293" t="s">
        <v>33</v>
      </c>
      <c r="H117" s="293">
        <v>0</v>
      </c>
      <c r="I117" s="293">
        <f t="shared" si="6"/>
        <v>105411.79117911791</v>
      </c>
      <c r="J117" s="293" t="s">
        <v>31</v>
      </c>
      <c r="K117" s="293" t="s">
        <v>31</v>
      </c>
      <c r="L117" s="293" t="s">
        <v>31</v>
      </c>
      <c r="M117" s="293" t="s">
        <v>31</v>
      </c>
      <c r="N117" s="293" t="s">
        <v>215</v>
      </c>
    </row>
    <row r="118" spans="1:14" ht="15.75">
      <c r="A118" s="409" t="s">
        <v>5</v>
      </c>
      <c r="B118" s="409" t="s">
        <v>231</v>
      </c>
      <c r="C118" s="410"/>
      <c r="D118" s="411"/>
      <c r="E118" s="411"/>
      <c r="F118" s="411"/>
      <c r="G118" s="411"/>
      <c r="H118" s="411"/>
      <c r="I118" s="411"/>
      <c r="J118" s="411"/>
      <c r="K118" s="411"/>
      <c r="L118" s="411"/>
      <c r="M118" s="411"/>
      <c r="N118" s="411"/>
    </row>
    <row r="119" spans="1:14">
      <c r="A119" s="293" t="s">
        <v>7</v>
      </c>
      <c r="B119" s="293" t="s">
        <v>152</v>
      </c>
      <c r="C119" s="293"/>
      <c r="D119" s="293"/>
      <c r="E119" s="293"/>
      <c r="F119" s="293"/>
      <c r="G119" s="293"/>
      <c r="H119" s="293"/>
      <c r="I119" s="293"/>
      <c r="J119" s="293"/>
      <c r="K119" s="293"/>
      <c r="L119" s="293"/>
      <c r="M119" s="293"/>
      <c r="N119" s="293"/>
    </row>
    <row r="120" spans="1:14">
      <c r="A120" s="293" t="s">
        <v>9</v>
      </c>
      <c r="B120" s="293" t="s">
        <v>246</v>
      </c>
      <c r="C120" s="293"/>
      <c r="D120" s="293"/>
      <c r="E120" s="293"/>
      <c r="F120" s="293"/>
      <c r="G120" s="293"/>
      <c r="H120" s="293"/>
      <c r="I120" s="293"/>
      <c r="J120" s="293"/>
      <c r="K120" s="293"/>
      <c r="L120" s="293"/>
      <c r="M120" s="293"/>
      <c r="N120" s="293"/>
    </row>
    <row r="121" spans="1:14">
      <c r="A121" s="293" t="s">
        <v>11</v>
      </c>
      <c r="B121" s="293" t="s">
        <v>247</v>
      </c>
      <c r="C121" s="293"/>
      <c r="D121" s="293"/>
      <c r="E121" s="293"/>
      <c r="F121" s="293"/>
      <c r="G121" s="293"/>
      <c r="H121" s="293"/>
      <c r="I121" s="293"/>
      <c r="J121" s="293"/>
      <c r="K121" s="293"/>
      <c r="L121" s="293"/>
      <c r="M121" s="293"/>
      <c r="N121" s="293"/>
    </row>
    <row r="122" spans="1:14">
      <c r="A122" s="293" t="s">
        <v>13</v>
      </c>
      <c r="B122" s="293" t="s">
        <v>35</v>
      </c>
      <c r="C122" s="293"/>
      <c r="D122" s="293"/>
      <c r="E122" s="293"/>
      <c r="F122" s="293"/>
      <c r="G122" s="293"/>
      <c r="H122" s="293"/>
      <c r="I122" s="293"/>
      <c r="J122" s="293"/>
      <c r="K122" s="293"/>
      <c r="L122" s="293"/>
      <c r="M122" s="293"/>
      <c r="N122" s="293"/>
    </row>
    <row r="123" spans="1:14">
      <c r="A123" s="293" t="s">
        <v>15</v>
      </c>
      <c r="B123" s="185">
        <v>1</v>
      </c>
      <c r="C123" s="293"/>
      <c r="D123" s="293"/>
      <c r="E123" s="293"/>
      <c r="F123" s="293"/>
      <c r="G123" s="293"/>
      <c r="H123" s="293"/>
      <c r="I123" s="293"/>
      <c r="J123" s="293"/>
      <c r="K123" s="293"/>
      <c r="L123" s="293"/>
      <c r="M123" s="293"/>
      <c r="N123" s="293"/>
    </row>
    <row r="124" spans="1:14">
      <c r="A124" s="293" t="s">
        <v>16</v>
      </c>
      <c r="B124" s="293" t="s">
        <v>17</v>
      </c>
      <c r="C124" s="293"/>
      <c r="D124" s="293"/>
      <c r="E124" s="293"/>
      <c r="F124" s="293"/>
      <c r="G124" s="293"/>
      <c r="H124" s="293"/>
      <c r="I124" s="293"/>
      <c r="J124" s="293"/>
      <c r="K124" s="293"/>
      <c r="L124" s="293"/>
      <c r="M124" s="293"/>
      <c r="N124" s="293"/>
    </row>
    <row r="125" spans="1:14">
      <c r="A125" s="293" t="s">
        <v>18</v>
      </c>
      <c r="B125" s="293" t="s">
        <v>18</v>
      </c>
      <c r="C125" s="293"/>
      <c r="D125" s="293"/>
      <c r="E125" s="293"/>
      <c r="F125" s="293"/>
      <c r="G125" s="293"/>
      <c r="H125" s="293"/>
      <c r="I125" s="293"/>
      <c r="J125" s="293"/>
      <c r="K125" s="293"/>
      <c r="L125" s="293"/>
      <c r="M125" s="293"/>
      <c r="N125" s="293"/>
    </row>
    <row r="126" spans="1:14" ht="15.75">
      <c r="A126" s="407" t="s">
        <v>19</v>
      </c>
    </row>
    <row r="127" spans="1:14" ht="15.75">
      <c r="A127" s="407" t="s">
        <v>20</v>
      </c>
      <c r="B127" s="407" t="s">
        <v>21</v>
      </c>
      <c r="C127" s="407" t="s">
        <v>18</v>
      </c>
      <c r="D127" s="407" t="s">
        <v>22</v>
      </c>
      <c r="E127" s="407" t="s">
        <v>7</v>
      </c>
      <c r="F127" s="407" t="s">
        <v>13</v>
      </c>
      <c r="G127" s="407" t="s">
        <v>16</v>
      </c>
      <c r="H127" s="407" t="s">
        <v>23</v>
      </c>
      <c r="I127" s="407" t="s">
        <v>24</v>
      </c>
      <c r="J127" s="407" t="s">
        <v>25</v>
      </c>
      <c r="K127" s="407" t="s">
        <v>26</v>
      </c>
      <c r="L127" s="407" t="s">
        <v>27</v>
      </c>
      <c r="M127" s="407" t="s">
        <v>28</v>
      </c>
      <c r="N127" s="407" t="s">
        <v>161</v>
      </c>
    </row>
    <row r="128" spans="1:14">
      <c r="A128" s="293" t="s">
        <v>231</v>
      </c>
      <c r="B128" s="293">
        <f>B123</f>
        <v>1</v>
      </c>
      <c r="C128" s="293" t="str">
        <f>B125</f>
        <v>unit</v>
      </c>
      <c r="D128" s="293" t="s">
        <v>2</v>
      </c>
      <c r="E128" s="293" t="s">
        <v>29</v>
      </c>
      <c r="F128" s="293" t="str">
        <f>B122</f>
        <v>RER</v>
      </c>
      <c r="G128" s="293" t="s">
        <v>30</v>
      </c>
      <c r="H128" s="293">
        <v>0</v>
      </c>
      <c r="I128" s="293">
        <f>B128</f>
        <v>1</v>
      </c>
      <c r="J128" s="293" t="s">
        <v>31</v>
      </c>
      <c r="K128" s="293" t="s">
        <v>31</v>
      </c>
      <c r="L128" s="293" t="s">
        <v>31</v>
      </c>
      <c r="M128" s="293" t="s">
        <v>31</v>
      </c>
      <c r="N128" s="293"/>
    </row>
    <row r="129" spans="1:14">
      <c r="A129" s="185" t="s">
        <v>205</v>
      </c>
      <c r="B129" s="422">
        <v>100</v>
      </c>
      <c r="C129" s="293" t="s">
        <v>206</v>
      </c>
      <c r="D129" s="293" t="s">
        <v>43</v>
      </c>
      <c r="E129" s="293" t="s">
        <v>207</v>
      </c>
      <c r="F129" s="293" t="s">
        <v>29</v>
      </c>
      <c r="G129" s="293" t="s">
        <v>45</v>
      </c>
      <c r="H129" s="293">
        <v>0</v>
      </c>
      <c r="I129" s="293">
        <v>49625</v>
      </c>
      <c r="J129" s="293" t="s">
        <v>31</v>
      </c>
      <c r="K129" s="293" t="s">
        <v>31</v>
      </c>
      <c r="L129" s="293" t="s">
        <v>31</v>
      </c>
      <c r="M129" s="293" t="s">
        <v>31</v>
      </c>
      <c r="N129" s="293" t="s">
        <v>208</v>
      </c>
    </row>
    <row r="130" spans="1:14">
      <c r="A130" s="185" t="s">
        <v>209</v>
      </c>
      <c r="B130" s="422">
        <f>B129*100</f>
        <v>10000</v>
      </c>
      <c r="C130" s="293" t="s">
        <v>210</v>
      </c>
      <c r="D130" s="293" t="s">
        <v>43</v>
      </c>
      <c r="E130" s="293" t="s">
        <v>207</v>
      </c>
      <c r="F130" s="293" t="s">
        <v>29</v>
      </c>
      <c r="G130" s="293" t="s">
        <v>45</v>
      </c>
      <c r="H130" s="293">
        <v>0</v>
      </c>
      <c r="I130" s="293">
        <v>4962500</v>
      </c>
      <c r="J130" s="293" t="s">
        <v>31</v>
      </c>
      <c r="K130" s="293" t="s">
        <v>31</v>
      </c>
      <c r="L130" s="293" t="s">
        <v>31</v>
      </c>
      <c r="M130" s="293" t="s">
        <v>31</v>
      </c>
      <c r="N130" s="293" t="s">
        <v>211</v>
      </c>
    </row>
    <row r="131" spans="1:14" s="293" customFormat="1" ht="12.75">
      <c r="A131" s="317" t="s">
        <v>220</v>
      </c>
      <c r="B131" s="422">
        <f>B129*0.5*P7</f>
        <v>150.01500150015002</v>
      </c>
      <c r="C131" s="293" t="s">
        <v>50</v>
      </c>
      <c r="D131" s="293" t="s">
        <v>38</v>
      </c>
      <c r="E131" s="293" t="s">
        <v>29</v>
      </c>
      <c r="F131" s="293" t="s">
        <v>86</v>
      </c>
      <c r="G131" s="293" t="s">
        <v>33</v>
      </c>
      <c r="H131" s="293">
        <v>0</v>
      </c>
      <c r="I131" s="293">
        <f t="shared" ref="I131" si="7">B131</f>
        <v>150.01500150015002</v>
      </c>
      <c r="J131" s="293" t="s">
        <v>31</v>
      </c>
      <c r="K131" s="293" t="s">
        <v>31</v>
      </c>
      <c r="L131" s="293" t="s">
        <v>31</v>
      </c>
      <c r="M131" s="293" t="s">
        <v>31</v>
      </c>
      <c r="N131" s="293" t="s">
        <v>248</v>
      </c>
    </row>
    <row r="132" spans="1:14" ht="15.75">
      <c r="A132" s="409" t="s">
        <v>5</v>
      </c>
      <c r="B132" s="409" t="s">
        <v>233</v>
      </c>
      <c r="C132" s="410"/>
      <c r="D132" s="411"/>
      <c r="E132" s="411"/>
      <c r="F132" s="411"/>
      <c r="G132" s="411"/>
      <c r="H132" s="411"/>
      <c r="I132" s="411"/>
      <c r="J132" s="411"/>
      <c r="K132" s="411"/>
      <c r="L132" s="411"/>
      <c r="M132" s="411"/>
      <c r="N132" s="411"/>
    </row>
    <row r="133" spans="1:14">
      <c r="A133" s="293" t="s">
        <v>7</v>
      </c>
      <c r="B133" s="293" t="s">
        <v>152</v>
      </c>
      <c r="C133" s="293"/>
      <c r="D133" s="293"/>
      <c r="E133" s="293"/>
      <c r="F133" s="293"/>
      <c r="G133" s="293"/>
      <c r="H133" s="293"/>
      <c r="I133" s="293"/>
      <c r="J133" s="293"/>
      <c r="K133" s="293"/>
      <c r="L133" s="293"/>
      <c r="M133" s="293"/>
      <c r="N133" s="293"/>
    </row>
    <row r="134" spans="1:14">
      <c r="A134" s="293" t="s">
        <v>9</v>
      </c>
      <c r="B134" s="293" t="s">
        <v>249</v>
      </c>
      <c r="C134" s="293"/>
      <c r="D134" s="293"/>
      <c r="E134" s="293"/>
      <c r="F134" s="293"/>
      <c r="G134" s="293"/>
      <c r="H134" s="293"/>
      <c r="I134" s="293"/>
      <c r="J134" s="293"/>
      <c r="K134" s="293"/>
      <c r="L134" s="293"/>
      <c r="M134" s="293"/>
      <c r="N134" s="293"/>
    </row>
    <row r="135" spans="1:14">
      <c r="A135" s="293" t="s">
        <v>11</v>
      </c>
      <c r="B135" s="293" t="s">
        <v>250</v>
      </c>
      <c r="C135" s="293"/>
      <c r="D135" s="293"/>
      <c r="E135" s="293"/>
      <c r="F135" s="293"/>
      <c r="G135" s="293"/>
      <c r="H135" s="293"/>
      <c r="I135" s="293"/>
      <c r="J135" s="293"/>
      <c r="K135" s="293"/>
      <c r="L135" s="293"/>
      <c r="M135" s="293"/>
      <c r="N135" s="293"/>
    </row>
    <row r="136" spans="1:14">
      <c r="A136" s="293" t="s">
        <v>13</v>
      </c>
      <c r="B136" s="293" t="s">
        <v>35</v>
      </c>
      <c r="C136" s="293"/>
      <c r="D136" s="293"/>
      <c r="E136" s="293"/>
      <c r="F136" s="293"/>
      <c r="G136" s="293"/>
      <c r="H136" s="293"/>
      <c r="I136" s="293"/>
      <c r="J136" s="293"/>
      <c r="K136" s="293"/>
      <c r="L136" s="293"/>
      <c r="M136" s="293"/>
      <c r="N136" s="293"/>
    </row>
    <row r="137" spans="1:14">
      <c r="A137" s="293" t="s">
        <v>15</v>
      </c>
      <c r="B137" s="185">
        <v>1</v>
      </c>
      <c r="C137" s="293"/>
      <c r="D137" s="293"/>
      <c r="E137" s="293"/>
      <c r="F137" s="293"/>
      <c r="G137" s="293"/>
      <c r="H137" s="293"/>
      <c r="I137" s="293"/>
      <c r="J137" s="293"/>
      <c r="K137" s="293"/>
      <c r="L137" s="293"/>
      <c r="M137" s="293"/>
      <c r="N137" s="293"/>
    </row>
    <row r="138" spans="1:14">
      <c r="A138" s="293" t="s">
        <v>16</v>
      </c>
      <c r="B138" s="293" t="s">
        <v>17</v>
      </c>
      <c r="C138" s="293"/>
      <c r="D138" s="293"/>
      <c r="E138" s="293"/>
      <c r="F138" s="293"/>
      <c r="G138" s="293"/>
      <c r="H138" s="293"/>
      <c r="I138" s="293"/>
      <c r="J138" s="293"/>
      <c r="K138" s="293"/>
      <c r="L138" s="293"/>
      <c r="M138" s="293"/>
      <c r="N138" s="293"/>
    </row>
    <row r="139" spans="1:14">
      <c r="A139" s="293" t="s">
        <v>18</v>
      </c>
      <c r="B139" s="293" t="s">
        <v>18</v>
      </c>
      <c r="C139" s="293"/>
      <c r="D139" s="293"/>
      <c r="E139" s="293"/>
      <c r="F139" s="293"/>
      <c r="G139" s="293"/>
      <c r="H139" s="293"/>
      <c r="I139" s="293"/>
      <c r="J139" s="293"/>
      <c r="K139" s="293"/>
      <c r="L139" s="293"/>
      <c r="M139" s="293"/>
      <c r="N139" s="293"/>
    </row>
    <row r="140" spans="1:14" ht="15.75">
      <c r="A140" s="407" t="s">
        <v>19</v>
      </c>
    </row>
    <row r="141" spans="1:14" ht="15.75">
      <c r="A141" s="407" t="s">
        <v>20</v>
      </c>
      <c r="B141" s="407" t="s">
        <v>21</v>
      </c>
      <c r="C141" s="407" t="s">
        <v>18</v>
      </c>
      <c r="D141" s="407" t="s">
        <v>22</v>
      </c>
      <c r="E141" s="407" t="s">
        <v>7</v>
      </c>
      <c r="F141" s="407" t="s">
        <v>13</v>
      </c>
      <c r="G141" s="407" t="s">
        <v>16</v>
      </c>
      <c r="H141" s="407" t="s">
        <v>23</v>
      </c>
      <c r="I141" s="407" t="s">
        <v>24</v>
      </c>
      <c r="J141" s="407" t="s">
        <v>25</v>
      </c>
      <c r="K141" s="407" t="s">
        <v>26</v>
      </c>
      <c r="L141" s="407" t="s">
        <v>27</v>
      </c>
      <c r="M141" s="407" t="s">
        <v>28</v>
      </c>
      <c r="N141" s="407" t="s">
        <v>161</v>
      </c>
    </row>
    <row r="142" spans="1:14">
      <c r="A142" s="293" t="s">
        <v>233</v>
      </c>
      <c r="B142" s="293">
        <f>B137</f>
        <v>1</v>
      </c>
      <c r="C142" s="293" t="str">
        <f>B139</f>
        <v>unit</v>
      </c>
      <c r="D142" s="293" t="s">
        <v>2</v>
      </c>
      <c r="E142" s="293" t="s">
        <v>29</v>
      </c>
      <c r="F142" s="293" t="str">
        <f>B136</f>
        <v>RER</v>
      </c>
      <c r="G142" s="293" t="s">
        <v>30</v>
      </c>
      <c r="H142" s="293">
        <v>0</v>
      </c>
      <c r="I142" s="293">
        <f>B142</f>
        <v>1</v>
      </c>
      <c r="J142" s="293" t="s">
        <v>31</v>
      </c>
      <c r="K142" s="293" t="s">
        <v>31</v>
      </c>
      <c r="L142" s="293" t="s">
        <v>31</v>
      </c>
      <c r="M142" s="293" t="s">
        <v>31</v>
      </c>
      <c r="N142" s="293"/>
    </row>
    <row r="143" spans="1:14" s="293" customFormat="1" ht="12.75">
      <c r="A143" s="185" t="s">
        <v>218</v>
      </c>
      <c r="B143" s="293">
        <v>98000</v>
      </c>
      <c r="C143" s="293" t="s">
        <v>206</v>
      </c>
      <c r="D143" s="293" t="s">
        <v>43</v>
      </c>
      <c r="E143" s="293" t="s">
        <v>207</v>
      </c>
      <c r="F143" s="293" t="s">
        <v>29</v>
      </c>
      <c r="G143" s="293" t="s">
        <v>45</v>
      </c>
      <c r="H143" s="293">
        <v>0</v>
      </c>
      <c r="I143" s="293">
        <f>B143</f>
        <v>98000</v>
      </c>
      <c r="J143" s="293" t="s">
        <v>31</v>
      </c>
      <c r="K143" s="293" t="s">
        <v>31</v>
      </c>
      <c r="L143" s="293" t="s">
        <v>31</v>
      </c>
      <c r="M143" s="293" t="s">
        <v>31</v>
      </c>
      <c r="N143" s="293" t="s">
        <v>208</v>
      </c>
    </row>
    <row r="144" spans="1:14" s="293" customFormat="1" ht="12.75">
      <c r="A144" s="293" t="s">
        <v>219</v>
      </c>
      <c r="B144" s="293">
        <f>100*B143</f>
        <v>9800000</v>
      </c>
      <c r="C144" s="293" t="s">
        <v>210</v>
      </c>
      <c r="D144" s="293" t="s">
        <v>43</v>
      </c>
      <c r="E144" s="293" t="s">
        <v>207</v>
      </c>
      <c r="F144" s="293" t="s">
        <v>29</v>
      </c>
      <c r="G144" s="293" t="s">
        <v>45</v>
      </c>
      <c r="H144" s="293">
        <v>0</v>
      </c>
      <c r="I144" s="293">
        <f>B144</f>
        <v>9800000</v>
      </c>
      <c r="J144" s="293" t="s">
        <v>31</v>
      </c>
      <c r="K144" s="293" t="s">
        <v>31</v>
      </c>
      <c r="L144" s="293" t="s">
        <v>31</v>
      </c>
      <c r="M144" s="293" t="s">
        <v>31</v>
      </c>
      <c r="N144" s="293" t="s">
        <v>211</v>
      </c>
    </row>
    <row r="145" spans="1:14" s="293" customFormat="1" ht="12.75">
      <c r="A145" s="317" t="s">
        <v>251</v>
      </c>
      <c r="B145" s="422">
        <f>B143*0.22*P7</f>
        <v>64686.468646864683</v>
      </c>
      <c r="C145" s="293" t="s">
        <v>50</v>
      </c>
      <c r="D145" s="293" t="s">
        <v>38</v>
      </c>
      <c r="E145" s="293" t="s">
        <v>29</v>
      </c>
      <c r="F145" s="293" t="s">
        <v>60</v>
      </c>
      <c r="G145" s="293" t="s">
        <v>33</v>
      </c>
      <c r="H145" s="293">
        <v>0</v>
      </c>
      <c r="I145" s="293">
        <f t="shared" ref="I145:I150" si="8">B145</f>
        <v>64686.468646864683</v>
      </c>
      <c r="J145" s="293" t="s">
        <v>31</v>
      </c>
      <c r="K145" s="293" t="s">
        <v>31</v>
      </c>
      <c r="L145" s="293" t="s">
        <v>31</v>
      </c>
      <c r="M145" s="293" t="s">
        <v>31</v>
      </c>
      <c r="N145" s="293" t="s">
        <v>252</v>
      </c>
    </row>
    <row r="146" spans="1:14" s="293" customFormat="1" ht="12.75">
      <c r="A146" s="426" t="s">
        <v>253</v>
      </c>
      <c r="B146" s="293">
        <f>1.8*B143*P7</f>
        <v>529252.92529252928</v>
      </c>
      <c r="C146" s="293" t="s">
        <v>37</v>
      </c>
      <c r="D146" s="293" t="s">
        <v>38</v>
      </c>
      <c r="E146" s="293" t="s">
        <v>29</v>
      </c>
      <c r="F146" s="293" t="s">
        <v>60</v>
      </c>
      <c r="G146" s="293" t="s">
        <v>33</v>
      </c>
      <c r="H146" s="293">
        <v>0</v>
      </c>
      <c r="I146" s="293">
        <f t="shared" si="8"/>
        <v>529252.92529252928</v>
      </c>
      <c r="J146" s="293" t="s">
        <v>31</v>
      </c>
      <c r="K146" s="293" t="s">
        <v>31</v>
      </c>
      <c r="L146" s="293" t="s">
        <v>31</v>
      </c>
      <c r="M146" s="293" t="s">
        <v>31</v>
      </c>
      <c r="N146" s="293" t="s">
        <v>254</v>
      </c>
    </row>
    <row r="147" spans="1:14" s="293" customFormat="1" ht="12.75">
      <c r="A147" s="293" t="s">
        <v>255</v>
      </c>
      <c r="B147" s="293">
        <f>0.4*1600*B143</f>
        <v>62720000</v>
      </c>
      <c r="C147" s="293" t="s">
        <v>37</v>
      </c>
      <c r="D147" s="293" t="s">
        <v>38</v>
      </c>
      <c r="E147" s="293" t="s">
        <v>29</v>
      </c>
      <c r="F147" s="293" t="s">
        <v>256</v>
      </c>
      <c r="G147" s="293" t="s">
        <v>33</v>
      </c>
      <c r="H147" s="293">
        <v>0</v>
      </c>
      <c r="I147" s="293">
        <f t="shared" si="8"/>
        <v>62720000</v>
      </c>
      <c r="J147" s="293" t="s">
        <v>31</v>
      </c>
      <c r="K147" s="293" t="s">
        <v>31</v>
      </c>
      <c r="L147" s="293" t="s">
        <v>31</v>
      </c>
      <c r="M147" s="293" t="s">
        <v>31</v>
      </c>
      <c r="N147" s="293" t="s">
        <v>257</v>
      </c>
    </row>
    <row r="148" spans="1:14" s="293" customFormat="1" ht="12.75">
      <c r="A148" s="293" t="s">
        <v>258</v>
      </c>
      <c r="B148" s="293">
        <f>0.747*B143</f>
        <v>73206</v>
      </c>
      <c r="C148" s="293" t="s">
        <v>50</v>
      </c>
      <c r="D148" s="293" t="s">
        <v>38</v>
      </c>
      <c r="E148" s="293" t="s">
        <v>29</v>
      </c>
      <c r="F148" s="293" t="s">
        <v>35</v>
      </c>
      <c r="G148" s="293" t="s">
        <v>33</v>
      </c>
      <c r="H148" s="293">
        <v>0</v>
      </c>
      <c r="I148" s="293">
        <f t="shared" si="8"/>
        <v>73206</v>
      </c>
      <c r="J148" s="293" t="s">
        <v>31</v>
      </c>
      <c r="K148" s="293" t="s">
        <v>31</v>
      </c>
      <c r="L148" s="293" t="s">
        <v>31</v>
      </c>
      <c r="M148" s="293" t="s">
        <v>31</v>
      </c>
      <c r="N148" s="293" t="s">
        <v>259</v>
      </c>
    </row>
    <row r="149" spans="1:14" s="293" customFormat="1" ht="12.75">
      <c r="A149" s="293" t="s">
        <v>168</v>
      </c>
      <c r="B149" s="293">
        <f>35.7*B143</f>
        <v>3498600.0000000005</v>
      </c>
      <c r="C149" s="293" t="s">
        <v>41</v>
      </c>
      <c r="D149" s="293" t="s">
        <v>38</v>
      </c>
      <c r="E149" s="293" t="s">
        <v>29</v>
      </c>
      <c r="F149" s="293" t="s">
        <v>35</v>
      </c>
      <c r="G149" s="293" t="s">
        <v>33</v>
      </c>
      <c r="H149" s="293">
        <v>0</v>
      </c>
      <c r="I149" s="293">
        <f t="shared" si="8"/>
        <v>3498600.0000000005</v>
      </c>
      <c r="J149" s="293" t="s">
        <v>31</v>
      </c>
      <c r="K149" s="293" t="s">
        <v>31</v>
      </c>
      <c r="L149" s="293" t="s">
        <v>31</v>
      </c>
      <c r="M149" s="293" t="s">
        <v>31</v>
      </c>
      <c r="N149" s="293" t="s">
        <v>260</v>
      </c>
    </row>
    <row r="150" spans="1:14" s="293" customFormat="1" ht="12.75">
      <c r="A150" s="293" t="s">
        <v>261</v>
      </c>
      <c r="B150" s="293">
        <f>250.5*B143</f>
        <v>24549000</v>
      </c>
      <c r="C150" s="293" t="s">
        <v>113</v>
      </c>
      <c r="D150" s="293" t="s">
        <v>38</v>
      </c>
      <c r="E150" s="293" t="s">
        <v>29</v>
      </c>
      <c r="F150" s="293" t="s">
        <v>60</v>
      </c>
      <c r="G150" s="293" t="s">
        <v>33</v>
      </c>
      <c r="H150" s="293">
        <v>0</v>
      </c>
      <c r="I150" s="293">
        <f t="shared" si="8"/>
        <v>24549000</v>
      </c>
      <c r="J150" s="293" t="s">
        <v>31</v>
      </c>
      <c r="K150" s="293" t="s">
        <v>31</v>
      </c>
      <c r="L150" s="293" t="s">
        <v>31</v>
      </c>
      <c r="M150" s="293" t="s">
        <v>31</v>
      </c>
      <c r="N150" s="293" t="s">
        <v>262</v>
      </c>
    </row>
    <row r="151" spans="1:14" s="293" customFormat="1" ht="15.75">
      <c r="A151" s="409" t="s">
        <v>5</v>
      </c>
      <c r="B151" s="409" t="s">
        <v>235</v>
      </c>
      <c r="C151" s="410"/>
      <c r="D151" s="411"/>
      <c r="E151" s="411"/>
      <c r="F151" s="411"/>
      <c r="G151" s="411"/>
      <c r="H151" s="411"/>
      <c r="I151" s="411"/>
      <c r="J151" s="411"/>
      <c r="K151" s="411"/>
      <c r="L151" s="411"/>
      <c r="M151" s="411"/>
      <c r="N151" s="411"/>
    </row>
    <row r="152" spans="1:14" s="293" customFormat="1" ht="12.75">
      <c r="A152" s="293" t="s">
        <v>7</v>
      </c>
      <c r="B152" s="293" t="s">
        <v>152</v>
      </c>
    </row>
    <row r="153" spans="1:14" s="293" customFormat="1" ht="12.75">
      <c r="A153" s="293" t="s">
        <v>9</v>
      </c>
      <c r="B153" s="293" t="s">
        <v>263</v>
      </c>
    </row>
    <row r="154" spans="1:14" s="293" customFormat="1" ht="12.75">
      <c r="A154" s="293" t="s">
        <v>11</v>
      </c>
      <c r="B154" s="293" t="s">
        <v>264</v>
      </c>
    </row>
    <row r="155" spans="1:14" s="293" customFormat="1" ht="12.75">
      <c r="A155" s="293" t="s">
        <v>13</v>
      </c>
      <c r="B155" s="293" t="s">
        <v>35</v>
      </c>
    </row>
    <row r="156" spans="1:14" s="293" customFormat="1" ht="12.75">
      <c r="A156" s="293" t="s">
        <v>15</v>
      </c>
      <c r="B156" s="185">
        <v>1</v>
      </c>
    </row>
    <row r="157" spans="1:14" s="293" customFormat="1" ht="12.75">
      <c r="A157" s="293" t="s">
        <v>16</v>
      </c>
      <c r="B157" s="293" t="s">
        <v>17</v>
      </c>
    </row>
    <row r="158" spans="1:14" s="293" customFormat="1" ht="12.75">
      <c r="A158" s="293" t="s">
        <v>18</v>
      </c>
      <c r="B158" s="293" t="s">
        <v>18</v>
      </c>
    </row>
    <row r="159" spans="1:14" ht="15.75">
      <c r="A159" s="407" t="s">
        <v>19</v>
      </c>
    </row>
    <row r="160" spans="1:14" ht="15.75">
      <c r="A160" s="407" t="s">
        <v>20</v>
      </c>
      <c r="B160" s="407" t="s">
        <v>21</v>
      </c>
      <c r="C160" s="407" t="s">
        <v>18</v>
      </c>
      <c r="D160" s="407" t="s">
        <v>22</v>
      </c>
      <c r="E160" s="407" t="s">
        <v>7</v>
      </c>
      <c r="F160" s="407" t="s">
        <v>13</v>
      </c>
      <c r="G160" s="407" t="s">
        <v>16</v>
      </c>
      <c r="H160" s="407" t="s">
        <v>23</v>
      </c>
      <c r="I160" s="407" t="s">
        <v>24</v>
      </c>
      <c r="J160" s="407" t="s">
        <v>25</v>
      </c>
      <c r="K160" s="407" t="s">
        <v>26</v>
      </c>
      <c r="L160" s="407" t="s">
        <v>27</v>
      </c>
      <c r="M160" s="407" t="s">
        <v>28</v>
      </c>
      <c r="N160" s="407" t="s">
        <v>161</v>
      </c>
    </row>
    <row r="161" spans="1:14">
      <c r="A161" s="293" t="s">
        <v>235</v>
      </c>
      <c r="B161" s="293">
        <f>B156</f>
        <v>1</v>
      </c>
      <c r="C161" s="293" t="str">
        <f>B158</f>
        <v>unit</v>
      </c>
      <c r="D161" s="293" t="s">
        <v>2</v>
      </c>
      <c r="E161" s="293" t="s">
        <v>29</v>
      </c>
      <c r="F161" s="293" t="str">
        <f>B155</f>
        <v>RER</v>
      </c>
      <c r="G161" s="293" t="s">
        <v>30</v>
      </c>
      <c r="H161" s="293">
        <v>0</v>
      </c>
      <c r="I161" s="293">
        <f>B161</f>
        <v>1</v>
      </c>
      <c r="J161" s="293" t="s">
        <v>31</v>
      </c>
      <c r="K161" s="293" t="s">
        <v>31</v>
      </c>
      <c r="L161" s="293" t="s">
        <v>31</v>
      </c>
      <c r="M161" s="293" t="s">
        <v>31</v>
      </c>
      <c r="N161" s="293"/>
    </row>
    <row r="162" spans="1:14">
      <c r="A162" s="185" t="s">
        <v>218</v>
      </c>
      <c r="B162" s="293">
        <v>78720</v>
      </c>
      <c r="C162" s="293" t="s">
        <v>206</v>
      </c>
      <c r="D162" s="293" t="s">
        <v>41</v>
      </c>
      <c r="E162" s="293" t="s">
        <v>207</v>
      </c>
      <c r="F162" s="293" t="s">
        <v>29</v>
      </c>
      <c r="G162" s="293" t="s">
        <v>45</v>
      </c>
      <c r="H162" s="293">
        <v>0</v>
      </c>
      <c r="I162" s="293">
        <f>B162</f>
        <v>78720</v>
      </c>
      <c r="J162" s="293" t="s">
        <v>31</v>
      </c>
      <c r="K162" s="293" t="s">
        <v>31</v>
      </c>
      <c r="L162" s="293" t="s">
        <v>31</v>
      </c>
      <c r="M162" s="293" t="s">
        <v>31</v>
      </c>
      <c r="N162" s="293" t="s">
        <v>208</v>
      </c>
    </row>
    <row r="163" spans="1:14">
      <c r="A163" s="293" t="s">
        <v>219</v>
      </c>
      <c r="B163" s="293">
        <f>100*B162</f>
        <v>7872000</v>
      </c>
      <c r="C163" s="293" t="s">
        <v>210</v>
      </c>
      <c r="D163" s="293" t="s">
        <v>43</v>
      </c>
      <c r="E163" s="293" t="s">
        <v>207</v>
      </c>
      <c r="F163" s="293" t="s">
        <v>29</v>
      </c>
      <c r="G163" s="293" t="s">
        <v>45</v>
      </c>
      <c r="H163" s="293">
        <v>0</v>
      </c>
      <c r="I163" s="293">
        <f>B163</f>
        <v>7872000</v>
      </c>
      <c r="J163" s="293" t="s">
        <v>31</v>
      </c>
      <c r="K163" s="293" t="s">
        <v>31</v>
      </c>
      <c r="L163" s="293" t="s">
        <v>31</v>
      </c>
      <c r="M163" s="293" t="s">
        <v>31</v>
      </c>
      <c r="N163" s="293" t="s">
        <v>211</v>
      </c>
    </row>
    <row r="164" spans="1:14">
      <c r="A164" s="317" t="s">
        <v>251</v>
      </c>
      <c r="B164" s="422">
        <f>B162*0.22*P7</f>
        <v>51960.396039603962</v>
      </c>
      <c r="C164" s="293" t="s">
        <v>50</v>
      </c>
      <c r="D164" s="293" t="s">
        <v>38</v>
      </c>
      <c r="E164" s="293" t="s">
        <v>29</v>
      </c>
      <c r="F164" s="293" t="s">
        <v>60</v>
      </c>
      <c r="G164" s="293" t="s">
        <v>33</v>
      </c>
      <c r="H164" s="293">
        <v>0</v>
      </c>
      <c r="I164" s="293">
        <f t="shared" ref="I164:I169" si="9">B164</f>
        <v>51960.396039603962</v>
      </c>
      <c r="J164" s="293" t="s">
        <v>31</v>
      </c>
      <c r="K164" s="293" t="s">
        <v>31</v>
      </c>
      <c r="L164" s="293" t="s">
        <v>31</v>
      </c>
      <c r="M164" s="293" t="s">
        <v>31</v>
      </c>
      <c r="N164" s="293" t="s">
        <v>252</v>
      </c>
    </row>
    <row r="165" spans="1:14">
      <c r="A165" s="426" t="s">
        <v>253</v>
      </c>
      <c r="B165" s="293">
        <f>1.8*B162*P7</f>
        <v>425130.51305130514</v>
      </c>
      <c r="C165" s="293" t="s">
        <v>37</v>
      </c>
      <c r="D165" s="293" t="s">
        <v>38</v>
      </c>
      <c r="E165" s="293" t="s">
        <v>29</v>
      </c>
      <c r="F165" s="293" t="s">
        <v>60</v>
      </c>
      <c r="G165" s="293" t="s">
        <v>33</v>
      </c>
      <c r="H165" s="293">
        <v>0</v>
      </c>
      <c r="I165" s="293">
        <f t="shared" si="9"/>
        <v>425130.51305130514</v>
      </c>
      <c r="J165" s="293" t="s">
        <v>31</v>
      </c>
      <c r="K165" s="293" t="s">
        <v>31</v>
      </c>
      <c r="L165" s="293" t="s">
        <v>31</v>
      </c>
      <c r="M165" s="293" t="s">
        <v>31</v>
      </c>
      <c r="N165" s="293" t="s">
        <v>265</v>
      </c>
    </row>
    <row r="166" spans="1:14">
      <c r="A166" s="293" t="s">
        <v>255</v>
      </c>
      <c r="B166" s="293">
        <f>0.4*1600*B162</f>
        <v>50380800</v>
      </c>
      <c r="C166" s="293" t="s">
        <v>37</v>
      </c>
      <c r="D166" s="293" t="s">
        <v>38</v>
      </c>
      <c r="E166" s="293" t="s">
        <v>29</v>
      </c>
      <c r="F166" s="293" t="s">
        <v>256</v>
      </c>
      <c r="G166" s="293" t="s">
        <v>33</v>
      </c>
      <c r="H166" s="293">
        <v>0</v>
      </c>
      <c r="I166" s="293">
        <f t="shared" si="9"/>
        <v>50380800</v>
      </c>
      <c r="J166" s="293" t="s">
        <v>31</v>
      </c>
      <c r="K166" s="293" t="s">
        <v>31</v>
      </c>
      <c r="L166" s="293" t="s">
        <v>31</v>
      </c>
      <c r="M166" s="293" t="s">
        <v>31</v>
      </c>
      <c r="N166" s="293" t="s">
        <v>257</v>
      </c>
    </row>
    <row r="167" spans="1:14">
      <c r="A167" s="293" t="s">
        <v>258</v>
      </c>
      <c r="B167" s="293">
        <f>0.747*B162</f>
        <v>58803.839999999997</v>
      </c>
      <c r="C167" s="293" t="s">
        <v>50</v>
      </c>
      <c r="D167" s="293" t="s">
        <v>38</v>
      </c>
      <c r="E167" s="293" t="s">
        <v>29</v>
      </c>
      <c r="F167" s="293" t="s">
        <v>35</v>
      </c>
      <c r="G167" s="293" t="s">
        <v>33</v>
      </c>
      <c r="H167" s="293">
        <v>0</v>
      </c>
      <c r="I167" s="293">
        <f t="shared" si="9"/>
        <v>58803.839999999997</v>
      </c>
      <c r="J167" s="293" t="s">
        <v>31</v>
      </c>
      <c r="K167" s="293" t="s">
        <v>31</v>
      </c>
      <c r="L167" s="293" t="s">
        <v>31</v>
      </c>
      <c r="M167" s="293" t="s">
        <v>31</v>
      </c>
      <c r="N167" s="293" t="s">
        <v>259</v>
      </c>
    </row>
    <row r="168" spans="1:14" s="293" customFormat="1" ht="12.75">
      <c r="A168" s="293" t="s">
        <v>168</v>
      </c>
      <c r="B168" s="293">
        <f>35.7*B162</f>
        <v>2810304</v>
      </c>
      <c r="C168" s="293" t="s">
        <v>41</v>
      </c>
      <c r="D168" s="293" t="s">
        <v>38</v>
      </c>
      <c r="E168" s="293" t="s">
        <v>29</v>
      </c>
      <c r="F168" s="293" t="s">
        <v>35</v>
      </c>
      <c r="G168" s="293" t="s">
        <v>33</v>
      </c>
      <c r="H168" s="293">
        <v>0</v>
      </c>
      <c r="I168" s="293">
        <f t="shared" si="9"/>
        <v>2810304</v>
      </c>
      <c r="J168" s="293" t="s">
        <v>31</v>
      </c>
      <c r="K168" s="293" t="s">
        <v>31</v>
      </c>
      <c r="L168" s="293" t="s">
        <v>31</v>
      </c>
      <c r="M168" s="293" t="s">
        <v>31</v>
      </c>
      <c r="N168" s="293" t="s">
        <v>260</v>
      </c>
    </row>
    <row r="169" spans="1:14" s="293" customFormat="1" ht="12.75">
      <c r="A169" s="293" t="s">
        <v>261</v>
      </c>
      <c r="B169" s="293">
        <f>250.5*B162</f>
        <v>19719360</v>
      </c>
      <c r="C169" s="293" t="s">
        <v>113</v>
      </c>
      <c r="D169" s="293" t="s">
        <v>38</v>
      </c>
      <c r="E169" s="293" t="s">
        <v>29</v>
      </c>
      <c r="F169" s="293" t="s">
        <v>60</v>
      </c>
      <c r="G169" s="293" t="s">
        <v>33</v>
      </c>
      <c r="H169" s="293">
        <v>0</v>
      </c>
      <c r="I169" s="293">
        <f t="shared" si="9"/>
        <v>19719360</v>
      </c>
      <c r="J169" s="293" t="s">
        <v>31</v>
      </c>
      <c r="K169" s="293" t="s">
        <v>31</v>
      </c>
      <c r="L169" s="293" t="s">
        <v>31</v>
      </c>
      <c r="M169" s="293" t="s">
        <v>31</v>
      </c>
      <c r="N169" s="293" t="s">
        <v>262</v>
      </c>
    </row>
    <row r="170" spans="1:14" s="293" customFormat="1" ht="15.75">
      <c r="A170" s="409" t="s">
        <v>5</v>
      </c>
      <c r="B170" s="409" t="s">
        <v>237</v>
      </c>
      <c r="C170" s="410"/>
      <c r="D170" s="411"/>
      <c r="E170" s="411"/>
      <c r="F170" s="411"/>
      <c r="G170" s="411"/>
      <c r="H170" s="411"/>
      <c r="I170" s="411"/>
      <c r="J170" s="411"/>
      <c r="K170" s="411"/>
      <c r="L170" s="411"/>
      <c r="M170" s="411"/>
      <c r="N170" s="411"/>
    </row>
    <row r="171" spans="1:14" s="293" customFormat="1" ht="12.75">
      <c r="A171" s="293" t="s">
        <v>7</v>
      </c>
      <c r="B171" s="293" t="s">
        <v>152</v>
      </c>
    </row>
    <row r="172" spans="1:14" s="293" customFormat="1" ht="12.75">
      <c r="A172" s="293" t="s">
        <v>9</v>
      </c>
      <c r="B172" s="293" t="s">
        <v>266</v>
      </c>
    </row>
    <row r="173" spans="1:14" s="293" customFormat="1" ht="12.75">
      <c r="A173" s="293" t="s">
        <v>11</v>
      </c>
      <c r="B173" s="293" t="s">
        <v>267</v>
      </c>
    </row>
    <row r="174" spans="1:14" s="293" customFormat="1" ht="12.75">
      <c r="A174" s="293" t="s">
        <v>13</v>
      </c>
      <c r="B174" s="293" t="s">
        <v>35</v>
      </c>
    </row>
    <row r="175" spans="1:14" s="293" customFormat="1" ht="12.75">
      <c r="A175" s="293" t="s">
        <v>15</v>
      </c>
      <c r="B175" s="185">
        <v>1</v>
      </c>
    </row>
    <row r="176" spans="1:14" s="293" customFormat="1" ht="12.75">
      <c r="A176" s="293" t="s">
        <v>16</v>
      </c>
      <c r="B176" s="293" t="s">
        <v>17</v>
      </c>
    </row>
    <row r="177" spans="1:14" s="293" customFormat="1" ht="12.75">
      <c r="A177" s="293" t="s">
        <v>18</v>
      </c>
      <c r="B177" s="293" t="s">
        <v>18</v>
      </c>
    </row>
    <row r="178" spans="1:14" ht="15.75">
      <c r="A178" s="407" t="s">
        <v>19</v>
      </c>
    </row>
    <row r="179" spans="1:14" ht="15.75">
      <c r="A179" s="407" t="s">
        <v>20</v>
      </c>
      <c r="B179" s="407" t="s">
        <v>21</v>
      </c>
      <c r="C179" s="407" t="s">
        <v>18</v>
      </c>
      <c r="D179" s="407" t="s">
        <v>22</v>
      </c>
      <c r="E179" s="407" t="s">
        <v>7</v>
      </c>
      <c r="F179" s="407" t="s">
        <v>13</v>
      </c>
      <c r="G179" s="407" t="s">
        <v>16</v>
      </c>
      <c r="H179" s="407" t="s">
        <v>23</v>
      </c>
      <c r="I179" s="407" t="s">
        <v>24</v>
      </c>
      <c r="J179" s="407" t="s">
        <v>25</v>
      </c>
      <c r="K179" s="407" t="s">
        <v>26</v>
      </c>
      <c r="L179" s="407" t="s">
        <v>27</v>
      </c>
      <c r="M179" s="407" t="s">
        <v>28</v>
      </c>
      <c r="N179" s="407" t="s">
        <v>161</v>
      </c>
    </row>
    <row r="180" spans="1:14">
      <c r="A180" s="293" t="s">
        <v>237</v>
      </c>
      <c r="B180" s="293">
        <f>B175</f>
        <v>1</v>
      </c>
      <c r="C180" s="293" t="str">
        <f>B177</f>
        <v>unit</v>
      </c>
      <c r="D180" s="293" t="s">
        <v>2</v>
      </c>
      <c r="E180" s="293" t="s">
        <v>29</v>
      </c>
      <c r="F180" s="293" t="str">
        <f>B174</f>
        <v>RER</v>
      </c>
      <c r="G180" s="293" t="s">
        <v>30</v>
      </c>
      <c r="H180" s="293">
        <v>0</v>
      </c>
      <c r="I180" s="293">
        <f>B180</f>
        <v>1</v>
      </c>
      <c r="J180" s="293" t="s">
        <v>31</v>
      </c>
      <c r="K180" s="293" t="s">
        <v>31</v>
      </c>
      <c r="L180" s="293" t="s">
        <v>31</v>
      </c>
      <c r="M180" s="293" t="s">
        <v>31</v>
      </c>
      <c r="N180" s="293"/>
    </row>
    <row r="181" spans="1:14">
      <c r="A181" s="185" t="s">
        <v>218</v>
      </c>
      <c r="B181" s="293">
        <v>99000</v>
      </c>
      <c r="C181" s="293" t="s">
        <v>206</v>
      </c>
      <c r="D181" s="293" t="s">
        <v>43</v>
      </c>
      <c r="E181" s="293" t="s">
        <v>207</v>
      </c>
      <c r="F181" s="293" t="s">
        <v>29</v>
      </c>
      <c r="G181" s="293" t="s">
        <v>45</v>
      </c>
      <c r="H181" s="293">
        <v>0</v>
      </c>
      <c r="I181" s="293">
        <f>B181</f>
        <v>99000</v>
      </c>
      <c r="J181" s="293" t="s">
        <v>31</v>
      </c>
      <c r="K181" s="293" t="s">
        <v>31</v>
      </c>
      <c r="L181" s="293" t="s">
        <v>31</v>
      </c>
      <c r="M181" s="293" t="s">
        <v>31</v>
      </c>
      <c r="N181" s="293" t="s">
        <v>208</v>
      </c>
    </row>
    <row r="182" spans="1:14">
      <c r="A182" s="293" t="s">
        <v>219</v>
      </c>
      <c r="B182" s="293">
        <f>100*B181</f>
        <v>9900000</v>
      </c>
      <c r="C182" s="293" t="s">
        <v>210</v>
      </c>
      <c r="D182" s="293" t="s">
        <v>43</v>
      </c>
      <c r="E182" s="293" t="s">
        <v>207</v>
      </c>
      <c r="F182" s="293" t="s">
        <v>29</v>
      </c>
      <c r="G182" s="293" t="s">
        <v>45</v>
      </c>
      <c r="H182" s="293">
        <v>0</v>
      </c>
      <c r="I182" s="293">
        <f>B182</f>
        <v>9900000</v>
      </c>
      <c r="J182" s="293" t="s">
        <v>31</v>
      </c>
      <c r="K182" s="293" t="s">
        <v>31</v>
      </c>
      <c r="L182" s="293" t="s">
        <v>31</v>
      </c>
      <c r="M182" s="293" t="s">
        <v>31</v>
      </c>
      <c r="N182" s="293" t="s">
        <v>211</v>
      </c>
    </row>
    <row r="183" spans="1:14">
      <c r="A183" s="317" t="s">
        <v>251</v>
      </c>
      <c r="B183" s="422">
        <f>B181*0.22*P7</f>
        <v>65346.534653465344</v>
      </c>
      <c r="C183" s="293" t="s">
        <v>50</v>
      </c>
      <c r="D183" s="293" t="s">
        <v>38</v>
      </c>
      <c r="E183" s="293" t="s">
        <v>29</v>
      </c>
      <c r="F183" s="293" t="s">
        <v>60</v>
      </c>
      <c r="G183" s="293" t="s">
        <v>33</v>
      </c>
      <c r="H183" s="293">
        <v>0</v>
      </c>
      <c r="I183" s="293">
        <f t="shared" ref="I183:I188" si="10">B183</f>
        <v>65346.534653465344</v>
      </c>
      <c r="J183" s="293" t="s">
        <v>31</v>
      </c>
      <c r="K183" s="293" t="s">
        <v>31</v>
      </c>
      <c r="L183" s="293" t="s">
        <v>31</v>
      </c>
      <c r="M183" s="293" t="s">
        <v>31</v>
      </c>
      <c r="N183" s="293" t="s">
        <v>252</v>
      </c>
    </row>
    <row r="184" spans="1:14">
      <c r="A184" s="426" t="s">
        <v>253</v>
      </c>
      <c r="B184" s="293">
        <f>1.8*B181*P7</f>
        <v>534653.46534653462</v>
      </c>
      <c r="C184" s="293" t="s">
        <v>37</v>
      </c>
      <c r="D184" s="293" t="s">
        <v>38</v>
      </c>
      <c r="E184" s="293" t="s">
        <v>29</v>
      </c>
      <c r="F184" s="293" t="s">
        <v>60</v>
      </c>
      <c r="G184" s="293" t="s">
        <v>33</v>
      </c>
      <c r="H184" s="293">
        <v>0</v>
      </c>
      <c r="I184" s="293">
        <f t="shared" si="10"/>
        <v>534653.46534653462</v>
      </c>
      <c r="J184" s="293" t="s">
        <v>31</v>
      </c>
      <c r="K184" s="293" t="s">
        <v>31</v>
      </c>
      <c r="L184" s="293" t="s">
        <v>31</v>
      </c>
      <c r="M184" s="293" t="s">
        <v>31</v>
      </c>
      <c r="N184" s="293" t="s">
        <v>265</v>
      </c>
    </row>
    <row r="185" spans="1:14">
      <c r="A185" s="293" t="s">
        <v>255</v>
      </c>
      <c r="B185" s="293">
        <f>0.4*1600*B181</f>
        <v>63360000</v>
      </c>
      <c r="C185" s="293" t="s">
        <v>37</v>
      </c>
      <c r="D185" s="293" t="s">
        <v>38</v>
      </c>
      <c r="E185" s="293" t="s">
        <v>29</v>
      </c>
      <c r="F185" s="293" t="s">
        <v>256</v>
      </c>
      <c r="G185" s="293" t="s">
        <v>33</v>
      </c>
      <c r="H185" s="293">
        <v>0</v>
      </c>
      <c r="I185" s="293">
        <f t="shared" si="10"/>
        <v>63360000</v>
      </c>
      <c r="J185" s="293" t="s">
        <v>31</v>
      </c>
      <c r="K185" s="293" t="s">
        <v>31</v>
      </c>
      <c r="L185" s="293" t="s">
        <v>31</v>
      </c>
      <c r="M185" s="293" t="s">
        <v>31</v>
      </c>
      <c r="N185" s="293" t="s">
        <v>257</v>
      </c>
    </row>
    <row r="186" spans="1:14">
      <c r="A186" s="293" t="s">
        <v>258</v>
      </c>
      <c r="B186" s="293">
        <f>0.747*B181</f>
        <v>73953</v>
      </c>
      <c r="C186" s="293" t="s">
        <v>50</v>
      </c>
      <c r="D186" s="293" t="s">
        <v>38</v>
      </c>
      <c r="E186" s="293" t="s">
        <v>29</v>
      </c>
      <c r="F186" s="293" t="s">
        <v>35</v>
      </c>
      <c r="G186" s="293" t="s">
        <v>33</v>
      </c>
      <c r="H186" s="293">
        <v>0</v>
      </c>
      <c r="I186" s="293">
        <f t="shared" si="10"/>
        <v>73953</v>
      </c>
      <c r="J186" s="293" t="s">
        <v>31</v>
      </c>
      <c r="K186" s="293" t="s">
        <v>31</v>
      </c>
      <c r="L186" s="293" t="s">
        <v>31</v>
      </c>
      <c r="M186" s="293" t="s">
        <v>31</v>
      </c>
      <c r="N186" s="293" t="s">
        <v>259</v>
      </c>
    </row>
    <row r="187" spans="1:14" s="293" customFormat="1" ht="12.75">
      <c r="A187" s="293" t="s">
        <v>168</v>
      </c>
      <c r="B187" s="293">
        <f>35.7*B181</f>
        <v>3534300.0000000005</v>
      </c>
      <c r="C187" s="293" t="s">
        <v>41</v>
      </c>
      <c r="D187" s="293" t="s">
        <v>38</v>
      </c>
      <c r="E187" s="293" t="s">
        <v>29</v>
      </c>
      <c r="F187" s="293" t="s">
        <v>35</v>
      </c>
      <c r="G187" s="293" t="s">
        <v>33</v>
      </c>
      <c r="H187" s="293">
        <v>0</v>
      </c>
      <c r="I187" s="293">
        <f t="shared" si="10"/>
        <v>3534300.0000000005</v>
      </c>
      <c r="J187" s="293" t="s">
        <v>31</v>
      </c>
      <c r="K187" s="293" t="s">
        <v>31</v>
      </c>
      <c r="L187" s="293" t="s">
        <v>31</v>
      </c>
      <c r="M187" s="293" t="s">
        <v>31</v>
      </c>
      <c r="N187" s="293" t="s">
        <v>260</v>
      </c>
    </row>
    <row r="188" spans="1:14" s="293" customFormat="1" ht="12.75">
      <c r="A188" s="293" t="s">
        <v>261</v>
      </c>
      <c r="B188" s="293">
        <f>250.5*B181</f>
        <v>24799500</v>
      </c>
      <c r="C188" s="293" t="s">
        <v>113</v>
      </c>
      <c r="D188" s="293" t="s">
        <v>38</v>
      </c>
      <c r="E188" s="293" t="s">
        <v>29</v>
      </c>
      <c r="F188" s="293" t="s">
        <v>60</v>
      </c>
      <c r="G188" s="293" t="s">
        <v>33</v>
      </c>
      <c r="H188" s="293">
        <v>0</v>
      </c>
      <c r="I188" s="293">
        <f t="shared" si="10"/>
        <v>24799500</v>
      </c>
      <c r="J188" s="293" t="s">
        <v>31</v>
      </c>
      <c r="K188" s="293" t="s">
        <v>31</v>
      </c>
      <c r="L188" s="293" t="s">
        <v>31</v>
      </c>
      <c r="M188" s="293" t="s">
        <v>31</v>
      </c>
      <c r="N188" s="293" t="s">
        <v>262</v>
      </c>
    </row>
    <row r="189" spans="1:14" ht="15.75">
      <c r="A189" s="409" t="s">
        <v>5</v>
      </c>
      <c r="B189" s="409" t="s">
        <v>239</v>
      </c>
      <c r="C189" s="410"/>
      <c r="D189" s="411"/>
      <c r="E189" s="411"/>
      <c r="F189" s="411"/>
      <c r="G189" s="411"/>
      <c r="H189" s="411"/>
      <c r="I189" s="411"/>
      <c r="J189" s="411"/>
      <c r="K189" s="411"/>
      <c r="L189" s="411"/>
      <c r="M189" s="411"/>
      <c r="N189" s="411"/>
    </row>
    <row r="190" spans="1:14" s="293" customFormat="1" ht="12.75">
      <c r="A190" s="293" t="s">
        <v>7</v>
      </c>
      <c r="B190" s="293" t="s">
        <v>152</v>
      </c>
    </row>
    <row r="191" spans="1:14" s="293" customFormat="1" ht="12.75">
      <c r="A191" s="293" t="s">
        <v>9</v>
      </c>
      <c r="B191" s="293" t="s">
        <v>268</v>
      </c>
    </row>
    <row r="192" spans="1:14" s="293" customFormat="1" ht="12.75">
      <c r="A192" s="293" t="s">
        <v>11</v>
      </c>
      <c r="B192" s="293" t="s">
        <v>269</v>
      </c>
    </row>
    <row r="193" spans="1:14" s="293" customFormat="1" ht="12.75">
      <c r="A193" s="293" t="s">
        <v>13</v>
      </c>
      <c r="B193" s="293" t="s">
        <v>35</v>
      </c>
    </row>
    <row r="194" spans="1:14" s="293" customFormat="1" ht="12.75">
      <c r="A194" s="293" t="s">
        <v>15</v>
      </c>
      <c r="B194" s="185">
        <v>1</v>
      </c>
    </row>
    <row r="195" spans="1:14" s="293" customFormat="1" ht="12.75">
      <c r="A195" s="293" t="s">
        <v>16</v>
      </c>
      <c r="B195" s="293" t="s">
        <v>17</v>
      </c>
    </row>
    <row r="196" spans="1:14" s="293" customFormat="1" ht="12.75">
      <c r="A196" s="293" t="s">
        <v>18</v>
      </c>
      <c r="B196" s="293" t="s">
        <v>18</v>
      </c>
    </row>
    <row r="197" spans="1:14" ht="15.75">
      <c r="A197" s="407" t="s">
        <v>19</v>
      </c>
    </row>
    <row r="198" spans="1:14" ht="15.75">
      <c r="A198" s="407" t="s">
        <v>20</v>
      </c>
      <c r="B198" s="407" t="s">
        <v>21</v>
      </c>
      <c r="C198" s="407" t="s">
        <v>18</v>
      </c>
      <c r="D198" s="407" t="s">
        <v>22</v>
      </c>
      <c r="E198" s="407" t="s">
        <v>7</v>
      </c>
      <c r="F198" s="407" t="s">
        <v>13</v>
      </c>
      <c r="G198" s="407" t="s">
        <v>16</v>
      </c>
      <c r="H198" s="407" t="s">
        <v>23</v>
      </c>
      <c r="I198" s="407" t="s">
        <v>24</v>
      </c>
      <c r="J198" s="407" t="s">
        <v>25</v>
      </c>
      <c r="K198" s="407" t="s">
        <v>26</v>
      </c>
      <c r="L198" s="407" t="s">
        <v>27</v>
      </c>
      <c r="M198" s="407" t="s">
        <v>28</v>
      </c>
      <c r="N198" s="407" t="s">
        <v>161</v>
      </c>
    </row>
    <row r="199" spans="1:14" s="293" customFormat="1" ht="12.75">
      <c r="A199" s="293" t="s">
        <v>239</v>
      </c>
      <c r="B199" s="293">
        <f>B194</f>
        <v>1</v>
      </c>
      <c r="C199" s="293" t="str">
        <f>B196</f>
        <v>unit</v>
      </c>
      <c r="D199" s="293" t="s">
        <v>2</v>
      </c>
      <c r="E199" s="293" t="s">
        <v>29</v>
      </c>
      <c r="F199" s="293" t="str">
        <f>B193</f>
        <v>RER</v>
      </c>
      <c r="G199" s="293" t="s">
        <v>30</v>
      </c>
      <c r="H199" s="293">
        <v>0</v>
      </c>
      <c r="I199" s="293">
        <f>B199</f>
        <v>1</v>
      </c>
      <c r="J199" s="293" t="s">
        <v>31</v>
      </c>
      <c r="K199" s="293" t="s">
        <v>31</v>
      </c>
      <c r="L199" s="293" t="s">
        <v>31</v>
      </c>
      <c r="M199" s="293" t="s">
        <v>31</v>
      </c>
    </row>
    <row r="200" spans="1:14" s="293" customFormat="1" ht="12.75">
      <c r="A200" s="185" t="s">
        <v>224</v>
      </c>
      <c r="B200" s="422">
        <v>1403948</v>
      </c>
      <c r="C200" s="293" t="s">
        <v>206</v>
      </c>
      <c r="D200" s="293" t="s">
        <v>43</v>
      </c>
      <c r="E200" s="293" t="s">
        <v>207</v>
      </c>
      <c r="F200" s="293" t="s">
        <v>29</v>
      </c>
      <c r="G200" s="293" t="s">
        <v>45</v>
      </c>
      <c r="H200" s="293">
        <v>0</v>
      </c>
      <c r="I200" s="293">
        <f t="shared" ref="I200" si="11">B200</f>
        <v>1403948</v>
      </c>
      <c r="J200" s="293" t="s">
        <v>31</v>
      </c>
      <c r="K200" s="293" t="s">
        <v>31</v>
      </c>
      <c r="L200" s="293" t="s">
        <v>31</v>
      </c>
      <c r="M200" s="293" t="s">
        <v>31</v>
      </c>
      <c r="N200" s="293" t="s">
        <v>208</v>
      </c>
    </row>
    <row r="201" spans="1:14">
      <c r="A201" s="411"/>
      <c r="B201" s="411"/>
      <c r="C201" s="411"/>
      <c r="D201" s="411"/>
      <c r="E201" s="411"/>
      <c r="F201" s="411"/>
      <c r="G201" s="411"/>
      <c r="H201" s="411"/>
      <c r="I201" s="411"/>
      <c r="J201" s="411"/>
      <c r="K201" s="411"/>
      <c r="L201" s="411"/>
      <c r="M201" s="411"/>
      <c r="N201" s="411"/>
    </row>
  </sheetData>
  <mergeCells count="1">
    <mergeCell ref="O3:P3"/>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0BE9-A040-450C-9CD5-E0E8E8E156F7}">
  <dimension ref="A1:Q54"/>
  <sheetViews>
    <sheetView workbookViewId="0">
      <selection activeCell="E15" sqref="E15"/>
    </sheetView>
  </sheetViews>
  <sheetFormatPr defaultColWidth="8.85546875" defaultRowHeight="15"/>
  <cols>
    <col min="1" max="1" width="33" style="405" customWidth="1"/>
    <col min="2" max="2" width="20.28515625" style="405" customWidth="1"/>
    <col min="3" max="3" width="10.7109375" style="405" customWidth="1"/>
    <col min="4" max="4" width="33.85546875" style="405" customWidth="1"/>
    <col min="5" max="7" width="12.5703125" style="405" customWidth="1"/>
    <col min="8" max="8" width="17.7109375" style="405" customWidth="1"/>
    <col min="9" max="9" width="13" style="405" customWidth="1"/>
    <col min="10" max="14" width="12" style="405" customWidth="1"/>
    <col min="15" max="15" width="17.7109375" style="405" customWidth="1"/>
    <col min="16" max="16" width="10.42578125" style="405" customWidth="1"/>
    <col min="17" max="16384" width="8.85546875" style="405"/>
  </cols>
  <sheetData>
    <row r="1" spans="1:17">
      <c r="A1" s="405" t="s">
        <v>0</v>
      </c>
      <c r="B1" s="405">
        <v>13</v>
      </c>
      <c r="C1" s="406"/>
    </row>
    <row r="2" spans="1:17" ht="15.75">
      <c r="A2" s="409" t="s">
        <v>5</v>
      </c>
      <c r="B2" s="409" t="s">
        <v>178</v>
      </c>
      <c r="C2" s="410"/>
      <c r="D2" s="411"/>
      <c r="E2" s="411"/>
      <c r="F2" s="411"/>
      <c r="G2" s="411"/>
      <c r="H2" s="411"/>
      <c r="I2" s="411"/>
      <c r="J2" s="411"/>
      <c r="K2" s="411"/>
      <c r="L2" s="411"/>
      <c r="M2" s="411"/>
      <c r="N2" s="411"/>
    </row>
    <row r="3" spans="1:17">
      <c r="A3" s="293" t="s">
        <v>7</v>
      </c>
      <c r="B3" s="293" t="s">
        <v>152</v>
      </c>
      <c r="C3" s="293"/>
      <c r="D3" s="293"/>
      <c r="E3" s="293"/>
      <c r="F3" s="293"/>
      <c r="G3" s="293"/>
      <c r="H3" s="293"/>
      <c r="I3" s="293"/>
      <c r="J3" s="293"/>
      <c r="K3" s="293"/>
      <c r="L3" s="293"/>
      <c r="M3" s="293"/>
      <c r="N3" s="293"/>
      <c r="O3" s="485" t="s">
        <v>153</v>
      </c>
      <c r="P3" s="486"/>
      <c r="Q3" s="487"/>
    </row>
    <row r="4" spans="1:17">
      <c r="A4" s="293" t="s">
        <v>9</v>
      </c>
      <c r="B4" s="293" t="s">
        <v>270</v>
      </c>
      <c r="C4" s="293"/>
      <c r="D4" s="293"/>
      <c r="E4" s="293"/>
      <c r="F4" s="293"/>
      <c r="G4" s="293"/>
      <c r="H4" s="293"/>
      <c r="I4" s="293"/>
      <c r="J4" s="293"/>
      <c r="K4" s="293"/>
      <c r="L4" s="293"/>
      <c r="M4" s="293"/>
      <c r="N4" s="293"/>
      <c r="O4" s="412" t="s">
        <v>155</v>
      </c>
      <c r="P4" s="413" t="s">
        <v>156</v>
      </c>
      <c r="Q4" s="414" t="s">
        <v>157</v>
      </c>
    </row>
    <row r="5" spans="1:17">
      <c r="A5" s="293" t="s">
        <v>11</v>
      </c>
      <c r="B5" s="293" t="s">
        <v>271</v>
      </c>
      <c r="C5" s="293"/>
      <c r="D5" s="293"/>
      <c r="E5" s="293"/>
      <c r="F5" s="293"/>
      <c r="G5" s="293"/>
      <c r="H5" s="293"/>
      <c r="I5" s="293"/>
      <c r="J5" s="293"/>
      <c r="K5" s="293"/>
      <c r="L5" s="293"/>
      <c r="M5" s="293"/>
      <c r="N5" s="293"/>
      <c r="O5" s="415" t="s">
        <v>190</v>
      </c>
      <c r="P5" s="416">
        <v>100</v>
      </c>
      <c r="Q5" s="417">
        <f>P5/P5</f>
        <v>1</v>
      </c>
    </row>
    <row r="6" spans="1:17">
      <c r="A6" s="293" t="s">
        <v>13</v>
      </c>
      <c r="B6" s="293" t="s">
        <v>35</v>
      </c>
      <c r="C6" s="293"/>
      <c r="D6" s="293"/>
      <c r="E6" s="293"/>
      <c r="F6" s="293"/>
      <c r="G6" s="293"/>
      <c r="H6" s="293"/>
      <c r="I6" s="293"/>
      <c r="J6" s="293"/>
      <c r="K6" s="293"/>
      <c r="L6" s="293"/>
      <c r="M6" s="293"/>
      <c r="N6" s="293"/>
      <c r="O6" s="415" t="s">
        <v>233</v>
      </c>
      <c r="P6" s="416">
        <v>33.33</v>
      </c>
      <c r="Q6" s="417">
        <f>P5/P6</f>
        <v>3.0003000300030003</v>
      </c>
    </row>
    <row r="7" spans="1:17">
      <c r="A7" s="293" t="s">
        <v>15</v>
      </c>
      <c r="B7" s="185">
        <v>1</v>
      </c>
      <c r="C7" s="293"/>
      <c r="D7" s="293"/>
      <c r="E7" s="293"/>
      <c r="F7" s="293"/>
      <c r="G7" s="293"/>
      <c r="H7" s="293"/>
      <c r="I7" s="293"/>
      <c r="J7" s="293"/>
      <c r="K7" s="293"/>
      <c r="L7" s="293"/>
      <c r="M7" s="293"/>
      <c r="N7" s="293"/>
      <c r="O7" s="415" t="s">
        <v>235</v>
      </c>
      <c r="P7" s="416">
        <v>33.33</v>
      </c>
      <c r="Q7" s="417">
        <f>P5/P7</f>
        <v>3.0003000300030003</v>
      </c>
    </row>
    <row r="8" spans="1:17">
      <c r="A8" s="293" t="s">
        <v>16</v>
      </c>
      <c r="B8" s="293" t="s">
        <v>17</v>
      </c>
      <c r="C8" s="293"/>
      <c r="D8" s="293"/>
      <c r="E8" s="293"/>
      <c r="F8" s="293"/>
      <c r="G8" s="293"/>
      <c r="H8" s="293"/>
      <c r="I8" s="293"/>
      <c r="J8" s="293"/>
      <c r="K8" s="293"/>
      <c r="L8" s="293"/>
      <c r="M8" s="293"/>
      <c r="N8" s="293"/>
      <c r="O8" s="418" t="s">
        <v>237</v>
      </c>
      <c r="P8" s="419">
        <v>33.33</v>
      </c>
      <c r="Q8" s="420">
        <f>P5/P8</f>
        <v>3.0003000300030003</v>
      </c>
    </row>
    <row r="9" spans="1:17">
      <c r="A9" s="293" t="s">
        <v>18</v>
      </c>
      <c r="B9" s="293" t="s">
        <v>18</v>
      </c>
      <c r="C9" s="293"/>
      <c r="D9" s="293"/>
      <c r="E9" s="293"/>
      <c r="F9" s="293"/>
      <c r="G9" s="293"/>
      <c r="H9" s="293"/>
      <c r="I9" s="293"/>
      <c r="J9" s="293"/>
      <c r="K9" s="293"/>
      <c r="L9" s="293"/>
      <c r="M9" s="293"/>
      <c r="N9" s="293"/>
      <c r="O9" s="185"/>
      <c r="P9" s="293"/>
    </row>
    <row r="10" spans="1:17" ht="15.75">
      <c r="A10" s="407" t="s">
        <v>19</v>
      </c>
      <c r="O10" s="293"/>
      <c r="P10" s="293"/>
    </row>
    <row r="11" spans="1:17" ht="15.75">
      <c r="A11" s="407" t="s">
        <v>20</v>
      </c>
      <c r="B11" s="407" t="s">
        <v>21</v>
      </c>
      <c r="C11" s="407" t="s">
        <v>18</v>
      </c>
      <c r="D11" s="407" t="s">
        <v>22</v>
      </c>
      <c r="E11" s="407" t="s">
        <v>7</v>
      </c>
      <c r="F11" s="407" t="s">
        <v>13</v>
      </c>
      <c r="G11" s="407" t="s">
        <v>16</v>
      </c>
      <c r="H11" s="407" t="s">
        <v>23</v>
      </c>
      <c r="I11" s="407" t="s">
        <v>24</v>
      </c>
      <c r="J11" s="407" t="s">
        <v>25</v>
      </c>
      <c r="K11" s="407" t="s">
        <v>26</v>
      </c>
      <c r="L11" s="407" t="s">
        <v>27</v>
      </c>
      <c r="M11" s="407" t="s">
        <v>28</v>
      </c>
      <c r="N11" s="407" t="s">
        <v>161</v>
      </c>
    </row>
    <row r="12" spans="1:17">
      <c r="A12" s="293" t="s">
        <v>178</v>
      </c>
      <c r="B12" s="293">
        <f>B7</f>
        <v>1</v>
      </c>
      <c r="C12" s="293" t="str">
        <f>B9</f>
        <v>unit</v>
      </c>
      <c r="D12" s="293" t="s">
        <v>2</v>
      </c>
      <c r="E12" s="293" t="s">
        <v>29</v>
      </c>
      <c r="F12" s="293" t="str">
        <f>B6</f>
        <v>RER</v>
      </c>
      <c r="G12" s="293" t="s">
        <v>30</v>
      </c>
      <c r="H12" s="293">
        <v>0</v>
      </c>
      <c r="I12" s="293">
        <f>B12</f>
        <v>1</v>
      </c>
      <c r="J12" s="293"/>
      <c r="K12" s="293"/>
      <c r="L12" s="293"/>
      <c r="M12" s="293"/>
      <c r="N12" s="293"/>
      <c r="O12" s="293"/>
      <c r="P12" s="293"/>
    </row>
    <row r="13" spans="1:17">
      <c r="A13" s="293" t="s">
        <v>272</v>
      </c>
      <c r="B13" s="421">
        <f>1*Q6</f>
        <v>3.0003000300030003</v>
      </c>
      <c r="C13" s="293" t="s">
        <v>18</v>
      </c>
      <c r="D13" s="293" t="s">
        <v>2</v>
      </c>
      <c r="E13" s="293" t="s">
        <v>29</v>
      </c>
      <c r="F13" s="293" t="s">
        <v>35</v>
      </c>
      <c r="G13" s="293" t="s">
        <v>33</v>
      </c>
      <c r="H13" s="293">
        <v>0</v>
      </c>
      <c r="I13" s="293">
        <f>B13</f>
        <v>3.0003000300030003</v>
      </c>
      <c r="J13" s="293" t="s">
        <v>31</v>
      </c>
      <c r="K13" s="293" t="s">
        <v>31</v>
      </c>
      <c r="L13" s="293" t="s">
        <v>31</v>
      </c>
      <c r="M13" s="293" t="s">
        <v>31</v>
      </c>
      <c r="N13" s="293"/>
      <c r="O13" s="293"/>
      <c r="P13" s="293"/>
    </row>
    <row r="14" spans="1:17">
      <c r="A14" s="293" t="s">
        <v>273</v>
      </c>
      <c r="B14" s="421">
        <f t="shared" ref="B14:B15" si="0">1*Q7</f>
        <v>3.0003000300030003</v>
      </c>
      <c r="C14" s="293" t="s">
        <v>18</v>
      </c>
      <c r="D14" s="293" t="s">
        <v>2</v>
      </c>
      <c r="E14" s="293" t="s">
        <v>29</v>
      </c>
      <c r="F14" s="293" t="s">
        <v>35</v>
      </c>
      <c r="G14" s="293" t="s">
        <v>33</v>
      </c>
      <c r="H14" s="293">
        <v>0</v>
      </c>
      <c r="I14" s="293">
        <f t="shared" ref="I14:I15" si="1">B14</f>
        <v>3.0003000300030003</v>
      </c>
      <c r="J14" s="293" t="s">
        <v>31</v>
      </c>
      <c r="K14" s="293" t="s">
        <v>31</v>
      </c>
      <c r="L14" s="293" t="s">
        <v>31</v>
      </c>
      <c r="M14" s="293" t="s">
        <v>31</v>
      </c>
      <c r="N14" s="293"/>
      <c r="O14" s="293"/>
      <c r="P14" s="293"/>
    </row>
    <row r="15" spans="1:17">
      <c r="A15" s="293" t="s">
        <v>274</v>
      </c>
      <c r="B15" s="421">
        <f t="shared" si="0"/>
        <v>3.0003000300030003</v>
      </c>
      <c r="C15" s="293" t="s">
        <v>18</v>
      </c>
      <c r="D15" s="293" t="s">
        <v>2</v>
      </c>
      <c r="E15" s="293" t="s">
        <v>29</v>
      </c>
      <c r="F15" s="293" t="s">
        <v>35</v>
      </c>
      <c r="G15" s="293" t="s">
        <v>33</v>
      </c>
      <c r="H15" s="293">
        <v>0</v>
      </c>
      <c r="I15" s="293">
        <f t="shared" si="1"/>
        <v>3.0003000300030003</v>
      </c>
      <c r="J15" s="293" t="s">
        <v>31</v>
      </c>
      <c r="K15" s="293" t="s">
        <v>31</v>
      </c>
      <c r="L15" s="293" t="s">
        <v>31</v>
      </c>
      <c r="M15" s="293" t="s">
        <v>31</v>
      </c>
      <c r="N15" s="293"/>
      <c r="O15" s="293"/>
      <c r="P15" s="293"/>
    </row>
    <row r="16" spans="1:17" ht="15.75">
      <c r="A16" s="409" t="s">
        <v>5</v>
      </c>
      <c r="B16" s="409" t="s">
        <v>272</v>
      </c>
      <c r="C16" s="410"/>
      <c r="D16" s="411"/>
      <c r="E16" s="411"/>
      <c r="F16" s="411"/>
      <c r="G16" s="411"/>
      <c r="H16" s="411"/>
      <c r="I16" s="411"/>
      <c r="J16" s="411"/>
      <c r="K16" s="411"/>
      <c r="L16" s="411"/>
      <c r="M16" s="411"/>
      <c r="N16" s="411"/>
      <c r="O16" s="293"/>
      <c r="P16" s="293"/>
    </row>
    <row r="17" spans="1:16">
      <c r="A17" s="293" t="s">
        <v>7</v>
      </c>
      <c r="B17" s="293" t="s">
        <v>152</v>
      </c>
      <c r="C17" s="293"/>
      <c r="D17" s="293"/>
      <c r="E17" s="293"/>
      <c r="F17" s="293"/>
      <c r="G17" s="293"/>
      <c r="H17" s="293"/>
      <c r="I17" s="293"/>
      <c r="J17" s="293"/>
      <c r="K17" s="293"/>
      <c r="L17" s="293"/>
      <c r="M17" s="293"/>
      <c r="N17" s="293"/>
      <c r="O17" s="427" t="s">
        <v>275</v>
      </c>
      <c r="P17" s="293"/>
    </row>
    <row r="18" spans="1:16">
      <c r="A18" s="293" t="s">
        <v>9</v>
      </c>
      <c r="B18" s="293" t="s">
        <v>276</v>
      </c>
      <c r="C18" s="293"/>
      <c r="D18" s="293"/>
      <c r="E18" s="293"/>
      <c r="F18" s="293"/>
      <c r="G18" s="293"/>
      <c r="H18" s="293"/>
      <c r="I18" s="293"/>
      <c r="J18" s="293"/>
      <c r="K18" s="293"/>
      <c r="L18" s="293"/>
      <c r="M18" s="293"/>
      <c r="N18" s="293"/>
      <c r="O18" s="428">
        <v>98000</v>
      </c>
      <c r="P18" s="293"/>
    </row>
    <row r="19" spans="1:16">
      <c r="A19" s="293" t="s">
        <v>11</v>
      </c>
      <c r="B19" s="293" t="s">
        <v>277</v>
      </c>
      <c r="C19" s="293"/>
      <c r="D19" s="293"/>
      <c r="E19" s="293"/>
      <c r="F19" s="293"/>
      <c r="G19" s="293"/>
      <c r="H19" s="293"/>
      <c r="I19" s="293"/>
      <c r="J19" s="293"/>
      <c r="K19" s="293"/>
      <c r="L19" s="293"/>
      <c r="M19" s="293"/>
      <c r="N19" s="293"/>
      <c r="O19" s="293"/>
      <c r="P19" s="293"/>
    </row>
    <row r="20" spans="1:16">
      <c r="A20" s="293" t="s">
        <v>13</v>
      </c>
      <c r="B20" s="293" t="s">
        <v>35</v>
      </c>
      <c r="C20" s="293"/>
      <c r="D20" s="293"/>
      <c r="E20" s="293"/>
      <c r="F20" s="293"/>
      <c r="G20" s="293"/>
      <c r="H20" s="293"/>
      <c r="I20" s="293"/>
      <c r="J20" s="293"/>
      <c r="K20" s="293"/>
      <c r="L20" s="293"/>
      <c r="M20" s="293"/>
      <c r="N20" s="293"/>
      <c r="O20" s="293"/>
      <c r="P20" s="293"/>
    </row>
    <row r="21" spans="1:16">
      <c r="A21" s="293" t="s">
        <v>15</v>
      </c>
      <c r="B21" s="185">
        <v>1</v>
      </c>
      <c r="C21" s="293"/>
      <c r="D21" s="293"/>
      <c r="E21" s="293"/>
      <c r="F21" s="293"/>
      <c r="G21" s="293"/>
      <c r="H21" s="293"/>
      <c r="I21" s="293"/>
      <c r="J21" s="293"/>
      <c r="K21" s="293"/>
      <c r="L21" s="293"/>
      <c r="M21" s="293"/>
      <c r="N21" s="293"/>
    </row>
    <row r="22" spans="1:16">
      <c r="A22" s="293" t="s">
        <v>16</v>
      </c>
      <c r="B22" s="293" t="s">
        <v>17</v>
      </c>
      <c r="C22" s="293"/>
      <c r="D22" s="293"/>
      <c r="E22" s="293"/>
      <c r="F22" s="293"/>
      <c r="G22" s="293"/>
      <c r="H22" s="293"/>
      <c r="I22" s="293"/>
      <c r="J22" s="293"/>
      <c r="K22" s="293"/>
      <c r="L22" s="293"/>
      <c r="M22" s="293"/>
      <c r="N22" s="293"/>
    </row>
    <row r="23" spans="1:16">
      <c r="A23" s="293" t="s">
        <v>18</v>
      </c>
      <c r="B23" s="293" t="s">
        <v>18</v>
      </c>
      <c r="C23" s="293"/>
      <c r="D23" s="293"/>
      <c r="E23" s="293"/>
      <c r="F23" s="293"/>
      <c r="G23" s="293"/>
      <c r="H23" s="293"/>
      <c r="I23" s="293"/>
      <c r="J23" s="293"/>
      <c r="K23" s="293"/>
      <c r="L23" s="293"/>
      <c r="M23" s="293"/>
      <c r="N23" s="293"/>
    </row>
    <row r="24" spans="1:16" ht="15.75">
      <c r="A24" s="407" t="s">
        <v>19</v>
      </c>
    </row>
    <row r="25" spans="1:16" ht="15.75">
      <c r="A25" s="407" t="s">
        <v>20</v>
      </c>
      <c r="B25" s="407" t="s">
        <v>21</v>
      </c>
      <c r="C25" s="407" t="s">
        <v>18</v>
      </c>
      <c r="D25" s="407" t="s">
        <v>22</v>
      </c>
      <c r="E25" s="407" t="s">
        <v>7</v>
      </c>
      <c r="F25" s="407" t="s">
        <v>13</v>
      </c>
      <c r="G25" s="407" t="s">
        <v>16</v>
      </c>
      <c r="H25" s="407" t="s">
        <v>23</v>
      </c>
      <c r="I25" s="407" t="s">
        <v>24</v>
      </c>
      <c r="J25" s="407" t="s">
        <v>25</v>
      </c>
      <c r="K25" s="407" t="s">
        <v>26</v>
      </c>
      <c r="L25" s="407" t="s">
        <v>27</v>
      </c>
      <c r="M25" s="407" t="s">
        <v>28</v>
      </c>
      <c r="N25" s="407" t="s">
        <v>161</v>
      </c>
    </row>
    <row r="26" spans="1:16">
      <c r="A26" s="293" t="s">
        <v>272</v>
      </c>
      <c r="B26" s="293">
        <f>B21</f>
        <v>1</v>
      </c>
      <c r="C26" s="293" t="str">
        <f>B23</f>
        <v>unit</v>
      </c>
      <c r="D26" s="293" t="s">
        <v>2</v>
      </c>
      <c r="E26" s="293" t="s">
        <v>29</v>
      </c>
      <c r="F26" s="293" t="str">
        <f>B20</f>
        <v>RER</v>
      </c>
      <c r="G26" s="293" t="s">
        <v>30</v>
      </c>
      <c r="H26" s="293">
        <v>0</v>
      </c>
      <c r="I26" s="293">
        <f>B26</f>
        <v>1</v>
      </c>
      <c r="J26" s="293"/>
      <c r="K26" s="293"/>
      <c r="L26" s="293"/>
      <c r="M26" s="293"/>
      <c r="N26" s="293"/>
    </row>
    <row r="27" spans="1:16">
      <c r="A27" s="293" t="s">
        <v>258</v>
      </c>
      <c r="B27" s="293">
        <f>O18*0.21</f>
        <v>20580</v>
      </c>
      <c r="C27" s="293" t="s">
        <v>50</v>
      </c>
      <c r="D27" s="293" t="s">
        <v>38</v>
      </c>
      <c r="E27" s="293" t="s">
        <v>29</v>
      </c>
      <c r="F27" s="293" t="s">
        <v>35</v>
      </c>
      <c r="G27" s="293" t="s">
        <v>33</v>
      </c>
      <c r="H27" s="293">
        <v>0</v>
      </c>
      <c r="I27" s="293">
        <f t="shared" ref="I27" si="2">B27</f>
        <v>20580</v>
      </c>
      <c r="J27" s="293" t="s">
        <v>31</v>
      </c>
      <c r="K27" s="293" t="s">
        <v>31</v>
      </c>
      <c r="L27" s="293" t="s">
        <v>31</v>
      </c>
      <c r="M27" s="293" t="s">
        <v>31</v>
      </c>
      <c r="N27" s="293" t="s">
        <v>278</v>
      </c>
    </row>
    <row r="28" spans="1:16" s="293" customFormat="1" ht="12.75">
      <c r="A28" s="293" t="s">
        <v>279</v>
      </c>
      <c r="B28" s="293">
        <f>O18*2195.45*(1+0.02)</f>
        <v>219457181.99999997</v>
      </c>
      <c r="C28" s="293" t="s">
        <v>37</v>
      </c>
      <c r="D28" s="293" t="s">
        <v>38</v>
      </c>
      <c r="E28" s="293" t="s">
        <v>29</v>
      </c>
      <c r="F28" s="293" t="s">
        <v>256</v>
      </c>
      <c r="G28" s="293" t="s">
        <v>33</v>
      </c>
      <c r="H28" s="293">
        <v>0</v>
      </c>
      <c r="I28" s="422">
        <f>ABS(B28)</f>
        <v>219457181.99999997</v>
      </c>
      <c r="J28" s="293" t="s">
        <v>31</v>
      </c>
      <c r="K28" s="293" t="s">
        <v>31</v>
      </c>
      <c r="L28" s="293" t="s">
        <v>31</v>
      </c>
      <c r="M28" s="293" t="s">
        <v>31</v>
      </c>
      <c r="N28" s="293" t="s">
        <v>280</v>
      </c>
    </row>
    <row r="29" spans="1:16" ht="15.75">
      <c r="A29" s="409" t="s">
        <v>5</v>
      </c>
      <c r="B29" s="409" t="s">
        <v>273</v>
      </c>
      <c r="C29" s="410"/>
      <c r="D29" s="411"/>
      <c r="E29" s="411"/>
      <c r="F29" s="411"/>
      <c r="G29" s="411"/>
      <c r="H29" s="411"/>
      <c r="I29" s="411"/>
      <c r="J29" s="411"/>
      <c r="K29" s="411"/>
      <c r="L29" s="411"/>
      <c r="M29" s="411"/>
      <c r="N29" s="411"/>
      <c r="O29" s="293"/>
      <c r="P29" s="293"/>
    </row>
    <row r="30" spans="1:16">
      <c r="A30" s="293" t="s">
        <v>7</v>
      </c>
      <c r="B30" s="293" t="s">
        <v>152</v>
      </c>
      <c r="C30" s="293"/>
      <c r="D30" s="293"/>
      <c r="E30" s="293"/>
      <c r="F30" s="293"/>
      <c r="G30" s="293"/>
      <c r="H30" s="293"/>
      <c r="I30" s="293"/>
      <c r="J30" s="293"/>
      <c r="K30" s="293"/>
      <c r="L30" s="293"/>
      <c r="M30" s="293"/>
      <c r="N30" s="293"/>
      <c r="O30" s="427" t="s">
        <v>281</v>
      </c>
      <c r="P30" s="293"/>
    </row>
    <row r="31" spans="1:16">
      <c r="A31" s="293" t="s">
        <v>9</v>
      </c>
      <c r="B31" s="293" t="s">
        <v>282</v>
      </c>
      <c r="C31" s="293"/>
      <c r="D31" s="293"/>
      <c r="E31" s="293"/>
      <c r="F31" s="293"/>
      <c r="G31" s="293"/>
      <c r="H31" s="293"/>
      <c r="I31" s="293"/>
      <c r="J31" s="293"/>
      <c r="K31" s="293"/>
      <c r="L31" s="293"/>
      <c r="M31" s="293"/>
      <c r="N31" s="293"/>
      <c r="O31" s="428">
        <v>78720</v>
      </c>
      <c r="P31" s="293"/>
    </row>
    <row r="32" spans="1:16">
      <c r="A32" s="293" t="s">
        <v>11</v>
      </c>
      <c r="B32" s="293" t="s">
        <v>277</v>
      </c>
      <c r="C32" s="293"/>
      <c r="D32" s="293"/>
      <c r="E32" s="293"/>
      <c r="F32" s="293"/>
      <c r="G32" s="293"/>
      <c r="H32" s="293"/>
      <c r="I32" s="293"/>
      <c r="J32" s="293"/>
      <c r="K32" s="293"/>
      <c r="L32" s="293"/>
      <c r="M32" s="293"/>
      <c r="N32" s="293"/>
      <c r="O32" s="293"/>
      <c r="P32" s="293"/>
    </row>
    <row r="33" spans="1:16">
      <c r="A33" s="293" t="s">
        <v>13</v>
      </c>
      <c r="B33" s="293" t="s">
        <v>35</v>
      </c>
      <c r="C33" s="293"/>
      <c r="D33" s="293"/>
      <c r="E33" s="293"/>
      <c r="F33" s="293"/>
      <c r="G33" s="293"/>
      <c r="H33" s="293"/>
      <c r="I33" s="293"/>
      <c r="J33" s="293"/>
      <c r="K33" s="293"/>
      <c r="L33" s="293"/>
      <c r="M33" s="293"/>
      <c r="N33" s="293"/>
      <c r="O33" s="293"/>
      <c r="P33" s="293"/>
    </row>
    <row r="34" spans="1:16">
      <c r="A34" s="293" t="s">
        <v>15</v>
      </c>
      <c r="B34" s="185">
        <v>1</v>
      </c>
      <c r="C34" s="293"/>
      <c r="D34" s="293"/>
      <c r="E34" s="293"/>
      <c r="F34" s="293"/>
      <c r="G34" s="293"/>
      <c r="H34" s="293"/>
      <c r="I34" s="293"/>
      <c r="J34" s="293"/>
      <c r="K34" s="293"/>
      <c r="L34" s="293"/>
      <c r="M34" s="293"/>
      <c r="N34" s="293"/>
    </row>
    <row r="35" spans="1:16">
      <c r="A35" s="293" t="s">
        <v>16</v>
      </c>
      <c r="B35" s="293" t="s">
        <v>17</v>
      </c>
      <c r="C35" s="293"/>
      <c r="D35" s="293"/>
      <c r="E35" s="293"/>
      <c r="F35" s="293"/>
      <c r="G35" s="293"/>
      <c r="H35" s="293"/>
      <c r="I35" s="293"/>
      <c r="J35" s="293"/>
      <c r="K35" s="293"/>
      <c r="L35" s="293"/>
      <c r="M35" s="293"/>
      <c r="N35" s="293"/>
    </row>
    <row r="36" spans="1:16">
      <c r="A36" s="293" t="s">
        <v>18</v>
      </c>
      <c r="B36" s="293" t="s">
        <v>18</v>
      </c>
      <c r="C36" s="293"/>
      <c r="D36" s="293"/>
      <c r="E36" s="293"/>
      <c r="F36" s="293"/>
      <c r="G36" s="293"/>
      <c r="H36" s="293"/>
      <c r="I36" s="293"/>
      <c r="J36" s="293"/>
      <c r="K36" s="293"/>
      <c r="L36" s="293"/>
      <c r="M36" s="293"/>
      <c r="N36" s="293"/>
    </row>
    <row r="37" spans="1:16" ht="15.75">
      <c r="A37" s="407" t="s">
        <v>19</v>
      </c>
    </row>
    <row r="38" spans="1:16" ht="15.75">
      <c r="A38" s="407" t="s">
        <v>20</v>
      </c>
      <c r="B38" s="407" t="s">
        <v>21</v>
      </c>
      <c r="C38" s="407" t="s">
        <v>18</v>
      </c>
      <c r="D38" s="407" t="s">
        <v>22</v>
      </c>
      <c r="E38" s="407" t="s">
        <v>7</v>
      </c>
      <c r="F38" s="407" t="s">
        <v>13</v>
      </c>
      <c r="G38" s="407" t="s">
        <v>16</v>
      </c>
      <c r="H38" s="407" t="s">
        <v>23</v>
      </c>
      <c r="I38" s="407" t="s">
        <v>24</v>
      </c>
      <c r="J38" s="407" t="s">
        <v>25</v>
      </c>
      <c r="K38" s="407" t="s">
        <v>26</v>
      </c>
      <c r="L38" s="407" t="s">
        <v>27</v>
      </c>
      <c r="M38" s="407" t="s">
        <v>28</v>
      </c>
      <c r="N38" s="407" t="s">
        <v>161</v>
      </c>
    </row>
    <row r="39" spans="1:16">
      <c r="A39" s="293" t="s">
        <v>273</v>
      </c>
      <c r="B39" s="293">
        <f>B34</f>
        <v>1</v>
      </c>
      <c r="C39" s="293" t="str">
        <f>B36</f>
        <v>unit</v>
      </c>
      <c r="D39" s="293" t="s">
        <v>2</v>
      </c>
      <c r="E39" s="293" t="s">
        <v>29</v>
      </c>
      <c r="F39" s="293" t="str">
        <f>B33</f>
        <v>RER</v>
      </c>
      <c r="G39" s="293" t="s">
        <v>30</v>
      </c>
      <c r="H39" s="293">
        <v>0</v>
      </c>
      <c r="I39" s="293">
        <f>B39</f>
        <v>1</v>
      </c>
      <c r="J39" s="293"/>
      <c r="K39" s="293"/>
      <c r="L39" s="293"/>
      <c r="M39" s="293"/>
      <c r="N39" s="293"/>
    </row>
    <row r="40" spans="1:16">
      <c r="A40" s="293" t="s">
        <v>258</v>
      </c>
      <c r="B40" s="293">
        <f>O31*0.21</f>
        <v>16531.2</v>
      </c>
      <c r="C40" s="293" t="s">
        <v>50</v>
      </c>
      <c r="D40" s="293" t="s">
        <v>38</v>
      </c>
      <c r="E40" s="293" t="s">
        <v>29</v>
      </c>
      <c r="F40" s="293" t="s">
        <v>35</v>
      </c>
      <c r="G40" s="293" t="s">
        <v>33</v>
      </c>
      <c r="H40" s="293">
        <v>0</v>
      </c>
      <c r="I40" s="293">
        <f t="shared" ref="I40" si="3">B40</f>
        <v>16531.2</v>
      </c>
      <c r="J40" s="293" t="s">
        <v>31</v>
      </c>
      <c r="K40" s="293" t="s">
        <v>31</v>
      </c>
      <c r="L40" s="293" t="s">
        <v>31</v>
      </c>
      <c r="M40" s="293" t="s">
        <v>31</v>
      </c>
      <c r="N40" s="293" t="s">
        <v>278</v>
      </c>
    </row>
    <row r="41" spans="1:16" s="293" customFormat="1" ht="12.75">
      <c r="A41" s="293" t="s">
        <v>279</v>
      </c>
      <c r="B41" s="293">
        <f>O31*2195.45*(1+0.02)</f>
        <v>176282340.47999999</v>
      </c>
      <c r="C41" s="293" t="s">
        <v>37</v>
      </c>
      <c r="D41" s="293" t="s">
        <v>38</v>
      </c>
      <c r="E41" s="293" t="s">
        <v>29</v>
      </c>
      <c r="F41" s="293" t="s">
        <v>256</v>
      </c>
      <c r="G41" s="293" t="s">
        <v>33</v>
      </c>
      <c r="H41" s="293">
        <v>0</v>
      </c>
      <c r="I41" s="422">
        <f>ABS(B41)</f>
        <v>176282340.47999999</v>
      </c>
      <c r="J41" s="293" t="s">
        <v>31</v>
      </c>
      <c r="K41" s="293" t="s">
        <v>31</v>
      </c>
      <c r="L41" s="293" t="s">
        <v>31</v>
      </c>
      <c r="M41" s="293" t="s">
        <v>31</v>
      </c>
      <c r="N41" s="293" t="s">
        <v>280</v>
      </c>
    </row>
    <row r="42" spans="1:16" ht="15.75">
      <c r="A42" s="409" t="s">
        <v>5</v>
      </c>
      <c r="B42" s="409" t="s">
        <v>274</v>
      </c>
      <c r="C42" s="410"/>
      <c r="D42" s="411"/>
      <c r="E42" s="411"/>
      <c r="F42" s="411"/>
      <c r="G42" s="411"/>
      <c r="H42" s="411"/>
      <c r="I42" s="411"/>
      <c r="J42" s="411"/>
      <c r="K42" s="411"/>
      <c r="L42" s="411"/>
      <c r="M42" s="411"/>
      <c r="N42" s="411"/>
      <c r="O42" s="293"/>
    </row>
    <row r="43" spans="1:16">
      <c r="A43" s="293" t="s">
        <v>7</v>
      </c>
      <c r="B43" s="293" t="s">
        <v>152</v>
      </c>
      <c r="C43" s="293"/>
      <c r="D43" s="293"/>
      <c r="E43" s="293"/>
      <c r="F43" s="293"/>
      <c r="G43" s="293"/>
      <c r="H43" s="293"/>
      <c r="I43" s="293"/>
      <c r="J43" s="293"/>
      <c r="K43" s="293"/>
      <c r="L43" s="293"/>
      <c r="M43" s="293"/>
      <c r="N43" s="293"/>
      <c r="O43" s="427" t="s">
        <v>283</v>
      </c>
    </row>
    <row r="44" spans="1:16">
      <c r="A44" s="293" t="s">
        <v>9</v>
      </c>
      <c r="B44" s="293" t="s">
        <v>284</v>
      </c>
      <c r="C44" s="293"/>
      <c r="D44" s="293"/>
      <c r="E44" s="293"/>
      <c r="F44" s="293"/>
      <c r="G44" s="293"/>
      <c r="H44" s="293"/>
      <c r="I44" s="293"/>
      <c r="J44" s="293"/>
      <c r="K44" s="293"/>
      <c r="L44" s="293"/>
      <c r="M44" s="293"/>
      <c r="N44" s="293"/>
      <c r="O44" s="428">
        <v>99000</v>
      </c>
    </row>
    <row r="45" spans="1:16">
      <c r="A45" s="293" t="s">
        <v>11</v>
      </c>
      <c r="B45" s="293" t="s">
        <v>277</v>
      </c>
      <c r="C45" s="293"/>
      <c r="D45" s="293"/>
      <c r="E45" s="293"/>
      <c r="F45" s="293"/>
      <c r="G45" s="293"/>
      <c r="H45" s="293"/>
      <c r="I45" s="293"/>
      <c r="J45" s="293"/>
      <c r="K45" s="293"/>
      <c r="L45" s="293"/>
      <c r="M45" s="293"/>
      <c r="N45" s="293"/>
      <c r="O45" s="293"/>
    </row>
    <row r="46" spans="1:16">
      <c r="A46" s="293" t="s">
        <v>13</v>
      </c>
      <c r="B46" s="293" t="s">
        <v>35</v>
      </c>
      <c r="C46" s="293"/>
      <c r="D46" s="293"/>
      <c r="E46" s="293"/>
      <c r="F46" s="293"/>
      <c r="G46" s="293"/>
      <c r="H46" s="293"/>
      <c r="I46" s="293"/>
      <c r="J46" s="293"/>
      <c r="K46" s="293"/>
      <c r="L46" s="293"/>
      <c r="M46" s="293"/>
      <c r="N46" s="293"/>
      <c r="O46" s="293"/>
    </row>
    <row r="47" spans="1:16">
      <c r="A47" s="293" t="s">
        <v>15</v>
      </c>
      <c r="B47" s="185">
        <v>1</v>
      </c>
      <c r="C47" s="293"/>
      <c r="D47" s="293"/>
      <c r="E47" s="293"/>
      <c r="F47" s="293"/>
      <c r="G47" s="293"/>
      <c r="H47" s="293"/>
      <c r="I47" s="293"/>
      <c r="J47" s="293"/>
      <c r="K47" s="293"/>
      <c r="L47" s="293"/>
      <c r="M47" s="293"/>
      <c r="N47" s="293"/>
    </row>
    <row r="48" spans="1:16">
      <c r="A48" s="293" t="s">
        <v>16</v>
      </c>
      <c r="B48" s="293" t="s">
        <v>17</v>
      </c>
      <c r="C48" s="293"/>
      <c r="D48" s="293"/>
      <c r="E48" s="293"/>
      <c r="F48" s="293"/>
      <c r="G48" s="293"/>
      <c r="H48" s="293"/>
      <c r="I48" s="293"/>
      <c r="J48" s="293"/>
      <c r="K48" s="293"/>
      <c r="L48" s="293"/>
      <c r="M48" s="293"/>
      <c r="N48" s="293"/>
    </row>
    <row r="49" spans="1:15">
      <c r="A49" s="293" t="s">
        <v>18</v>
      </c>
      <c r="B49" s="293" t="s">
        <v>18</v>
      </c>
      <c r="C49" s="293"/>
      <c r="D49" s="293"/>
      <c r="E49" s="293"/>
      <c r="F49" s="293"/>
      <c r="G49" s="293"/>
      <c r="H49" s="293"/>
      <c r="I49" s="293"/>
      <c r="J49" s="293"/>
      <c r="K49" s="293"/>
      <c r="L49" s="293"/>
      <c r="M49" s="293"/>
      <c r="N49" s="293"/>
    </row>
    <row r="50" spans="1:15" ht="15.75">
      <c r="A50" s="407" t="s">
        <v>19</v>
      </c>
    </row>
    <row r="51" spans="1:15" ht="15.75">
      <c r="A51" s="407" t="s">
        <v>20</v>
      </c>
      <c r="B51" s="407" t="s">
        <v>21</v>
      </c>
      <c r="C51" s="407" t="s">
        <v>18</v>
      </c>
      <c r="D51" s="407" t="s">
        <v>22</v>
      </c>
      <c r="E51" s="407" t="s">
        <v>7</v>
      </c>
      <c r="F51" s="407" t="s">
        <v>13</v>
      </c>
      <c r="G51" s="407" t="s">
        <v>16</v>
      </c>
      <c r="H51" s="407" t="s">
        <v>23</v>
      </c>
      <c r="I51" s="407" t="s">
        <v>24</v>
      </c>
      <c r="J51" s="407" t="s">
        <v>25</v>
      </c>
      <c r="K51" s="407" t="s">
        <v>26</v>
      </c>
      <c r="L51" s="407" t="s">
        <v>27</v>
      </c>
      <c r="M51" s="407" t="s">
        <v>28</v>
      </c>
      <c r="N51" s="407" t="s">
        <v>161</v>
      </c>
    </row>
    <row r="52" spans="1:15">
      <c r="A52" s="293" t="s">
        <v>274</v>
      </c>
      <c r="B52" s="293">
        <f>B47</f>
        <v>1</v>
      </c>
      <c r="C52" s="293" t="str">
        <f>B49</f>
        <v>unit</v>
      </c>
      <c r="D52" s="293" t="s">
        <v>2</v>
      </c>
      <c r="E52" s="293" t="s">
        <v>29</v>
      </c>
      <c r="F52" s="293" t="str">
        <f>B46</f>
        <v>RER</v>
      </c>
      <c r="G52" s="293" t="s">
        <v>30</v>
      </c>
      <c r="H52" s="293">
        <v>0</v>
      </c>
      <c r="I52" s="293">
        <f>B52</f>
        <v>1</v>
      </c>
      <c r="J52" s="293"/>
      <c r="K52" s="293"/>
      <c r="L52" s="293"/>
      <c r="M52" s="293"/>
      <c r="N52" s="293"/>
    </row>
    <row r="53" spans="1:15">
      <c r="A53" s="293" t="s">
        <v>258</v>
      </c>
      <c r="B53" s="293">
        <f>O44*0.21</f>
        <v>20790</v>
      </c>
      <c r="C53" s="293" t="s">
        <v>50</v>
      </c>
      <c r="D53" s="293" t="s">
        <v>38</v>
      </c>
      <c r="E53" s="293" t="s">
        <v>29</v>
      </c>
      <c r="F53" s="293" t="s">
        <v>35</v>
      </c>
      <c r="G53" s="293" t="s">
        <v>33</v>
      </c>
      <c r="H53" s="293">
        <v>0</v>
      </c>
      <c r="I53" s="293">
        <f t="shared" ref="I53" si="4">B53</f>
        <v>20790</v>
      </c>
      <c r="J53" s="293" t="s">
        <v>31</v>
      </c>
      <c r="K53" s="293" t="s">
        <v>31</v>
      </c>
      <c r="L53" s="293" t="s">
        <v>31</v>
      </c>
      <c r="M53" s="293" t="s">
        <v>31</v>
      </c>
      <c r="N53" s="293" t="s">
        <v>278</v>
      </c>
    </row>
    <row r="54" spans="1:15">
      <c r="A54" s="293" t="s">
        <v>279</v>
      </c>
      <c r="B54" s="293">
        <f>O44*2195.45*(1+0.02)</f>
        <v>221696540.99999997</v>
      </c>
      <c r="C54" s="293" t="s">
        <v>37</v>
      </c>
      <c r="D54" s="293" t="s">
        <v>38</v>
      </c>
      <c r="E54" s="293" t="s">
        <v>29</v>
      </c>
      <c r="F54" s="293" t="s">
        <v>256</v>
      </c>
      <c r="G54" s="293" t="s">
        <v>33</v>
      </c>
      <c r="H54" s="293">
        <v>0</v>
      </c>
      <c r="I54" s="422">
        <f>ABS(B54)</f>
        <v>221696540.99999997</v>
      </c>
      <c r="J54" s="293" t="s">
        <v>31</v>
      </c>
      <c r="K54" s="293" t="s">
        <v>31</v>
      </c>
      <c r="L54" s="293" t="s">
        <v>31</v>
      </c>
      <c r="M54" s="293" t="s">
        <v>31</v>
      </c>
      <c r="N54" s="293" t="s">
        <v>280</v>
      </c>
      <c r="O54" s="293"/>
    </row>
  </sheetData>
  <mergeCells count="1">
    <mergeCell ref="O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customXml/itemProps2.xml><?xml version="1.0" encoding="utf-8"?>
<ds:datastoreItem xmlns:ds="http://schemas.openxmlformats.org/officeDocument/2006/customXml" ds:itemID="{CEFC012B-D11A-464B-A816-788BC2BB1DE1}">
  <ds:schemaRefs>
    <ds:schemaRef ds:uri="http://schemas.microsoft.com/sharepoint/v3/contenttype/forms"/>
  </ds:schemaRefs>
</ds:datastoreItem>
</file>

<file path=customXml/itemProps3.xml><?xml version="1.0" encoding="utf-8"?>
<ds:datastoreItem xmlns:ds="http://schemas.openxmlformats.org/officeDocument/2006/customXml" ds:itemID="{7405B24F-702A-4608-943D-F67C2FBF6D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Use</vt:lpstr>
      <vt:lpstr>Aircraft</vt:lpstr>
      <vt:lpstr>Main</vt:lpstr>
      <vt:lpstr>converters</vt:lpstr>
      <vt:lpstr>rest</vt:lpstr>
      <vt:lpstr>MAIN EoL</vt:lpstr>
      <vt:lpstr>Airport_use</vt:lpstr>
      <vt:lpstr>Airport_construction</vt:lpstr>
      <vt:lpstr>Airport_decommission </vt:lpstr>
      <vt:lpstr>Power elec EoL LCI</vt:lpstr>
      <vt:lpstr>motors and drives EoL LCI</vt:lpstr>
      <vt:lpstr>powerplant EoL LCI</vt:lpstr>
      <vt:lpstr>airframe EoL LCI</vt:lpstr>
      <vt:lpstr>Systems</vt:lpstr>
      <vt:lpstr>Airframe</vt:lpstr>
      <vt:lpstr>Furnishing</vt:lpstr>
      <vt:lpstr>Operative equipment</vt:lpstr>
      <vt:lpstr>SAF</vt:lpstr>
      <vt:lpstr>PP1. processes</vt:lpstr>
      <vt:lpstr>PP2. treatment processes</vt:lpstr>
      <vt:lpstr>Battery Li-S</vt:lpstr>
      <vt:lpstr>battery EoL Li-S</vt:lpstr>
      <vt:lpstr>CHARGING STATION</vt:lpstr>
      <vt:lpstr>A&amp;B Same Processes</vt:lpstr>
      <vt:lpstr>A&amp;B Driver Board </vt:lpstr>
      <vt:lpstr>A&amp;B Logic board</vt:lpstr>
      <vt:lpstr>A. ACDC POWER MODULE </vt:lpstr>
      <vt:lpstr>A.Reused</vt:lpstr>
      <vt:lpstr>A. Cable glands</vt:lpstr>
      <vt:lpstr>A. Machined casing</vt:lpstr>
      <vt:lpstr>A. IGBT power module</vt:lpstr>
      <vt:lpstr>B. DCDC POWER MODULE </vt:lpstr>
      <vt:lpstr>B.Reused</vt:lpstr>
      <vt:lpstr>B. Cable glands</vt:lpstr>
      <vt:lpstr>B. Machined casing</vt:lpstr>
      <vt:lpstr>B. IGBT power module</vt:lpstr>
      <vt:lpstr>0. PE&amp;MD</vt:lpstr>
      <vt:lpstr>1. MOTORS AND DRIVES</vt:lpstr>
      <vt:lpstr>2.POWER ELECTRONICS</vt:lpstr>
      <vt:lpstr>2. ALL Waste processes</vt:lpstr>
      <vt:lpstr>2. ALL Driver Board</vt:lpstr>
      <vt:lpstr>2. ALL Logic Board</vt:lpstr>
      <vt:lpstr>2A. DCAC GRID INVERTER</vt:lpstr>
      <vt:lpstr>2A. Reusable</vt:lpstr>
      <vt:lpstr>2A. Cable glands</vt:lpstr>
      <vt:lpstr>2A. Machined casing</vt:lpstr>
      <vt:lpstr>2A. IGBT power module</vt:lpstr>
      <vt:lpstr>2B. ISOLATING DCDC CONVERTER</vt:lpstr>
      <vt:lpstr>2B. Reusable</vt:lpstr>
      <vt:lpstr>2B. Cable glands</vt:lpstr>
      <vt:lpstr>2B. Machined casing</vt:lpstr>
      <vt:lpstr>2B. IGBT power module</vt:lpstr>
      <vt:lpstr>2C. GENERATOR INVERTER ACDC</vt:lpstr>
      <vt:lpstr>2C. Reusable</vt:lpstr>
      <vt:lpstr>2C. Cable glands</vt:lpstr>
      <vt:lpstr>2C. Machined casing</vt:lpstr>
      <vt:lpstr>2C. IGBT power module</vt:lpstr>
      <vt:lpstr>2D. MOTOR DRIVE INVERTER</vt:lpstr>
      <vt:lpstr>2D. Reusable</vt:lpstr>
      <vt:lpstr>2D. Cable glands</vt:lpstr>
      <vt:lpstr>2D. Machined casing</vt:lpstr>
      <vt:lpstr>2D. IGBT power module</vt:lpstr>
      <vt:lpstr>2E. BATTERY DCDC CONVERTER</vt:lpstr>
      <vt:lpstr>2E. Reusable</vt:lpstr>
      <vt:lpstr>2E. Cable glands</vt:lpstr>
      <vt:lpstr>2E. Machined casing</vt:lpstr>
      <vt:lpstr>2E. IGBT power module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2023-06-23T09:28:59Z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